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drawings/drawing2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3.xml" ContentType="application/vnd.openxmlformats-officedocument.drawing+xml"/>
  <Override PartName="/xl/ctrlProps/ctrlProp15.xml" ContentType="application/vnd.ms-excel.controlpropertie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5CDDC8-6386-4C84-BF0D-5DE22248A006}" xr6:coauthVersionLast="47" xr6:coauthVersionMax="47" xr10:uidLastSave="{00000000-0000-0000-0000-000000000000}"/>
  <bookViews>
    <workbookView xWindow="-120" yWindow="-120" windowWidth="38640" windowHeight="15720" tabRatio="782"/>
  </bookViews>
  <sheets>
    <sheet name="Inputs" sheetId="2" r:id="rId1"/>
    <sheet name="Power Curves" sheetId="4" r:id="rId2"/>
    <sheet name="Gas Curves" sheetId="5" r:id="rId3"/>
    <sheet name="Calculations" sheetId="3" r:id="rId4"/>
    <sheet name="Pricing Inputs" sheetId="6" r:id="rId5"/>
    <sheet name="Output" sheetId="8" r:id="rId6"/>
    <sheet name="WIP" sheetId="7" r:id="rId7"/>
  </sheets>
  <externalReferences>
    <externalReference r:id="rId8"/>
    <externalReference r:id="rId9"/>
  </externalReferences>
  <definedNames>
    <definedName name="_Order1" hidden="1">255</definedName>
    <definedName name="_Order2" hidden="1">0</definedName>
    <definedName name="BasisIndex">'Power Curves'!$DV$15:$DV$28</definedName>
    <definedName name="BasisNumber">'Power Curves'!$DV$13</definedName>
    <definedName name="BasisTable">'Power Curves'!$CP$50:$CR$326</definedName>
    <definedName name="CorrelationTable">'Power Curves'!$DH$19:$DI$420</definedName>
    <definedName name="CurveCode" localSheetId="2">OFFSET('Gas Curves'!$B$13,0,0,1,COUNT('Gas Curves'!$17:$17))</definedName>
    <definedName name="CurveDate">Inputs!$D$2</definedName>
    <definedName name="CurveRange">'Gas Curves'!$C$11</definedName>
    <definedName name="CurveValues">Gas [2]Curves!$B$11:$M$377</definedName>
    <definedName name="curvevalues2" localSheetId="2">OFFSET('Gas Curves'!$B$11,0,0,COUNT('Gas Curves'!$B:$B)+5,COUNT('Gas Curves'!$17:$17))</definedName>
    <definedName name="CustomSaPeriod">'Gas Curves'!$L$1</definedName>
    <definedName name="DailyScalarsTable">'Power Curves'!$AG$21:$AR$44</definedName>
    <definedName name="DateToday">Inputs!$D$1</definedName>
    <definedName name="DBase">'Gas Curves'!$B$3</definedName>
    <definedName name="GasCurves">'Gas Curves'!$B$17:$P$310</definedName>
    <definedName name="GasFirstMonth">'Power Curves'!$CV$16</definedName>
    <definedName name="GasTable" localSheetId="1">'Power Curves'!$CV$16:$DI$293</definedName>
    <definedName name="GasVolTable">'Gas Curves'!$B$10:$H$353</definedName>
    <definedName name="InterestRatesTable">'Gas Curves'!$B$10:$C$377</definedName>
    <definedName name="IntraPowerVol">'Power Curves'!$CY$17:$DB$420</definedName>
    <definedName name="IRFirstMonth">'Power Curves'!$A$13</definedName>
    <definedName name="IRTable">'Power Curves'!$A$13:$B$289</definedName>
    <definedName name="LastDateOfMonthlyVol">'Power Curves'!$W$12</definedName>
    <definedName name="NumberofDaysTable">'Pricing Inputs'!$AF$2:$AK$254</definedName>
    <definedName name="OffPeakPeriod">'Power Curves'!$DS$4</definedName>
    <definedName name="OmicronCurveDate">Inputs!$D$5</definedName>
    <definedName name="OmicronIndex">'Power Curves'!$DU$32:$DU$41</definedName>
    <definedName name="OmicronNumber">'Power Curves'!$DY$31</definedName>
    <definedName name="OmicronVol">'Gas Curves'!$R$14:$U$310</definedName>
    <definedName name="OPPowerPrices">'Power Curves'!$D$19:$K$274</definedName>
    <definedName name="Password">'Gas Curves'!$B$2</definedName>
    <definedName name="PeakEnd">'Power Curves'!$AH$17</definedName>
    <definedName name="PeakPeriod">'Power Curves'!$DS$3</definedName>
    <definedName name="PeakPowerCurves">'Power Curves'!$D$19:$G$372</definedName>
    <definedName name="PeakStart">'Power Curves'!$AG$17</definedName>
    <definedName name="PositionBasis">'Power Curves'!$CP$14</definedName>
    <definedName name="PositionRegion">'Power Curves'!$D$13</definedName>
    <definedName name="PowerVolTable">'Power Curves'!$CY$19:$DF$420</definedName>
    <definedName name="PriceTable">'Power Curves'!$D$50:$K$326</definedName>
    <definedName name="PriceTableWeekend">'Power Curves'!$BI$19:$BP$323</definedName>
    <definedName name="_xlnm.Print_Area" localSheetId="3">Calculations!$BA$1:$BI$27</definedName>
    <definedName name="_xlnm.Print_Area" localSheetId="2">'Gas Curves'!$B$10:$P$137</definedName>
    <definedName name="_xlnm.Print_Area" localSheetId="5">Output!$A$1:$K$15</definedName>
    <definedName name="_xlnm.Print_Titles" localSheetId="2">'Gas Curves'!$13:$13</definedName>
    <definedName name="RegionIndex">'Power Curves'!$DS$19:$DS$45</definedName>
    <definedName name="RegionNumber">'Power Curves'!$DS$18</definedName>
    <definedName name="SatSunPeakPwr">'Power Curves'!$M$15:$T$242</definedName>
    <definedName name="ScalarTable">'Pricing Inputs'!$B$5:$M$32</definedName>
    <definedName name="ScaledPrice">'Pricing Inputs'!$A$36:$J$420</definedName>
    <definedName name="Today">'Gas Curves'!$A$6</definedName>
    <definedName name="UpperLeftOfCurveTable">'Gas Curves'!$B$11</definedName>
    <definedName name="UserName">'Gas Curves'!$B$1</definedName>
    <definedName name="VolSmileBook" localSheetId="1">'Power Curves'!$Q$69:$R$89</definedName>
    <definedName name="VolSmileModel" localSheetId="1">'Power Curves'!$CM$15:$CN$35</definedName>
    <definedName name="VolTableDailyOffPeak">'Power Curves'!$CI$37:$CK$48</definedName>
    <definedName name="VolTableDailyPeak">'Power Curves'!$CI$17:$CK$28</definedName>
    <definedName name="VolTableDailyPeakSat">'Power Curves'!$CI$53:$CK$64</definedName>
    <definedName name="VolTableDailyPeakSun">'Power Curves'!$CI$69:$CK$80</definedName>
    <definedName name="VolTableMonthlyOffPeak">'Power Curves'!$Q$46:$T$64</definedName>
    <definedName name="VolTableMonthlyPeak">'Power Curves'!$Q$20:$T$38</definedName>
    <definedName name="VolTableMonthlyPeakSat">'Power Curves'!$BV$21:$BY$39</definedName>
    <definedName name="VolTableMonthlyPeakSun">'Power Curves'!$BV$49:$BY$67</definedName>
    <definedName name="VolTableYearlyOffPeak">'Power Curves'!$AA$46:$AD$69</definedName>
    <definedName name="VolTableYearlyPeak">'Power Curves'!$AA$20:$AD$43</definedName>
  </definedNames>
  <calcPr calcId="0" calcMode="manual" fullCalcOnLoad="1"/>
</workbook>
</file>

<file path=xl/calcChain.xml><?xml version="1.0" encoding="utf-8"?>
<calcChain xmlns="http://schemas.openxmlformats.org/spreadsheetml/2006/main">
  <c r="A4" i="3" l="1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S4" i="3"/>
  <c r="AT4" i="3"/>
  <c r="AU4" i="3"/>
  <c r="AV4" i="3"/>
  <c r="AW4" i="3"/>
  <c r="AX4" i="3"/>
  <c r="AY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S5" i="3"/>
  <c r="AT5" i="3"/>
  <c r="AU5" i="3"/>
  <c r="AV5" i="3"/>
  <c r="AW5" i="3"/>
  <c r="AX5" i="3"/>
  <c r="AY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S6" i="3"/>
  <c r="AT6" i="3"/>
  <c r="AU6" i="3"/>
  <c r="AV6" i="3"/>
  <c r="AW6" i="3"/>
  <c r="AX6" i="3"/>
  <c r="AY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S7" i="3"/>
  <c r="AT7" i="3"/>
  <c r="AU7" i="3"/>
  <c r="AV7" i="3"/>
  <c r="AW7" i="3"/>
  <c r="AX7" i="3"/>
  <c r="AY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S8" i="3"/>
  <c r="AT8" i="3"/>
  <c r="AU8" i="3"/>
  <c r="AV8" i="3"/>
  <c r="AW8" i="3"/>
  <c r="AX8" i="3"/>
  <c r="AY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S9" i="3"/>
  <c r="AT9" i="3"/>
  <c r="AU9" i="3"/>
  <c r="AV9" i="3"/>
  <c r="AW9" i="3"/>
  <c r="AX9" i="3"/>
  <c r="AY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S10" i="3"/>
  <c r="AT10" i="3"/>
  <c r="AU10" i="3"/>
  <c r="AV10" i="3"/>
  <c r="AW10" i="3"/>
  <c r="AX10" i="3"/>
  <c r="AY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S11" i="3"/>
  <c r="AT11" i="3"/>
  <c r="AU11" i="3"/>
  <c r="AV11" i="3"/>
  <c r="AW11" i="3"/>
  <c r="AX11" i="3"/>
  <c r="AY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S12" i="3"/>
  <c r="AT12" i="3"/>
  <c r="AU12" i="3"/>
  <c r="AV12" i="3"/>
  <c r="AW12" i="3"/>
  <c r="AX12" i="3"/>
  <c r="AY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S13" i="3"/>
  <c r="AT13" i="3"/>
  <c r="AU13" i="3"/>
  <c r="AV13" i="3"/>
  <c r="AW13" i="3"/>
  <c r="AX13" i="3"/>
  <c r="AY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S16" i="3"/>
  <c r="AT16" i="3"/>
  <c r="AU16" i="3"/>
  <c r="AV16" i="3"/>
  <c r="AW16" i="3"/>
  <c r="AX16" i="3"/>
  <c r="AY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S17" i="3"/>
  <c r="AT17" i="3"/>
  <c r="AU17" i="3"/>
  <c r="AV17" i="3"/>
  <c r="AW17" i="3"/>
  <c r="AX17" i="3"/>
  <c r="AY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S18" i="3"/>
  <c r="AT18" i="3"/>
  <c r="AU18" i="3"/>
  <c r="AV18" i="3"/>
  <c r="AW18" i="3"/>
  <c r="AX18" i="3"/>
  <c r="AY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S19" i="3"/>
  <c r="AT19" i="3"/>
  <c r="AU19" i="3"/>
  <c r="AV19" i="3"/>
  <c r="AW19" i="3"/>
  <c r="AX19" i="3"/>
  <c r="AY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S20" i="3"/>
  <c r="AT20" i="3"/>
  <c r="AU20" i="3"/>
  <c r="AV20" i="3"/>
  <c r="AW20" i="3"/>
  <c r="AX20" i="3"/>
  <c r="AY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S21" i="3"/>
  <c r="AT21" i="3"/>
  <c r="AU21" i="3"/>
  <c r="AV21" i="3"/>
  <c r="AW21" i="3"/>
  <c r="AX21" i="3"/>
  <c r="AY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S22" i="3"/>
  <c r="AT22" i="3"/>
  <c r="AU22" i="3"/>
  <c r="AV22" i="3"/>
  <c r="AW22" i="3"/>
  <c r="AX22" i="3"/>
  <c r="AY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S23" i="3"/>
  <c r="AT23" i="3"/>
  <c r="AU23" i="3"/>
  <c r="AV23" i="3"/>
  <c r="AW23" i="3"/>
  <c r="AX23" i="3"/>
  <c r="AY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S24" i="3"/>
  <c r="AT24" i="3"/>
  <c r="AU24" i="3"/>
  <c r="AV24" i="3"/>
  <c r="AW24" i="3"/>
  <c r="AX24" i="3"/>
  <c r="AY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S25" i="3"/>
  <c r="AT25" i="3"/>
  <c r="AU25" i="3"/>
  <c r="AV25" i="3"/>
  <c r="AW25" i="3"/>
  <c r="AX25" i="3"/>
  <c r="AY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S28" i="3"/>
  <c r="AT28" i="3"/>
  <c r="AU28" i="3"/>
  <c r="AV28" i="3"/>
  <c r="AW28" i="3"/>
  <c r="AX28" i="3"/>
  <c r="AY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S29" i="3"/>
  <c r="AT29" i="3"/>
  <c r="AU29" i="3"/>
  <c r="AV29" i="3"/>
  <c r="AW29" i="3"/>
  <c r="AX29" i="3"/>
  <c r="AY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S30" i="3"/>
  <c r="AT30" i="3"/>
  <c r="AU30" i="3"/>
  <c r="AV30" i="3"/>
  <c r="AW30" i="3"/>
  <c r="AX30" i="3"/>
  <c r="AY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S31" i="3"/>
  <c r="AT31" i="3"/>
  <c r="AU31" i="3"/>
  <c r="AV31" i="3"/>
  <c r="AW31" i="3"/>
  <c r="AX31" i="3"/>
  <c r="AY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S32" i="3"/>
  <c r="AT32" i="3"/>
  <c r="AU32" i="3"/>
  <c r="AV32" i="3"/>
  <c r="AW32" i="3"/>
  <c r="AX32" i="3"/>
  <c r="AY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S33" i="3"/>
  <c r="AT33" i="3"/>
  <c r="AU33" i="3"/>
  <c r="AV33" i="3"/>
  <c r="AW33" i="3"/>
  <c r="AX33" i="3"/>
  <c r="AY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S34" i="3"/>
  <c r="AT34" i="3"/>
  <c r="AU34" i="3"/>
  <c r="AV34" i="3"/>
  <c r="AW34" i="3"/>
  <c r="AX34" i="3"/>
  <c r="AY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S35" i="3"/>
  <c r="AT35" i="3"/>
  <c r="AU35" i="3"/>
  <c r="AV35" i="3"/>
  <c r="AW35" i="3"/>
  <c r="AX35" i="3"/>
  <c r="AY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S36" i="3"/>
  <c r="AT36" i="3"/>
  <c r="AU36" i="3"/>
  <c r="AV36" i="3"/>
  <c r="AW36" i="3"/>
  <c r="AX36" i="3"/>
  <c r="AY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S37" i="3"/>
  <c r="AT37" i="3"/>
  <c r="AU37" i="3"/>
  <c r="AV37" i="3"/>
  <c r="AW37" i="3"/>
  <c r="AX37" i="3"/>
  <c r="AY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S40" i="3"/>
  <c r="AT40" i="3"/>
  <c r="AU40" i="3"/>
  <c r="AV40" i="3"/>
  <c r="AW40" i="3"/>
  <c r="AX40" i="3"/>
  <c r="AY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S41" i="3"/>
  <c r="AT41" i="3"/>
  <c r="AU41" i="3"/>
  <c r="AV41" i="3"/>
  <c r="AW41" i="3"/>
  <c r="AX41" i="3"/>
  <c r="AY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S42" i="3"/>
  <c r="AT42" i="3"/>
  <c r="AU42" i="3"/>
  <c r="AV42" i="3"/>
  <c r="AW42" i="3"/>
  <c r="AX42" i="3"/>
  <c r="AY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S43" i="3"/>
  <c r="AT43" i="3"/>
  <c r="AU43" i="3"/>
  <c r="AV43" i="3"/>
  <c r="AW43" i="3"/>
  <c r="AX43" i="3"/>
  <c r="AY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S44" i="3"/>
  <c r="AT44" i="3"/>
  <c r="AU44" i="3"/>
  <c r="AV44" i="3"/>
  <c r="AW44" i="3"/>
  <c r="AX44" i="3"/>
  <c r="AY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S45" i="3"/>
  <c r="AT45" i="3"/>
  <c r="AU45" i="3"/>
  <c r="AV45" i="3"/>
  <c r="AW45" i="3"/>
  <c r="AX45" i="3"/>
  <c r="AY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S46" i="3"/>
  <c r="AT46" i="3"/>
  <c r="AU46" i="3"/>
  <c r="AV46" i="3"/>
  <c r="AW46" i="3"/>
  <c r="AX46" i="3"/>
  <c r="AY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S47" i="3"/>
  <c r="AT47" i="3"/>
  <c r="AU47" i="3"/>
  <c r="AV47" i="3"/>
  <c r="AW47" i="3"/>
  <c r="AX47" i="3"/>
  <c r="AY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S48" i="3"/>
  <c r="AT48" i="3"/>
  <c r="AU48" i="3"/>
  <c r="AV48" i="3"/>
  <c r="AW48" i="3"/>
  <c r="AX48" i="3"/>
  <c r="AY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S49" i="3"/>
  <c r="AT49" i="3"/>
  <c r="AU49" i="3"/>
  <c r="AV49" i="3"/>
  <c r="AW49" i="3"/>
  <c r="AX49" i="3"/>
  <c r="AY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BQ51" i="3"/>
  <c r="BR51" i="3"/>
  <c r="BS51" i="3"/>
  <c r="BT51" i="3"/>
  <c r="BU51" i="3"/>
  <c r="BV51" i="3"/>
  <c r="BW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S52" i="3"/>
  <c r="AT52" i="3"/>
  <c r="AU52" i="3"/>
  <c r="AV52" i="3"/>
  <c r="AW52" i="3"/>
  <c r="AX52" i="3"/>
  <c r="AY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S53" i="3"/>
  <c r="AT53" i="3"/>
  <c r="AU53" i="3"/>
  <c r="AV53" i="3"/>
  <c r="AW53" i="3"/>
  <c r="AX53" i="3"/>
  <c r="AY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BQ53" i="3"/>
  <c r="BR53" i="3"/>
  <c r="BS53" i="3"/>
  <c r="BT53" i="3"/>
  <c r="BU53" i="3"/>
  <c r="BV53" i="3"/>
  <c r="BW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S54" i="3"/>
  <c r="AT54" i="3"/>
  <c r="AU54" i="3"/>
  <c r="AV54" i="3"/>
  <c r="AW54" i="3"/>
  <c r="AX54" i="3"/>
  <c r="AY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BQ54" i="3"/>
  <c r="BR54" i="3"/>
  <c r="BS54" i="3"/>
  <c r="BT54" i="3"/>
  <c r="BU54" i="3"/>
  <c r="BV54" i="3"/>
  <c r="BW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S55" i="3"/>
  <c r="AT55" i="3"/>
  <c r="AU55" i="3"/>
  <c r="AV55" i="3"/>
  <c r="AW55" i="3"/>
  <c r="AX55" i="3"/>
  <c r="AY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BQ55" i="3"/>
  <c r="BR55" i="3"/>
  <c r="BS55" i="3"/>
  <c r="BT55" i="3"/>
  <c r="BU55" i="3"/>
  <c r="BV55" i="3"/>
  <c r="BW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S56" i="3"/>
  <c r="AT56" i="3"/>
  <c r="AU56" i="3"/>
  <c r="AV56" i="3"/>
  <c r="AW56" i="3"/>
  <c r="AX56" i="3"/>
  <c r="AY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BQ56" i="3"/>
  <c r="BR56" i="3"/>
  <c r="BS56" i="3"/>
  <c r="BT56" i="3"/>
  <c r="BU56" i="3"/>
  <c r="BV56" i="3"/>
  <c r="BW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S57" i="3"/>
  <c r="AT57" i="3"/>
  <c r="AU57" i="3"/>
  <c r="AV57" i="3"/>
  <c r="AW57" i="3"/>
  <c r="AX57" i="3"/>
  <c r="AY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BQ57" i="3"/>
  <c r="BR57" i="3"/>
  <c r="BS57" i="3"/>
  <c r="BT57" i="3"/>
  <c r="BU57" i="3"/>
  <c r="BV57" i="3"/>
  <c r="BW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S58" i="3"/>
  <c r="AT58" i="3"/>
  <c r="AU58" i="3"/>
  <c r="AV58" i="3"/>
  <c r="AW58" i="3"/>
  <c r="AX58" i="3"/>
  <c r="AY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BQ58" i="3"/>
  <c r="BR58" i="3"/>
  <c r="BS58" i="3"/>
  <c r="BT58" i="3"/>
  <c r="BU58" i="3"/>
  <c r="BV58" i="3"/>
  <c r="BW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S59" i="3"/>
  <c r="AT59" i="3"/>
  <c r="AU59" i="3"/>
  <c r="AV59" i="3"/>
  <c r="AW59" i="3"/>
  <c r="AX59" i="3"/>
  <c r="AY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BQ59" i="3"/>
  <c r="BR59" i="3"/>
  <c r="BS59" i="3"/>
  <c r="BT59" i="3"/>
  <c r="BU59" i="3"/>
  <c r="BV59" i="3"/>
  <c r="BW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S60" i="3"/>
  <c r="AT60" i="3"/>
  <c r="AU60" i="3"/>
  <c r="AV60" i="3"/>
  <c r="AW60" i="3"/>
  <c r="AX60" i="3"/>
  <c r="AY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BQ60" i="3"/>
  <c r="BR60" i="3"/>
  <c r="BS60" i="3"/>
  <c r="BT60" i="3"/>
  <c r="BU60" i="3"/>
  <c r="BV60" i="3"/>
  <c r="BW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S61" i="3"/>
  <c r="AT61" i="3"/>
  <c r="AU61" i="3"/>
  <c r="AV61" i="3"/>
  <c r="AW61" i="3"/>
  <c r="AX61" i="3"/>
  <c r="AY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BQ61" i="3"/>
  <c r="BR61" i="3"/>
  <c r="BS61" i="3"/>
  <c r="BT61" i="3"/>
  <c r="BU61" i="3"/>
  <c r="BV61" i="3"/>
  <c r="BW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BQ62" i="3"/>
  <c r="BR62" i="3"/>
  <c r="BS62" i="3"/>
  <c r="BT62" i="3"/>
  <c r="BU62" i="3"/>
  <c r="BV62" i="3"/>
  <c r="BW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BQ63" i="3"/>
  <c r="BR63" i="3"/>
  <c r="BS63" i="3"/>
  <c r="BT63" i="3"/>
  <c r="BU63" i="3"/>
  <c r="BV63" i="3"/>
  <c r="BW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S64" i="3"/>
  <c r="AT64" i="3"/>
  <c r="AU64" i="3"/>
  <c r="AV64" i="3"/>
  <c r="AW64" i="3"/>
  <c r="AX64" i="3"/>
  <c r="AY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BQ64" i="3"/>
  <c r="BR64" i="3"/>
  <c r="BS64" i="3"/>
  <c r="BT64" i="3"/>
  <c r="BU64" i="3"/>
  <c r="BV64" i="3"/>
  <c r="BW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S65" i="3"/>
  <c r="AT65" i="3"/>
  <c r="AU65" i="3"/>
  <c r="AV65" i="3"/>
  <c r="AW65" i="3"/>
  <c r="AX65" i="3"/>
  <c r="AY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BQ65" i="3"/>
  <c r="BR65" i="3"/>
  <c r="BS65" i="3"/>
  <c r="BT65" i="3"/>
  <c r="BU65" i="3"/>
  <c r="BV65" i="3"/>
  <c r="BW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S66" i="3"/>
  <c r="AT66" i="3"/>
  <c r="AU66" i="3"/>
  <c r="AV66" i="3"/>
  <c r="AW66" i="3"/>
  <c r="AX66" i="3"/>
  <c r="AY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BQ66" i="3"/>
  <c r="BR66" i="3"/>
  <c r="BS66" i="3"/>
  <c r="BT66" i="3"/>
  <c r="BU66" i="3"/>
  <c r="BV66" i="3"/>
  <c r="BW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S67" i="3"/>
  <c r="AT67" i="3"/>
  <c r="AU67" i="3"/>
  <c r="AV67" i="3"/>
  <c r="AW67" i="3"/>
  <c r="AX67" i="3"/>
  <c r="AY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BQ67" i="3"/>
  <c r="BR67" i="3"/>
  <c r="BS67" i="3"/>
  <c r="BT67" i="3"/>
  <c r="BU67" i="3"/>
  <c r="BV67" i="3"/>
  <c r="BW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S68" i="3"/>
  <c r="AT68" i="3"/>
  <c r="AU68" i="3"/>
  <c r="AV68" i="3"/>
  <c r="AW68" i="3"/>
  <c r="AX68" i="3"/>
  <c r="AY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BQ68" i="3"/>
  <c r="BR68" i="3"/>
  <c r="BS68" i="3"/>
  <c r="BT68" i="3"/>
  <c r="BU68" i="3"/>
  <c r="BV68" i="3"/>
  <c r="BW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S69" i="3"/>
  <c r="AT69" i="3"/>
  <c r="AU69" i="3"/>
  <c r="AV69" i="3"/>
  <c r="AW69" i="3"/>
  <c r="AX69" i="3"/>
  <c r="AY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BQ69" i="3"/>
  <c r="BR69" i="3"/>
  <c r="BS69" i="3"/>
  <c r="BT69" i="3"/>
  <c r="BU69" i="3"/>
  <c r="BV69" i="3"/>
  <c r="BW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S70" i="3"/>
  <c r="AT70" i="3"/>
  <c r="AU70" i="3"/>
  <c r="AV70" i="3"/>
  <c r="AW70" i="3"/>
  <c r="AX70" i="3"/>
  <c r="AY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BQ70" i="3"/>
  <c r="BR70" i="3"/>
  <c r="BS70" i="3"/>
  <c r="BT70" i="3"/>
  <c r="BU70" i="3"/>
  <c r="BV70" i="3"/>
  <c r="BW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S71" i="3"/>
  <c r="AT71" i="3"/>
  <c r="AU71" i="3"/>
  <c r="AV71" i="3"/>
  <c r="AW71" i="3"/>
  <c r="AX71" i="3"/>
  <c r="AY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BQ71" i="3"/>
  <c r="BR71" i="3"/>
  <c r="BS71" i="3"/>
  <c r="BT71" i="3"/>
  <c r="BU71" i="3"/>
  <c r="BV71" i="3"/>
  <c r="BW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S72" i="3"/>
  <c r="AT72" i="3"/>
  <c r="AU72" i="3"/>
  <c r="AV72" i="3"/>
  <c r="AW72" i="3"/>
  <c r="AX72" i="3"/>
  <c r="AY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BQ72" i="3"/>
  <c r="BR72" i="3"/>
  <c r="BS72" i="3"/>
  <c r="BT72" i="3"/>
  <c r="BU72" i="3"/>
  <c r="BV72" i="3"/>
  <c r="BW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S73" i="3"/>
  <c r="AT73" i="3"/>
  <c r="AU73" i="3"/>
  <c r="AV73" i="3"/>
  <c r="AW73" i="3"/>
  <c r="AX73" i="3"/>
  <c r="AY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BQ73" i="3"/>
  <c r="BR73" i="3"/>
  <c r="BS73" i="3"/>
  <c r="BT73" i="3"/>
  <c r="BU73" i="3"/>
  <c r="BV73" i="3"/>
  <c r="BW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BQ74" i="3"/>
  <c r="BR74" i="3"/>
  <c r="BS74" i="3"/>
  <c r="BT74" i="3"/>
  <c r="BU74" i="3"/>
  <c r="BV74" i="3"/>
  <c r="BW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BQ75" i="3"/>
  <c r="BR75" i="3"/>
  <c r="BS75" i="3"/>
  <c r="BT75" i="3"/>
  <c r="BU75" i="3"/>
  <c r="BV75" i="3"/>
  <c r="BW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S76" i="3"/>
  <c r="AT76" i="3"/>
  <c r="AU76" i="3"/>
  <c r="AV76" i="3"/>
  <c r="AW76" i="3"/>
  <c r="AX76" i="3"/>
  <c r="AY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BQ76" i="3"/>
  <c r="BR76" i="3"/>
  <c r="BS76" i="3"/>
  <c r="BT76" i="3"/>
  <c r="BU76" i="3"/>
  <c r="BV76" i="3"/>
  <c r="BW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S77" i="3"/>
  <c r="AT77" i="3"/>
  <c r="AU77" i="3"/>
  <c r="AV77" i="3"/>
  <c r="AW77" i="3"/>
  <c r="AX77" i="3"/>
  <c r="AY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BQ77" i="3"/>
  <c r="BR77" i="3"/>
  <c r="BS77" i="3"/>
  <c r="BT77" i="3"/>
  <c r="BU77" i="3"/>
  <c r="BV77" i="3"/>
  <c r="BW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S78" i="3"/>
  <c r="AT78" i="3"/>
  <c r="AU78" i="3"/>
  <c r="AV78" i="3"/>
  <c r="AW78" i="3"/>
  <c r="AX78" i="3"/>
  <c r="AY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BQ78" i="3"/>
  <c r="BR78" i="3"/>
  <c r="BS78" i="3"/>
  <c r="BT78" i="3"/>
  <c r="BU78" i="3"/>
  <c r="BV78" i="3"/>
  <c r="BW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S79" i="3"/>
  <c r="AT79" i="3"/>
  <c r="AU79" i="3"/>
  <c r="AV79" i="3"/>
  <c r="AW79" i="3"/>
  <c r="AX79" i="3"/>
  <c r="AY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BQ79" i="3"/>
  <c r="BR79" i="3"/>
  <c r="BS79" i="3"/>
  <c r="BT79" i="3"/>
  <c r="BU79" i="3"/>
  <c r="BV79" i="3"/>
  <c r="BW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S80" i="3"/>
  <c r="AT80" i="3"/>
  <c r="AU80" i="3"/>
  <c r="AV80" i="3"/>
  <c r="AW80" i="3"/>
  <c r="AX80" i="3"/>
  <c r="AY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BQ80" i="3"/>
  <c r="BR80" i="3"/>
  <c r="BS80" i="3"/>
  <c r="BT80" i="3"/>
  <c r="BU80" i="3"/>
  <c r="BV80" i="3"/>
  <c r="BW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S81" i="3"/>
  <c r="AT81" i="3"/>
  <c r="AU81" i="3"/>
  <c r="AV81" i="3"/>
  <c r="AW81" i="3"/>
  <c r="AX81" i="3"/>
  <c r="AY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BQ81" i="3"/>
  <c r="BR81" i="3"/>
  <c r="BS81" i="3"/>
  <c r="BT81" i="3"/>
  <c r="BU81" i="3"/>
  <c r="BV81" i="3"/>
  <c r="BW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S82" i="3"/>
  <c r="AT82" i="3"/>
  <c r="AU82" i="3"/>
  <c r="AV82" i="3"/>
  <c r="AW82" i="3"/>
  <c r="AX82" i="3"/>
  <c r="AY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BQ82" i="3"/>
  <c r="BR82" i="3"/>
  <c r="BS82" i="3"/>
  <c r="BT82" i="3"/>
  <c r="BU82" i="3"/>
  <c r="BV82" i="3"/>
  <c r="BW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S83" i="3"/>
  <c r="AT83" i="3"/>
  <c r="AU83" i="3"/>
  <c r="AV83" i="3"/>
  <c r="AW83" i="3"/>
  <c r="AX83" i="3"/>
  <c r="AY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BQ83" i="3"/>
  <c r="BR83" i="3"/>
  <c r="BS83" i="3"/>
  <c r="BT83" i="3"/>
  <c r="BU83" i="3"/>
  <c r="BV83" i="3"/>
  <c r="BW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S84" i="3"/>
  <c r="AT84" i="3"/>
  <c r="AU84" i="3"/>
  <c r="AV84" i="3"/>
  <c r="AW84" i="3"/>
  <c r="AX84" i="3"/>
  <c r="AY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BQ84" i="3"/>
  <c r="BR84" i="3"/>
  <c r="BS84" i="3"/>
  <c r="BT84" i="3"/>
  <c r="BU84" i="3"/>
  <c r="BV84" i="3"/>
  <c r="BW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S85" i="3"/>
  <c r="AT85" i="3"/>
  <c r="AU85" i="3"/>
  <c r="AV85" i="3"/>
  <c r="AW85" i="3"/>
  <c r="AX85" i="3"/>
  <c r="AY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BQ85" i="3"/>
  <c r="BR85" i="3"/>
  <c r="BS85" i="3"/>
  <c r="BT85" i="3"/>
  <c r="BU85" i="3"/>
  <c r="BV85" i="3"/>
  <c r="BW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BQ86" i="3"/>
  <c r="BR86" i="3"/>
  <c r="BS86" i="3"/>
  <c r="BT86" i="3"/>
  <c r="BU86" i="3"/>
  <c r="BV86" i="3"/>
  <c r="BW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BQ87" i="3"/>
  <c r="BR87" i="3"/>
  <c r="BS87" i="3"/>
  <c r="BT87" i="3"/>
  <c r="BU87" i="3"/>
  <c r="BV87" i="3"/>
  <c r="BW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S88" i="3"/>
  <c r="AT88" i="3"/>
  <c r="AU88" i="3"/>
  <c r="AV88" i="3"/>
  <c r="AW88" i="3"/>
  <c r="AX88" i="3"/>
  <c r="AY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BQ88" i="3"/>
  <c r="BR88" i="3"/>
  <c r="BS88" i="3"/>
  <c r="BT88" i="3"/>
  <c r="BU88" i="3"/>
  <c r="BV88" i="3"/>
  <c r="BW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S89" i="3"/>
  <c r="AT89" i="3"/>
  <c r="AU89" i="3"/>
  <c r="AV89" i="3"/>
  <c r="AW89" i="3"/>
  <c r="AX89" i="3"/>
  <c r="AY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BQ89" i="3"/>
  <c r="BR89" i="3"/>
  <c r="BS89" i="3"/>
  <c r="BT89" i="3"/>
  <c r="BU89" i="3"/>
  <c r="BV89" i="3"/>
  <c r="BW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S90" i="3"/>
  <c r="AT90" i="3"/>
  <c r="AU90" i="3"/>
  <c r="AV90" i="3"/>
  <c r="AW90" i="3"/>
  <c r="AX90" i="3"/>
  <c r="AY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BQ90" i="3"/>
  <c r="BR90" i="3"/>
  <c r="BS90" i="3"/>
  <c r="BT90" i="3"/>
  <c r="BU90" i="3"/>
  <c r="BV90" i="3"/>
  <c r="BW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S91" i="3"/>
  <c r="AT91" i="3"/>
  <c r="AU91" i="3"/>
  <c r="AV91" i="3"/>
  <c r="AW91" i="3"/>
  <c r="AX91" i="3"/>
  <c r="AY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BQ91" i="3"/>
  <c r="BR91" i="3"/>
  <c r="BS91" i="3"/>
  <c r="BT91" i="3"/>
  <c r="BU91" i="3"/>
  <c r="BV91" i="3"/>
  <c r="BW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S92" i="3"/>
  <c r="AT92" i="3"/>
  <c r="AU92" i="3"/>
  <c r="AV92" i="3"/>
  <c r="AW92" i="3"/>
  <c r="AX92" i="3"/>
  <c r="AY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BQ92" i="3"/>
  <c r="BR92" i="3"/>
  <c r="BS92" i="3"/>
  <c r="BT92" i="3"/>
  <c r="BU92" i="3"/>
  <c r="BV92" i="3"/>
  <c r="BW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S93" i="3"/>
  <c r="AT93" i="3"/>
  <c r="AU93" i="3"/>
  <c r="AV93" i="3"/>
  <c r="AW93" i="3"/>
  <c r="AX93" i="3"/>
  <c r="AY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BQ93" i="3"/>
  <c r="BR93" i="3"/>
  <c r="BS93" i="3"/>
  <c r="BT93" i="3"/>
  <c r="BU93" i="3"/>
  <c r="BV93" i="3"/>
  <c r="BW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S94" i="3"/>
  <c r="AT94" i="3"/>
  <c r="AU94" i="3"/>
  <c r="AV94" i="3"/>
  <c r="AW94" i="3"/>
  <c r="AX94" i="3"/>
  <c r="AY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BQ94" i="3"/>
  <c r="BR94" i="3"/>
  <c r="BS94" i="3"/>
  <c r="BT94" i="3"/>
  <c r="BU94" i="3"/>
  <c r="BV94" i="3"/>
  <c r="BW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S95" i="3"/>
  <c r="AT95" i="3"/>
  <c r="AU95" i="3"/>
  <c r="AV95" i="3"/>
  <c r="AW95" i="3"/>
  <c r="AX95" i="3"/>
  <c r="AY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BQ95" i="3"/>
  <c r="BR95" i="3"/>
  <c r="BS95" i="3"/>
  <c r="BT95" i="3"/>
  <c r="BU95" i="3"/>
  <c r="BV95" i="3"/>
  <c r="BW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S96" i="3"/>
  <c r="AT96" i="3"/>
  <c r="AU96" i="3"/>
  <c r="AV96" i="3"/>
  <c r="AW96" i="3"/>
  <c r="AX96" i="3"/>
  <c r="AY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BQ96" i="3"/>
  <c r="BR96" i="3"/>
  <c r="BS96" i="3"/>
  <c r="BT96" i="3"/>
  <c r="BU96" i="3"/>
  <c r="BV96" i="3"/>
  <c r="BW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S97" i="3"/>
  <c r="AT97" i="3"/>
  <c r="AU97" i="3"/>
  <c r="AV97" i="3"/>
  <c r="AW97" i="3"/>
  <c r="AX97" i="3"/>
  <c r="AY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BQ97" i="3"/>
  <c r="BR97" i="3"/>
  <c r="BS97" i="3"/>
  <c r="BT97" i="3"/>
  <c r="BU97" i="3"/>
  <c r="BV97" i="3"/>
  <c r="BW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BQ98" i="3"/>
  <c r="BR98" i="3"/>
  <c r="BS98" i="3"/>
  <c r="BT98" i="3"/>
  <c r="BU98" i="3"/>
  <c r="BV98" i="3"/>
  <c r="BW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BQ99" i="3"/>
  <c r="BR99" i="3"/>
  <c r="BS99" i="3"/>
  <c r="BT99" i="3"/>
  <c r="BU99" i="3"/>
  <c r="BV99" i="3"/>
  <c r="BW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S100" i="3"/>
  <c r="AT100" i="3"/>
  <c r="AU100" i="3"/>
  <c r="AV100" i="3"/>
  <c r="AW100" i="3"/>
  <c r="AX100" i="3"/>
  <c r="AY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BQ100" i="3"/>
  <c r="BR100" i="3"/>
  <c r="BS100" i="3"/>
  <c r="BT100" i="3"/>
  <c r="BU100" i="3"/>
  <c r="BV100" i="3"/>
  <c r="BW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S101" i="3"/>
  <c r="AT101" i="3"/>
  <c r="AU101" i="3"/>
  <c r="AV101" i="3"/>
  <c r="AW101" i="3"/>
  <c r="AX101" i="3"/>
  <c r="AY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BQ101" i="3"/>
  <c r="BR101" i="3"/>
  <c r="BS101" i="3"/>
  <c r="BT101" i="3"/>
  <c r="BU101" i="3"/>
  <c r="BV101" i="3"/>
  <c r="BW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S102" i="3"/>
  <c r="AT102" i="3"/>
  <c r="AU102" i="3"/>
  <c r="AV102" i="3"/>
  <c r="AW102" i="3"/>
  <c r="AX102" i="3"/>
  <c r="AY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BQ102" i="3"/>
  <c r="BR102" i="3"/>
  <c r="BS102" i="3"/>
  <c r="BT102" i="3"/>
  <c r="BU102" i="3"/>
  <c r="BV102" i="3"/>
  <c r="BW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S103" i="3"/>
  <c r="AT103" i="3"/>
  <c r="AU103" i="3"/>
  <c r="AV103" i="3"/>
  <c r="AW103" i="3"/>
  <c r="AX103" i="3"/>
  <c r="AY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BQ103" i="3"/>
  <c r="BR103" i="3"/>
  <c r="BS103" i="3"/>
  <c r="BT103" i="3"/>
  <c r="BU103" i="3"/>
  <c r="BV103" i="3"/>
  <c r="BW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S104" i="3"/>
  <c r="AT104" i="3"/>
  <c r="AU104" i="3"/>
  <c r="AV104" i="3"/>
  <c r="AW104" i="3"/>
  <c r="AX104" i="3"/>
  <c r="AY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BQ104" i="3"/>
  <c r="BR104" i="3"/>
  <c r="BS104" i="3"/>
  <c r="BT104" i="3"/>
  <c r="BU104" i="3"/>
  <c r="BV104" i="3"/>
  <c r="BW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S105" i="3"/>
  <c r="AT105" i="3"/>
  <c r="AU105" i="3"/>
  <c r="AV105" i="3"/>
  <c r="AW105" i="3"/>
  <c r="AX105" i="3"/>
  <c r="AY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BQ105" i="3"/>
  <c r="BR105" i="3"/>
  <c r="BS105" i="3"/>
  <c r="BT105" i="3"/>
  <c r="BU105" i="3"/>
  <c r="BV105" i="3"/>
  <c r="BW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S106" i="3"/>
  <c r="AT106" i="3"/>
  <c r="AU106" i="3"/>
  <c r="AV106" i="3"/>
  <c r="AW106" i="3"/>
  <c r="AX106" i="3"/>
  <c r="AY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BQ106" i="3"/>
  <c r="BR106" i="3"/>
  <c r="BS106" i="3"/>
  <c r="BT106" i="3"/>
  <c r="BU106" i="3"/>
  <c r="BV106" i="3"/>
  <c r="BW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S107" i="3"/>
  <c r="AT107" i="3"/>
  <c r="AU107" i="3"/>
  <c r="AV107" i="3"/>
  <c r="AW107" i="3"/>
  <c r="AX107" i="3"/>
  <c r="AY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BQ107" i="3"/>
  <c r="BR107" i="3"/>
  <c r="BS107" i="3"/>
  <c r="BT107" i="3"/>
  <c r="BU107" i="3"/>
  <c r="BV107" i="3"/>
  <c r="BW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S108" i="3"/>
  <c r="AT108" i="3"/>
  <c r="AU108" i="3"/>
  <c r="AV108" i="3"/>
  <c r="AW108" i="3"/>
  <c r="AX108" i="3"/>
  <c r="AY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BQ108" i="3"/>
  <c r="BR108" i="3"/>
  <c r="BS108" i="3"/>
  <c r="BT108" i="3"/>
  <c r="BU108" i="3"/>
  <c r="BV108" i="3"/>
  <c r="BW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S109" i="3"/>
  <c r="AT109" i="3"/>
  <c r="AU109" i="3"/>
  <c r="AV109" i="3"/>
  <c r="AW109" i="3"/>
  <c r="AX109" i="3"/>
  <c r="AY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BQ109" i="3"/>
  <c r="BR109" i="3"/>
  <c r="BS109" i="3"/>
  <c r="BT109" i="3"/>
  <c r="BU109" i="3"/>
  <c r="BV109" i="3"/>
  <c r="BW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BQ110" i="3"/>
  <c r="BR110" i="3"/>
  <c r="BS110" i="3"/>
  <c r="BT110" i="3"/>
  <c r="BU110" i="3"/>
  <c r="BV110" i="3"/>
  <c r="BW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BQ111" i="3"/>
  <c r="BR111" i="3"/>
  <c r="BS111" i="3"/>
  <c r="BT111" i="3"/>
  <c r="BU111" i="3"/>
  <c r="BV111" i="3"/>
  <c r="BW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S112" i="3"/>
  <c r="AT112" i="3"/>
  <c r="AU112" i="3"/>
  <c r="AV112" i="3"/>
  <c r="AW112" i="3"/>
  <c r="AX112" i="3"/>
  <c r="AY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BQ112" i="3"/>
  <c r="BR112" i="3"/>
  <c r="BS112" i="3"/>
  <c r="BT112" i="3"/>
  <c r="BU112" i="3"/>
  <c r="BV112" i="3"/>
  <c r="BW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S113" i="3"/>
  <c r="AT113" i="3"/>
  <c r="AU113" i="3"/>
  <c r="AV113" i="3"/>
  <c r="AW113" i="3"/>
  <c r="AX113" i="3"/>
  <c r="AY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BQ113" i="3"/>
  <c r="BR113" i="3"/>
  <c r="BS113" i="3"/>
  <c r="BT113" i="3"/>
  <c r="BU113" i="3"/>
  <c r="BV113" i="3"/>
  <c r="BW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S114" i="3"/>
  <c r="AT114" i="3"/>
  <c r="AU114" i="3"/>
  <c r="AV114" i="3"/>
  <c r="AW114" i="3"/>
  <c r="AX114" i="3"/>
  <c r="AY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BQ114" i="3"/>
  <c r="BR114" i="3"/>
  <c r="BS114" i="3"/>
  <c r="BT114" i="3"/>
  <c r="BU114" i="3"/>
  <c r="BV114" i="3"/>
  <c r="BW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S115" i="3"/>
  <c r="AT115" i="3"/>
  <c r="AU115" i="3"/>
  <c r="AV115" i="3"/>
  <c r="AW115" i="3"/>
  <c r="AX115" i="3"/>
  <c r="AY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BQ115" i="3"/>
  <c r="BR115" i="3"/>
  <c r="BS115" i="3"/>
  <c r="BT115" i="3"/>
  <c r="BU115" i="3"/>
  <c r="BV115" i="3"/>
  <c r="BW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S116" i="3"/>
  <c r="AT116" i="3"/>
  <c r="AU116" i="3"/>
  <c r="AV116" i="3"/>
  <c r="AW116" i="3"/>
  <c r="AX116" i="3"/>
  <c r="AY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BQ116" i="3"/>
  <c r="BR116" i="3"/>
  <c r="BS116" i="3"/>
  <c r="BT116" i="3"/>
  <c r="BU116" i="3"/>
  <c r="BV116" i="3"/>
  <c r="BW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S117" i="3"/>
  <c r="AT117" i="3"/>
  <c r="AU117" i="3"/>
  <c r="AV117" i="3"/>
  <c r="AW117" i="3"/>
  <c r="AX117" i="3"/>
  <c r="AY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BQ117" i="3"/>
  <c r="BR117" i="3"/>
  <c r="BS117" i="3"/>
  <c r="BT117" i="3"/>
  <c r="BU117" i="3"/>
  <c r="BV117" i="3"/>
  <c r="BW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S118" i="3"/>
  <c r="AT118" i="3"/>
  <c r="AU118" i="3"/>
  <c r="AV118" i="3"/>
  <c r="AW118" i="3"/>
  <c r="AX118" i="3"/>
  <c r="AY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BQ118" i="3"/>
  <c r="BR118" i="3"/>
  <c r="BS118" i="3"/>
  <c r="BT118" i="3"/>
  <c r="BU118" i="3"/>
  <c r="BV118" i="3"/>
  <c r="BW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S119" i="3"/>
  <c r="AT119" i="3"/>
  <c r="AU119" i="3"/>
  <c r="AV119" i="3"/>
  <c r="AW119" i="3"/>
  <c r="AX119" i="3"/>
  <c r="AY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BQ119" i="3"/>
  <c r="BR119" i="3"/>
  <c r="BS119" i="3"/>
  <c r="BT119" i="3"/>
  <c r="BU119" i="3"/>
  <c r="BV119" i="3"/>
  <c r="BW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S120" i="3"/>
  <c r="AT120" i="3"/>
  <c r="AU120" i="3"/>
  <c r="AV120" i="3"/>
  <c r="AW120" i="3"/>
  <c r="AX120" i="3"/>
  <c r="AY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BQ120" i="3"/>
  <c r="BR120" i="3"/>
  <c r="BS120" i="3"/>
  <c r="BT120" i="3"/>
  <c r="BU120" i="3"/>
  <c r="BV120" i="3"/>
  <c r="BW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S121" i="3"/>
  <c r="AT121" i="3"/>
  <c r="AU121" i="3"/>
  <c r="AV121" i="3"/>
  <c r="AW121" i="3"/>
  <c r="AX121" i="3"/>
  <c r="AY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BQ121" i="3"/>
  <c r="BR121" i="3"/>
  <c r="BS121" i="3"/>
  <c r="BT121" i="3"/>
  <c r="BU121" i="3"/>
  <c r="BV121" i="3"/>
  <c r="BW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BQ122" i="3"/>
  <c r="BR122" i="3"/>
  <c r="BS122" i="3"/>
  <c r="BT122" i="3"/>
  <c r="BU122" i="3"/>
  <c r="BV122" i="3"/>
  <c r="BW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BQ123" i="3"/>
  <c r="BR123" i="3"/>
  <c r="BS123" i="3"/>
  <c r="BT123" i="3"/>
  <c r="BU123" i="3"/>
  <c r="BV123" i="3"/>
  <c r="BW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S124" i="3"/>
  <c r="AT124" i="3"/>
  <c r="AU124" i="3"/>
  <c r="AV124" i="3"/>
  <c r="AW124" i="3"/>
  <c r="AX124" i="3"/>
  <c r="AY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BQ124" i="3"/>
  <c r="BR124" i="3"/>
  <c r="BS124" i="3"/>
  <c r="BT124" i="3"/>
  <c r="BU124" i="3"/>
  <c r="BV124" i="3"/>
  <c r="BW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S125" i="3"/>
  <c r="AT125" i="3"/>
  <c r="AU125" i="3"/>
  <c r="AV125" i="3"/>
  <c r="AW125" i="3"/>
  <c r="AX125" i="3"/>
  <c r="AY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BQ125" i="3"/>
  <c r="BR125" i="3"/>
  <c r="BS125" i="3"/>
  <c r="BT125" i="3"/>
  <c r="BU125" i="3"/>
  <c r="BV125" i="3"/>
  <c r="BW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S126" i="3"/>
  <c r="AT126" i="3"/>
  <c r="AU126" i="3"/>
  <c r="AV126" i="3"/>
  <c r="AW126" i="3"/>
  <c r="AX126" i="3"/>
  <c r="AY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BQ126" i="3"/>
  <c r="BR126" i="3"/>
  <c r="BS126" i="3"/>
  <c r="BT126" i="3"/>
  <c r="BU126" i="3"/>
  <c r="BV126" i="3"/>
  <c r="BW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S127" i="3"/>
  <c r="AT127" i="3"/>
  <c r="AU127" i="3"/>
  <c r="AV127" i="3"/>
  <c r="AW127" i="3"/>
  <c r="AX127" i="3"/>
  <c r="AY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BQ127" i="3"/>
  <c r="BR127" i="3"/>
  <c r="BS127" i="3"/>
  <c r="BT127" i="3"/>
  <c r="BU127" i="3"/>
  <c r="BV127" i="3"/>
  <c r="BW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S128" i="3"/>
  <c r="AT128" i="3"/>
  <c r="AU128" i="3"/>
  <c r="AV128" i="3"/>
  <c r="AW128" i="3"/>
  <c r="AX128" i="3"/>
  <c r="AY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BQ128" i="3"/>
  <c r="BR128" i="3"/>
  <c r="BS128" i="3"/>
  <c r="BT128" i="3"/>
  <c r="BU128" i="3"/>
  <c r="BV128" i="3"/>
  <c r="BW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S129" i="3"/>
  <c r="AT129" i="3"/>
  <c r="AU129" i="3"/>
  <c r="AV129" i="3"/>
  <c r="AW129" i="3"/>
  <c r="AX129" i="3"/>
  <c r="AY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BQ129" i="3"/>
  <c r="BR129" i="3"/>
  <c r="BS129" i="3"/>
  <c r="BT129" i="3"/>
  <c r="BU129" i="3"/>
  <c r="BV129" i="3"/>
  <c r="BW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S130" i="3"/>
  <c r="AT130" i="3"/>
  <c r="AU130" i="3"/>
  <c r="AV130" i="3"/>
  <c r="AW130" i="3"/>
  <c r="AX130" i="3"/>
  <c r="AY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BQ130" i="3"/>
  <c r="BR130" i="3"/>
  <c r="BS130" i="3"/>
  <c r="BT130" i="3"/>
  <c r="BU130" i="3"/>
  <c r="BV130" i="3"/>
  <c r="BW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S131" i="3"/>
  <c r="AT131" i="3"/>
  <c r="AU131" i="3"/>
  <c r="AV131" i="3"/>
  <c r="AW131" i="3"/>
  <c r="AX131" i="3"/>
  <c r="AY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BQ131" i="3"/>
  <c r="BR131" i="3"/>
  <c r="BS131" i="3"/>
  <c r="BT131" i="3"/>
  <c r="BU131" i="3"/>
  <c r="BV131" i="3"/>
  <c r="BW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S132" i="3"/>
  <c r="AT132" i="3"/>
  <c r="AU132" i="3"/>
  <c r="AV132" i="3"/>
  <c r="AW132" i="3"/>
  <c r="AX132" i="3"/>
  <c r="AY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BQ132" i="3"/>
  <c r="BR132" i="3"/>
  <c r="BS132" i="3"/>
  <c r="BT132" i="3"/>
  <c r="BU132" i="3"/>
  <c r="BV132" i="3"/>
  <c r="BW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S133" i="3"/>
  <c r="AT133" i="3"/>
  <c r="AU133" i="3"/>
  <c r="AV133" i="3"/>
  <c r="AW133" i="3"/>
  <c r="AX133" i="3"/>
  <c r="AY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BQ133" i="3"/>
  <c r="BR133" i="3"/>
  <c r="BS133" i="3"/>
  <c r="BT133" i="3"/>
  <c r="BU133" i="3"/>
  <c r="BV133" i="3"/>
  <c r="BW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BQ134" i="3"/>
  <c r="BR134" i="3"/>
  <c r="BS134" i="3"/>
  <c r="BT134" i="3"/>
  <c r="BU134" i="3"/>
  <c r="BV134" i="3"/>
  <c r="BW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BQ135" i="3"/>
  <c r="BR135" i="3"/>
  <c r="BS135" i="3"/>
  <c r="BT135" i="3"/>
  <c r="BU135" i="3"/>
  <c r="BV135" i="3"/>
  <c r="BW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S136" i="3"/>
  <c r="AT136" i="3"/>
  <c r="AU136" i="3"/>
  <c r="AV136" i="3"/>
  <c r="AW136" i="3"/>
  <c r="AX136" i="3"/>
  <c r="AY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BQ136" i="3"/>
  <c r="BR136" i="3"/>
  <c r="BS136" i="3"/>
  <c r="BT136" i="3"/>
  <c r="BU136" i="3"/>
  <c r="BV136" i="3"/>
  <c r="BW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S137" i="3"/>
  <c r="AT137" i="3"/>
  <c r="AU137" i="3"/>
  <c r="AV137" i="3"/>
  <c r="AW137" i="3"/>
  <c r="AX137" i="3"/>
  <c r="AY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BQ137" i="3"/>
  <c r="BR137" i="3"/>
  <c r="BS137" i="3"/>
  <c r="BT137" i="3"/>
  <c r="BU137" i="3"/>
  <c r="BV137" i="3"/>
  <c r="BW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S138" i="3"/>
  <c r="AT138" i="3"/>
  <c r="AU138" i="3"/>
  <c r="AV138" i="3"/>
  <c r="AW138" i="3"/>
  <c r="AX138" i="3"/>
  <c r="AY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BQ138" i="3"/>
  <c r="BR138" i="3"/>
  <c r="BS138" i="3"/>
  <c r="BT138" i="3"/>
  <c r="BU138" i="3"/>
  <c r="BV138" i="3"/>
  <c r="BW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S139" i="3"/>
  <c r="AT139" i="3"/>
  <c r="AU139" i="3"/>
  <c r="AV139" i="3"/>
  <c r="AW139" i="3"/>
  <c r="AX139" i="3"/>
  <c r="AY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BQ139" i="3"/>
  <c r="BR139" i="3"/>
  <c r="BS139" i="3"/>
  <c r="BT139" i="3"/>
  <c r="BU139" i="3"/>
  <c r="BV139" i="3"/>
  <c r="BW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S140" i="3"/>
  <c r="AT140" i="3"/>
  <c r="AU140" i="3"/>
  <c r="AV140" i="3"/>
  <c r="AW140" i="3"/>
  <c r="AX140" i="3"/>
  <c r="AY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S141" i="3"/>
  <c r="AT141" i="3"/>
  <c r="AU141" i="3"/>
  <c r="AV141" i="3"/>
  <c r="AW141" i="3"/>
  <c r="AX141" i="3"/>
  <c r="AY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BQ141" i="3"/>
  <c r="BR141" i="3"/>
  <c r="BS141" i="3"/>
  <c r="BT141" i="3"/>
  <c r="BU141" i="3"/>
  <c r="BV141" i="3"/>
  <c r="BW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S142" i="3"/>
  <c r="AT142" i="3"/>
  <c r="AU142" i="3"/>
  <c r="AV142" i="3"/>
  <c r="AW142" i="3"/>
  <c r="AX142" i="3"/>
  <c r="AY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BQ142" i="3"/>
  <c r="BR142" i="3"/>
  <c r="BS142" i="3"/>
  <c r="BT142" i="3"/>
  <c r="BU142" i="3"/>
  <c r="BV142" i="3"/>
  <c r="BW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S143" i="3"/>
  <c r="AT143" i="3"/>
  <c r="AU143" i="3"/>
  <c r="AV143" i="3"/>
  <c r="AW143" i="3"/>
  <c r="AX143" i="3"/>
  <c r="AY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BQ143" i="3"/>
  <c r="BR143" i="3"/>
  <c r="BS143" i="3"/>
  <c r="BT143" i="3"/>
  <c r="BU143" i="3"/>
  <c r="BV143" i="3"/>
  <c r="BW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S144" i="3"/>
  <c r="AT144" i="3"/>
  <c r="AU144" i="3"/>
  <c r="AV144" i="3"/>
  <c r="AW144" i="3"/>
  <c r="AX144" i="3"/>
  <c r="AY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BQ144" i="3"/>
  <c r="BR144" i="3"/>
  <c r="BS144" i="3"/>
  <c r="BT144" i="3"/>
  <c r="BU144" i="3"/>
  <c r="BV144" i="3"/>
  <c r="BW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S145" i="3"/>
  <c r="AT145" i="3"/>
  <c r="AU145" i="3"/>
  <c r="AV145" i="3"/>
  <c r="AW145" i="3"/>
  <c r="AX145" i="3"/>
  <c r="AY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BQ145" i="3"/>
  <c r="BR145" i="3"/>
  <c r="BS145" i="3"/>
  <c r="BT145" i="3"/>
  <c r="BU145" i="3"/>
  <c r="BV145" i="3"/>
  <c r="BW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BQ146" i="3"/>
  <c r="BR146" i="3"/>
  <c r="BS146" i="3"/>
  <c r="BT146" i="3"/>
  <c r="BU146" i="3"/>
  <c r="BV146" i="3"/>
  <c r="BW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BQ147" i="3"/>
  <c r="BR147" i="3"/>
  <c r="BS147" i="3"/>
  <c r="BT147" i="3"/>
  <c r="BU147" i="3"/>
  <c r="BV147" i="3"/>
  <c r="BW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S148" i="3"/>
  <c r="AT148" i="3"/>
  <c r="AU148" i="3"/>
  <c r="AV148" i="3"/>
  <c r="AW148" i="3"/>
  <c r="AX148" i="3"/>
  <c r="AY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BQ148" i="3"/>
  <c r="BR148" i="3"/>
  <c r="BS148" i="3"/>
  <c r="BT148" i="3"/>
  <c r="BU148" i="3"/>
  <c r="BV148" i="3"/>
  <c r="BW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S149" i="3"/>
  <c r="AT149" i="3"/>
  <c r="AU149" i="3"/>
  <c r="AV149" i="3"/>
  <c r="AW149" i="3"/>
  <c r="AX149" i="3"/>
  <c r="AY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BQ149" i="3"/>
  <c r="BR149" i="3"/>
  <c r="BS149" i="3"/>
  <c r="BT149" i="3"/>
  <c r="BU149" i="3"/>
  <c r="BV149" i="3"/>
  <c r="BW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S150" i="3"/>
  <c r="AT150" i="3"/>
  <c r="AU150" i="3"/>
  <c r="AV150" i="3"/>
  <c r="AW150" i="3"/>
  <c r="AX150" i="3"/>
  <c r="AY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BQ150" i="3"/>
  <c r="BR150" i="3"/>
  <c r="BS150" i="3"/>
  <c r="BT150" i="3"/>
  <c r="BU150" i="3"/>
  <c r="BV150" i="3"/>
  <c r="BW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S151" i="3"/>
  <c r="AT151" i="3"/>
  <c r="AU151" i="3"/>
  <c r="AV151" i="3"/>
  <c r="AW151" i="3"/>
  <c r="AX151" i="3"/>
  <c r="AY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BQ151" i="3"/>
  <c r="BR151" i="3"/>
  <c r="BS151" i="3"/>
  <c r="BT151" i="3"/>
  <c r="BU151" i="3"/>
  <c r="BV151" i="3"/>
  <c r="BW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S152" i="3"/>
  <c r="AT152" i="3"/>
  <c r="AU152" i="3"/>
  <c r="AV152" i="3"/>
  <c r="AW152" i="3"/>
  <c r="AX152" i="3"/>
  <c r="AY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S153" i="3"/>
  <c r="AT153" i="3"/>
  <c r="AU153" i="3"/>
  <c r="AV153" i="3"/>
  <c r="AW153" i="3"/>
  <c r="AX153" i="3"/>
  <c r="AY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BQ153" i="3"/>
  <c r="BR153" i="3"/>
  <c r="BS153" i="3"/>
  <c r="BT153" i="3"/>
  <c r="BU153" i="3"/>
  <c r="BV153" i="3"/>
  <c r="BW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S154" i="3"/>
  <c r="AT154" i="3"/>
  <c r="AU154" i="3"/>
  <c r="AV154" i="3"/>
  <c r="AW154" i="3"/>
  <c r="AX154" i="3"/>
  <c r="AY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BQ154" i="3"/>
  <c r="BR154" i="3"/>
  <c r="BS154" i="3"/>
  <c r="BT154" i="3"/>
  <c r="BU154" i="3"/>
  <c r="BV154" i="3"/>
  <c r="BW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S155" i="3"/>
  <c r="AT155" i="3"/>
  <c r="AU155" i="3"/>
  <c r="AV155" i="3"/>
  <c r="AW155" i="3"/>
  <c r="AX155" i="3"/>
  <c r="AY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BQ155" i="3"/>
  <c r="BR155" i="3"/>
  <c r="BS155" i="3"/>
  <c r="BT155" i="3"/>
  <c r="BU155" i="3"/>
  <c r="BV155" i="3"/>
  <c r="BW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S156" i="3"/>
  <c r="AT156" i="3"/>
  <c r="AU156" i="3"/>
  <c r="AV156" i="3"/>
  <c r="AW156" i="3"/>
  <c r="AX156" i="3"/>
  <c r="AY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BQ156" i="3"/>
  <c r="BR156" i="3"/>
  <c r="BS156" i="3"/>
  <c r="BT156" i="3"/>
  <c r="BU156" i="3"/>
  <c r="BV156" i="3"/>
  <c r="BW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S157" i="3"/>
  <c r="AT157" i="3"/>
  <c r="AU157" i="3"/>
  <c r="AV157" i="3"/>
  <c r="AW157" i="3"/>
  <c r="AX157" i="3"/>
  <c r="AY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BQ157" i="3"/>
  <c r="BR157" i="3"/>
  <c r="BS157" i="3"/>
  <c r="BT157" i="3"/>
  <c r="BU157" i="3"/>
  <c r="BV157" i="3"/>
  <c r="BW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BQ158" i="3"/>
  <c r="BR158" i="3"/>
  <c r="BS158" i="3"/>
  <c r="BT158" i="3"/>
  <c r="BU158" i="3"/>
  <c r="BV158" i="3"/>
  <c r="BW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BQ159" i="3"/>
  <c r="BR159" i="3"/>
  <c r="BS159" i="3"/>
  <c r="BT159" i="3"/>
  <c r="BU159" i="3"/>
  <c r="BV159" i="3"/>
  <c r="BW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S160" i="3"/>
  <c r="AT160" i="3"/>
  <c r="AU160" i="3"/>
  <c r="AV160" i="3"/>
  <c r="AW160" i="3"/>
  <c r="AX160" i="3"/>
  <c r="AY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S161" i="3"/>
  <c r="AT161" i="3"/>
  <c r="AU161" i="3"/>
  <c r="AV161" i="3"/>
  <c r="AW161" i="3"/>
  <c r="AX161" i="3"/>
  <c r="AY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BQ161" i="3"/>
  <c r="BR161" i="3"/>
  <c r="BS161" i="3"/>
  <c r="BT161" i="3"/>
  <c r="BU161" i="3"/>
  <c r="BV161" i="3"/>
  <c r="BW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S162" i="3"/>
  <c r="AT162" i="3"/>
  <c r="AU162" i="3"/>
  <c r="AV162" i="3"/>
  <c r="AW162" i="3"/>
  <c r="AX162" i="3"/>
  <c r="AY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BQ162" i="3"/>
  <c r="BR162" i="3"/>
  <c r="BS162" i="3"/>
  <c r="BT162" i="3"/>
  <c r="BU162" i="3"/>
  <c r="BV162" i="3"/>
  <c r="BW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S163" i="3"/>
  <c r="AT163" i="3"/>
  <c r="AU163" i="3"/>
  <c r="AV163" i="3"/>
  <c r="AW163" i="3"/>
  <c r="AX163" i="3"/>
  <c r="AY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BQ163" i="3"/>
  <c r="BR163" i="3"/>
  <c r="BS163" i="3"/>
  <c r="BT163" i="3"/>
  <c r="BU163" i="3"/>
  <c r="BV163" i="3"/>
  <c r="BW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S164" i="3"/>
  <c r="AT164" i="3"/>
  <c r="AU164" i="3"/>
  <c r="AV164" i="3"/>
  <c r="AW164" i="3"/>
  <c r="AX164" i="3"/>
  <c r="AY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BQ164" i="3"/>
  <c r="BR164" i="3"/>
  <c r="BS164" i="3"/>
  <c r="BT164" i="3"/>
  <c r="BU164" i="3"/>
  <c r="BV164" i="3"/>
  <c r="BW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S165" i="3"/>
  <c r="AT165" i="3"/>
  <c r="AU165" i="3"/>
  <c r="AV165" i="3"/>
  <c r="AW165" i="3"/>
  <c r="AX165" i="3"/>
  <c r="AY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BQ165" i="3"/>
  <c r="BR165" i="3"/>
  <c r="BS165" i="3"/>
  <c r="BT165" i="3"/>
  <c r="BU165" i="3"/>
  <c r="BV165" i="3"/>
  <c r="BW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S166" i="3"/>
  <c r="AT166" i="3"/>
  <c r="AU166" i="3"/>
  <c r="AV166" i="3"/>
  <c r="AW166" i="3"/>
  <c r="AX166" i="3"/>
  <c r="AY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S167" i="3"/>
  <c r="AT167" i="3"/>
  <c r="AU167" i="3"/>
  <c r="AV167" i="3"/>
  <c r="AW167" i="3"/>
  <c r="AX167" i="3"/>
  <c r="AY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BQ167" i="3"/>
  <c r="BR167" i="3"/>
  <c r="BS167" i="3"/>
  <c r="BT167" i="3"/>
  <c r="BU167" i="3"/>
  <c r="BV167" i="3"/>
  <c r="BW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S168" i="3"/>
  <c r="AT168" i="3"/>
  <c r="AU168" i="3"/>
  <c r="AV168" i="3"/>
  <c r="AW168" i="3"/>
  <c r="AX168" i="3"/>
  <c r="AY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BQ168" i="3"/>
  <c r="BR168" i="3"/>
  <c r="BS168" i="3"/>
  <c r="BT168" i="3"/>
  <c r="BU168" i="3"/>
  <c r="BV168" i="3"/>
  <c r="BW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S169" i="3"/>
  <c r="AT169" i="3"/>
  <c r="AU169" i="3"/>
  <c r="AV169" i="3"/>
  <c r="AW169" i="3"/>
  <c r="AX169" i="3"/>
  <c r="AY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BQ169" i="3"/>
  <c r="BR169" i="3"/>
  <c r="BS169" i="3"/>
  <c r="BT169" i="3"/>
  <c r="BU169" i="3"/>
  <c r="BV169" i="3"/>
  <c r="BW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BQ170" i="3"/>
  <c r="BR170" i="3"/>
  <c r="BS170" i="3"/>
  <c r="BT170" i="3"/>
  <c r="BU170" i="3"/>
  <c r="BV170" i="3"/>
  <c r="BW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BQ171" i="3"/>
  <c r="BR171" i="3"/>
  <c r="BS171" i="3"/>
  <c r="BT171" i="3"/>
  <c r="BU171" i="3"/>
  <c r="BV171" i="3"/>
  <c r="BW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S172" i="3"/>
  <c r="AT172" i="3"/>
  <c r="AU172" i="3"/>
  <c r="AV172" i="3"/>
  <c r="AW172" i="3"/>
  <c r="AX172" i="3"/>
  <c r="AY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BQ172" i="3"/>
  <c r="BR172" i="3"/>
  <c r="BS172" i="3"/>
  <c r="BT172" i="3"/>
  <c r="BU172" i="3"/>
  <c r="BV172" i="3"/>
  <c r="BW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S173" i="3"/>
  <c r="AT173" i="3"/>
  <c r="AU173" i="3"/>
  <c r="AV173" i="3"/>
  <c r="AW173" i="3"/>
  <c r="AX173" i="3"/>
  <c r="AY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BQ173" i="3"/>
  <c r="BR173" i="3"/>
  <c r="BS173" i="3"/>
  <c r="BT173" i="3"/>
  <c r="BU173" i="3"/>
  <c r="BV173" i="3"/>
  <c r="BW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S174" i="3"/>
  <c r="AT174" i="3"/>
  <c r="AU174" i="3"/>
  <c r="AV174" i="3"/>
  <c r="AW174" i="3"/>
  <c r="AX174" i="3"/>
  <c r="AY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BQ174" i="3"/>
  <c r="BR174" i="3"/>
  <c r="BS174" i="3"/>
  <c r="BT174" i="3"/>
  <c r="BU174" i="3"/>
  <c r="BV174" i="3"/>
  <c r="BW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S175" i="3"/>
  <c r="AT175" i="3"/>
  <c r="AU175" i="3"/>
  <c r="AV175" i="3"/>
  <c r="AW175" i="3"/>
  <c r="AX175" i="3"/>
  <c r="AY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BQ175" i="3"/>
  <c r="BR175" i="3"/>
  <c r="BS175" i="3"/>
  <c r="BT175" i="3"/>
  <c r="BU175" i="3"/>
  <c r="BV175" i="3"/>
  <c r="BW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S176" i="3"/>
  <c r="AT176" i="3"/>
  <c r="AU176" i="3"/>
  <c r="AV176" i="3"/>
  <c r="AW176" i="3"/>
  <c r="AX176" i="3"/>
  <c r="AY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BQ176" i="3"/>
  <c r="BR176" i="3"/>
  <c r="BS176" i="3"/>
  <c r="BT176" i="3"/>
  <c r="BU176" i="3"/>
  <c r="BV176" i="3"/>
  <c r="BW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S177" i="3"/>
  <c r="AT177" i="3"/>
  <c r="AU177" i="3"/>
  <c r="AV177" i="3"/>
  <c r="AW177" i="3"/>
  <c r="AX177" i="3"/>
  <c r="AY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BQ177" i="3"/>
  <c r="BR177" i="3"/>
  <c r="BS177" i="3"/>
  <c r="BT177" i="3"/>
  <c r="BU177" i="3"/>
  <c r="BV177" i="3"/>
  <c r="BW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S178" i="3"/>
  <c r="AT178" i="3"/>
  <c r="AU178" i="3"/>
  <c r="AV178" i="3"/>
  <c r="AW178" i="3"/>
  <c r="AX178" i="3"/>
  <c r="AY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BQ178" i="3"/>
  <c r="BR178" i="3"/>
  <c r="BS178" i="3"/>
  <c r="BT178" i="3"/>
  <c r="BU178" i="3"/>
  <c r="BV178" i="3"/>
  <c r="BW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S179" i="3"/>
  <c r="AT179" i="3"/>
  <c r="AU179" i="3"/>
  <c r="AV179" i="3"/>
  <c r="AW179" i="3"/>
  <c r="AX179" i="3"/>
  <c r="AY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BQ179" i="3"/>
  <c r="BR179" i="3"/>
  <c r="BS179" i="3"/>
  <c r="BT179" i="3"/>
  <c r="BU179" i="3"/>
  <c r="BV179" i="3"/>
  <c r="BW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S180" i="3"/>
  <c r="AT180" i="3"/>
  <c r="AU180" i="3"/>
  <c r="AV180" i="3"/>
  <c r="AW180" i="3"/>
  <c r="AX180" i="3"/>
  <c r="AY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BQ180" i="3"/>
  <c r="BR180" i="3"/>
  <c r="BS180" i="3"/>
  <c r="BT180" i="3"/>
  <c r="BU180" i="3"/>
  <c r="BV180" i="3"/>
  <c r="BW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S181" i="3"/>
  <c r="AT181" i="3"/>
  <c r="AU181" i="3"/>
  <c r="AV181" i="3"/>
  <c r="AW181" i="3"/>
  <c r="AX181" i="3"/>
  <c r="AY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BV181" i="3"/>
  <c r="BW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BQ182" i="3"/>
  <c r="BR182" i="3"/>
  <c r="BS182" i="3"/>
  <c r="BT182" i="3"/>
  <c r="BU182" i="3"/>
  <c r="BV182" i="3"/>
  <c r="BW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BQ183" i="3"/>
  <c r="BR183" i="3"/>
  <c r="BS183" i="3"/>
  <c r="BT183" i="3"/>
  <c r="BU183" i="3"/>
  <c r="BV183" i="3"/>
  <c r="BW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S184" i="3"/>
  <c r="AT184" i="3"/>
  <c r="AU184" i="3"/>
  <c r="AV184" i="3"/>
  <c r="AW184" i="3"/>
  <c r="AX184" i="3"/>
  <c r="AY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BQ184" i="3"/>
  <c r="BR184" i="3"/>
  <c r="BS184" i="3"/>
  <c r="BT184" i="3"/>
  <c r="BU184" i="3"/>
  <c r="BV184" i="3"/>
  <c r="BW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S185" i="3"/>
  <c r="AT185" i="3"/>
  <c r="AU185" i="3"/>
  <c r="AV185" i="3"/>
  <c r="AW185" i="3"/>
  <c r="AX185" i="3"/>
  <c r="AY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BQ185" i="3"/>
  <c r="BR185" i="3"/>
  <c r="BS185" i="3"/>
  <c r="BT185" i="3"/>
  <c r="BU185" i="3"/>
  <c r="BV185" i="3"/>
  <c r="BW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S186" i="3"/>
  <c r="AT186" i="3"/>
  <c r="AU186" i="3"/>
  <c r="AV186" i="3"/>
  <c r="AW186" i="3"/>
  <c r="AX186" i="3"/>
  <c r="AY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BQ186" i="3"/>
  <c r="BR186" i="3"/>
  <c r="BS186" i="3"/>
  <c r="BT186" i="3"/>
  <c r="BU186" i="3"/>
  <c r="BV186" i="3"/>
  <c r="BW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S187" i="3"/>
  <c r="AT187" i="3"/>
  <c r="AU187" i="3"/>
  <c r="AV187" i="3"/>
  <c r="AW187" i="3"/>
  <c r="AX187" i="3"/>
  <c r="AY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BQ187" i="3"/>
  <c r="BR187" i="3"/>
  <c r="BS187" i="3"/>
  <c r="BT187" i="3"/>
  <c r="BU187" i="3"/>
  <c r="BV187" i="3"/>
  <c r="BW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S188" i="3"/>
  <c r="AT188" i="3"/>
  <c r="AU188" i="3"/>
  <c r="AV188" i="3"/>
  <c r="AW188" i="3"/>
  <c r="AX188" i="3"/>
  <c r="AY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BQ188" i="3"/>
  <c r="BR188" i="3"/>
  <c r="BS188" i="3"/>
  <c r="BT188" i="3"/>
  <c r="BU188" i="3"/>
  <c r="BV188" i="3"/>
  <c r="BW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S189" i="3"/>
  <c r="AT189" i="3"/>
  <c r="AU189" i="3"/>
  <c r="AV189" i="3"/>
  <c r="AW189" i="3"/>
  <c r="AX189" i="3"/>
  <c r="AY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BQ189" i="3"/>
  <c r="BR189" i="3"/>
  <c r="BS189" i="3"/>
  <c r="BT189" i="3"/>
  <c r="BU189" i="3"/>
  <c r="BV189" i="3"/>
  <c r="BW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S190" i="3"/>
  <c r="AT190" i="3"/>
  <c r="AU190" i="3"/>
  <c r="AV190" i="3"/>
  <c r="AW190" i="3"/>
  <c r="AX190" i="3"/>
  <c r="AY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BQ190" i="3"/>
  <c r="BR190" i="3"/>
  <c r="BS190" i="3"/>
  <c r="BT190" i="3"/>
  <c r="BU190" i="3"/>
  <c r="BV190" i="3"/>
  <c r="BW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S191" i="3"/>
  <c r="AT191" i="3"/>
  <c r="AU191" i="3"/>
  <c r="AV191" i="3"/>
  <c r="AW191" i="3"/>
  <c r="AX191" i="3"/>
  <c r="AY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BQ191" i="3"/>
  <c r="BR191" i="3"/>
  <c r="BS191" i="3"/>
  <c r="BT191" i="3"/>
  <c r="BU191" i="3"/>
  <c r="BV191" i="3"/>
  <c r="BW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S192" i="3"/>
  <c r="AT192" i="3"/>
  <c r="AU192" i="3"/>
  <c r="AV192" i="3"/>
  <c r="AW192" i="3"/>
  <c r="AX192" i="3"/>
  <c r="AY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BQ192" i="3"/>
  <c r="BR192" i="3"/>
  <c r="BS192" i="3"/>
  <c r="BT192" i="3"/>
  <c r="BU192" i="3"/>
  <c r="BV192" i="3"/>
  <c r="BW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S193" i="3"/>
  <c r="AT193" i="3"/>
  <c r="AU193" i="3"/>
  <c r="AV193" i="3"/>
  <c r="AW193" i="3"/>
  <c r="AX193" i="3"/>
  <c r="AY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BQ193" i="3"/>
  <c r="BR193" i="3"/>
  <c r="BS193" i="3"/>
  <c r="BT193" i="3"/>
  <c r="BU193" i="3"/>
  <c r="BV193" i="3"/>
  <c r="BW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BQ194" i="3"/>
  <c r="BR194" i="3"/>
  <c r="BS194" i="3"/>
  <c r="BT194" i="3"/>
  <c r="BU194" i="3"/>
  <c r="BV194" i="3"/>
  <c r="BW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S196" i="3"/>
  <c r="AT196" i="3"/>
  <c r="AU196" i="3"/>
  <c r="AV196" i="3"/>
  <c r="AW196" i="3"/>
  <c r="AX196" i="3"/>
  <c r="AY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BQ196" i="3"/>
  <c r="BR196" i="3"/>
  <c r="BS196" i="3"/>
  <c r="BT196" i="3"/>
  <c r="BU196" i="3"/>
  <c r="BV196" i="3"/>
  <c r="BW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S197" i="3"/>
  <c r="AT197" i="3"/>
  <c r="AU197" i="3"/>
  <c r="AV197" i="3"/>
  <c r="AW197" i="3"/>
  <c r="AX197" i="3"/>
  <c r="AY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BQ197" i="3"/>
  <c r="BR197" i="3"/>
  <c r="BS197" i="3"/>
  <c r="BT197" i="3"/>
  <c r="BU197" i="3"/>
  <c r="BV197" i="3"/>
  <c r="BW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S198" i="3"/>
  <c r="AT198" i="3"/>
  <c r="AU198" i="3"/>
  <c r="AV198" i="3"/>
  <c r="AW198" i="3"/>
  <c r="AX198" i="3"/>
  <c r="AY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BQ198" i="3"/>
  <c r="BR198" i="3"/>
  <c r="BS198" i="3"/>
  <c r="BT198" i="3"/>
  <c r="BU198" i="3"/>
  <c r="BV198" i="3"/>
  <c r="BW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S199" i="3"/>
  <c r="AT199" i="3"/>
  <c r="AU199" i="3"/>
  <c r="AV199" i="3"/>
  <c r="AW199" i="3"/>
  <c r="AX199" i="3"/>
  <c r="AY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BQ199" i="3"/>
  <c r="BR199" i="3"/>
  <c r="BS199" i="3"/>
  <c r="BT199" i="3"/>
  <c r="BU199" i="3"/>
  <c r="BV199" i="3"/>
  <c r="BW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S200" i="3"/>
  <c r="AT200" i="3"/>
  <c r="AU200" i="3"/>
  <c r="AV200" i="3"/>
  <c r="AW200" i="3"/>
  <c r="AX200" i="3"/>
  <c r="AY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BQ200" i="3"/>
  <c r="BR200" i="3"/>
  <c r="BS200" i="3"/>
  <c r="BT200" i="3"/>
  <c r="BU200" i="3"/>
  <c r="BV200" i="3"/>
  <c r="BW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S201" i="3"/>
  <c r="AT201" i="3"/>
  <c r="AU201" i="3"/>
  <c r="AV201" i="3"/>
  <c r="AW201" i="3"/>
  <c r="AX201" i="3"/>
  <c r="AY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BQ201" i="3"/>
  <c r="BR201" i="3"/>
  <c r="BS201" i="3"/>
  <c r="BT201" i="3"/>
  <c r="BU201" i="3"/>
  <c r="BV201" i="3"/>
  <c r="BW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S202" i="3"/>
  <c r="AT202" i="3"/>
  <c r="AU202" i="3"/>
  <c r="AV202" i="3"/>
  <c r="AW202" i="3"/>
  <c r="AX202" i="3"/>
  <c r="AY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BQ202" i="3"/>
  <c r="BR202" i="3"/>
  <c r="BS202" i="3"/>
  <c r="BT202" i="3"/>
  <c r="BU202" i="3"/>
  <c r="BV202" i="3"/>
  <c r="BW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S203" i="3"/>
  <c r="AT203" i="3"/>
  <c r="AU203" i="3"/>
  <c r="AV203" i="3"/>
  <c r="AW203" i="3"/>
  <c r="AX203" i="3"/>
  <c r="AY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BQ203" i="3"/>
  <c r="BR203" i="3"/>
  <c r="BS203" i="3"/>
  <c r="BT203" i="3"/>
  <c r="BU203" i="3"/>
  <c r="BV203" i="3"/>
  <c r="BW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S204" i="3"/>
  <c r="AT204" i="3"/>
  <c r="AU204" i="3"/>
  <c r="AV204" i="3"/>
  <c r="AW204" i="3"/>
  <c r="AX204" i="3"/>
  <c r="AY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BQ204" i="3"/>
  <c r="BR204" i="3"/>
  <c r="BS204" i="3"/>
  <c r="BT204" i="3"/>
  <c r="BU204" i="3"/>
  <c r="BV204" i="3"/>
  <c r="BW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S205" i="3"/>
  <c r="AT205" i="3"/>
  <c r="AU205" i="3"/>
  <c r="AV205" i="3"/>
  <c r="AW205" i="3"/>
  <c r="AX205" i="3"/>
  <c r="AY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BQ205" i="3"/>
  <c r="BR205" i="3"/>
  <c r="BS205" i="3"/>
  <c r="BT205" i="3"/>
  <c r="BU205" i="3"/>
  <c r="BV205" i="3"/>
  <c r="BW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BQ206" i="3"/>
  <c r="BR206" i="3"/>
  <c r="BS206" i="3"/>
  <c r="BT206" i="3"/>
  <c r="BU206" i="3"/>
  <c r="BV206" i="3"/>
  <c r="BW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BQ207" i="3"/>
  <c r="BR207" i="3"/>
  <c r="BS207" i="3"/>
  <c r="BT207" i="3"/>
  <c r="BU207" i="3"/>
  <c r="BV207" i="3"/>
  <c r="BW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S208" i="3"/>
  <c r="AT208" i="3"/>
  <c r="AU208" i="3"/>
  <c r="AV208" i="3"/>
  <c r="AW208" i="3"/>
  <c r="AX208" i="3"/>
  <c r="AY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BQ208" i="3"/>
  <c r="BR208" i="3"/>
  <c r="BS208" i="3"/>
  <c r="BT208" i="3"/>
  <c r="BU208" i="3"/>
  <c r="BV208" i="3"/>
  <c r="BW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S209" i="3"/>
  <c r="AT209" i="3"/>
  <c r="AU209" i="3"/>
  <c r="AV209" i="3"/>
  <c r="AW209" i="3"/>
  <c r="AX209" i="3"/>
  <c r="AY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S210" i="3"/>
  <c r="AT210" i="3"/>
  <c r="AU210" i="3"/>
  <c r="AV210" i="3"/>
  <c r="AW210" i="3"/>
  <c r="AX210" i="3"/>
  <c r="AY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BQ210" i="3"/>
  <c r="BR210" i="3"/>
  <c r="BS210" i="3"/>
  <c r="BT210" i="3"/>
  <c r="BU210" i="3"/>
  <c r="BV210" i="3"/>
  <c r="BW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S211" i="3"/>
  <c r="AT211" i="3"/>
  <c r="AU211" i="3"/>
  <c r="AV211" i="3"/>
  <c r="AW211" i="3"/>
  <c r="AX211" i="3"/>
  <c r="AY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BQ211" i="3"/>
  <c r="BR211" i="3"/>
  <c r="BS211" i="3"/>
  <c r="BT211" i="3"/>
  <c r="BU211" i="3"/>
  <c r="BV211" i="3"/>
  <c r="BW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S212" i="3"/>
  <c r="AT212" i="3"/>
  <c r="AU212" i="3"/>
  <c r="AV212" i="3"/>
  <c r="AW212" i="3"/>
  <c r="AX212" i="3"/>
  <c r="AY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BQ212" i="3"/>
  <c r="BR212" i="3"/>
  <c r="BS212" i="3"/>
  <c r="BT212" i="3"/>
  <c r="BU212" i="3"/>
  <c r="BV212" i="3"/>
  <c r="BW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S213" i="3"/>
  <c r="AT213" i="3"/>
  <c r="AU213" i="3"/>
  <c r="AV213" i="3"/>
  <c r="AW213" i="3"/>
  <c r="AX213" i="3"/>
  <c r="AY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BQ213" i="3"/>
  <c r="BR213" i="3"/>
  <c r="BS213" i="3"/>
  <c r="BT213" i="3"/>
  <c r="BU213" i="3"/>
  <c r="BV213" i="3"/>
  <c r="BW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S214" i="3"/>
  <c r="AT214" i="3"/>
  <c r="AU214" i="3"/>
  <c r="AV214" i="3"/>
  <c r="AW214" i="3"/>
  <c r="AX214" i="3"/>
  <c r="AY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BQ214" i="3"/>
  <c r="BR214" i="3"/>
  <c r="BS214" i="3"/>
  <c r="BT214" i="3"/>
  <c r="BU214" i="3"/>
  <c r="BV214" i="3"/>
  <c r="BW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S215" i="3"/>
  <c r="AT215" i="3"/>
  <c r="AU215" i="3"/>
  <c r="AV215" i="3"/>
  <c r="AW215" i="3"/>
  <c r="AX215" i="3"/>
  <c r="AY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BQ215" i="3"/>
  <c r="BR215" i="3"/>
  <c r="BS215" i="3"/>
  <c r="BT215" i="3"/>
  <c r="BU215" i="3"/>
  <c r="BV215" i="3"/>
  <c r="BW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S216" i="3"/>
  <c r="AT216" i="3"/>
  <c r="AU216" i="3"/>
  <c r="AV216" i="3"/>
  <c r="AW216" i="3"/>
  <c r="AX216" i="3"/>
  <c r="AY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BQ216" i="3"/>
  <c r="BR216" i="3"/>
  <c r="BS216" i="3"/>
  <c r="BT216" i="3"/>
  <c r="BU216" i="3"/>
  <c r="BV216" i="3"/>
  <c r="BW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S217" i="3"/>
  <c r="AT217" i="3"/>
  <c r="AU217" i="3"/>
  <c r="AV217" i="3"/>
  <c r="AW217" i="3"/>
  <c r="AX217" i="3"/>
  <c r="AY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BQ217" i="3"/>
  <c r="BR217" i="3"/>
  <c r="BS217" i="3"/>
  <c r="BT217" i="3"/>
  <c r="BU217" i="3"/>
  <c r="BV217" i="3"/>
  <c r="BW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BQ218" i="3"/>
  <c r="BR218" i="3"/>
  <c r="BS218" i="3"/>
  <c r="BT218" i="3"/>
  <c r="BU218" i="3"/>
  <c r="BV218" i="3"/>
  <c r="BW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BQ219" i="3"/>
  <c r="BR219" i="3"/>
  <c r="BS219" i="3"/>
  <c r="BT219" i="3"/>
  <c r="BU219" i="3"/>
  <c r="BV219" i="3"/>
  <c r="BW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S220" i="3"/>
  <c r="AT220" i="3"/>
  <c r="AU220" i="3"/>
  <c r="AV220" i="3"/>
  <c r="AW220" i="3"/>
  <c r="AX220" i="3"/>
  <c r="AY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BQ220" i="3"/>
  <c r="BR220" i="3"/>
  <c r="BS220" i="3"/>
  <c r="BT220" i="3"/>
  <c r="BU220" i="3"/>
  <c r="BV220" i="3"/>
  <c r="BW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S221" i="3"/>
  <c r="AT221" i="3"/>
  <c r="AU221" i="3"/>
  <c r="AV221" i="3"/>
  <c r="AW221" i="3"/>
  <c r="AX221" i="3"/>
  <c r="AY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BQ221" i="3"/>
  <c r="BR221" i="3"/>
  <c r="BS221" i="3"/>
  <c r="BT221" i="3"/>
  <c r="BU221" i="3"/>
  <c r="BV221" i="3"/>
  <c r="BW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S222" i="3"/>
  <c r="AT222" i="3"/>
  <c r="AU222" i="3"/>
  <c r="AV222" i="3"/>
  <c r="AW222" i="3"/>
  <c r="AX222" i="3"/>
  <c r="AY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BQ222" i="3"/>
  <c r="BR222" i="3"/>
  <c r="BS222" i="3"/>
  <c r="BT222" i="3"/>
  <c r="BU222" i="3"/>
  <c r="BV222" i="3"/>
  <c r="BW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S223" i="3"/>
  <c r="AT223" i="3"/>
  <c r="AU223" i="3"/>
  <c r="AV223" i="3"/>
  <c r="AW223" i="3"/>
  <c r="AX223" i="3"/>
  <c r="AY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BQ223" i="3"/>
  <c r="BR223" i="3"/>
  <c r="BS223" i="3"/>
  <c r="BT223" i="3"/>
  <c r="BU223" i="3"/>
  <c r="BV223" i="3"/>
  <c r="BW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S224" i="3"/>
  <c r="AT224" i="3"/>
  <c r="AU224" i="3"/>
  <c r="AV224" i="3"/>
  <c r="AW224" i="3"/>
  <c r="AX224" i="3"/>
  <c r="AY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BQ224" i="3"/>
  <c r="BR224" i="3"/>
  <c r="BS224" i="3"/>
  <c r="BT224" i="3"/>
  <c r="BU224" i="3"/>
  <c r="BV224" i="3"/>
  <c r="BW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S225" i="3"/>
  <c r="AT225" i="3"/>
  <c r="AU225" i="3"/>
  <c r="AV225" i="3"/>
  <c r="AW225" i="3"/>
  <c r="AX225" i="3"/>
  <c r="AY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BQ225" i="3"/>
  <c r="BR225" i="3"/>
  <c r="BS225" i="3"/>
  <c r="BT225" i="3"/>
  <c r="BU225" i="3"/>
  <c r="BV225" i="3"/>
  <c r="BW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S226" i="3"/>
  <c r="AT226" i="3"/>
  <c r="AU226" i="3"/>
  <c r="AV226" i="3"/>
  <c r="AW226" i="3"/>
  <c r="AX226" i="3"/>
  <c r="AY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BQ226" i="3"/>
  <c r="BR226" i="3"/>
  <c r="BS226" i="3"/>
  <c r="BT226" i="3"/>
  <c r="BU226" i="3"/>
  <c r="BV226" i="3"/>
  <c r="BW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S227" i="3"/>
  <c r="AT227" i="3"/>
  <c r="AU227" i="3"/>
  <c r="AV227" i="3"/>
  <c r="AW227" i="3"/>
  <c r="AX227" i="3"/>
  <c r="AY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BQ227" i="3"/>
  <c r="BR227" i="3"/>
  <c r="BS227" i="3"/>
  <c r="BT227" i="3"/>
  <c r="BU227" i="3"/>
  <c r="BV227" i="3"/>
  <c r="BW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S228" i="3"/>
  <c r="AT228" i="3"/>
  <c r="AU228" i="3"/>
  <c r="AV228" i="3"/>
  <c r="AW228" i="3"/>
  <c r="AX228" i="3"/>
  <c r="AY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BQ228" i="3"/>
  <c r="BR228" i="3"/>
  <c r="BS228" i="3"/>
  <c r="BT228" i="3"/>
  <c r="BU228" i="3"/>
  <c r="BV228" i="3"/>
  <c r="BW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S229" i="3"/>
  <c r="AT229" i="3"/>
  <c r="AU229" i="3"/>
  <c r="AV229" i="3"/>
  <c r="AW229" i="3"/>
  <c r="AX229" i="3"/>
  <c r="AY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BQ229" i="3"/>
  <c r="BR229" i="3"/>
  <c r="BS229" i="3"/>
  <c r="BT229" i="3"/>
  <c r="BU229" i="3"/>
  <c r="BV229" i="3"/>
  <c r="BW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BQ230" i="3"/>
  <c r="BR230" i="3"/>
  <c r="BS230" i="3"/>
  <c r="BT230" i="3"/>
  <c r="BU230" i="3"/>
  <c r="BV230" i="3"/>
  <c r="BW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BQ231" i="3"/>
  <c r="BR231" i="3"/>
  <c r="BS231" i="3"/>
  <c r="BT231" i="3"/>
  <c r="BU231" i="3"/>
  <c r="BV231" i="3"/>
  <c r="BW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S232" i="3"/>
  <c r="AT232" i="3"/>
  <c r="AU232" i="3"/>
  <c r="AV232" i="3"/>
  <c r="AW232" i="3"/>
  <c r="AX232" i="3"/>
  <c r="AY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BQ232" i="3"/>
  <c r="BR232" i="3"/>
  <c r="BS232" i="3"/>
  <c r="BT232" i="3"/>
  <c r="BU232" i="3"/>
  <c r="BV232" i="3"/>
  <c r="BW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S233" i="3"/>
  <c r="AT233" i="3"/>
  <c r="AU233" i="3"/>
  <c r="AV233" i="3"/>
  <c r="AW233" i="3"/>
  <c r="AX233" i="3"/>
  <c r="AY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BQ233" i="3"/>
  <c r="BR233" i="3"/>
  <c r="BS233" i="3"/>
  <c r="BT233" i="3"/>
  <c r="BU233" i="3"/>
  <c r="BV233" i="3"/>
  <c r="BW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S234" i="3"/>
  <c r="AT234" i="3"/>
  <c r="AU234" i="3"/>
  <c r="AV234" i="3"/>
  <c r="AW234" i="3"/>
  <c r="AX234" i="3"/>
  <c r="AY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BQ234" i="3"/>
  <c r="BR234" i="3"/>
  <c r="BS234" i="3"/>
  <c r="BT234" i="3"/>
  <c r="BU234" i="3"/>
  <c r="BV234" i="3"/>
  <c r="BW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S235" i="3"/>
  <c r="AT235" i="3"/>
  <c r="AU235" i="3"/>
  <c r="AV235" i="3"/>
  <c r="AW235" i="3"/>
  <c r="AX235" i="3"/>
  <c r="AY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BQ235" i="3"/>
  <c r="BR235" i="3"/>
  <c r="BS235" i="3"/>
  <c r="BT235" i="3"/>
  <c r="BU235" i="3"/>
  <c r="BV235" i="3"/>
  <c r="BW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S236" i="3"/>
  <c r="AT236" i="3"/>
  <c r="AU236" i="3"/>
  <c r="AV236" i="3"/>
  <c r="AW236" i="3"/>
  <c r="AX236" i="3"/>
  <c r="AY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BQ236" i="3"/>
  <c r="BR236" i="3"/>
  <c r="BS236" i="3"/>
  <c r="BT236" i="3"/>
  <c r="BU236" i="3"/>
  <c r="BV236" i="3"/>
  <c r="BW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S237" i="3"/>
  <c r="AT237" i="3"/>
  <c r="AU237" i="3"/>
  <c r="AV237" i="3"/>
  <c r="AW237" i="3"/>
  <c r="AX237" i="3"/>
  <c r="AY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BQ237" i="3"/>
  <c r="BR237" i="3"/>
  <c r="BS237" i="3"/>
  <c r="BT237" i="3"/>
  <c r="BU237" i="3"/>
  <c r="BV237" i="3"/>
  <c r="BW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S238" i="3"/>
  <c r="AT238" i="3"/>
  <c r="AU238" i="3"/>
  <c r="AV238" i="3"/>
  <c r="AW238" i="3"/>
  <c r="AX238" i="3"/>
  <c r="AY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BQ238" i="3"/>
  <c r="BR238" i="3"/>
  <c r="BS238" i="3"/>
  <c r="BT238" i="3"/>
  <c r="BU238" i="3"/>
  <c r="BV238" i="3"/>
  <c r="BW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S239" i="3"/>
  <c r="AT239" i="3"/>
  <c r="AU239" i="3"/>
  <c r="AV239" i="3"/>
  <c r="AW239" i="3"/>
  <c r="AX239" i="3"/>
  <c r="AY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BQ239" i="3"/>
  <c r="BR239" i="3"/>
  <c r="BS239" i="3"/>
  <c r="BT239" i="3"/>
  <c r="BU239" i="3"/>
  <c r="BV239" i="3"/>
  <c r="BW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S240" i="3"/>
  <c r="AT240" i="3"/>
  <c r="AU240" i="3"/>
  <c r="AV240" i="3"/>
  <c r="AW240" i="3"/>
  <c r="AX240" i="3"/>
  <c r="AY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BQ240" i="3"/>
  <c r="BR240" i="3"/>
  <c r="BS240" i="3"/>
  <c r="BT240" i="3"/>
  <c r="BU240" i="3"/>
  <c r="BV240" i="3"/>
  <c r="BW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S241" i="3"/>
  <c r="AT241" i="3"/>
  <c r="AU241" i="3"/>
  <c r="AV241" i="3"/>
  <c r="AW241" i="3"/>
  <c r="AX241" i="3"/>
  <c r="AY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BQ241" i="3"/>
  <c r="BR241" i="3"/>
  <c r="BS241" i="3"/>
  <c r="BT241" i="3"/>
  <c r="BU241" i="3"/>
  <c r="BV241" i="3"/>
  <c r="BW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BQ242" i="3"/>
  <c r="BR242" i="3"/>
  <c r="BS242" i="3"/>
  <c r="BT242" i="3"/>
  <c r="BU242" i="3"/>
  <c r="BV242" i="3"/>
  <c r="BW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BQ243" i="3"/>
  <c r="BR243" i="3"/>
  <c r="BS243" i="3"/>
  <c r="BT243" i="3"/>
  <c r="BU243" i="3"/>
  <c r="BV243" i="3"/>
  <c r="BW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S244" i="3"/>
  <c r="AT244" i="3"/>
  <c r="AU244" i="3"/>
  <c r="AV244" i="3"/>
  <c r="AW244" i="3"/>
  <c r="AX244" i="3"/>
  <c r="AY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BQ244" i="3"/>
  <c r="BR244" i="3"/>
  <c r="BS244" i="3"/>
  <c r="BT244" i="3"/>
  <c r="BU244" i="3"/>
  <c r="BV244" i="3"/>
  <c r="BW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S245" i="3"/>
  <c r="AT245" i="3"/>
  <c r="AU245" i="3"/>
  <c r="AV245" i="3"/>
  <c r="AW245" i="3"/>
  <c r="AX245" i="3"/>
  <c r="AY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BQ245" i="3"/>
  <c r="BR245" i="3"/>
  <c r="BS245" i="3"/>
  <c r="BT245" i="3"/>
  <c r="BU245" i="3"/>
  <c r="BV245" i="3"/>
  <c r="BW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S246" i="3"/>
  <c r="AT246" i="3"/>
  <c r="AU246" i="3"/>
  <c r="AV246" i="3"/>
  <c r="AW246" i="3"/>
  <c r="AX246" i="3"/>
  <c r="AY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BQ246" i="3"/>
  <c r="BR246" i="3"/>
  <c r="BS246" i="3"/>
  <c r="BT246" i="3"/>
  <c r="BU246" i="3"/>
  <c r="BV246" i="3"/>
  <c r="BW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S247" i="3"/>
  <c r="AT247" i="3"/>
  <c r="AU247" i="3"/>
  <c r="AV247" i="3"/>
  <c r="AW247" i="3"/>
  <c r="AX247" i="3"/>
  <c r="AY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BQ247" i="3"/>
  <c r="BR247" i="3"/>
  <c r="BS247" i="3"/>
  <c r="BT247" i="3"/>
  <c r="BU247" i="3"/>
  <c r="BV247" i="3"/>
  <c r="BW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S248" i="3"/>
  <c r="AT248" i="3"/>
  <c r="AU248" i="3"/>
  <c r="AV248" i="3"/>
  <c r="AW248" i="3"/>
  <c r="AX248" i="3"/>
  <c r="AY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BQ248" i="3"/>
  <c r="BR248" i="3"/>
  <c r="BS248" i="3"/>
  <c r="BT248" i="3"/>
  <c r="BU248" i="3"/>
  <c r="BV248" i="3"/>
  <c r="BW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S249" i="3"/>
  <c r="AT249" i="3"/>
  <c r="AU249" i="3"/>
  <c r="AV249" i="3"/>
  <c r="AW249" i="3"/>
  <c r="AX249" i="3"/>
  <c r="AY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BQ249" i="3"/>
  <c r="BR249" i="3"/>
  <c r="BS249" i="3"/>
  <c r="BT249" i="3"/>
  <c r="BU249" i="3"/>
  <c r="BV249" i="3"/>
  <c r="BW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S250" i="3"/>
  <c r="AT250" i="3"/>
  <c r="AU250" i="3"/>
  <c r="AV250" i="3"/>
  <c r="AW250" i="3"/>
  <c r="AX250" i="3"/>
  <c r="AY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BQ250" i="3"/>
  <c r="BR250" i="3"/>
  <c r="BS250" i="3"/>
  <c r="BT250" i="3"/>
  <c r="BU250" i="3"/>
  <c r="BV250" i="3"/>
  <c r="BW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S251" i="3"/>
  <c r="AT251" i="3"/>
  <c r="AU251" i="3"/>
  <c r="AV251" i="3"/>
  <c r="AW251" i="3"/>
  <c r="AX251" i="3"/>
  <c r="AY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BQ251" i="3"/>
  <c r="BR251" i="3"/>
  <c r="BS251" i="3"/>
  <c r="BT251" i="3"/>
  <c r="BU251" i="3"/>
  <c r="BV251" i="3"/>
  <c r="BW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S252" i="3"/>
  <c r="AT252" i="3"/>
  <c r="AU252" i="3"/>
  <c r="AV252" i="3"/>
  <c r="AW252" i="3"/>
  <c r="AX252" i="3"/>
  <c r="AY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BQ252" i="3"/>
  <c r="BR252" i="3"/>
  <c r="BS252" i="3"/>
  <c r="BT252" i="3"/>
  <c r="BU252" i="3"/>
  <c r="BV252" i="3"/>
  <c r="BW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S253" i="3"/>
  <c r="AT253" i="3"/>
  <c r="AU253" i="3"/>
  <c r="AV253" i="3"/>
  <c r="AW253" i="3"/>
  <c r="AX253" i="3"/>
  <c r="AY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BQ253" i="3"/>
  <c r="BR253" i="3"/>
  <c r="BS253" i="3"/>
  <c r="BT253" i="3"/>
  <c r="BU253" i="3"/>
  <c r="BV253" i="3"/>
  <c r="BW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BQ254" i="3"/>
  <c r="BR254" i="3"/>
  <c r="BS254" i="3"/>
  <c r="BT254" i="3"/>
  <c r="BU254" i="3"/>
  <c r="BV254" i="3"/>
  <c r="BW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BQ255" i="3"/>
  <c r="BR255" i="3"/>
  <c r="BS255" i="3"/>
  <c r="BT255" i="3"/>
  <c r="BU255" i="3"/>
  <c r="BV255" i="3"/>
  <c r="BW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BQ256" i="3"/>
  <c r="BR256" i="3"/>
  <c r="BS256" i="3"/>
  <c r="BT256" i="3"/>
  <c r="BU256" i="3"/>
  <c r="BV256" i="3"/>
  <c r="BW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AC257" i="3"/>
  <c r="BA257" i="3"/>
  <c r="BN257" i="3"/>
  <c r="BO257" i="3"/>
  <c r="BP257" i="3"/>
  <c r="BQ257" i="3"/>
  <c r="BR257" i="3"/>
  <c r="BS257" i="3"/>
  <c r="BT257" i="3"/>
  <c r="BU257" i="3"/>
  <c r="BV257" i="3"/>
  <c r="BW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BA258" i="3"/>
  <c r="BN258" i="3"/>
  <c r="BO258" i="3"/>
  <c r="BP258" i="3"/>
  <c r="BQ258" i="3"/>
  <c r="BR258" i="3"/>
  <c r="BS258" i="3"/>
  <c r="BT258" i="3"/>
  <c r="BU258" i="3"/>
  <c r="BV258" i="3"/>
  <c r="BW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BA259" i="3"/>
  <c r="BN259" i="3"/>
  <c r="BO259" i="3"/>
  <c r="BP259" i="3"/>
  <c r="BQ259" i="3"/>
  <c r="BR259" i="3"/>
  <c r="BS259" i="3"/>
  <c r="BT259" i="3"/>
  <c r="BU259" i="3"/>
  <c r="BV259" i="3"/>
  <c r="BW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BA260" i="3"/>
  <c r="BN260" i="3"/>
  <c r="BO260" i="3"/>
  <c r="BP260" i="3"/>
  <c r="BQ260" i="3"/>
  <c r="BR260" i="3"/>
  <c r="BS260" i="3"/>
  <c r="BT260" i="3"/>
  <c r="BU260" i="3"/>
  <c r="BV260" i="3"/>
  <c r="BW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BA261" i="3"/>
  <c r="BN261" i="3"/>
  <c r="BO261" i="3"/>
  <c r="BP261" i="3"/>
  <c r="BQ261" i="3"/>
  <c r="BR261" i="3"/>
  <c r="BS261" i="3"/>
  <c r="BT261" i="3"/>
  <c r="BU261" i="3"/>
  <c r="BV261" i="3"/>
  <c r="BW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BA262" i="3"/>
  <c r="BN262" i="3"/>
  <c r="BO262" i="3"/>
  <c r="BP262" i="3"/>
  <c r="BQ262" i="3"/>
  <c r="BR262" i="3"/>
  <c r="BS262" i="3"/>
  <c r="BT262" i="3"/>
  <c r="BU262" i="3"/>
  <c r="BV262" i="3"/>
  <c r="BW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BA263" i="3"/>
  <c r="BN263" i="3"/>
  <c r="BO263" i="3"/>
  <c r="BP263" i="3"/>
  <c r="BQ263" i="3"/>
  <c r="BR263" i="3"/>
  <c r="BS263" i="3"/>
  <c r="BT263" i="3"/>
  <c r="BU263" i="3"/>
  <c r="BV263" i="3"/>
  <c r="BW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BA264" i="3"/>
  <c r="BN264" i="3"/>
  <c r="BO264" i="3"/>
  <c r="BP264" i="3"/>
  <c r="BQ264" i="3"/>
  <c r="BR264" i="3"/>
  <c r="BS264" i="3"/>
  <c r="BT264" i="3"/>
  <c r="BU264" i="3"/>
  <c r="BV264" i="3"/>
  <c r="BW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BA265" i="3"/>
  <c r="BN265" i="3"/>
  <c r="BO265" i="3"/>
  <c r="BP265" i="3"/>
  <c r="BQ265" i="3"/>
  <c r="BR265" i="3"/>
  <c r="BS265" i="3"/>
  <c r="BT265" i="3"/>
  <c r="BU265" i="3"/>
  <c r="BV265" i="3"/>
  <c r="BW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BA266" i="3"/>
  <c r="BN266" i="3"/>
  <c r="BO266" i="3"/>
  <c r="BP266" i="3"/>
  <c r="BQ266" i="3"/>
  <c r="BR266" i="3"/>
  <c r="BS266" i="3"/>
  <c r="BT266" i="3"/>
  <c r="BU266" i="3"/>
  <c r="BV266" i="3"/>
  <c r="BW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BA267" i="3"/>
  <c r="BN267" i="3"/>
  <c r="BO267" i="3"/>
  <c r="BP267" i="3"/>
  <c r="BQ267" i="3"/>
  <c r="BR267" i="3"/>
  <c r="BS267" i="3"/>
  <c r="BT267" i="3"/>
  <c r="BU267" i="3"/>
  <c r="BV267" i="3"/>
  <c r="BW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BA268" i="3"/>
  <c r="BN268" i="3"/>
  <c r="BO268" i="3"/>
  <c r="BP268" i="3"/>
  <c r="BQ268" i="3"/>
  <c r="BR268" i="3"/>
  <c r="BS268" i="3"/>
  <c r="BT268" i="3"/>
  <c r="BU268" i="3"/>
  <c r="BV268" i="3"/>
  <c r="BW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BA269" i="3"/>
  <c r="BN269" i="3"/>
  <c r="BO269" i="3"/>
  <c r="BP269" i="3"/>
  <c r="BQ269" i="3"/>
  <c r="BR269" i="3"/>
  <c r="BS269" i="3"/>
  <c r="BT269" i="3"/>
  <c r="BU269" i="3"/>
  <c r="BV269" i="3"/>
  <c r="BW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BA270" i="3"/>
  <c r="BN270" i="3"/>
  <c r="BO270" i="3"/>
  <c r="BP270" i="3"/>
  <c r="BQ270" i="3"/>
  <c r="BR270" i="3"/>
  <c r="BS270" i="3"/>
  <c r="BT270" i="3"/>
  <c r="BU270" i="3"/>
  <c r="BV270" i="3"/>
  <c r="BW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BA271" i="3"/>
  <c r="BN271" i="3"/>
  <c r="BO271" i="3"/>
  <c r="BP271" i="3"/>
  <c r="BQ271" i="3"/>
  <c r="BR271" i="3"/>
  <c r="BS271" i="3"/>
  <c r="BT271" i="3"/>
  <c r="BU271" i="3"/>
  <c r="BV271" i="3"/>
  <c r="BW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BA272" i="3"/>
  <c r="BN272" i="3"/>
  <c r="BO272" i="3"/>
  <c r="BP272" i="3"/>
  <c r="BQ272" i="3"/>
  <c r="BR272" i="3"/>
  <c r="BS272" i="3"/>
  <c r="BT272" i="3"/>
  <c r="BU272" i="3"/>
  <c r="BV272" i="3"/>
  <c r="BW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BA273" i="3"/>
  <c r="BN273" i="3"/>
  <c r="BO273" i="3"/>
  <c r="BP273" i="3"/>
  <c r="BQ273" i="3"/>
  <c r="BR273" i="3"/>
  <c r="BS273" i="3"/>
  <c r="BT273" i="3"/>
  <c r="BU273" i="3"/>
  <c r="BV273" i="3"/>
  <c r="BW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BA274" i="3"/>
  <c r="BN274" i="3"/>
  <c r="BO274" i="3"/>
  <c r="BP274" i="3"/>
  <c r="BQ274" i="3"/>
  <c r="BR274" i="3"/>
  <c r="BS274" i="3"/>
  <c r="BT274" i="3"/>
  <c r="BU274" i="3"/>
  <c r="BV274" i="3"/>
  <c r="BW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BA275" i="3"/>
  <c r="BN275" i="3"/>
  <c r="BO275" i="3"/>
  <c r="BP275" i="3"/>
  <c r="BQ275" i="3"/>
  <c r="BR275" i="3"/>
  <c r="BS275" i="3"/>
  <c r="BT275" i="3"/>
  <c r="BU275" i="3"/>
  <c r="BV275" i="3"/>
  <c r="BW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BA276" i="3"/>
  <c r="BN276" i="3"/>
  <c r="BO276" i="3"/>
  <c r="BP276" i="3"/>
  <c r="BQ276" i="3"/>
  <c r="BR276" i="3"/>
  <c r="BS276" i="3"/>
  <c r="BT276" i="3"/>
  <c r="BU276" i="3"/>
  <c r="BV276" i="3"/>
  <c r="BW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BA277" i="3"/>
  <c r="BN277" i="3"/>
  <c r="BO277" i="3"/>
  <c r="BP277" i="3"/>
  <c r="BQ277" i="3"/>
  <c r="BR277" i="3"/>
  <c r="BS277" i="3"/>
  <c r="BT277" i="3"/>
  <c r="BU277" i="3"/>
  <c r="BV277" i="3"/>
  <c r="BW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BA278" i="3"/>
  <c r="BN278" i="3"/>
  <c r="BO278" i="3"/>
  <c r="BP278" i="3"/>
  <c r="BQ278" i="3"/>
  <c r="BR278" i="3"/>
  <c r="BS278" i="3"/>
  <c r="BT278" i="3"/>
  <c r="BU278" i="3"/>
  <c r="BV278" i="3"/>
  <c r="BW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BA279" i="3"/>
  <c r="BN279" i="3"/>
  <c r="BO279" i="3"/>
  <c r="BP279" i="3"/>
  <c r="BQ279" i="3"/>
  <c r="BR279" i="3"/>
  <c r="BS279" i="3"/>
  <c r="BT279" i="3"/>
  <c r="BU279" i="3"/>
  <c r="BV279" i="3"/>
  <c r="BW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BA280" i="3"/>
  <c r="BN280" i="3"/>
  <c r="BO280" i="3"/>
  <c r="BP280" i="3"/>
  <c r="BQ280" i="3"/>
  <c r="BR280" i="3"/>
  <c r="BS280" i="3"/>
  <c r="BT280" i="3"/>
  <c r="BU280" i="3"/>
  <c r="BV280" i="3"/>
  <c r="BW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BA281" i="3"/>
  <c r="BN281" i="3"/>
  <c r="BO281" i="3"/>
  <c r="BP281" i="3"/>
  <c r="BQ281" i="3"/>
  <c r="BR281" i="3"/>
  <c r="BS281" i="3"/>
  <c r="BT281" i="3"/>
  <c r="BU281" i="3"/>
  <c r="BV281" i="3"/>
  <c r="BW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BA282" i="3"/>
  <c r="BN282" i="3"/>
  <c r="BO282" i="3"/>
  <c r="BP282" i="3"/>
  <c r="BQ282" i="3"/>
  <c r="BR282" i="3"/>
  <c r="BS282" i="3"/>
  <c r="BT282" i="3"/>
  <c r="BU282" i="3"/>
  <c r="BV282" i="3"/>
  <c r="BW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BA283" i="3"/>
  <c r="BN283" i="3"/>
  <c r="BO283" i="3"/>
  <c r="BP283" i="3"/>
  <c r="BQ283" i="3"/>
  <c r="BR283" i="3"/>
  <c r="BS283" i="3"/>
  <c r="BT283" i="3"/>
  <c r="BU283" i="3"/>
  <c r="BV283" i="3"/>
  <c r="BW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BA284" i="3"/>
  <c r="BN284" i="3"/>
  <c r="BO284" i="3"/>
  <c r="BP284" i="3"/>
  <c r="BQ284" i="3"/>
  <c r="BR284" i="3"/>
  <c r="BS284" i="3"/>
  <c r="BT284" i="3"/>
  <c r="BU284" i="3"/>
  <c r="BV284" i="3"/>
  <c r="BW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BA285" i="3"/>
  <c r="BN285" i="3"/>
  <c r="BO285" i="3"/>
  <c r="BP285" i="3"/>
  <c r="BQ285" i="3"/>
  <c r="BR285" i="3"/>
  <c r="BS285" i="3"/>
  <c r="BT285" i="3"/>
  <c r="BU285" i="3"/>
  <c r="BV285" i="3"/>
  <c r="BW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BA286" i="3"/>
  <c r="BN286" i="3"/>
  <c r="BO286" i="3"/>
  <c r="BP286" i="3"/>
  <c r="BQ286" i="3"/>
  <c r="BR286" i="3"/>
  <c r="BS286" i="3"/>
  <c r="BT286" i="3"/>
  <c r="BU286" i="3"/>
  <c r="BV286" i="3"/>
  <c r="BW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BA287" i="3"/>
  <c r="BN287" i="3"/>
  <c r="BO287" i="3"/>
  <c r="BP287" i="3"/>
  <c r="BQ287" i="3"/>
  <c r="BR287" i="3"/>
  <c r="BS287" i="3"/>
  <c r="BT287" i="3"/>
  <c r="BU287" i="3"/>
  <c r="BV287" i="3"/>
  <c r="BW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BA288" i="3"/>
  <c r="BN288" i="3"/>
  <c r="BO288" i="3"/>
  <c r="BP288" i="3"/>
  <c r="BQ288" i="3"/>
  <c r="BR288" i="3"/>
  <c r="BS288" i="3"/>
  <c r="BT288" i="3"/>
  <c r="BU288" i="3"/>
  <c r="BV288" i="3"/>
  <c r="BW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BA289" i="3"/>
  <c r="BN289" i="3"/>
  <c r="BO289" i="3"/>
  <c r="BP289" i="3"/>
  <c r="BQ289" i="3"/>
  <c r="BR289" i="3"/>
  <c r="BS289" i="3"/>
  <c r="BT289" i="3"/>
  <c r="BU289" i="3"/>
  <c r="BV289" i="3"/>
  <c r="BW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BA290" i="3"/>
  <c r="BN290" i="3"/>
  <c r="BO290" i="3"/>
  <c r="BP290" i="3"/>
  <c r="BQ290" i="3"/>
  <c r="BR290" i="3"/>
  <c r="BS290" i="3"/>
  <c r="BT290" i="3"/>
  <c r="BU290" i="3"/>
  <c r="BV290" i="3"/>
  <c r="BW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BA291" i="3"/>
  <c r="BN291" i="3"/>
  <c r="BO291" i="3"/>
  <c r="BP291" i="3"/>
  <c r="BQ291" i="3"/>
  <c r="BR291" i="3"/>
  <c r="BS291" i="3"/>
  <c r="BT291" i="3"/>
  <c r="BU291" i="3"/>
  <c r="BV291" i="3"/>
  <c r="BW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BA292" i="3"/>
  <c r="BN292" i="3"/>
  <c r="BO292" i="3"/>
  <c r="BP292" i="3"/>
  <c r="BQ292" i="3"/>
  <c r="BR292" i="3"/>
  <c r="BS292" i="3"/>
  <c r="BT292" i="3"/>
  <c r="BU292" i="3"/>
  <c r="BV292" i="3"/>
  <c r="BW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BA293" i="3"/>
  <c r="BN293" i="3"/>
  <c r="BO293" i="3"/>
  <c r="BP293" i="3"/>
  <c r="BQ293" i="3"/>
  <c r="BR293" i="3"/>
  <c r="BS293" i="3"/>
  <c r="BT293" i="3"/>
  <c r="BU293" i="3"/>
  <c r="BV293" i="3"/>
  <c r="BW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BA294" i="3"/>
  <c r="BN294" i="3"/>
  <c r="BO294" i="3"/>
  <c r="BP294" i="3"/>
  <c r="BQ294" i="3"/>
  <c r="BR294" i="3"/>
  <c r="BS294" i="3"/>
  <c r="BT294" i="3"/>
  <c r="BU294" i="3"/>
  <c r="BV294" i="3"/>
  <c r="BW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BA295" i="3"/>
  <c r="BN295" i="3"/>
  <c r="BO295" i="3"/>
  <c r="BP295" i="3"/>
  <c r="BQ295" i="3"/>
  <c r="BR295" i="3"/>
  <c r="BS295" i="3"/>
  <c r="BT295" i="3"/>
  <c r="BU295" i="3"/>
  <c r="BV295" i="3"/>
  <c r="BW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BA296" i="3"/>
  <c r="BN296" i="3"/>
  <c r="BO296" i="3"/>
  <c r="BP296" i="3"/>
  <c r="BQ296" i="3"/>
  <c r="BR296" i="3"/>
  <c r="BS296" i="3"/>
  <c r="BT296" i="3"/>
  <c r="BU296" i="3"/>
  <c r="BV296" i="3"/>
  <c r="BW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BA297" i="3"/>
  <c r="BN297" i="3"/>
  <c r="BO297" i="3"/>
  <c r="BP297" i="3"/>
  <c r="BQ297" i="3"/>
  <c r="BR297" i="3"/>
  <c r="BS297" i="3"/>
  <c r="BT297" i="3"/>
  <c r="BU297" i="3"/>
  <c r="BV297" i="3"/>
  <c r="BW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BA298" i="3"/>
  <c r="BN298" i="3"/>
  <c r="BO298" i="3"/>
  <c r="BP298" i="3"/>
  <c r="BQ298" i="3"/>
  <c r="BR298" i="3"/>
  <c r="BS298" i="3"/>
  <c r="BT298" i="3"/>
  <c r="BU298" i="3"/>
  <c r="BV298" i="3"/>
  <c r="BW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BA299" i="3"/>
  <c r="BN299" i="3"/>
  <c r="BO299" i="3"/>
  <c r="BP299" i="3"/>
  <c r="BQ299" i="3"/>
  <c r="BR299" i="3"/>
  <c r="BS299" i="3"/>
  <c r="BT299" i="3"/>
  <c r="BU299" i="3"/>
  <c r="BV299" i="3"/>
  <c r="BW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BA300" i="3"/>
  <c r="BN300" i="3"/>
  <c r="BO300" i="3"/>
  <c r="BP300" i="3"/>
  <c r="BQ300" i="3"/>
  <c r="BR300" i="3"/>
  <c r="BS300" i="3"/>
  <c r="BT300" i="3"/>
  <c r="BU300" i="3"/>
  <c r="BV300" i="3"/>
  <c r="BW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BA301" i="3"/>
  <c r="BN301" i="3"/>
  <c r="BO301" i="3"/>
  <c r="BP301" i="3"/>
  <c r="BQ301" i="3"/>
  <c r="BR301" i="3"/>
  <c r="BS301" i="3"/>
  <c r="BT301" i="3"/>
  <c r="BU301" i="3"/>
  <c r="BV301" i="3"/>
  <c r="BW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BA302" i="3"/>
  <c r="BN302" i="3"/>
  <c r="BO302" i="3"/>
  <c r="BP302" i="3"/>
  <c r="BQ302" i="3"/>
  <c r="BR302" i="3"/>
  <c r="BS302" i="3"/>
  <c r="BT302" i="3"/>
  <c r="BU302" i="3"/>
  <c r="BV302" i="3"/>
  <c r="BW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BA303" i="3"/>
  <c r="BN303" i="3"/>
  <c r="BO303" i="3"/>
  <c r="BP303" i="3"/>
  <c r="BQ303" i="3"/>
  <c r="BR303" i="3"/>
  <c r="BS303" i="3"/>
  <c r="BT303" i="3"/>
  <c r="BU303" i="3"/>
  <c r="BV303" i="3"/>
  <c r="BW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BA304" i="3"/>
  <c r="BN304" i="3"/>
  <c r="BO304" i="3"/>
  <c r="BP304" i="3"/>
  <c r="BQ304" i="3"/>
  <c r="BR304" i="3"/>
  <c r="BS304" i="3"/>
  <c r="BT304" i="3"/>
  <c r="BU304" i="3"/>
  <c r="BV304" i="3"/>
  <c r="BW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BA305" i="3"/>
  <c r="BN305" i="3"/>
  <c r="BO305" i="3"/>
  <c r="BP305" i="3"/>
  <c r="BQ305" i="3"/>
  <c r="BR305" i="3"/>
  <c r="BS305" i="3"/>
  <c r="BT305" i="3"/>
  <c r="BU305" i="3"/>
  <c r="BV305" i="3"/>
  <c r="BW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BA306" i="3"/>
  <c r="BN306" i="3"/>
  <c r="BO306" i="3"/>
  <c r="BP306" i="3"/>
  <c r="BQ306" i="3"/>
  <c r="BR306" i="3"/>
  <c r="BS306" i="3"/>
  <c r="BT306" i="3"/>
  <c r="BU306" i="3"/>
  <c r="BV306" i="3"/>
  <c r="BW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BA307" i="3"/>
  <c r="BN307" i="3"/>
  <c r="BO307" i="3"/>
  <c r="BP307" i="3"/>
  <c r="BQ307" i="3"/>
  <c r="BR307" i="3"/>
  <c r="BS307" i="3"/>
  <c r="BT307" i="3"/>
  <c r="BU307" i="3"/>
  <c r="BV307" i="3"/>
  <c r="BW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BA308" i="3"/>
  <c r="BN308" i="3"/>
  <c r="BO308" i="3"/>
  <c r="BP308" i="3"/>
  <c r="BQ308" i="3"/>
  <c r="BR308" i="3"/>
  <c r="BS308" i="3"/>
  <c r="BT308" i="3"/>
  <c r="BU308" i="3"/>
  <c r="BV308" i="3"/>
  <c r="BW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BA309" i="3"/>
  <c r="BN309" i="3"/>
  <c r="BO309" i="3"/>
  <c r="BP309" i="3"/>
  <c r="BQ309" i="3"/>
  <c r="BR309" i="3"/>
  <c r="BS309" i="3"/>
  <c r="BT309" i="3"/>
  <c r="BU309" i="3"/>
  <c r="BV309" i="3"/>
  <c r="BW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BA310" i="3"/>
  <c r="BN310" i="3"/>
  <c r="BO310" i="3"/>
  <c r="BP310" i="3"/>
  <c r="BQ310" i="3"/>
  <c r="BR310" i="3"/>
  <c r="BS310" i="3"/>
  <c r="BT310" i="3"/>
  <c r="BU310" i="3"/>
  <c r="BV310" i="3"/>
  <c r="BW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BA311" i="3"/>
  <c r="BN311" i="3"/>
  <c r="BO311" i="3"/>
  <c r="BP311" i="3"/>
  <c r="BQ311" i="3"/>
  <c r="BR311" i="3"/>
  <c r="BS311" i="3"/>
  <c r="BT311" i="3"/>
  <c r="BU311" i="3"/>
  <c r="BV311" i="3"/>
  <c r="BW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BA312" i="3"/>
  <c r="BN312" i="3"/>
  <c r="BO312" i="3"/>
  <c r="BP312" i="3"/>
  <c r="BQ312" i="3"/>
  <c r="BR312" i="3"/>
  <c r="BS312" i="3"/>
  <c r="BT312" i="3"/>
  <c r="BU312" i="3"/>
  <c r="BV312" i="3"/>
  <c r="BW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BA313" i="3"/>
  <c r="BN313" i="3"/>
  <c r="BO313" i="3"/>
  <c r="BP313" i="3"/>
  <c r="BQ313" i="3"/>
  <c r="BR313" i="3"/>
  <c r="BS313" i="3"/>
  <c r="BT313" i="3"/>
  <c r="BU313" i="3"/>
  <c r="BV313" i="3"/>
  <c r="BW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BA314" i="3"/>
  <c r="BN314" i="3"/>
  <c r="BO314" i="3"/>
  <c r="BP314" i="3"/>
  <c r="BQ314" i="3"/>
  <c r="BR314" i="3"/>
  <c r="BS314" i="3"/>
  <c r="BT314" i="3"/>
  <c r="BU314" i="3"/>
  <c r="BV314" i="3"/>
  <c r="BW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BA315" i="3"/>
  <c r="BN315" i="3"/>
  <c r="BO315" i="3"/>
  <c r="BP315" i="3"/>
  <c r="BQ315" i="3"/>
  <c r="BR315" i="3"/>
  <c r="BS315" i="3"/>
  <c r="BT315" i="3"/>
  <c r="BU315" i="3"/>
  <c r="BV315" i="3"/>
  <c r="BW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BA316" i="3"/>
  <c r="BN316" i="3"/>
  <c r="BO316" i="3"/>
  <c r="BP316" i="3"/>
  <c r="BQ316" i="3"/>
  <c r="BR316" i="3"/>
  <c r="BS316" i="3"/>
  <c r="BT316" i="3"/>
  <c r="BU316" i="3"/>
  <c r="BV316" i="3"/>
  <c r="BW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BA317" i="3"/>
  <c r="BN317" i="3"/>
  <c r="BO317" i="3"/>
  <c r="BP317" i="3"/>
  <c r="BQ317" i="3"/>
  <c r="BR317" i="3"/>
  <c r="BS317" i="3"/>
  <c r="BT317" i="3"/>
  <c r="BU317" i="3"/>
  <c r="BV317" i="3"/>
  <c r="BW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BA318" i="3"/>
  <c r="BN318" i="3"/>
  <c r="BO318" i="3"/>
  <c r="BP318" i="3"/>
  <c r="BQ318" i="3"/>
  <c r="BR318" i="3"/>
  <c r="BS318" i="3"/>
  <c r="BT318" i="3"/>
  <c r="BU318" i="3"/>
  <c r="BV318" i="3"/>
  <c r="BW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BA319" i="3"/>
  <c r="BN319" i="3"/>
  <c r="BO319" i="3"/>
  <c r="BP319" i="3"/>
  <c r="BQ319" i="3"/>
  <c r="BR319" i="3"/>
  <c r="BS319" i="3"/>
  <c r="BT319" i="3"/>
  <c r="BU319" i="3"/>
  <c r="BV319" i="3"/>
  <c r="BW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BA320" i="3"/>
  <c r="BN320" i="3"/>
  <c r="BO320" i="3"/>
  <c r="BP320" i="3"/>
  <c r="BQ320" i="3"/>
  <c r="BR320" i="3"/>
  <c r="BS320" i="3"/>
  <c r="BT320" i="3"/>
  <c r="BU320" i="3"/>
  <c r="BV320" i="3"/>
  <c r="BW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BA321" i="3"/>
  <c r="BN321" i="3"/>
  <c r="BO321" i="3"/>
  <c r="BP321" i="3"/>
  <c r="BQ321" i="3"/>
  <c r="BR321" i="3"/>
  <c r="BS321" i="3"/>
  <c r="BT321" i="3"/>
  <c r="BU321" i="3"/>
  <c r="BV321" i="3"/>
  <c r="BW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BA322" i="3"/>
  <c r="BN322" i="3"/>
  <c r="BO322" i="3"/>
  <c r="BP322" i="3"/>
  <c r="BQ322" i="3"/>
  <c r="BR322" i="3"/>
  <c r="BS322" i="3"/>
  <c r="BT322" i="3"/>
  <c r="BU322" i="3"/>
  <c r="BV322" i="3"/>
  <c r="BW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BA323" i="3"/>
  <c r="BN323" i="3"/>
  <c r="BO323" i="3"/>
  <c r="BP323" i="3"/>
  <c r="BQ323" i="3"/>
  <c r="BR323" i="3"/>
  <c r="BS323" i="3"/>
  <c r="BT323" i="3"/>
  <c r="BU323" i="3"/>
  <c r="BV323" i="3"/>
  <c r="BW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BA324" i="3"/>
  <c r="BN324" i="3"/>
  <c r="BO324" i="3"/>
  <c r="BP324" i="3"/>
  <c r="BQ324" i="3"/>
  <c r="BR324" i="3"/>
  <c r="BS324" i="3"/>
  <c r="BT324" i="3"/>
  <c r="BU324" i="3"/>
  <c r="BV324" i="3"/>
  <c r="BW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BA325" i="3"/>
  <c r="BN325" i="3"/>
  <c r="BO325" i="3"/>
  <c r="BP325" i="3"/>
  <c r="BQ325" i="3"/>
  <c r="BR325" i="3"/>
  <c r="BS325" i="3"/>
  <c r="BT325" i="3"/>
  <c r="BU325" i="3"/>
  <c r="BV325" i="3"/>
  <c r="BW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BA326" i="3"/>
  <c r="BN326" i="3"/>
  <c r="BO326" i="3"/>
  <c r="BP326" i="3"/>
  <c r="BQ326" i="3"/>
  <c r="BR326" i="3"/>
  <c r="BS326" i="3"/>
  <c r="BT326" i="3"/>
  <c r="BU326" i="3"/>
  <c r="BV326" i="3"/>
  <c r="BW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BA327" i="3"/>
  <c r="BN327" i="3"/>
  <c r="BO327" i="3"/>
  <c r="BP327" i="3"/>
  <c r="BQ327" i="3"/>
  <c r="BR327" i="3"/>
  <c r="BS327" i="3"/>
  <c r="BT327" i="3"/>
  <c r="BU327" i="3"/>
  <c r="BV327" i="3"/>
  <c r="BW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BA328" i="3"/>
  <c r="BN328" i="3"/>
  <c r="BO328" i="3"/>
  <c r="BP328" i="3"/>
  <c r="BQ328" i="3"/>
  <c r="BR328" i="3"/>
  <c r="BS328" i="3"/>
  <c r="BT328" i="3"/>
  <c r="BU328" i="3"/>
  <c r="BV328" i="3"/>
  <c r="BW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BA329" i="3"/>
  <c r="BN329" i="3"/>
  <c r="BO329" i="3"/>
  <c r="BP329" i="3"/>
  <c r="BQ329" i="3"/>
  <c r="BR329" i="3"/>
  <c r="BS329" i="3"/>
  <c r="BT329" i="3"/>
  <c r="BU329" i="3"/>
  <c r="BV329" i="3"/>
  <c r="BW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BA330" i="3"/>
  <c r="BN330" i="3"/>
  <c r="BO330" i="3"/>
  <c r="BP330" i="3"/>
  <c r="BQ330" i="3"/>
  <c r="BR330" i="3"/>
  <c r="BS330" i="3"/>
  <c r="BT330" i="3"/>
  <c r="BU330" i="3"/>
  <c r="BV330" i="3"/>
  <c r="BW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BA331" i="3"/>
  <c r="BN331" i="3"/>
  <c r="BO331" i="3"/>
  <c r="BP331" i="3"/>
  <c r="BQ331" i="3"/>
  <c r="BR331" i="3"/>
  <c r="BS331" i="3"/>
  <c r="BT331" i="3"/>
  <c r="BU331" i="3"/>
  <c r="BV331" i="3"/>
  <c r="BW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BA332" i="3"/>
  <c r="BN332" i="3"/>
  <c r="BO332" i="3"/>
  <c r="BP332" i="3"/>
  <c r="BQ332" i="3"/>
  <c r="BR332" i="3"/>
  <c r="BS332" i="3"/>
  <c r="BT332" i="3"/>
  <c r="BU332" i="3"/>
  <c r="BV332" i="3"/>
  <c r="BW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BA333" i="3"/>
  <c r="BN333" i="3"/>
  <c r="BO333" i="3"/>
  <c r="BP333" i="3"/>
  <c r="BQ333" i="3"/>
  <c r="BR333" i="3"/>
  <c r="BS333" i="3"/>
  <c r="BT333" i="3"/>
  <c r="BU333" i="3"/>
  <c r="BV333" i="3"/>
  <c r="BW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BA334" i="3"/>
  <c r="BN334" i="3"/>
  <c r="BO334" i="3"/>
  <c r="BP334" i="3"/>
  <c r="BQ334" i="3"/>
  <c r="BR334" i="3"/>
  <c r="BS334" i="3"/>
  <c r="BT334" i="3"/>
  <c r="BU334" i="3"/>
  <c r="BV334" i="3"/>
  <c r="BW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BA335" i="3"/>
  <c r="BN335" i="3"/>
  <c r="BO335" i="3"/>
  <c r="BP335" i="3"/>
  <c r="BQ335" i="3"/>
  <c r="BR335" i="3"/>
  <c r="BS335" i="3"/>
  <c r="BT335" i="3"/>
  <c r="BU335" i="3"/>
  <c r="BV335" i="3"/>
  <c r="BW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BA336" i="3"/>
  <c r="BN336" i="3"/>
  <c r="BO336" i="3"/>
  <c r="BP336" i="3"/>
  <c r="BQ336" i="3"/>
  <c r="BR336" i="3"/>
  <c r="BS336" i="3"/>
  <c r="BT336" i="3"/>
  <c r="BU336" i="3"/>
  <c r="BV336" i="3"/>
  <c r="BW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BA337" i="3"/>
  <c r="BN337" i="3"/>
  <c r="BO337" i="3"/>
  <c r="BP337" i="3"/>
  <c r="BQ337" i="3"/>
  <c r="BR337" i="3"/>
  <c r="BS337" i="3"/>
  <c r="BT337" i="3"/>
  <c r="BU337" i="3"/>
  <c r="BV337" i="3"/>
  <c r="BW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BA338" i="3"/>
  <c r="BN338" i="3"/>
  <c r="BO338" i="3"/>
  <c r="BP338" i="3"/>
  <c r="BQ338" i="3"/>
  <c r="BR338" i="3"/>
  <c r="BS338" i="3"/>
  <c r="BT338" i="3"/>
  <c r="BU338" i="3"/>
  <c r="BV338" i="3"/>
  <c r="BW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BA339" i="3"/>
  <c r="BN339" i="3"/>
  <c r="BO339" i="3"/>
  <c r="BP339" i="3"/>
  <c r="BQ339" i="3"/>
  <c r="BR339" i="3"/>
  <c r="BS339" i="3"/>
  <c r="BT339" i="3"/>
  <c r="BU339" i="3"/>
  <c r="BV339" i="3"/>
  <c r="BW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BA340" i="3"/>
  <c r="BN340" i="3"/>
  <c r="BO340" i="3"/>
  <c r="BP340" i="3"/>
  <c r="BQ340" i="3"/>
  <c r="BR340" i="3"/>
  <c r="BS340" i="3"/>
  <c r="BT340" i="3"/>
  <c r="BU340" i="3"/>
  <c r="BV340" i="3"/>
  <c r="BW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BA341" i="3"/>
  <c r="BN341" i="3"/>
  <c r="BO341" i="3"/>
  <c r="BP341" i="3"/>
  <c r="BQ341" i="3"/>
  <c r="BR341" i="3"/>
  <c r="BS341" i="3"/>
  <c r="BT341" i="3"/>
  <c r="BU341" i="3"/>
  <c r="BV341" i="3"/>
  <c r="BW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BA342" i="3"/>
  <c r="BN342" i="3"/>
  <c r="BO342" i="3"/>
  <c r="BP342" i="3"/>
  <c r="BQ342" i="3"/>
  <c r="BR342" i="3"/>
  <c r="BS342" i="3"/>
  <c r="BT342" i="3"/>
  <c r="BU342" i="3"/>
  <c r="BV342" i="3"/>
  <c r="BW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BA343" i="3"/>
  <c r="BN343" i="3"/>
  <c r="BO343" i="3"/>
  <c r="BP343" i="3"/>
  <c r="BQ343" i="3"/>
  <c r="BR343" i="3"/>
  <c r="BS343" i="3"/>
  <c r="BT343" i="3"/>
  <c r="BU343" i="3"/>
  <c r="BV343" i="3"/>
  <c r="BW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BA344" i="3"/>
  <c r="BN344" i="3"/>
  <c r="BO344" i="3"/>
  <c r="BP344" i="3"/>
  <c r="BQ344" i="3"/>
  <c r="BR344" i="3"/>
  <c r="BS344" i="3"/>
  <c r="BT344" i="3"/>
  <c r="BU344" i="3"/>
  <c r="BV344" i="3"/>
  <c r="BW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BA345" i="3"/>
  <c r="BN345" i="3"/>
  <c r="BO345" i="3"/>
  <c r="BP345" i="3"/>
  <c r="BQ345" i="3"/>
  <c r="BR345" i="3"/>
  <c r="BS345" i="3"/>
  <c r="BT345" i="3"/>
  <c r="BU345" i="3"/>
  <c r="BV345" i="3"/>
  <c r="BW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BA346" i="3"/>
  <c r="BN346" i="3"/>
  <c r="BO346" i="3"/>
  <c r="BP346" i="3"/>
  <c r="BQ346" i="3"/>
  <c r="BR346" i="3"/>
  <c r="BS346" i="3"/>
  <c r="BT346" i="3"/>
  <c r="BU346" i="3"/>
  <c r="BV346" i="3"/>
  <c r="BW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BA347" i="3"/>
  <c r="BN347" i="3"/>
  <c r="BO347" i="3"/>
  <c r="BP347" i="3"/>
  <c r="BQ347" i="3"/>
  <c r="BR347" i="3"/>
  <c r="BS347" i="3"/>
  <c r="BT347" i="3"/>
  <c r="BU347" i="3"/>
  <c r="BV347" i="3"/>
  <c r="BW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BA348" i="3"/>
  <c r="BN348" i="3"/>
  <c r="BO348" i="3"/>
  <c r="BP348" i="3"/>
  <c r="BQ348" i="3"/>
  <c r="BR348" i="3"/>
  <c r="BS348" i="3"/>
  <c r="BT348" i="3"/>
  <c r="BU348" i="3"/>
  <c r="BV348" i="3"/>
  <c r="BW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BA349" i="3"/>
  <c r="BN349" i="3"/>
  <c r="BO349" i="3"/>
  <c r="BP349" i="3"/>
  <c r="BQ349" i="3"/>
  <c r="BR349" i="3"/>
  <c r="BS349" i="3"/>
  <c r="BT349" i="3"/>
  <c r="BU349" i="3"/>
  <c r="BV349" i="3"/>
  <c r="BW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BA350" i="3"/>
  <c r="BN350" i="3"/>
  <c r="BO350" i="3"/>
  <c r="BP350" i="3"/>
  <c r="BQ350" i="3"/>
  <c r="BR350" i="3"/>
  <c r="BS350" i="3"/>
  <c r="BT350" i="3"/>
  <c r="BU350" i="3"/>
  <c r="BV350" i="3"/>
  <c r="BW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BA351" i="3"/>
  <c r="BN351" i="3"/>
  <c r="BO351" i="3"/>
  <c r="BP351" i="3"/>
  <c r="BQ351" i="3"/>
  <c r="BR351" i="3"/>
  <c r="BS351" i="3"/>
  <c r="BT351" i="3"/>
  <c r="BU351" i="3"/>
  <c r="BV351" i="3"/>
  <c r="BW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BA352" i="3"/>
  <c r="BN352" i="3"/>
  <c r="BO352" i="3"/>
  <c r="BP352" i="3"/>
  <c r="BQ352" i="3"/>
  <c r="BR352" i="3"/>
  <c r="BS352" i="3"/>
  <c r="BT352" i="3"/>
  <c r="BU352" i="3"/>
  <c r="BV352" i="3"/>
  <c r="BW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BA353" i="3"/>
  <c r="BN353" i="3"/>
  <c r="BO353" i="3"/>
  <c r="BP353" i="3"/>
  <c r="BQ353" i="3"/>
  <c r="BR353" i="3"/>
  <c r="BS353" i="3"/>
  <c r="BT353" i="3"/>
  <c r="BU353" i="3"/>
  <c r="BV353" i="3"/>
  <c r="BW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BA354" i="3"/>
  <c r="BN354" i="3"/>
  <c r="BO354" i="3"/>
  <c r="BP354" i="3"/>
  <c r="BQ354" i="3"/>
  <c r="BR354" i="3"/>
  <c r="BS354" i="3"/>
  <c r="BT354" i="3"/>
  <c r="BU354" i="3"/>
  <c r="BV354" i="3"/>
  <c r="BW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BA355" i="3"/>
  <c r="BN355" i="3"/>
  <c r="BO355" i="3"/>
  <c r="BP355" i="3"/>
  <c r="BQ355" i="3"/>
  <c r="BR355" i="3"/>
  <c r="BS355" i="3"/>
  <c r="BT355" i="3"/>
  <c r="BU355" i="3"/>
  <c r="BV355" i="3"/>
  <c r="BW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BA356" i="3"/>
  <c r="BN356" i="3"/>
  <c r="BO356" i="3"/>
  <c r="BP356" i="3"/>
  <c r="BQ356" i="3"/>
  <c r="BR356" i="3"/>
  <c r="BS356" i="3"/>
  <c r="BT356" i="3"/>
  <c r="BU356" i="3"/>
  <c r="BV356" i="3"/>
  <c r="BW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BA357" i="3"/>
  <c r="BN357" i="3"/>
  <c r="BO357" i="3"/>
  <c r="BP357" i="3"/>
  <c r="BQ357" i="3"/>
  <c r="BR357" i="3"/>
  <c r="BS357" i="3"/>
  <c r="BT357" i="3"/>
  <c r="BU357" i="3"/>
  <c r="BV357" i="3"/>
  <c r="BW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BA358" i="3"/>
  <c r="BN358" i="3"/>
  <c r="BO358" i="3"/>
  <c r="BP358" i="3"/>
  <c r="BQ358" i="3"/>
  <c r="BR358" i="3"/>
  <c r="BS358" i="3"/>
  <c r="BT358" i="3"/>
  <c r="BU358" i="3"/>
  <c r="BV358" i="3"/>
  <c r="BW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BA359" i="3"/>
  <c r="BN359" i="3"/>
  <c r="BO359" i="3"/>
  <c r="BP359" i="3"/>
  <c r="BQ359" i="3"/>
  <c r="BR359" i="3"/>
  <c r="BS359" i="3"/>
  <c r="BT359" i="3"/>
  <c r="BU359" i="3"/>
  <c r="BV359" i="3"/>
  <c r="BW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BA360" i="3"/>
  <c r="BN360" i="3"/>
  <c r="BO360" i="3"/>
  <c r="BP360" i="3"/>
  <c r="BQ360" i="3"/>
  <c r="BR360" i="3"/>
  <c r="BS360" i="3"/>
  <c r="BT360" i="3"/>
  <c r="BU360" i="3"/>
  <c r="BV360" i="3"/>
  <c r="BW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BA361" i="3"/>
  <c r="BN361" i="3"/>
  <c r="BO361" i="3"/>
  <c r="BP361" i="3"/>
  <c r="BQ361" i="3"/>
  <c r="BR361" i="3"/>
  <c r="BS361" i="3"/>
  <c r="BT361" i="3"/>
  <c r="BU361" i="3"/>
  <c r="BV361" i="3"/>
  <c r="BW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BA362" i="3"/>
  <c r="BN362" i="3"/>
  <c r="BO362" i="3"/>
  <c r="BP362" i="3"/>
  <c r="BQ362" i="3"/>
  <c r="BR362" i="3"/>
  <c r="BS362" i="3"/>
  <c r="BT362" i="3"/>
  <c r="BU362" i="3"/>
  <c r="BV362" i="3"/>
  <c r="BW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BA363" i="3"/>
  <c r="BN363" i="3"/>
  <c r="BO363" i="3"/>
  <c r="BP363" i="3"/>
  <c r="BQ363" i="3"/>
  <c r="BR363" i="3"/>
  <c r="BS363" i="3"/>
  <c r="BT363" i="3"/>
  <c r="BU363" i="3"/>
  <c r="BV363" i="3"/>
  <c r="BW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BA364" i="3"/>
  <c r="BN364" i="3"/>
  <c r="BO364" i="3"/>
  <c r="BP364" i="3"/>
  <c r="BQ364" i="3"/>
  <c r="BR364" i="3"/>
  <c r="BS364" i="3"/>
  <c r="BT364" i="3"/>
  <c r="BU364" i="3"/>
  <c r="BV364" i="3"/>
  <c r="BW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BA365" i="3"/>
  <c r="BN365" i="3"/>
  <c r="BO365" i="3"/>
  <c r="BP365" i="3"/>
  <c r="BQ365" i="3"/>
  <c r="BR365" i="3"/>
  <c r="BS365" i="3"/>
  <c r="BT365" i="3"/>
  <c r="BU365" i="3"/>
  <c r="BV365" i="3"/>
  <c r="BW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BA366" i="3"/>
  <c r="BN366" i="3"/>
  <c r="BO366" i="3"/>
  <c r="BP366" i="3"/>
  <c r="BQ366" i="3"/>
  <c r="BR366" i="3"/>
  <c r="BS366" i="3"/>
  <c r="BT366" i="3"/>
  <c r="BU366" i="3"/>
  <c r="BV366" i="3"/>
  <c r="BW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BA367" i="3"/>
  <c r="BN367" i="3"/>
  <c r="BO367" i="3"/>
  <c r="BP367" i="3"/>
  <c r="BQ367" i="3"/>
  <c r="BR367" i="3"/>
  <c r="BS367" i="3"/>
  <c r="BT367" i="3"/>
  <c r="BU367" i="3"/>
  <c r="BV367" i="3"/>
  <c r="BW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BA368" i="3"/>
  <c r="BN368" i="3"/>
  <c r="BO368" i="3"/>
  <c r="BP368" i="3"/>
  <c r="BQ368" i="3"/>
  <c r="BR368" i="3"/>
  <c r="BS368" i="3"/>
  <c r="BT368" i="3"/>
  <c r="BU368" i="3"/>
  <c r="BV368" i="3"/>
  <c r="BW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BA369" i="3"/>
  <c r="BN369" i="3"/>
  <c r="BO369" i="3"/>
  <c r="BP369" i="3"/>
  <c r="BQ369" i="3"/>
  <c r="BR369" i="3"/>
  <c r="BS369" i="3"/>
  <c r="BT369" i="3"/>
  <c r="BU369" i="3"/>
  <c r="BV369" i="3"/>
  <c r="BW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BA370" i="3"/>
  <c r="BN370" i="3"/>
  <c r="BO370" i="3"/>
  <c r="BP370" i="3"/>
  <c r="BQ370" i="3"/>
  <c r="BR370" i="3"/>
  <c r="BS370" i="3"/>
  <c r="BT370" i="3"/>
  <c r="BU370" i="3"/>
  <c r="BV370" i="3"/>
  <c r="BW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BA371" i="3"/>
  <c r="BN371" i="3"/>
  <c r="BO371" i="3"/>
  <c r="BP371" i="3"/>
  <c r="BQ371" i="3"/>
  <c r="BR371" i="3"/>
  <c r="BS371" i="3"/>
  <c r="BT371" i="3"/>
  <c r="BU371" i="3"/>
  <c r="BV371" i="3"/>
  <c r="BW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BA372" i="3"/>
  <c r="BN372" i="3"/>
  <c r="BO372" i="3"/>
  <c r="BP372" i="3"/>
  <c r="BQ372" i="3"/>
  <c r="BR372" i="3"/>
  <c r="BS372" i="3"/>
  <c r="BT372" i="3"/>
  <c r="BU372" i="3"/>
  <c r="BV372" i="3"/>
  <c r="BW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BA373" i="3"/>
  <c r="BN373" i="3"/>
  <c r="BO373" i="3"/>
  <c r="BP373" i="3"/>
  <c r="BQ373" i="3"/>
  <c r="BR373" i="3"/>
  <c r="BS373" i="3"/>
  <c r="BT373" i="3"/>
  <c r="BU373" i="3"/>
  <c r="BV373" i="3"/>
  <c r="BW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BA374" i="3"/>
  <c r="BN374" i="3"/>
  <c r="BO374" i="3"/>
  <c r="BP374" i="3"/>
  <c r="BQ374" i="3"/>
  <c r="BR374" i="3"/>
  <c r="BS374" i="3"/>
  <c r="BT374" i="3"/>
  <c r="BU374" i="3"/>
  <c r="BV374" i="3"/>
  <c r="BW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BA375" i="3"/>
  <c r="BN375" i="3"/>
  <c r="BO375" i="3"/>
  <c r="BP375" i="3"/>
  <c r="BQ375" i="3"/>
  <c r="BR375" i="3"/>
  <c r="BS375" i="3"/>
  <c r="BT375" i="3"/>
  <c r="BU375" i="3"/>
  <c r="BV375" i="3"/>
  <c r="BW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BA376" i="3"/>
  <c r="BN376" i="3"/>
  <c r="BO376" i="3"/>
  <c r="BP376" i="3"/>
  <c r="BQ376" i="3"/>
  <c r="BR376" i="3"/>
  <c r="BS376" i="3"/>
  <c r="BT376" i="3"/>
  <c r="BU376" i="3"/>
  <c r="BV376" i="3"/>
  <c r="BW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BA377" i="3"/>
  <c r="BN377" i="3"/>
  <c r="BO377" i="3"/>
  <c r="BP377" i="3"/>
  <c r="BQ377" i="3"/>
  <c r="BR377" i="3"/>
  <c r="BS377" i="3"/>
  <c r="BT377" i="3"/>
  <c r="BU377" i="3"/>
  <c r="BV377" i="3"/>
  <c r="BW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BA378" i="3"/>
  <c r="BN378" i="3"/>
  <c r="BO378" i="3"/>
  <c r="BP378" i="3"/>
  <c r="BQ378" i="3"/>
  <c r="BR378" i="3"/>
  <c r="BS378" i="3"/>
  <c r="BT378" i="3"/>
  <c r="BU378" i="3"/>
  <c r="BV378" i="3"/>
  <c r="BW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BA379" i="3"/>
  <c r="BN379" i="3"/>
  <c r="BO379" i="3"/>
  <c r="BP379" i="3"/>
  <c r="BQ379" i="3"/>
  <c r="BR379" i="3"/>
  <c r="BS379" i="3"/>
  <c r="BT379" i="3"/>
  <c r="BU379" i="3"/>
  <c r="BV379" i="3"/>
  <c r="BW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BA380" i="3"/>
  <c r="BN380" i="3"/>
  <c r="BO380" i="3"/>
  <c r="BP380" i="3"/>
  <c r="BQ380" i="3"/>
  <c r="BR380" i="3"/>
  <c r="BS380" i="3"/>
  <c r="BT380" i="3"/>
  <c r="BU380" i="3"/>
  <c r="BV380" i="3"/>
  <c r="BW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BA381" i="3"/>
  <c r="BN381" i="3"/>
  <c r="BO381" i="3"/>
  <c r="BP381" i="3"/>
  <c r="BQ381" i="3"/>
  <c r="BR381" i="3"/>
  <c r="BS381" i="3"/>
  <c r="BT381" i="3"/>
  <c r="BU381" i="3"/>
  <c r="BV381" i="3"/>
  <c r="BW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BA382" i="3"/>
  <c r="BN382" i="3"/>
  <c r="BO382" i="3"/>
  <c r="BP382" i="3"/>
  <c r="BQ382" i="3"/>
  <c r="BR382" i="3"/>
  <c r="BS382" i="3"/>
  <c r="BT382" i="3"/>
  <c r="BU382" i="3"/>
  <c r="BV382" i="3"/>
  <c r="BW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BA383" i="3"/>
  <c r="BN383" i="3"/>
  <c r="BO383" i="3"/>
  <c r="BP383" i="3"/>
  <c r="BQ383" i="3"/>
  <c r="BR383" i="3"/>
  <c r="BS383" i="3"/>
  <c r="BT383" i="3"/>
  <c r="BU383" i="3"/>
  <c r="BV383" i="3"/>
  <c r="BW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BA384" i="3"/>
  <c r="BN384" i="3"/>
  <c r="BO384" i="3"/>
  <c r="BP384" i="3"/>
  <c r="BQ384" i="3"/>
  <c r="BR384" i="3"/>
  <c r="BS384" i="3"/>
  <c r="BT384" i="3"/>
  <c r="BU384" i="3"/>
  <c r="BV384" i="3"/>
  <c r="BW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BA385" i="3"/>
  <c r="BN385" i="3"/>
  <c r="BO385" i="3"/>
  <c r="BP385" i="3"/>
  <c r="BQ385" i="3"/>
  <c r="BR385" i="3"/>
  <c r="BS385" i="3"/>
  <c r="BT385" i="3"/>
  <c r="BU385" i="3"/>
  <c r="BV385" i="3"/>
  <c r="BW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BA386" i="3"/>
  <c r="BN386" i="3"/>
  <c r="BO386" i="3"/>
  <c r="BP386" i="3"/>
  <c r="BQ386" i="3"/>
  <c r="BR386" i="3"/>
  <c r="BS386" i="3"/>
  <c r="BT386" i="3"/>
  <c r="BU386" i="3"/>
  <c r="BV386" i="3"/>
  <c r="BW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BA387" i="3"/>
  <c r="BN387" i="3"/>
  <c r="BO387" i="3"/>
  <c r="BP387" i="3"/>
  <c r="BQ387" i="3"/>
  <c r="BR387" i="3"/>
  <c r="BS387" i="3"/>
  <c r="BT387" i="3"/>
  <c r="BU387" i="3"/>
  <c r="BV387" i="3"/>
  <c r="BW387" i="3"/>
  <c r="BP2" i="5"/>
  <c r="BZ2" i="5"/>
  <c r="BP3" i="5"/>
  <c r="BZ3" i="5"/>
  <c r="BP4" i="5"/>
  <c r="BZ4" i="5"/>
  <c r="BP5" i="5"/>
  <c r="BZ5" i="5"/>
  <c r="A6" i="5"/>
  <c r="BP6" i="5"/>
  <c r="BZ6" i="5"/>
  <c r="BP7" i="5"/>
  <c r="BZ7" i="5"/>
  <c r="BP8" i="5"/>
  <c r="BZ8" i="5"/>
  <c r="BP9" i="5"/>
  <c r="BZ9" i="5"/>
  <c r="BP10" i="5"/>
  <c r="BZ10" i="5"/>
  <c r="C11" i="5"/>
  <c r="D11" i="5"/>
  <c r="E11" i="5"/>
  <c r="F11" i="5"/>
  <c r="G11" i="5"/>
  <c r="H11" i="5"/>
  <c r="I11" i="5"/>
  <c r="J11" i="5"/>
  <c r="K11" i="5"/>
  <c r="L11" i="5"/>
  <c r="M11" i="5"/>
  <c r="BP11" i="5"/>
  <c r="BZ11" i="5"/>
  <c r="C12" i="5"/>
  <c r="D12" i="5"/>
  <c r="E12" i="5"/>
  <c r="F12" i="5"/>
  <c r="G12" i="5"/>
  <c r="H12" i="5"/>
  <c r="I12" i="5"/>
  <c r="J12" i="5"/>
  <c r="K12" i="5"/>
  <c r="L12" i="5"/>
  <c r="M12" i="5"/>
  <c r="BP12" i="5"/>
  <c r="BZ12" i="5"/>
  <c r="D13" i="5"/>
  <c r="E13" i="5"/>
  <c r="L13" i="5"/>
  <c r="M13" i="5"/>
  <c r="BP13" i="5"/>
  <c r="BZ13" i="5"/>
  <c r="BP14" i="5"/>
  <c r="BZ14" i="5"/>
  <c r="BP15" i="5"/>
  <c r="BZ15" i="5"/>
  <c r="BP16" i="5"/>
  <c r="BZ16" i="5"/>
  <c r="B17" i="5"/>
  <c r="O17" i="5"/>
  <c r="P17" i="5"/>
  <c r="R17" i="5"/>
  <c r="S17" i="5"/>
  <c r="T17" i="5"/>
  <c r="U17" i="5"/>
  <c r="BP17" i="5"/>
  <c r="BZ17" i="5"/>
  <c r="B18" i="5"/>
  <c r="O18" i="5"/>
  <c r="P18" i="5"/>
  <c r="R18" i="5"/>
  <c r="S18" i="5"/>
  <c r="T18" i="5"/>
  <c r="U18" i="5"/>
  <c r="BP18" i="5"/>
  <c r="BZ18" i="5"/>
  <c r="B19" i="5"/>
  <c r="O19" i="5"/>
  <c r="P19" i="5"/>
  <c r="R19" i="5"/>
  <c r="S19" i="5"/>
  <c r="T19" i="5"/>
  <c r="U19" i="5"/>
  <c r="BP19" i="5"/>
  <c r="BZ19" i="5"/>
  <c r="B20" i="5"/>
  <c r="O20" i="5"/>
  <c r="P20" i="5"/>
  <c r="R20" i="5"/>
  <c r="S20" i="5"/>
  <c r="T20" i="5"/>
  <c r="U20" i="5"/>
  <c r="BP20" i="5"/>
  <c r="BZ20" i="5"/>
  <c r="B21" i="5"/>
  <c r="O21" i="5"/>
  <c r="P21" i="5"/>
  <c r="R21" i="5"/>
  <c r="S21" i="5"/>
  <c r="T21" i="5"/>
  <c r="U21" i="5"/>
  <c r="BP21" i="5"/>
  <c r="BZ21" i="5"/>
  <c r="B22" i="5"/>
  <c r="O22" i="5"/>
  <c r="P22" i="5"/>
  <c r="R22" i="5"/>
  <c r="S22" i="5"/>
  <c r="T22" i="5"/>
  <c r="U22" i="5"/>
  <c r="BP22" i="5"/>
  <c r="BZ22" i="5"/>
  <c r="B23" i="5"/>
  <c r="O23" i="5"/>
  <c r="P23" i="5"/>
  <c r="R23" i="5"/>
  <c r="S23" i="5"/>
  <c r="T23" i="5"/>
  <c r="U23" i="5"/>
  <c r="BP23" i="5"/>
  <c r="BZ23" i="5"/>
  <c r="B24" i="5"/>
  <c r="O24" i="5"/>
  <c r="P24" i="5"/>
  <c r="R24" i="5"/>
  <c r="S24" i="5"/>
  <c r="T24" i="5"/>
  <c r="U24" i="5"/>
  <c r="BP24" i="5"/>
  <c r="BZ24" i="5"/>
  <c r="B25" i="5"/>
  <c r="O25" i="5"/>
  <c r="P25" i="5"/>
  <c r="R25" i="5"/>
  <c r="S25" i="5"/>
  <c r="T25" i="5"/>
  <c r="U25" i="5"/>
  <c r="BP25" i="5"/>
  <c r="BZ25" i="5"/>
  <c r="B26" i="5"/>
  <c r="O26" i="5"/>
  <c r="P26" i="5"/>
  <c r="R26" i="5"/>
  <c r="S26" i="5"/>
  <c r="T26" i="5"/>
  <c r="U26" i="5"/>
  <c r="BP26" i="5"/>
  <c r="BZ26" i="5"/>
  <c r="B27" i="5"/>
  <c r="O27" i="5"/>
  <c r="P27" i="5"/>
  <c r="R27" i="5"/>
  <c r="S27" i="5"/>
  <c r="T27" i="5"/>
  <c r="U27" i="5"/>
  <c r="BP27" i="5"/>
  <c r="BZ27" i="5"/>
  <c r="B28" i="5"/>
  <c r="O28" i="5"/>
  <c r="P28" i="5"/>
  <c r="R28" i="5"/>
  <c r="S28" i="5"/>
  <c r="T28" i="5"/>
  <c r="U28" i="5"/>
  <c r="BP28" i="5"/>
  <c r="BZ28" i="5"/>
  <c r="B29" i="5"/>
  <c r="O29" i="5"/>
  <c r="P29" i="5"/>
  <c r="R29" i="5"/>
  <c r="S29" i="5"/>
  <c r="T29" i="5"/>
  <c r="U29" i="5"/>
  <c r="BP29" i="5"/>
  <c r="BZ29" i="5"/>
  <c r="B30" i="5"/>
  <c r="O30" i="5"/>
  <c r="P30" i="5"/>
  <c r="R30" i="5"/>
  <c r="S30" i="5"/>
  <c r="T30" i="5"/>
  <c r="U30" i="5"/>
  <c r="BP30" i="5"/>
  <c r="BZ30" i="5"/>
  <c r="B31" i="5"/>
  <c r="O31" i="5"/>
  <c r="P31" i="5"/>
  <c r="R31" i="5"/>
  <c r="S31" i="5"/>
  <c r="T31" i="5"/>
  <c r="U31" i="5"/>
  <c r="BP31" i="5"/>
  <c r="BZ31" i="5"/>
  <c r="B32" i="5"/>
  <c r="O32" i="5"/>
  <c r="P32" i="5"/>
  <c r="R32" i="5"/>
  <c r="S32" i="5"/>
  <c r="T32" i="5"/>
  <c r="U32" i="5"/>
  <c r="BP32" i="5"/>
  <c r="BZ32" i="5"/>
  <c r="B33" i="5"/>
  <c r="O33" i="5"/>
  <c r="P33" i="5"/>
  <c r="R33" i="5"/>
  <c r="S33" i="5"/>
  <c r="T33" i="5"/>
  <c r="U33" i="5"/>
  <c r="BP33" i="5"/>
  <c r="BZ33" i="5"/>
  <c r="B34" i="5"/>
  <c r="O34" i="5"/>
  <c r="P34" i="5"/>
  <c r="R34" i="5"/>
  <c r="S34" i="5"/>
  <c r="T34" i="5"/>
  <c r="U34" i="5"/>
  <c r="BP34" i="5"/>
  <c r="BZ34" i="5"/>
  <c r="B35" i="5"/>
  <c r="O35" i="5"/>
  <c r="P35" i="5"/>
  <c r="R35" i="5"/>
  <c r="S35" i="5"/>
  <c r="T35" i="5"/>
  <c r="U35" i="5"/>
  <c r="BP35" i="5"/>
  <c r="BZ35" i="5"/>
  <c r="B36" i="5"/>
  <c r="O36" i="5"/>
  <c r="P36" i="5"/>
  <c r="R36" i="5"/>
  <c r="S36" i="5"/>
  <c r="T36" i="5"/>
  <c r="U36" i="5"/>
  <c r="BP36" i="5"/>
  <c r="BZ36" i="5"/>
  <c r="B37" i="5"/>
  <c r="O37" i="5"/>
  <c r="P37" i="5"/>
  <c r="R37" i="5"/>
  <c r="S37" i="5"/>
  <c r="T37" i="5"/>
  <c r="U37" i="5"/>
  <c r="BP37" i="5"/>
  <c r="BZ37" i="5"/>
  <c r="B38" i="5"/>
  <c r="O38" i="5"/>
  <c r="P38" i="5"/>
  <c r="R38" i="5"/>
  <c r="S38" i="5"/>
  <c r="T38" i="5"/>
  <c r="U38" i="5"/>
  <c r="BP38" i="5"/>
  <c r="BZ38" i="5"/>
  <c r="B39" i="5"/>
  <c r="O39" i="5"/>
  <c r="P39" i="5"/>
  <c r="R39" i="5"/>
  <c r="S39" i="5"/>
  <c r="T39" i="5"/>
  <c r="U39" i="5"/>
  <c r="BP39" i="5"/>
  <c r="BZ39" i="5"/>
  <c r="B40" i="5"/>
  <c r="O40" i="5"/>
  <c r="P40" i="5"/>
  <c r="R40" i="5"/>
  <c r="S40" i="5"/>
  <c r="T40" i="5"/>
  <c r="U40" i="5"/>
  <c r="BP40" i="5"/>
  <c r="BZ40" i="5"/>
  <c r="B41" i="5"/>
  <c r="O41" i="5"/>
  <c r="P41" i="5"/>
  <c r="R41" i="5"/>
  <c r="S41" i="5"/>
  <c r="T41" i="5"/>
  <c r="U41" i="5"/>
  <c r="BP41" i="5"/>
  <c r="BZ41" i="5"/>
  <c r="B42" i="5"/>
  <c r="O42" i="5"/>
  <c r="P42" i="5"/>
  <c r="R42" i="5"/>
  <c r="S42" i="5"/>
  <c r="T42" i="5"/>
  <c r="U42" i="5"/>
  <c r="BP42" i="5"/>
  <c r="BZ42" i="5"/>
  <c r="B43" i="5"/>
  <c r="O43" i="5"/>
  <c r="P43" i="5"/>
  <c r="R43" i="5"/>
  <c r="S43" i="5"/>
  <c r="T43" i="5"/>
  <c r="U43" i="5"/>
  <c r="BP43" i="5"/>
  <c r="BZ43" i="5"/>
  <c r="B44" i="5"/>
  <c r="O44" i="5"/>
  <c r="P44" i="5"/>
  <c r="R44" i="5"/>
  <c r="S44" i="5"/>
  <c r="T44" i="5"/>
  <c r="U44" i="5"/>
  <c r="BP44" i="5"/>
  <c r="BZ44" i="5"/>
  <c r="B45" i="5"/>
  <c r="O45" i="5"/>
  <c r="P45" i="5"/>
  <c r="R45" i="5"/>
  <c r="S45" i="5"/>
  <c r="T45" i="5"/>
  <c r="U45" i="5"/>
  <c r="BP45" i="5"/>
  <c r="BZ45" i="5"/>
  <c r="B46" i="5"/>
  <c r="O46" i="5"/>
  <c r="P46" i="5"/>
  <c r="R46" i="5"/>
  <c r="S46" i="5"/>
  <c r="T46" i="5"/>
  <c r="U46" i="5"/>
  <c r="BP46" i="5"/>
  <c r="BZ46" i="5"/>
  <c r="B47" i="5"/>
  <c r="O47" i="5"/>
  <c r="P47" i="5"/>
  <c r="R47" i="5"/>
  <c r="S47" i="5"/>
  <c r="T47" i="5"/>
  <c r="U47" i="5"/>
  <c r="BP47" i="5"/>
  <c r="BZ47" i="5"/>
  <c r="B48" i="5"/>
  <c r="O48" i="5"/>
  <c r="P48" i="5"/>
  <c r="R48" i="5"/>
  <c r="S48" i="5"/>
  <c r="T48" i="5"/>
  <c r="U48" i="5"/>
  <c r="BP48" i="5"/>
  <c r="BZ48" i="5"/>
  <c r="B49" i="5"/>
  <c r="O49" i="5"/>
  <c r="P49" i="5"/>
  <c r="R49" i="5"/>
  <c r="S49" i="5"/>
  <c r="T49" i="5"/>
  <c r="U49" i="5"/>
  <c r="BP49" i="5"/>
  <c r="BZ49" i="5"/>
  <c r="B50" i="5"/>
  <c r="O50" i="5"/>
  <c r="P50" i="5"/>
  <c r="R50" i="5"/>
  <c r="S50" i="5"/>
  <c r="T50" i="5"/>
  <c r="U50" i="5"/>
  <c r="BP50" i="5"/>
  <c r="BZ50" i="5"/>
  <c r="B51" i="5"/>
  <c r="O51" i="5"/>
  <c r="P51" i="5"/>
  <c r="R51" i="5"/>
  <c r="S51" i="5"/>
  <c r="T51" i="5"/>
  <c r="U51" i="5"/>
  <c r="BP51" i="5"/>
  <c r="BZ51" i="5"/>
  <c r="B52" i="5"/>
  <c r="O52" i="5"/>
  <c r="P52" i="5"/>
  <c r="R52" i="5"/>
  <c r="S52" i="5"/>
  <c r="T52" i="5"/>
  <c r="U52" i="5"/>
  <c r="BP52" i="5"/>
  <c r="BZ52" i="5"/>
  <c r="B53" i="5"/>
  <c r="O53" i="5"/>
  <c r="P53" i="5"/>
  <c r="R53" i="5"/>
  <c r="S53" i="5"/>
  <c r="T53" i="5"/>
  <c r="U53" i="5"/>
  <c r="BP53" i="5"/>
  <c r="BZ53" i="5"/>
  <c r="B54" i="5"/>
  <c r="O54" i="5"/>
  <c r="P54" i="5"/>
  <c r="R54" i="5"/>
  <c r="S54" i="5"/>
  <c r="T54" i="5"/>
  <c r="U54" i="5"/>
  <c r="BP54" i="5"/>
  <c r="BZ54" i="5"/>
  <c r="B55" i="5"/>
  <c r="O55" i="5"/>
  <c r="P55" i="5"/>
  <c r="R55" i="5"/>
  <c r="S55" i="5"/>
  <c r="T55" i="5"/>
  <c r="U55" i="5"/>
  <c r="BP55" i="5"/>
  <c r="BZ55" i="5"/>
  <c r="B56" i="5"/>
  <c r="O56" i="5"/>
  <c r="P56" i="5"/>
  <c r="R56" i="5"/>
  <c r="S56" i="5"/>
  <c r="T56" i="5"/>
  <c r="U56" i="5"/>
  <c r="BP56" i="5"/>
  <c r="BZ56" i="5"/>
  <c r="B57" i="5"/>
  <c r="O57" i="5"/>
  <c r="P57" i="5"/>
  <c r="R57" i="5"/>
  <c r="S57" i="5"/>
  <c r="T57" i="5"/>
  <c r="U57" i="5"/>
  <c r="BP57" i="5"/>
  <c r="BZ57" i="5"/>
  <c r="B58" i="5"/>
  <c r="O58" i="5"/>
  <c r="P58" i="5"/>
  <c r="R58" i="5"/>
  <c r="S58" i="5"/>
  <c r="T58" i="5"/>
  <c r="U58" i="5"/>
  <c r="BP58" i="5"/>
  <c r="BZ58" i="5"/>
  <c r="B59" i="5"/>
  <c r="O59" i="5"/>
  <c r="P59" i="5"/>
  <c r="R59" i="5"/>
  <c r="S59" i="5"/>
  <c r="T59" i="5"/>
  <c r="U59" i="5"/>
  <c r="BP59" i="5"/>
  <c r="BZ59" i="5"/>
  <c r="B60" i="5"/>
  <c r="O60" i="5"/>
  <c r="P60" i="5"/>
  <c r="R60" i="5"/>
  <c r="S60" i="5"/>
  <c r="T60" i="5"/>
  <c r="U60" i="5"/>
  <c r="BP60" i="5"/>
  <c r="BZ60" i="5"/>
  <c r="B61" i="5"/>
  <c r="O61" i="5"/>
  <c r="P61" i="5"/>
  <c r="R61" i="5"/>
  <c r="S61" i="5"/>
  <c r="T61" i="5"/>
  <c r="U61" i="5"/>
  <c r="BP61" i="5"/>
  <c r="BZ61" i="5"/>
  <c r="B62" i="5"/>
  <c r="O62" i="5"/>
  <c r="P62" i="5"/>
  <c r="R62" i="5"/>
  <c r="S62" i="5"/>
  <c r="T62" i="5"/>
  <c r="U62" i="5"/>
  <c r="BP62" i="5"/>
  <c r="BZ62" i="5"/>
  <c r="B63" i="5"/>
  <c r="O63" i="5"/>
  <c r="P63" i="5"/>
  <c r="R63" i="5"/>
  <c r="S63" i="5"/>
  <c r="T63" i="5"/>
  <c r="U63" i="5"/>
  <c r="BP63" i="5"/>
  <c r="BZ63" i="5"/>
  <c r="B64" i="5"/>
  <c r="O64" i="5"/>
  <c r="P64" i="5"/>
  <c r="R64" i="5"/>
  <c r="S64" i="5"/>
  <c r="T64" i="5"/>
  <c r="U64" i="5"/>
  <c r="BP64" i="5"/>
  <c r="BZ64" i="5"/>
  <c r="B65" i="5"/>
  <c r="O65" i="5"/>
  <c r="P65" i="5"/>
  <c r="R65" i="5"/>
  <c r="S65" i="5"/>
  <c r="T65" i="5"/>
  <c r="U65" i="5"/>
  <c r="BP65" i="5"/>
  <c r="BZ65" i="5"/>
  <c r="B66" i="5"/>
  <c r="O66" i="5"/>
  <c r="P66" i="5"/>
  <c r="R66" i="5"/>
  <c r="S66" i="5"/>
  <c r="T66" i="5"/>
  <c r="U66" i="5"/>
  <c r="BP66" i="5"/>
  <c r="BZ66" i="5"/>
  <c r="B67" i="5"/>
  <c r="O67" i="5"/>
  <c r="P67" i="5"/>
  <c r="R67" i="5"/>
  <c r="S67" i="5"/>
  <c r="T67" i="5"/>
  <c r="U67" i="5"/>
  <c r="BP67" i="5"/>
  <c r="BZ67" i="5"/>
  <c r="B68" i="5"/>
  <c r="O68" i="5"/>
  <c r="P68" i="5"/>
  <c r="R68" i="5"/>
  <c r="S68" i="5"/>
  <c r="T68" i="5"/>
  <c r="U68" i="5"/>
  <c r="BP68" i="5"/>
  <c r="BZ68" i="5"/>
  <c r="B69" i="5"/>
  <c r="O69" i="5"/>
  <c r="P69" i="5"/>
  <c r="R69" i="5"/>
  <c r="S69" i="5"/>
  <c r="T69" i="5"/>
  <c r="U69" i="5"/>
  <c r="BP69" i="5"/>
  <c r="BZ69" i="5"/>
  <c r="B70" i="5"/>
  <c r="O70" i="5"/>
  <c r="P70" i="5"/>
  <c r="R70" i="5"/>
  <c r="S70" i="5"/>
  <c r="T70" i="5"/>
  <c r="U70" i="5"/>
  <c r="BP70" i="5"/>
  <c r="BZ70" i="5"/>
  <c r="B71" i="5"/>
  <c r="O71" i="5"/>
  <c r="P71" i="5"/>
  <c r="R71" i="5"/>
  <c r="S71" i="5"/>
  <c r="T71" i="5"/>
  <c r="U71" i="5"/>
  <c r="BP71" i="5"/>
  <c r="BZ71" i="5"/>
  <c r="B72" i="5"/>
  <c r="O72" i="5"/>
  <c r="P72" i="5"/>
  <c r="R72" i="5"/>
  <c r="S72" i="5"/>
  <c r="T72" i="5"/>
  <c r="U72" i="5"/>
  <c r="BP72" i="5"/>
  <c r="BZ72" i="5"/>
  <c r="B73" i="5"/>
  <c r="O73" i="5"/>
  <c r="P73" i="5"/>
  <c r="R73" i="5"/>
  <c r="S73" i="5"/>
  <c r="T73" i="5"/>
  <c r="U73" i="5"/>
  <c r="BP73" i="5"/>
  <c r="BZ73" i="5"/>
  <c r="B74" i="5"/>
  <c r="O74" i="5"/>
  <c r="P74" i="5"/>
  <c r="R74" i="5"/>
  <c r="S74" i="5"/>
  <c r="T74" i="5"/>
  <c r="U74" i="5"/>
  <c r="BP74" i="5"/>
  <c r="BZ74" i="5"/>
  <c r="B75" i="5"/>
  <c r="O75" i="5"/>
  <c r="P75" i="5"/>
  <c r="R75" i="5"/>
  <c r="S75" i="5"/>
  <c r="T75" i="5"/>
  <c r="U75" i="5"/>
  <c r="BP75" i="5"/>
  <c r="BZ75" i="5"/>
  <c r="B76" i="5"/>
  <c r="O76" i="5"/>
  <c r="P76" i="5"/>
  <c r="R76" i="5"/>
  <c r="S76" i="5"/>
  <c r="T76" i="5"/>
  <c r="U76" i="5"/>
  <c r="BP76" i="5"/>
  <c r="BZ76" i="5"/>
  <c r="B77" i="5"/>
  <c r="O77" i="5"/>
  <c r="P77" i="5"/>
  <c r="R77" i="5"/>
  <c r="S77" i="5"/>
  <c r="T77" i="5"/>
  <c r="U77" i="5"/>
  <c r="BP77" i="5"/>
  <c r="BZ77" i="5"/>
  <c r="B78" i="5"/>
  <c r="O78" i="5"/>
  <c r="P78" i="5"/>
  <c r="R78" i="5"/>
  <c r="S78" i="5"/>
  <c r="T78" i="5"/>
  <c r="U78" i="5"/>
  <c r="BP78" i="5"/>
  <c r="BZ78" i="5"/>
  <c r="B79" i="5"/>
  <c r="O79" i="5"/>
  <c r="P79" i="5"/>
  <c r="R79" i="5"/>
  <c r="S79" i="5"/>
  <c r="T79" i="5"/>
  <c r="U79" i="5"/>
  <c r="BP79" i="5"/>
  <c r="BZ79" i="5"/>
  <c r="B80" i="5"/>
  <c r="O80" i="5"/>
  <c r="P80" i="5"/>
  <c r="R80" i="5"/>
  <c r="S80" i="5"/>
  <c r="T80" i="5"/>
  <c r="U80" i="5"/>
  <c r="BP80" i="5"/>
  <c r="BZ80" i="5"/>
  <c r="B81" i="5"/>
  <c r="O81" i="5"/>
  <c r="P81" i="5"/>
  <c r="R81" i="5"/>
  <c r="S81" i="5"/>
  <c r="T81" i="5"/>
  <c r="U81" i="5"/>
  <c r="BP81" i="5"/>
  <c r="BZ81" i="5"/>
  <c r="B82" i="5"/>
  <c r="O82" i="5"/>
  <c r="P82" i="5"/>
  <c r="R82" i="5"/>
  <c r="S82" i="5"/>
  <c r="T82" i="5"/>
  <c r="U82" i="5"/>
  <c r="BP82" i="5"/>
  <c r="BZ82" i="5"/>
  <c r="B83" i="5"/>
  <c r="O83" i="5"/>
  <c r="P83" i="5"/>
  <c r="R83" i="5"/>
  <c r="S83" i="5"/>
  <c r="T83" i="5"/>
  <c r="U83" i="5"/>
  <c r="BP83" i="5"/>
  <c r="BZ83" i="5"/>
  <c r="B84" i="5"/>
  <c r="O84" i="5"/>
  <c r="P84" i="5"/>
  <c r="R84" i="5"/>
  <c r="S84" i="5"/>
  <c r="T84" i="5"/>
  <c r="U84" i="5"/>
  <c r="BP84" i="5"/>
  <c r="BZ84" i="5"/>
  <c r="B85" i="5"/>
  <c r="O85" i="5"/>
  <c r="P85" i="5"/>
  <c r="R85" i="5"/>
  <c r="S85" i="5"/>
  <c r="T85" i="5"/>
  <c r="U85" i="5"/>
  <c r="BP85" i="5"/>
  <c r="BZ85" i="5"/>
  <c r="B86" i="5"/>
  <c r="O86" i="5"/>
  <c r="P86" i="5"/>
  <c r="R86" i="5"/>
  <c r="S86" i="5"/>
  <c r="T86" i="5"/>
  <c r="U86" i="5"/>
  <c r="BP86" i="5"/>
  <c r="BZ86" i="5"/>
  <c r="B87" i="5"/>
  <c r="O87" i="5"/>
  <c r="P87" i="5"/>
  <c r="R87" i="5"/>
  <c r="S87" i="5"/>
  <c r="T87" i="5"/>
  <c r="U87" i="5"/>
  <c r="BP87" i="5"/>
  <c r="BZ87" i="5"/>
  <c r="B88" i="5"/>
  <c r="O88" i="5"/>
  <c r="P88" i="5"/>
  <c r="R88" i="5"/>
  <c r="S88" i="5"/>
  <c r="T88" i="5"/>
  <c r="U88" i="5"/>
  <c r="BP88" i="5"/>
  <c r="BZ88" i="5"/>
  <c r="B89" i="5"/>
  <c r="O89" i="5"/>
  <c r="P89" i="5"/>
  <c r="R89" i="5"/>
  <c r="S89" i="5"/>
  <c r="T89" i="5"/>
  <c r="U89" i="5"/>
  <c r="BP89" i="5"/>
  <c r="BZ89" i="5"/>
  <c r="B90" i="5"/>
  <c r="O90" i="5"/>
  <c r="P90" i="5"/>
  <c r="R90" i="5"/>
  <c r="S90" i="5"/>
  <c r="T90" i="5"/>
  <c r="U90" i="5"/>
  <c r="BP90" i="5"/>
  <c r="BZ90" i="5"/>
  <c r="B91" i="5"/>
  <c r="O91" i="5"/>
  <c r="P91" i="5"/>
  <c r="R91" i="5"/>
  <c r="S91" i="5"/>
  <c r="T91" i="5"/>
  <c r="U91" i="5"/>
  <c r="BP91" i="5"/>
  <c r="BZ91" i="5"/>
  <c r="B92" i="5"/>
  <c r="O92" i="5"/>
  <c r="P92" i="5"/>
  <c r="R92" i="5"/>
  <c r="S92" i="5"/>
  <c r="T92" i="5"/>
  <c r="U92" i="5"/>
  <c r="BP92" i="5"/>
  <c r="BZ92" i="5"/>
  <c r="B93" i="5"/>
  <c r="O93" i="5"/>
  <c r="P93" i="5"/>
  <c r="R93" i="5"/>
  <c r="S93" i="5"/>
  <c r="T93" i="5"/>
  <c r="U93" i="5"/>
  <c r="BP93" i="5"/>
  <c r="BZ93" i="5"/>
  <c r="B94" i="5"/>
  <c r="O94" i="5"/>
  <c r="P94" i="5"/>
  <c r="R94" i="5"/>
  <c r="S94" i="5"/>
  <c r="T94" i="5"/>
  <c r="U94" i="5"/>
  <c r="BP94" i="5"/>
  <c r="BZ94" i="5"/>
  <c r="B95" i="5"/>
  <c r="O95" i="5"/>
  <c r="P95" i="5"/>
  <c r="R95" i="5"/>
  <c r="S95" i="5"/>
  <c r="T95" i="5"/>
  <c r="U95" i="5"/>
  <c r="BP95" i="5"/>
  <c r="BZ95" i="5"/>
  <c r="B96" i="5"/>
  <c r="O96" i="5"/>
  <c r="P96" i="5"/>
  <c r="R96" i="5"/>
  <c r="S96" i="5"/>
  <c r="T96" i="5"/>
  <c r="U96" i="5"/>
  <c r="BP96" i="5"/>
  <c r="BZ96" i="5"/>
  <c r="B97" i="5"/>
  <c r="O97" i="5"/>
  <c r="P97" i="5"/>
  <c r="R97" i="5"/>
  <c r="S97" i="5"/>
  <c r="T97" i="5"/>
  <c r="U97" i="5"/>
  <c r="BP97" i="5"/>
  <c r="BZ97" i="5"/>
  <c r="B98" i="5"/>
  <c r="O98" i="5"/>
  <c r="P98" i="5"/>
  <c r="R98" i="5"/>
  <c r="S98" i="5"/>
  <c r="T98" i="5"/>
  <c r="U98" i="5"/>
  <c r="BP98" i="5"/>
  <c r="BZ98" i="5"/>
  <c r="B99" i="5"/>
  <c r="O99" i="5"/>
  <c r="P99" i="5"/>
  <c r="R99" i="5"/>
  <c r="S99" i="5"/>
  <c r="T99" i="5"/>
  <c r="U99" i="5"/>
  <c r="BP99" i="5"/>
  <c r="BZ99" i="5"/>
  <c r="B100" i="5"/>
  <c r="O100" i="5"/>
  <c r="P100" i="5"/>
  <c r="R100" i="5"/>
  <c r="S100" i="5"/>
  <c r="T100" i="5"/>
  <c r="U100" i="5"/>
  <c r="BP100" i="5"/>
  <c r="BZ100" i="5"/>
  <c r="B101" i="5"/>
  <c r="O101" i="5"/>
  <c r="P101" i="5"/>
  <c r="R101" i="5"/>
  <c r="S101" i="5"/>
  <c r="T101" i="5"/>
  <c r="U101" i="5"/>
  <c r="BP101" i="5"/>
  <c r="BZ101" i="5"/>
  <c r="B102" i="5"/>
  <c r="O102" i="5"/>
  <c r="P102" i="5"/>
  <c r="R102" i="5"/>
  <c r="S102" i="5"/>
  <c r="T102" i="5"/>
  <c r="U102" i="5"/>
  <c r="BP102" i="5"/>
  <c r="BZ102" i="5"/>
  <c r="B103" i="5"/>
  <c r="O103" i="5"/>
  <c r="P103" i="5"/>
  <c r="R103" i="5"/>
  <c r="S103" i="5"/>
  <c r="T103" i="5"/>
  <c r="U103" i="5"/>
  <c r="BP103" i="5"/>
  <c r="BZ103" i="5"/>
  <c r="B104" i="5"/>
  <c r="O104" i="5"/>
  <c r="P104" i="5"/>
  <c r="R104" i="5"/>
  <c r="S104" i="5"/>
  <c r="T104" i="5"/>
  <c r="U104" i="5"/>
  <c r="BP104" i="5"/>
  <c r="BZ104" i="5"/>
  <c r="B105" i="5"/>
  <c r="O105" i="5"/>
  <c r="P105" i="5"/>
  <c r="R105" i="5"/>
  <c r="S105" i="5"/>
  <c r="T105" i="5"/>
  <c r="U105" i="5"/>
  <c r="BP105" i="5"/>
  <c r="BZ105" i="5"/>
  <c r="B106" i="5"/>
  <c r="O106" i="5"/>
  <c r="P106" i="5"/>
  <c r="R106" i="5"/>
  <c r="S106" i="5"/>
  <c r="T106" i="5"/>
  <c r="U106" i="5"/>
  <c r="BP106" i="5"/>
  <c r="BZ106" i="5"/>
  <c r="B107" i="5"/>
  <c r="O107" i="5"/>
  <c r="P107" i="5"/>
  <c r="R107" i="5"/>
  <c r="S107" i="5"/>
  <c r="T107" i="5"/>
  <c r="U107" i="5"/>
  <c r="BP107" i="5"/>
  <c r="BZ107" i="5"/>
  <c r="B108" i="5"/>
  <c r="O108" i="5"/>
  <c r="P108" i="5"/>
  <c r="R108" i="5"/>
  <c r="S108" i="5"/>
  <c r="T108" i="5"/>
  <c r="U108" i="5"/>
  <c r="BP108" i="5"/>
  <c r="BZ108" i="5"/>
  <c r="B109" i="5"/>
  <c r="O109" i="5"/>
  <c r="P109" i="5"/>
  <c r="R109" i="5"/>
  <c r="S109" i="5"/>
  <c r="T109" i="5"/>
  <c r="U109" i="5"/>
  <c r="BP109" i="5"/>
  <c r="BZ109" i="5"/>
  <c r="B110" i="5"/>
  <c r="O110" i="5"/>
  <c r="P110" i="5"/>
  <c r="R110" i="5"/>
  <c r="S110" i="5"/>
  <c r="T110" i="5"/>
  <c r="U110" i="5"/>
  <c r="BP110" i="5"/>
  <c r="BZ110" i="5"/>
  <c r="B111" i="5"/>
  <c r="O111" i="5"/>
  <c r="P111" i="5"/>
  <c r="R111" i="5"/>
  <c r="S111" i="5"/>
  <c r="T111" i="5"/>
  <c r="U111" i="5"/>
  <c r="BP111" i="5"/>
  <c r="BZ111" i="5"/>
  <c r="B112" i="5"/>
  <c r="O112" i="5"/>
  <c r="P112" i="5"/>
  <c r="R112" i="5"/>
  <c r="S112" i="5"/>
  <c r="T112" i="5"/>
  <c r="U112" i="5"/>
  <c r="BP112" i="5"/>
  <c r="BZ112" i="5"/>
  <c r="B113" i="5"/>
  <c r="O113" i="5"/>
  <c r="P113" i="5"/>
  <c r="R113" i="5"/>
  <c r="S113" i="5"/>
  <c r="T113" i="5"/>
  <c r="U113" i="5"/>
  <c r="BP113" i="5"/>
  <c r="BZ113" i="5"/>
  <c r="B114" i="5"/>
  <c r="O114" i="5"/>
  <c r="P114" i="5"/>
  <c r="R114" i="5"/>
  <c r="S114" i="5"/>
  <c r="T114" i="5"/>
  <c r="U114" i="5"/>
  <c r="BP114" i="5"/>
  <c r="BZ114" i="5"/>
  <c r="B115" i="5"/>
  <c r="O115" i="5"/>
  <c r="P115" i="5"/>
  <c r="R115" i="5"/>
  <c r="S115" i="5"/>
  <c r="T115" i="5"/>
  <c r="U115" i="5"/>
  <c r="BP115" i="5"/>
  <c r="BZ115" i="5"/>
  <c r="B116" i="5"/>
  <c r="O116" i="5"/>
  <c r="P116" i="5"/>
  <c r="R116" i="5"/>
  <c r="S116" i="5"/>
  <c r="T116" i="5"/>
  <c r="U116" i="5"/>
  <c r="BP116" i="5"/>
  <c r="BZ116" i="5"/>
  <c r="B117" i="5"/>
  <c r="O117" i="5"/>
  <c r="P117" i="5"/>
  <c r="R117" i="5"/>
  <c r="S117" i="5"/>
  <c r="T117" i="5"/>
  <c r="U117" i="5"/>
  <c r="BP117" i="5"/>
  <c r="BZ117" i="5"/>
  <c r="B118" i="5"/>
  <c r="O118" i="5"/>
  <c r="P118" i="5"/>
  <c r="R118" i="5"/>
  <c r="S118" i="5"/>
  <c r="T118" i="5"/>
  <c r="U118" i="5"/>
  <c r="BP118" i="5"/>
  <c r="BZ118" i="5"/>
  <c r="B119" i="5"/>
  <c r="O119" i="5"/>
  <c r="P119" i="5"/>
  <c r="R119" i="5"/>
  <c r="S119" i="5"/>
  <c r="T119" i="5"/>
  <c r="U119" i="5"/>
  <c r="BP119" i="5"/>
  <c r="BZ119" i="5"/>
  <c r="B120" i="5"/>
  <c r="O120" i="5"/>
  <c r="P120" i="5"/>
  <c r="R120" i="5"/>
  <c r="S120" i="5"/>
  <c r="T120" i="5"/>
  <c r="U120" i="5"/>
  <c r="BP120" i="5"/>
  <c r="BZ120" i="5"/>
  <c r="B121" i="5"/>
  <c r="O121" i="5"/>
  <c r="P121" i="5"/>
  <c r="R121" i="5"/>
  <c r="S121" i="5"/>
  <c r="T121" i="5"/>
  <c r="U121" i="5"/>
  <c r="BP121" i="5"/>
  <c r="BZ121" i="5"/>
  <c r="B122" i="5"/>
  <c r="O122" i="5"/>
  <c r="P122" i="5"/>
  <c r="R122" i="5"/>
  <c r="S122" i="5"/>
  <c r="T122" i="5"/>
  <c r="U122" i="5"/>
  <c r="BP122" i="5"/>
  <c r="BZ122" i="5"/>
  <c r="B123" i="5"/>
  <c r="O123" i="5"/>
  <c r="P123" i="5"/>
  <c r="R123" i="5"/>
  <c r="S123" i="5"/>
  <c r="T123" i="5"/>
  <c r="U123" i="5"/>
  <c r="BP123" i="5"/>
  <c r="BZ123" i="5"/>
  <c r="B124" i="5"/>
  <c r="O124" i="5"/>
  <c r="P124" i="5"/>
  <c r="R124" i="5"/>
  <c r="S124" i="5"/>
  <c r="T124" i="5"/>
  <c r="U124" i="5"/>
  <c r="BP124" i="5"/>
  <c r="BZ124" i="5"/>
  <c r="B125" i="5"/>
  <c r="O125" i="5"/>
  <c r="P125" i="5"/>
  <c r="R125" i="5"/>
  <c r="S125" i="5"/>
  <c r="T125" i="5"/>
  <c r="U125" i="5"/>
  <c r="BP125" i="5"/>
  <c r="BZ125" i="5"/>
  <c r="B126" i="5"/>
  <c r="O126" i="5"/>
  <c r="P126" i="5"/>
  <c r="R126" i="5"/>
  <c r="S126" i="5"/>
  <c r="T126" i="5"/>
  <c r="U126" i="5"/>
  <c r="BP126" i="5"/>
  <c r="BZ126" i="5"/>
  <c r="B127" i="5"/>
  <c r="O127" i="5"/>
  <c r="P127" i="5"/>
  <c r="R127" i="5"/>
  <c r="S127" i="5"/>
  <c r="T127" i="5"/>
  <c r="U127" i="5"/>
  <c r="BP127" i="5"/>
  <c r="BZ127" i="5"/>
  <c r="B128" i="5"/>
  <c r="O128" i="5"/>
  <c r="P128" i="5"/>
  <c r="R128" i="5"/>
  <c r="S128" i="5"/>
  <c r="T128" i="5"/>
  <c r="U128" i="5"/>
  <c r="BP128" i="5"/>
  <c r="BZ128" i="5"/>
  <c r="B129" i="5"/>
  <c r="O129" i="5"/>
  <c r="P129" i="5"/>
  <c r="R129" i="5"/>
  <c r="S129" i="5"/>
  <c r="T129" i="5"/>
  <c r="U129" i="5"/>
  <c r="BP129" i="5"/>
  <c r="BZ129" i="5"/>
  <c r="B130" i="5"/>
  <c r="O130" i="5"/>
  <c r="P130" i="5"/>
  <c r="R130" i="5"/>
  <c r="S130" i="5"/>
  <c r="T130" i="5"/>
  <c r="U130" i="5"/>
  <c r="BP130" i="5"/>
  <c r="BZ130" i="5"/>
  <c r="B131" i="5"/>
  <c r="O131" i="5"/>
  <c r="P131" i="5"/>
  <c r="R131" i="5"/>
  <c r="S131" i="5"/>
  <c r="T131" i="5"/>
  <c r="U131" i="5"/>
  <c r="BP131" i="5"/>
  <c r="BZ131" i="5"/>
  <c r="B132" i="5"/>
  <c r="O132" i="5"/>
  <c r="P132" i="5"/>
  <c r="R132" i="5"/>
  <c r="S132" i="5"/>
  <c r="T132" i="5"/>
  <c r="U132" i="5"/>
  <c r="BP132" i="5"/>
  <c r="BZ132" i="5"/>
  <c r="B133" i="5"/>
  <c r="O133" i="5"/>
  <c r="P133" i="5"/>
  <c r="R133" i="5"/>
  <c r="S133" i="5"/>
  <c r="T133" i="5"/>
  <c r="U133" i="5"/>
  <c r="BP133" i="5"/>
  <c r="BZ133" i="5"/>
  <c r="B134" i="5"/>
  <c r="O134" i="5"/>
  <c r="P134" i="5"/>
  <c r="R134" i="5"/>
  <c r="S134" i="5"/>
  <c r="T134" i="5"/>
  <c r="U134" i="5"/>
  <c r="BP134" i="5"/>
  <c r="BZ134" i="5"/>
  <c r="B135" i="5"/>
  <c r="O135" i="5"/>
  <c r="P135" i="5"/>
  <c r="R135" i="5"/>
  <c r="S135" i="5"/>
  <c r="T135" i="5"/>
  <c r="U135" i="5"/>
  <c r="BP135" i="5"/>
  <c r="BZ135" i="5"/>
  <c r="B136" i="5"/>
  <c r="O136" i="5"/>
  <c r="P136" i="5"/>
  <c r="R136" i="5"/>
  <c r="S136" i="5"/>
  <c r="T136" i="5"/>
  <c r="U136" i="5"/>
  <c r="BP136" i="5"/>
  <c r="BZ136" i="5"/>
  <c r="B137" i="5"/>
  <c r="O137" i="5"/>
  <c r="P137" i="5"/>
  <c r="R137" i="5"/>
  <c r="S137" i="5"/>
  <c r="T137" i="5"/>
  <c r="U137" i="5"/>
  <c r="BP137" i="5"/>
  <c r="BZ137" i="5"/>
  <c r="B138" i="5"/>
  <c r="O138" i="5"/>
  <c r="P138" i="5"/>
  <c r="R138" i="5"/>
  <c r="S138" i="5"/>
  <c r="T138" i="5"/>
  <c r="U138" i="5"/>
  <c r="BP138" i="5"/>
  <c r="BZ138" i="5"/>
  <c r="B139" i="5"/>
  <c r="O139" i="5"/>
  <c r="P139" i="5"/>
  <c r="R139" i="5"/>
  <c r="S139" i="5"/>
  <c r="T139" i="5"/>
  <c r="U139" i="5"/>
  <c r="BP139" i="5"/>
  <c r="BZ139" i="5"/>
  <c r="B140" i="5"/>
  <c r="O140" i="5"/>
  <c r="P140" i="5"/>
  <c r="R140" i="5"/>
  <c r="S140" i="5"/>
  <c r="T140" i="5"/>
  <c r="U140" i="5"/>
  <c r="BP140" i="5"/>
  <c r="BZ140" i="5"/>
  <c r="B141" i="5"/>
  <c r="O141" i="5"/>
  <c r="P141" i="5"/>
  <c r="R141" i="5"/>
  <c r="S141" i="5"/>
  <c r="T141" i="5"/>
  <c r="U141" i="5"/>
  <c r="BP141" i="5"/>
  <c r="BZ141" i="5"/>
  <c r="B142" i="5"/>
  <c r="O142" i="5"/>
  <c r="P142" i="5"/>
  <c r="R142" i="5"/>
  <c r="S142" i="5"/>
  <c r="T142" i="5"/>
  <c r="U142" i="5"/>
  <c r="BP142" i="5"/>
  <c r="BZ142" i="5"/>
  <c r="B143" i="5"/>
  <c r="O143" i="5"/>
  <c r="P143" i="5"/>
  <c r="R143" i="5"/>
  <c r="S143" i="5"/>
  <c r="T143" i="5"/>
  <c r="U143" i="5"/>
  <c r="BP143" i="5"/>
  <c r="BZ143" i="5"/>
  <c r="B144" i="5"/>
  <c r="O144" i="5"/>
  <c r="P144" i="5"/>
  <c r="R144" i="5"/>
  <c r="S144" i="5"/>
  <c r="T144" i="5"/>
  <c r="U144" i="5"/>
  <c r="BP144" i="5"/>
  <c r="BZ144" i="5"/>
  <c r="B145" i="5"/>
  <c r="O145" i="5"/>
  <c r="P145" i="5"/>
  <c r="R145" i="5"/>
  <c r="S145" i="5"/>
  <c r="T145" i="5"/>
  <c r="U145" i="5"/>
  <c r="BP145" i="5"/>
  <c r="BZ145" i="5"/>
  <c r="B146" i="5"/>
  <c r="O146" i="5"/>
  <c r="P146" i="5"/>
  <c r="R146" i="5"/>
  <c r="S146" i="5"/>
  <c r="T146" i="5"/>
  <c r="U146" i="5"/>
  <c r="BP146" i="5"/>
  <c r="BZ146" i="5"/>
  <c r="B147" i="5"/>
  <c r="O147" i="5"/>
  <c r="P147" i="5"/>
  <c r="R147" i="5"/>
  <c r="S147" i="5"/>
  <c r="T147" i="5"/>
  <c r="U147" i="5"/>
  <c r="BP147" i="5"/>
  <c r="BZ147" i="5"/>
  <c r="B148" i="5"/>
  <c r="O148" i="5"/>
  <c r="P148" i="5"/>
  <c r="R148" i="5"/>
  <c r="S148" i="5"/>
  <c r="T148" i="5"/>
  <c r="U148" i="5"/>
  <c r="BP148" i="5"/>
  <c r="BZ148" i="5"/>
  <c r="B149" i="5"/>
  <c r="O149" i="5"/>
  <c r="P149" i="5"/>
  <c r="R149" i="5"/>
  <c r="S149" i="5"/>
  <c r="T149" i="5"/>
  <c r="U149" i="5"/>
  <c r="BP149" i="5"/>
  <c r="BZ149" i="5"/>
  <c r="B150" i="5"/>
  <c r="O150" i="5"/>
  <c r="P150" i="5"/>
  <c r="R150" i="5"/>
  <c r="S150" i="5"/>
  <c r="T150" i="5"/>
  <c r="U150" i="5"/>
  <c r="BP150" i="5"/>
  <c r="BZ150" i="5"/>
  <c r="B151" i="5"/>
  <c r="O151" i="5"/>
  <c r="P151" i="5"/>
  <c r="R151" i="5"/>
  <c r="S151" i="5"/>
  <c r="T151" i="5"/>
  <c r="U151" i="5"/>
  <c r="BP151" i="5"/>
  <c r="BZ151" i="5"/>
  <c r="B152" i="5"/>
  <c r="O152" i="5"/>
  <c r="P152" i="5"/>
  <c r="R152" i="5"/>
  <c r="S152" i="5"/>
  <c r="T152" i="5"/>
  <c r="U152" i="5"/>
  <c r="BP152" i="5"/>
  <c r="BZ152" i="5"/>
  <c r="B153" i="5"/>
  <c r="O153" i="5"/>
  <c r="P153" i="5"/>
  <c r="R153" i="5"/>
  <c r="S153" i="5"/>
  <c r="T153" i="5"/>
  <c r="U153" i="5"/>
  <c r="BP153" i="5"/>
  <c r="BZ153" i="5"/>
  <c r="B154" i="5"/>
  <c r="O154" i="5"/>
  <c r="P154" i="5"/>
  <c r="R154" i="5"/>
  <c r="S154" i="5"/>
  <c r="T154" i="5"/>
  <c r="U154" i="5"/>
  <c r="BP154" i="5"/>
  <c r="BZ154" i="5"/>
  <c r="B155" i="5"/>
  <c r="O155" i="5"/>
  <c r="P155" i="5"/>
  <c r="R155" i="5"/>
  <c r="S155" i="5"/>
  <c r="T155" i="5"/>
  <c r="U155" i="5"/>
  <c r="BP155" i="5"/>
  <c r="BZ155" i="5"/>
  <c r="B156" i="5"/>
  <c r="O156" i="5"/>
  <c r="P156" i="5"/>
  <c r="R156" i="5"/>
  <c r="S156" i="5"/>
  <c r="T156" i="5"/>
  <c r="U156" i="5"/>
  <c r="BP156" i="5"/>
  <c r="BZ156" i="5"/>
  <c r="B157" i="5"/>
  <c r="O157" i="5"/>
  <c r="P157" i="5"/>
  <c r="R157" i="5"/>
  <c r="S157" i="5"/>
  <c r="T157" i="5"/>
  <c r="U157" i="5"/>
  <c r="BP157" i="5"/>
  <c r="BZ157" i="5"/>
  <c r="B158" i="5"/>
  <c r="O158" i="5"/>
  <c r="P158" i="5"/>
  <c r="R158" i="5"/>
  <c r="S158" i="5"/>
  <c r="T158" i="5"/>
  <c r="U158" i="5"/>
  <c r="BP158" i="5"/>
  <c r="BZ158" i="5"/>
  <c r="B159" i="5"/>
  <c r="O159" i="5"/>
  <c r="P159" i="5"/>
  <c r="R159" i="5"/>
  <c r="S159" i="5"/>
  <c r="T159" i="5"/>
  <c r="U159" i="5"/>
  <c r="BP159" i="5"/>
  <c r="BZ159" i="5"/>
  <c r="B160" i="5"/>
  <c r="O160" i="5"/>
  <c r="P160" i="5"/>
  <c r="R160" i="5"/>
  <c r="S160" i="5"/>
  <c r="T160" i="5"/>
  <c r="U160" i="5"/>
  <c r="BP160" i="5"/>
  <c r="BZ160" i="5"/>
  <c r="B161" i="5"/>
  <c r="O161" i="5"/>
  <c r="P161" i="5"/>
  <c r="R161" i="5"/>
  <c r="S161" i="5"/>
  <c r="T161" i="5"/>
  <c r="U161" i="5"/>
  <c r="BP161" i="5"/>
  <c r="BZ161" i="5"/>
  <c r="B162" i="5"/>
  <c r="O162" i="5"/>
  <c r="P162" i="5"/>
  <c r="R162" i="5"/>
  <c r="S162" i="5"/>
  <c r="T162" i="5"/>
  <c r="U162" i="5"/>
  <c r="BP162" i="5"/>
  <c r="BZ162" i="5"/>
  <c r="B163" i="5"/>
  <c r="O163" i="5"/>
  <c r="P163" i="5"/>
  <c r="R163" i="5"/>
  <c r="S163" i="5"/>
  <c r="T163" i="5"/>
  <c r="U163" i="5"/>
  <c r="BP163" i="5"/>
  <c r="BZ163" i="5"/>
  <c r="B164" i="5"/>
  <c r="O164" i="5"/>
  <c r="P164" i="5"/>
  <c r="R164" i="5"/>
  <c r="S164" i="5"/>
  <c r="T164" i="5"/>
  <c r="U164" i="5"/>
  <c r="BP164" i="5"/>
  <c r="BZ164" i="5"/>
  <c r="B165" i="5"/>
  <c r="O165" i="5"/>
  <c r="P165" i="5"/>
  <c r="R165" i="5"/>
  <c r="S165" i="5"/>
  <c r="T165" i="5"/>
  <c r="U165" i="5"/>
  <c r="BP165" i="5"/>
  <c r="BZ165" i="5"/>
  <c r="B166" i="5"/>
  <c r="O166" i="5"/>
  <c r="P166" i="5"/>
  <c r="R166" i="5"/>
  <c r="S166" i="5"/>
  <c r="T166" i="5"/>
  <c r="U166" i="5"/>
  <c r="BP166" i="5"/>
  <c r="BZ166" i="5"/>
  <c r="B167" i="5"/>
  <c r="O167" i="5"/>
  <c r="P167" i="5"/>
  <c r="R167" i="5"/>
  <c r="S167" i="5"/>
  <c r="T167" i="5"/>
  <c r="U167" i="5"/>
  <c r="BP167" i="5"/>
  <c r="BZ167" i="5"/>
  <c r="B168" i="5"/>
  <c r="O168" i="5"/>
  <c r="P168" i="5"/>
  <c r="R168" i="5"/>
  <c r="S168" i="5"/>
  <c r="T168" i="5"/>
  <c r="U168" i="5"/>
  <c r="BP168" i="5"/>
  <c r="BZ168" i="5"/>
  <c r="B169" i="5"/>
  <c r="O169" i="5"/>
  <c r="P169" i="5"/>
  <c r="R169" i="5"/>
  <c r="S169" i="5"/>
  <c r="T169" i="5"/>
  <c r="U169" i="5"/>
  <c r="BP169" i="5"/>
  <c r="BZ169" i="5"/>
  <c r="B170" i="5"/>
  <c r="O170" i="5"/>
  <c r="P170" i="5"/>
  <c r="R170" i="5"/>
  <c r="S170" i="5"/>
  <c r="T170" i="5"/>
  <c r="U170" i="5"/>
  <c r="BP170" i="5"/>
  <c r="BZ170" i="5"/>
  <c r="B171" i="5"/>
  <c r="O171" i="5"/>
  <c r="P171" i="5"/>
  <c r="R171" i="5"/>
  <c r="S171" i="5"/>
  <c r="T171" i="5"/>
  <c r="U171" i="5"/>
  <c r="BP171" i="5"/>
  <c r="BZ171" i="5"/>
  <c r="B172" i="5"/>
  <c r="O172" i="5"/>
  <c r="P172" i="5"/>
  <c r="R172" i="5"/>
  <c r="S172" i="5"/>
  <c r="T172" i="5"/>
  <c r="U172" i="5"/>
  <c r="BP172" i="5"/>
  <c r="BZ172" i="5"/>
  <c r="B173" i="5"/>
  <c r="O173" i="5"/>
  <c r="P173" i="5"/>
  <c r="R173" i="5"/>
  <c r="S173" i="5"/>
  <c r="T173" i="5"/>
  <c r="U173" i="5"/>
  <c r="BP173" i="5"/>
  <c r="BZ173" i="5"/>
  <c r="B174" i="5"/>
  <c r="O174" i="5"/>
  <c r="P174" i="5"/>
  <c r="R174" i="5"/>
  <c r="S174" i="5"/>
  <c r="T174" i="5"/>
  <c r="U174" i="5"/>
  <c r="BP174" i="5"/>
  <c r="BZ174" i="5"/>
  <c r="B175" i="5"/>
  <c r="O175" i="5"/>
  <c r="P175" i="5"/>
  <c r="R175" i="5"/>
  <c r="S175" i="5"/>
  <c r="T175" i="5"/>
  <c r="U175" i="5"/>
  <c r="BP175" i="5"/>
  <c r="BZ175" i="5"/>
  <c r="B176" i="5"/>
  <c r="O176" i="5"/>
  <c r="P176" i="5"/>
  <c r="R176" i="5"/>
  <c r="S176" i="5"/>
  <c r="T176" i="5"/>
  <c r="U176" i="5"/>
  <c r="BP176" i="5"/>
  <c r="BZ176" i="5"/>
  <c r="B177" i="5"/>
  <c r="O177" i="5"/>
  <c r="P177" i="5"/>
  <c r="R177" i="5"/>
  <c r="S177" i="5"/>
  <c r="T177" i="5"/>
  <c r="U177" i="5"/>
  <c r="BP177" i="5"/>
  <c r="BZ177" i="5"/>
  <c r="B178" i="5"/>
  <c r="O178" i="5"/>
  <c r="P178" i="5"/>
  <c r="R178" i="5"/>
  <c r="S178" i="5"/>
  <c r="T178" i="5"/>
  <c r="U178" i="5"/>
  <c r="BP178" i="5"/>
  <c r="BZ178" i="5"/>
  <c r="B179" i="5"/>
  <c r="O179" i="5"/>
  <c r="P179" i="5"/>
  <c r="R179" i="5"/>
  <c r="S179" i="5"/>
  <c r="T179" i="5"/>
  <c r="U179" i="5"/>
  <c r="BP179" i="5"/>
  <c r="BZ179" i="5"/>
  <c r="B180" i="5"/>
  <c r="O180" i="5"/>
  <c r="P180" i="5"/>
  <c r="R180" i="5"/>
  <c r="S180" i="5"/>
  <c r="T180" i="5"/>
  <c r="U180" i="5"/>
  <c r="BP180" i="5"/>
  <c r="BZ180" i="5"/>
  <c r="B181" i="5"/>
  <c r="O181" i="5"/>
  <c r="P181" i="5"/>
  <c r="R181" i="5"/>
  <c r="S181" i="5"/>
  <c r="T181" i="5"/>
  <c r="U181" i="5"/>
  <c r="BP181" i="5"/>
  <c r="BZ181" i="5"/>
  <c r="B182" i="5"/>
  <c r="O182" i="5"/>
  <c r="P182" i="5"/>
  <c r="R182" i="5"/>
  <c r="S182" i="5"/>
  <c r="T182" i="5"/>
  <c r="U182" i="5"/>
  <c r="BP182" i="5"/>
  <c r="BZ182" i="5"/>
  <c r="B183" i="5"/>
  <c r="O183" i="5"/>
  <c r="P183" i="5"/>
  <c r="R183" i="5"/>
  <c r="S183" i="5"/>
  <c r="T183" i="5"/>
  <c r="U183" i="5"/>
  <c r="BP183" i="5"/>
  <c r="BZ183" i="5"/>
  <c r="B184" i="5"/>
  <c r="O184" i="5"/>
  <c r="P184" i="5"/>
  <c r="R184" i="5"/>
  <c r="S184" i="5"/>
  <c r="T184" i="5"/>
  <c r="U184" i="5"/>
  <c r="BP184" i="5"/>
  <c r="BZ184" i="5"/>
  <c r="B185" i="5"/>
  <c r="O185" i="5"/>
  <c r="P185" i="5"/>
  <c r="R185" i="5"/>
  <c r="S185" i="5"/>
  <c r="T185" i="5"/>
  <c r="U185" i="5"/>
  <c r="BP185" i="5"/>
  <c r="BZ185" i="5"/>
  <c r="B186" i="5"/>
  <c r="O186" i="5"/>
  <c r="P186" i="5"/>
  <c r="R186" i="5"/>
  <c r="S186" i="5"/>
  <c r="T186" i="5"/>
  <c r="U186" i="5"/>
  <c r="BP186" i="5"/>
  <c r="BZ186" i="5"/>
  <c r="B187" i="5"/>
  <c r="O187" i="5"/>
  <c r="P187" i="5"/>
  <c r="R187" i="5"/>
  <c r="S187" i="5"/>
  <c r="T187" i="5"/>
  <c r="U187" i="5"/>
  <c r="BP187" i="5"/>
  <c r="B188" i="5"/>
  <c r="O188" i="5"/>
  <c r="P188" i="5"/>
  <c r="R188" i="5"/>
  <c r="S188" i="5"/>
  <c r="T188" i="5"/>
  <c r="U188" i="5"/>
  <c r="BP188" i="5"/>
  <c r="B189" i="5"/>
  <c r="O189" i="5"/>
  <c r="P189" i="5"/>
  <c r="R189" i="5"/>
  <c r="S189" i="5"/>
  <c r="T189" i="5"/>
  <c r="U189" i="5"/>
  <c r="BP189" i="5"/>
  <c r="B190" i="5"/>
  <c r="O190" i="5"/>
  <c r="P190" i="5"/>
  <c r="R190" i="5"/>
  <c r="S190" i="5"/>
  <c r="T190" i="5"/>
  <c r="U190" i="5"/>
  <c r="BP190" i="5"/>
  <c r="B191" i="5"/>
  <c r="O191" i="5"/>
  <c r="P191" i="5"/>
  <c r="R191" i="5"/>
  <c r="S191" i="5"/>
  <c r="T191" i="5"/>
  <c r="U191" i="5"/>
  <c r="BP191" i="5"/>
  <c r="B192" i="5"/>
  <c r="O192" i="5"/>
  <c r="P192" i="5"/>
  <c r="R192" i="5"/>
  <c r="S192" i="5"/>
  <c r="T192" i="5"/>
  <c r="U192" i="5"/>
  <c r="BP192" i="5"/>
  <c r="B193" i="5"/>
  <c r="O193" i="5"/>
  <c r="P193" i="5"/>
  <c r="R193" i="5"/>
  <c r="S193" i="5"/>
  <c r="T193" i="5"/>
  <c r="U193" i="5"/>
  <c r="BP193" i="5"/>
  <c r="B194" i="5"/>
  <c r="O194" i="5"/>
  <c r="P194" i="5"/>
  <c r="R194" i="5"/>
  <c r="S194" i="5"/>
  <c r="T194" i="5"/>
  <c r="U194" i="5"/>
  <c r="BP194" i="5"/>
  <c r="B195" i="5"/>
  <c r="O195" i="5"/>
  <c r="P195" i="5"/>
  <c r="R195" i="5"/>
  <c r="S195" i="5"/>
  <c r="T195" i="5"/>
  <c r="U195" i="5"/>
  <c r="BP195" i="5"/>
  <c r="B196" i="5"/>
  <c r="O196" i="5"/>
  <c r="P196" i="5"/>
  <c r="R196" i="5"/>
  <c r="S196" i="5"/>
  <c r="T196" i="5"/>
  <c r="U196" i="5"/>
  <c r="BP196" i="5"/>
  <c r="B197" i="5"/>
  <c r="O197" i="5"/>
  <c r="P197" i="5"/>
  <c r="R197" i="5"/>
  <c r="S197" i="5"/>
  <c r="T197" i="5"/>
  <c r="U197" i="5"/>
  <c r="BP197" i="5"/>
  <c r="B198" i="5"/>
  <c r="O198" i="5"/>
  <c r="P198" i="5"/>
  <c r="R198" i="5"/>
  <c r="S198" i="5"/>
  <c r="T198" i="5"/>
  <c r="U198" i="5"/>
  <c r="BP198" i="5"/>
  <c r="B199" i="5"/>
  <c r="O199" i="5"/>
  <c r="P199" i="5"/>
  <c r="R199" i="5"/>
  <c r="S199" i="5"/>
  <c r="T199" i="5"/>
  <c r="U199" i="5"/>
  <c r="BP199" i="5"/>
  <c r="B200" i="5"/>
  <c r="O200" i="5"/>
  <c r="P200" i="5"/>
  <c r="R200" i="5"/>
  <c r="S200" i="5"/>
  <c r="T200" i="5"/>
  <c r="U200" i="5"/>
  <c r="BP200" i="5"/>
  <c r="B201" i="5"/>
  <c r="O201" i="5"/>
  <c r="P201" i="5"/>
  <c r="R201" i="5"/>
  <c r="S201" i="5"/>
  <c r="T201" i="5"/>
  <c r="U201" i="5"/>
  <c r="BP201" i="5"/>
  <c r="B202" i="5"/>
  <c r="O202" i="5"/>
  <c r="P202" i="5"/>
  <c r="R202" i="5"/>
  <c r="S202" i="5"/>
  <c r="T202" i="5"/>
  <c r="U202" i="5"/>
  <c r="BP202" i="5"/>
  <c r="B203" i="5"/>
  <c r="O203" i="5"/>
  <c r="P203" i="5"/>
  <c r="R203" i="5"/>
  <c r="S203" i="5"/>
  <c r="T203" i="5"/>
  <c r="U203" i="5"/>
  <c r="BP203" i="5"/>
  <c r="B204" i="5"/>
  <c r="O204" i="5"/>
  <c r="P204" i="5"/>
  <c r="R204" i="5"/>
  <c r="S204" i="5"/>
  <c r="T204" i="5"/>
  <c r="U204" i="5"/>
  <c r="BP204" i="5"/>
  <c r="B205" i="5"/>
  <c r="O205" i="5"/>
  <c r="P205" i="5"/>
  <c r="R205" i="5"/>
  <c r="S205" i="5"/>
  <c r="T205" i="5"/>
  <c r="U205" i="5"/>
  <c r="BP205" i="5"/>
  <c r="B206" i="5"/>
  <c r="O206" i="5"/>
  <c r="P206" i="5"/>
  <c r="R206" i="5"/>
  <c r="S206" i="5"/>
  <c r="T206" i="5"/>
  <c r="U206" i="5"/>
  <c r="BP206" i="5"/>
  <c r="B207" i="5"/>
  <c r="O207" i="5"/>
  <c r="P207" i="5"/>
  <c r="R207" i="5"/>
  <c r="S207" i="5"/>
  <c r="T207" i="5"/>
  <c r="U207" i="5"/>
  <c r="BP207" i="5"/>
  <c r="B208" i="5"/>
  <c r="O208" i="5"/>
  <c r="P208" i="5"/>
  <c r="R208" i="5"/>
  <c r="S208" i="5"/>
  <c r="T208" i="5"/>
  <c r="U208" i="5"/>
  <c r="BP208" i="5"/>
  <c r="B209" i="5"/>
  <c r="O209" i="5"/>
  <c r="P209" i="5"/>
  <c r="R209" i="5"/>
  <c r="S209" i="5"/>
  <c r="T209" i="5"/>
  <c r="U209" i="5"/>
  <c r="BP209" i="5"/>
  <c r="B210" i="5"/>
  <c r="O210" i="5"/>
  <c r="P210" i="5"/>
  <c r="R210" i="5"/>
  <c r="S210" i="5"/>
  <c r="T210" i="5"/>
  <c r="U210" i="5"/>
  <c r="BP210" i="5"/>
  <c r="B211" i="5"/>
  <c r="O211" i="5"/>
  <c r="P211" i="5"/>
  <c r="R211" i="5"/>
  <c r="S211" i="5"/>
  <c r="T211" i="5"/>
  <c r="U211" i="5"/>
  <c r="BP211" i="5"/>
  <c r="B212" i="5"/>
  <c r="O212" i="5"/>
  <c r="P212" i="5"/>
  <c r="R212" i="5"/>
  <c r="S212" i="5"/>
  <c r="T212" i="5"/>
  <c r="U212" i="5"/>
  <c r="BP212" i="5"/>
  <c r="B213" i="5"/>
  <c r="O213" i="5"/>
  <c r="P213" i="5"/>
  <c r="R213" i="5"/>
  <c r="S213" i="5"/>
  <c r="T213" i="5"/>
  <c r="U213" i="5"/>
  <c r="BP213" i="5"/>
  <c r="B214" i="5"/>
  <c r="O214" i="5"/>
  <c r="P214" i="5"/>
  <c r="R214" i="5"/>
  <c r="S214" i="5"/>
  <c r="T214" i="5"/>
  <c r="U214" i="5"/>
  <c r="BP214" i="5"/>
  <c r="B215" i="5"/>
  <c r="O215" i="5"/>
  <c r="P215" i="5"/>
  <c r="R215" i="5"/>
  <c r="S215" i="5"/>
  <c r="T215" i="5"/>
  <c r="U215" i="5"/>
  <c r="BP215" i="5"/>
  <c r="B216" i="5"/>
  <c r="O216" i="5"/>
  <c r="P216" i="5"/>
  <c r="R216" i="5"/>
  <c r="S216" i="5"/>
  <c r="T216" i="5"/>
  <c r="U216" i="5"/>
  <c r="BP216" i="5"/>
  <c r="B217" i="5"/>
  <c r="O217" i="5"/>
  <c r="P217" i="5"/>
  <c r="R217" i="5"/>
  <c r="S217" i="5"/>
  <c r="T217" i="5"/>
  <c r="U217" i="5"/>
  <c r="BP217" i="5"/>
  <c r="B218" i="5"/>
  <c r="O218" i="5"/>
  <c r="P218" i="5"/>
  <c r="R218" i="5"/>
  <c r="S218" i="5"/>
  <c r="T218" i="5"/>
  <c r="U218" i="5"/>
  <c r="BP218" i="5"/>
  <c r="B219" i="5"/>
  <c r="O219" i="5"/>
  <c r="P219" i="5"/>
  <c r="R219" i="5"/>
  <c r="S219" i="5"/>
  <c r="T219" i="5"/>
  <c r="U219" i="5"/>
  <c r="BP219" i="5"/>
  <c r="B220" i="5"/>
  <c r="O220" i="5"/>
  <c r="P220" i="5"/>
  <c r="R220" i="5"/>
  <c r="S220" i="5"/>
  <c r="T220" i="5"/>
  <c r="U220" i="5"/>
  <c r="BP220" i="5"/>
  <c r="B221" i="5"/>
  <c r="O221" i="5"/>
  <c r="P221" i="5"/>
  <c r="R221" i="5"/>
  <c r="S221" i="5"/>
  <c r="T221" i="5"/>
  <c r="U221" i="5"/>
  <c r="BP221" i="5"/>
  <c r="B222" i="5"/>
  <c r="O222" i="5"/>
  <c r="P222" i="5"/>
  <c r="R222" i="5"/>
  <c r="S222" i="5"/>
  <c r="T222" i="5"/>
  <c r="U222" i="5"/>
  <c r="BP222" i="5"/>
  <c r="B223" i="5"/>
  <c r="O223" i="5"/>
  <c r="P223" i="5"/>
  <c r="R223" i="5"/>
  <c r="S223" i="5"/>
  <c r="T223" i="5"/>
  <c r="U223" i="5"/>
  <c r="BP223" i="5"/>
  <c r="B224" i="5"/>
  <c r="O224" i="5"/>
  <c r="P224" i="5"/>
  <c r="R224" i="5"/>
  <c r="S224" i="5"/>
  <c r="T224" i="5"/>
  <c r="U224" i="5"/>
  <c r="BP224" i="5"/>
  <c r="B225" i="5"/>
  <c r="O225" i="5"/>
  <c r="P225" i="5"/>
  <c r="R225" i="5"/>
  <c r="S225" i="5"/>
  <c r="T225" i="5"/>
  <c r="U225" i="5"/>
  <c r="BP225" i="5"/>
  <c r="B226" i="5"/>
  <c r="O226" i="5"/>
  <c r="P226" i="5"/>
  <c r="R226" i="5"/>
  <c r="S226" i="5"/>
  <c r="T226" i="5"/>
  <c r="U226" i="5"/>
  <c r="BP226" i="5"/>
  <c r="B227" i="5"/>
  <c r="O227" i="5"/>
  <c r="P227" i="5"/>
  <c r="R227" i="5"/>
  <c r="S227" i="5"/>
  <c r="T227" i="5"/>
  <c r="U227" i="5"/>
  <c r="BP227" i="5"/>
  <c r="B228" i="5"/>
  <c r="O228" i="5"/>
  <c r="P228" i="5"/>
  <c r="R228" i="5"/>
  <c r="S228" i="5"/>
  <c r="T228" i="5"/>
  <c r="U228" i="5"/>
  <c r="BP228" i="5"/>
  <c r="B229" i="5"/>
  <c r="O229" i="5"/>
  <c r="P229" i="5"/>
  <c r="R229" i="5"/>
  <c r="S229" i="5"/>
  <c r="T229" i="5"/>
  <c r="U229" i="5"/>
  <c r="BP229" i="5"/>
  <c r="B230" i="5"/>
  <c r="O230" i="5"/>
  <c r="P230" i="5"/>
  <c r="R230" i="5"/>
  <c r="S230" i="5"/>
  <c r="T230" i="5"/>
  <c r="U230" i="5"/>
  <c r="BP230" i="5"/>
  <c r="B231" i="5"/>
  <c r="O231" i="5"/>
  <c r="P231" i="5"/>
  <c r="R231" i="5"/>
  <c r="S231" i="5"/>
  <c r="T231" i="5"/>
  <c r="U231" i="5"/>
  <c r="BP231" i="5"/>
  <c r="B232" i="5"/>
  <c r="O232" i="5"/>
  <c r="P232" i="5"/>
  <c r="R232" i="5"/>
  <c r="S232" i="5"/>
  <c r="T232" i="5"/>
  <c r="U232" i="5"/>
  <c r="BP232" i="5"/>
  <c r="B233" i="5"/>
  <c r="O233" i="5"/>
  <c r="P233" i="5"/>
  <c r="R233" i="5"/>
  <c r="S233" i="5"/>
  <c r="T233" i="5"/>
  <c r="U233" i="5"/>
  <c r="BP233" i="5"/>
  <c r="B234" i="5"/>
  <c r="O234" i="5"/>
  <c r="P234" i="5"/>
  <c r="R234" i="5"/>
  <c r="S234" i="5"/>
  <c r="T234" i="5"/>
  <c r="U234" i="5"/>
  <c r="BP234" i="5"/>
  <c r="B235" i="5"/>
  <c r="O235" i="5"/>
  <c r="P235" i="5"/>
  <c r="R235" i="5"/>
  <c r="S235" i="5"/>
  <c r="T235" i="5"/>
  <c r="U235" i="5"/>
  <c r="BP235" i="5"/>
  <c r="B236" i="5"/>
  <c r="O236" i="5"/>
  <c r="P236" i="5"/>
  <c r="R236" i="5"/>
  <c r="S236" i="5"/>
  <c r="T236" i="5"/>
  <c r="U236" i="5"/>
  <c r="BP236" i="5"/>
  <c r="B237" i="5"/>
  <c r="O237" i="5"/>
  <c r="P237" i="5"/>
  <c r="R237" i="5"/>
  <c r="S237" i="5"/>
  <c r="T237" i="5"/>
  <c r="U237" i="5"/>
  <c r="BP237" i="5"/>
  <c r="B238" i="5"/>
  <c r="O238" i="5"/>
  <c r="P238" i="5"/>
  <c r="R238" i="5"/>
  <c r="S238" i="5"/>
  <c r="T238" i="5"/>
  <c r="U238" i="5"/>
  <c r="BP238" i="5"/>
  <c r="B239" i="5"/>
  <c r="O239" i="5"/>
  <c r="P239" i="5"/>
  <c r="R239" i="5"/>
  <c r="S239" i="5"/>
  <c r="T239" i="5"/>
  <c r="U239" i="5"/>
  <c r="BP239" i="5"/>
  <c r="B240" i="5"/>
  <c r="O240" i="5"/>
  <c r="P240" i="5"/>
  <c r="R240" i="5"/>
  <c r="S240" i="5"/>
  <c r="T240" i="5"/>
  <c r="U240" i="5"/>
  <c r="BP240" i="5"/>
  <c r="B241" i="5"/>
  <c r="O241" i="5"/>
  <c r="P241" i="5"/>
  <c r="R241" i="5"/>
  <c r="S241" i="5"/>
  <c r="T241" i="5"/>
  <c r="U241" i="5"/>
  <c r="BP241" i="5"/>
  <c r="B242" i="5"/>
  <c r="O242" i="5"/>
  <c r="P242" i="5"/>
  <c r="R242" i="5"/>
  <c r="S242" i="5"/>
  <c r="T242" i="5"/>
  <c r="U242" i="5"/>
  <c r="BP242" i="5"/>
  <c r="B243" i="5"/>
  <c r="O243" i="5"/>
  <c r="P243" i="5"/>
  <c r="R243" i="5"/>
  <c r="S243" i="5"/>
  <c r="T243" i="5"/>
  <c r="U243" i="5"/>
  <c r="BP243" i="5"/>
  <c r="B244" i="5"/>
  <c r="O244" i="5"/>
  <c r="P244" i="5"/>
  <c r="R244" i="5"/>
  <c r="S244" i="5"/>
  <c r="T244" i="5"/>
  <c r="U244" i="5"/>
  <c r="BP244" i="5"/>
  <c r="B245" i="5"/>
  <c r="O245" i="5"/>
  <c r="P245" i="5"/>
  <c r="R245" i="5"/>
  <c r="S245" i="5"/>
  <c r="T245" i="5"/>
  <c r="U245" i="5"/>
  <c r="BP245" i="5"/>
  <c r="B246" i="5"/>
  <c r="O246" i="5"/>
  <c r="P246" i="5"/>
  <c r="R246" i="5"/>
  <c r="S246" i="5"/>
  <c r="T246" i="5"/>
  <c r="U246" i="5"/>
  <c r="BP246" i="5"/>
  <c r="B247" i="5"/>
  <c r="O247" i="5"/>
  <c r="P247" i="5"/>
  <c r="R247" i="5"/>
  <c r="S247" i="5"/>
  <c r="T247" i="5"/>
  <c r="U247" i="5"/>
  <c r="BP247" i="5"/>
  <c r="B248" i="5"/>
  <c r="O248" i="5"/>
  <c r="P248" i="5"/>
  <c r="R248" i="5"/>
  <c r="S248" i="5"/>
  <c r="T248" i="5"/>
  <c r="U248" i="5"/>
  <c r="BP248" i="5"/>
  <c r="B249" i="5"/>
  <c r="O249" i="5"/>
  <c r="P249" i="5"/>
  <c r="R249" i="5"/>
  <c r="S249" i="5"/>
  <c r="T249" i="5"/>
  <c r="U249" i="5"/>
  <c r="BP249" i="5"/>
  <c r="B250" i="5"/>
  <c r="O250" i="5"/>
  <c r="P250" i="5"/>
  <c r="R250" i="5"/>
  <c r="S250" i="5"/>
  <c r="T250" i="5"/>
  <c r="U250" i="5"/>
  <c r="BP250" i="5"/>
  <c r="B251" i="5"/>
  <c r="O251" i="5"/>
  <c r="P251" i="5"/>
  <c r="R251" i="5"/>
  <c r="S251" i="5"/>
  <c r="T251" i="5"/>
  <c r="U251" i="5"/>
  <c r="BP251" i="5"/>
  <c r="B252" i="5"/>
  <c r="O252" i="5"/>
  <c r="P252" i="5"/>
  <c r="R252" i="5"/>
  <c r="S252" i="5"/>
  <c r="T252" i="5"/>
  <c r="U252" i="5"/>
  <c r="BP252" i="5"/>
  <c r="B253" i="5"/>
  <c r="O253" i="5"/>
  <c r="P253" i="5"/>
  <c r="R253" i="5"/>
  <c r="S253" i="5"/>
  <c r="T253" i="5"/>
  <c r="U253" i="5"/>
  <c r="BP253" i="5"/>
  <c r="B254" i="5"/>
  <c r="O254" i="5"/>
  <c r="P254" i="5"/>
  <c r="R254" i="5"/>
  <c r="S254" i="5"/>
  <c r="T254" i="5"/>
  <c r="U254" i="5"/>
  <c r="BP254" i="5"/>
  <c r="B255" i="5"/>
  <c r="O255" i="5"/>
  <c r="P255" i="5"/>
  <c r="R255" i="5"/>
  <c r="S255" i="5"/>
  <c r="T255" i="5"/>
  <c r="U255" i="5"/>
  <c r="BP255" i="5"/>
  <c r="B256" i="5"/>
  <c r="O256" i="5"/>
  <c r="P256" i="5"/>
  <c r="R256" i="5"/>
  <c r="S256" i="5"/>
  <c r="T256" i="5"/>
  <c r="U256" i="5"/>
  <c r="BP256" i="5"/>
  <c r="B257" i="5"/>
  <c r="O257" i="5"/>
  <c r="P257" i="5"/>
  <c r="R257" i="5"/>
  <c r="S257" i="5"/>
  <c r="T257" i="5"/>
  <c r="U257" i="5"/>
  <c r="BP257" i="5"/>
  <c r="B258" i="5"/>
  <c r="O258" i="5"/>
  <c r="P258" i="5"/>
  <c r="R258" i="5"/>
  <c r="S258" i="5"/>
  <c r="T258" i="5"/>
  <c r="U258" i="5"/>
  <c r="BP258" i="5"/>
  <c r="B259" i="5"/>
  <c r="O259" i="5"/>
  <c r="P259" i="5"/>
  <c r="R259" i="5"/>
  <c r="S259" i="5"/>
  <c r="T259" i="5"/>
  <c r="U259" i="5"/>
  <c r="BP259" i="5"/>
  <c r="B260" i="5"/>
  <c r="O260" i="5"/>
  <c r="P260" i="5"/>
  <c r="R260" i="5"/>
  <c r="S260" i="5"/>
  <c r="T260" i="5"/>
  <c r="U260" i="5"/>
  <c r="BP260" i="5"/>
  <c r="B261" i="5"/>
  <c r="O261" i="5"/>
  <c r="P261" i="5"/>
  <c r="R261" i="5"/>
  <c r="S261" i="5"/>
  <c r="T261" i="5"/>
  <c r="U261" i="5"/>
  <c r="BP261" i="5"/>
  <c r="B262" i="5"/>
  <c r="O262" i="5"/>
  <c r="P262" i="5"/>
  <c r="R262" i="5"/>
  <c r="S262" i="5"/>
  <c r="T262" i="5"/>
  <c r="U262" i="5"/>
  <c r="BP262" i="5"/>
  <c r="B263" i="5"/>
  <c r="O263" i="5"/>
  <c r="P263" i="5"/>
  <c r="R263" i="5"/>
  <c r="S263" i="5"/>
  <c r="T263" i="5"/>
  <c r="U263" i="5"/>
  <c r="BP263" i="5"/>
  <c r="B264" i="5"/>
  <c r="O264" i="5"/>
  <c r="P264" i="5"/>
  <c r="R264" i="5"/>
  <c r="S264" i="5"/>
  <c r="T264" i="5"/>
  <c r="U264" i="5"/>
  <c r="BP264" i="5"/>
  <c r="B265" i="5"/>
  <c r="O265" i="5"/>
  <c r="P265" i="5"/>
  <c r="R265" i="5"/>
  <c r="S265" i="5"/>
  <c r="T265" i="5"/>
  <c r="U265" i="5"/>
  <c r="BP265" i="5"/>
  <c r="B266" i="5"/>
  <c r="O266" i="5"/>
  <c r="P266" i="5"/>
  <c r="R266" i="5"/>
  <c r="S266" i="5"/>
  <c r="T266" i="5"/>
  <c r="U266" i="5"/>
  <c r="BP266" i="5"/>
  <c r="B267" i="5"/>
  <c r="O267" i="5"/>
  <c r="P267" i="5"/>
  <c r="R267" i="5"/>
  <c r="S267" i="5"/>
  <c r="T267" i="5"/>
  <c r="U267" i="5"/>
  <c r="BP267" i="5"/>
  <c r="B268" i="5"/>
  <c r="O268" i="5"/>
  <c r="P268" i="5"/>
  <c r="R268" i="5"/>
  <c r="S268" i="5"/>
  <c r="T268" i="5"/>
  <c r="U268" i="5"/>
  <c r="BP268" i="5"/>
  <c r="B269" i="5"/>
  <c r="O269" i="5"/>
  <c r="P269" i="5"/>
  <c r="R269" i="5"/>
  <c r="S269" i="5"/>
  <c r="T269" i="5"/>
  <c r="U269" i="5"/>
  <c r="BP269" i="5"/>
  <c r="B270" i="5"/>
  <c r="O270" i="5"/>
  <c r="P270" i="5"/>
  <c r="R270" i="5"/>
  <c r="S270" i="5"/>
  <c r="T270" i="5"/>
  <c r="U270" i="5"/>
  <c r="BP270" i="5"/>
  <c r="B271" i="5"/>
  <c r="O271" i="5"/>
  <c r="P271" i="5"/>
  <c r="R271" i="5"/>
  <c r="S271" i="5"/>
  <c r="T271" i="5"/>
  <c r="U271" i="5"/>
  <c r="BP271" i="5"/>
  <c r="B272" i="5"/>
  <c r="O272" i="5"/>
  <c r="P272" i="5"/>
  <c r="R272" i="5"/>
  <c r="S272" i="5"/>
  <c r="T272" i="5"/>
  <c r="U272" i="5"/>
  <c r="BP272" i="5"/>
  <c r="B273" i="5"/>
  <c r="O273" i="5"/>
  <c r="P273" i="5"/>
  <c r="R273" i="5"/>
  <c r="S273" i="5"/>
  <c r="T273" i="5"/>
  <c r="U273" i="5"/>
  <c r="BP273" i="5"/>
  <c r="B274" i="5"/>
  <c r="O274" i="5"/>
  <c r="P274" i="5"/>
  <c r="R274" i="5"/>
  <c r="S274" i="5"/>
  <c r="T274" i="5"/>
  <c r="U274" i="5"/>
  <c r="BP274" i="5"/>
  <c r="B275" i="5"/>
  <c r="O275" i="5"/>
  <c r="P275" i="5"/>
  <c r="R275" i="5"/>
  <c r="S275" i="5"/>
  <c r="T275" i="5"/>
  <c r="U275" i="5"/>
  <c r="BP275" i="5"/>
  <c r="B276" i="5"/>
  <c r="O276" i="5"/>
  <c r="P276" i="5"/>
  <c r="R276" i="5"/>
  <c r="S276" i="5"/>
  <c r="T276" i="5"/>
  <c r="U276" i="5"/>
  <c r="BP276" i="5"/>
  <c r="B277" i="5"/>
  <c r="O277" i="5"/>
  <c r="P277" i="5"/>
  <c r="R277" i="5"/>
  <c r="S277" i="5"/>
  <c r="T277" i="5"/>
  <c r="U277" i="5"/>
  <c r="BP277" i="5"/>
  <c r="B278" i="5"/>
  <c r="O278" i="5"/>
  <c r="P278" i="5"/>
  <c r="R278" i="5"/>
  <c r="S278" i="5"/>
  <c r="T278" i="5"/>
  <c r="U278" i="5"/>
  <c r="BP278" i="5"/>
  <c r="B279" i="5"/>
  <c r="O279" i="5"/>
  <c r="P279" i="5"/>
  <c r="R279" i="5"/>
  <c r="S279" i="5"/>
  <c r="T279" i="5"/>
  <c r="U279" i="5"/>
  <c r="BP279" i="5"/>
  <c r="B280" i="5"/>
  <c r="O280" i="5"/>
  <c r="P280" i="5"/>
  <c r="R280" i="5"/>
  <c r="S280" i="5"/>
  <c r="T280" i="5"/>
  <c r="U280" i="5"/>
  <c r="BP280" i="5"/>
  <c r="B281" i="5"/>
  <c r="O281" i="5"/>
  <c r="P281" i="5"/>
  <c r="R281" i="5"/>
  <c r="S281" i="5"/>
  <c r="T281" i="5"/>
  <c r="U281" i="5"/>
  <c r="BP281" i="5"/>
  <c r="B282" i="5"/>
  <c r="O282" i="5"/>
  <c r="P282" i="5"/>
  <c r="R282" i="5"/>
  <c r="S282" i="5"/>
  <c r="T282" i="5"/>
  <c r="U282" i="5"/>
  <c r="BP282" i="5"/>
  <c r="B283" i="5"/>
  <c r="O283" i="5"/>
  <c r="P283" i="5"/>
  <c r="R283" i="5"/>
  <c r="S283" i="5"/>
  <c r="T283" i="5"/>
  <c r="U283" i="5"/>
  <c r="BP283" i="5"/>
  <c r="B284" i="5"/>
  <c r="O284" i="5"/>
  <c r="P284" i="5"/>
  <c r="R284" i="5"/>
  <c r="S284" i="5"/>
  <c r="T284" i="5"/>
  <c r="U284" i="5"/>
  <c r="BP284" i="5"/>
  <c r="B285" i="5"/>
  <c r="O285" i="5"/>
  <c r="P285" i="5"/>
  <c r="R285" i="5"/>
  <c r="S285" i="5"/>
  <c r="T285" i="5"/>
  <c r="U285" i="5"/>
  <c r="BP285" i="5"/>
  <c r="B286" i="5"/>
  <c r="O286" i="5"/>
  <c r="P286" i="5"/>
  <c r="R286" i="5"/>
  <c r="S286" i="5"/>
  <c r="T286" i="5"/>
  <c r="U286" i="5"/>
  <c r="BP286" i="5"/>
  <c r="B287" i="5"/>
  <c r="O287" i="5"/>
  <c r="P287" i="5"/>
  <c r="R287" i="5"/>
  <c r="S287" i="5"/>
  <c r="T287" i="5"/>
  <c r="U287" i="5"/>
  <c r="BP287" i="5"/>
  <c r="B288" i="5"/>
  <c r="O288" i="5"/>
  <c r="P288" i="5"/>
  <c r="R288" i="5"/>
  <c r="S288" i="5"/>
  <c r="T288" i="5"/>
  <c r="U288" i="5"/>
  <c r="BP288" i="5"/>
  <c r="B289" i="5"/>
  <c r="O289" i="5"/>
  <c r="P289" i="5"/>
  <c r="R289" i="5"/>
  <c r="S289" i="5"/>
  <c r="T289" i="5"/>
  <c r="U289" i="5"/>
  <c r="BP289" i="5"/>
  <c r="B290" i="5"/>
  <c r="O290" i="5"/>
  <c r="P290" i="5"/>
  <c r="R290" i="5"/>
  <c r="S290" i="5"/>
  <c r="T290" i="5"/>
  <c r="U290" i="5"/>
  <c r="BP290" i="5"/>
  <c r="B291" i="5"/>
  <c r="O291" i="5"/>
  <c r="P291" i="5"/>
  <c r="R291" i="5"/>
  <c r="S291" i="5"/>
  <c r="T291" i="5"/>
  <c r="U291" i="5"/>
  <c r="BP291" i="5"/>
  <c r="B292" i="5"/>
  <c r="O292" i="5"/>
  <c r="P292" i="5"/>
  <c r="R292" i="5"/>
  <c r="S292" i="5"/>
  <c r="T292" i="5"/>
  <c r="U292" i="5"/>
  <c r="BP292" i="5"/>
  <c r="B293" i="5"/>
  <c r="O293" i="5"/>
  <c r="P293" i="5"/>
  <c r="R293" i="5"/>
  <c r="S293" i="5"/>
  <c r="T293" i="5"/>
  <c r="U293" i="5"/>
  <c r="BP293" i="5"/>
  <c r="B294" i="5"/>
  <c r="O294" i="5"/>
  <c r="P294" i="5"/>
  <c r="R294" i="5"/>
  <c r="S294" i="5"/>
  <c r="T294" i="5"/>
  <c r="U294" i="5"/>
  <c r="BP294" i="5"/>
  <c r="B295" i="5"/>
  <c r="O295" i="5"/>
  <c r="P295" i="5"/>
  <c r="R295" i="5"/>
  <c r="S295" i="5"/>
  <c r="T295" i="5"/>
  <c r="U295" i="5"/>
  <c r="BP295" i="5"/>
  <c r="B296" i="5"/>
  <c r="O296" i="5"/>
  <c r="P296" i="5"/>
  <c r="R296" i="5"/>
  <c r="S296" i="5"/>
  <c r="T296" i="5"/>
  <c r="U296" i="5"/>
  <c r="BP296" i="5"/>
  <c r="B297" i="5"/>
  <c r="O297" i="5"/>
  <c r="P297" i="5"/>
  <c r="R297" i="5"/>
  <c r="S297" i="5"/>
  <c r="T297" i="5"/>
  <c r="U297" i="5"/>
  <c r="BP297" i="5"/>
  <c r="B298" i="5"/>
  <c r="O298" i="5"/>
  <c r="P298" i="5"/>
  <c r="R298" i="5"/>
  <c r="S298" i="5"/>
  <c r="T298" i="5"/>
  <c r="U298" i="5"/>
  <c r="BP298" i="5"/>
  <c r="B299" i="5"/>
  <c r="O299" i="5"/>
  <c r="P299" i="5"/>
  <c r="R299" i="5"/>
  <c r="S299" i="5"/>
  <c r="T299" i="5"/>
  <c r="U299" i="5"/>
  <c r="BP299" i="5"/>
  <c r="B300" i="5"/>
  <c r="O300" i="5"/>
  <c r="P300" i="5"/>
  <c r="R300" i="5"/>
  <c r="S300" i="5"/>
  <c r="T300" i="5"/>
  <c r="U300" i="5"/>
  <c r="BP300" i="5"/>
  <c r="B301" i="5"/>
  <c r="O301" i="5"/>
  <c r="P301" i="5"/>
  <c r="R301" i="5"/>
  <c r="S301" i="5"/>
  <c r="T301" i="5"/>
  <c r="U301" i="5"/>
  <c r="BP301" i="5"/>
  <c r="B302" i="5"/>
  <c r="O302" i="5"/>
  <c r="P302" i="5"/>
  <c r="R302" i="5"/>
  <c r="S302" i="5"/>
  <c r="T302" i="5"/>
  <c r="U302" i="5"/>
  <c r="BP302" i="5"/>
  <c r="B303" i="5"/>
  <c r="O303" i="5"/>
  <c r="P303" i="5"/>
  <c r="R303" i="5"/>
  <c r="S303" i="5"/>
  <c r="T303" i="5"/>
  <c r="U303" i="5"/>
  <c r="BP303" i="5"/>
  <c r="B304" i="5"/>
  <c r="O304" i="5"/>
  <c r="P304" i="5"/>
  <c r="R304" i="5"/>
  <c r="S304" i="5"/>
  <c r="T304" i="5"/>
  <c r="U304" i="5"/>
  <c r="BP304" i="5"/>
  <c r="B305" i="5"/>
  <c r="O305" i="5"/>
  <c r="P305" i="5"/>
  <c r="R305" i="5"/>
  <c r="S305" i="5"/>
  <c r="T305" i="5"/>
  <c r="U305" i="5"/>
  <c r="BP305" i="5"/>
  <c r="B306" i="5"/>
  <c r="O306" i="5"/>
  <c r="P306" i="5"/>
  <c r="R306" i="5"/>
  <c r="S306" i="5"/>
  <c r="T306" i="5"/>
  <c r="U306" i="5"/>
  <c r="BP306" i="5"/>
  <c r="B307" i="5"/>
  <c r="O307" i="5"/>
  <c r="P307" i="5"/>
  <c r="R307" i="5"/>
  <c r="S307" i="5"/>
  <c r="T307" i="5"/>
  <c r="U307" i="5"/>
  <c r="BP307" i="5"/>
  <c r="B308" i="5"/>
  <c r="O308" i="5"/>
  <c r="P308" i="5"/>
  <c r="R308" i="5"/>
  <c r="S308" i="5"/>
  <c r="T308" i="5"/>
  <c r="U308" i="5"/>
  <c r="BP308" i="5"/>
  <c r="B309" i="5"/>
  <c r="O309" i="5"/>
  <c r="P309" i="5"/>
  <c r="R309" i="5"/>
  <c r="S309" i="5"/>
  <c r="T309" i="5"/>
  <c r="U309" i="5"/>
  <c r="BP309" i="5"/>
  <c r="B310" i="5"/>
  <c r="O310" i="5"/>
  <c r="P310" i="5"/>
  <c r="R310" i="5"/>
  <c r="S310" i="5"/>
  <c r="T310" i="5"/>
  <c r="U310" i="5"/>
  <c r="BP310" i="5"/>
  <c r="B311" i="5"/>
  <c r="BP311" i="5"/>
  <c r="B312" i="5"/>
  <c r="BP312" i="5"/>
  <c r="B313" i="5"/>
  <c r="BP313" i="5"/>
  <c r="B314" i="5"/>
  <c r="BP314" i="5"/>
  <c r="B315" i="5"/>
  <c r="BP315" i="5"/>
  <c r="B316" i="5"/>
  <c r="BP316" i="5"/>
  <c r="B317" i="5"/>
  <c r="BP317" i="5"/>
  <c r="B318" i="5"/>
  <c r="BP318" i="5"/>
  <c r="B319" i="5"/>
  <c r="BP319" i="5"/>
  <c r="B320" i="5"/>
  <c r="BP320" i="5"/>
  <c r="B321" i="5"/>
  <c r="BP321" i="5"/>
  <c r="B322" i="5"/>
  <c r="BP322" i="5"/>
  <c r="B323" i="5"/>
  <c r="BP323" i="5"/>
  <c r="B324" i="5"/>
  <c r="BP324" i="5"/>
  <c r="B325" i="5"/>
  <c r="BP325" i="5"/>
  <c r="B326" i="5"/>
  <c r="BP326" i="5"/>
  <c r="B327" i="5"/>
  <c r="BP327" i="5"/>
  <c r="B328" i="5"/>
  <c r="BP328" i="5"/>
  <c r="B329" i="5"/>
  <c r="BP329" i="5"/>
  <c r="B330" i="5"/>
  <c r="BP330" i="5"/>
  <c r="B331" i="5"/>
  <c r="BP331" i="5"/>
  <c r="B332" i="5"/>
  <c r="BP332" i="5"/>
  <c r="B333" i="5"/>
  <c r="BP333" i="5"/>
  <c r="B334" i="5"/>
  <c r="BP334" i="5"/>
  <c r="B335" i="5"/>
  <c r="BP335" i="5"/>
  <c r="B336" i="5"/>
  <c r="BP336" i="5"/>
  <c r="B337" i="5"/>
  <c r="BP337" i="5"/>
  <c r="B338" i="5"/>
  <c r="BP338" i="5"/>
  <c r="B339" i="5"/>
  <c r="BP339" i="5"/>
  <c r="B340" i="5"/>
  <c r="BP340" i="5"/>
  <c r="B341" i="5"/>
  <c r="BP341" i="5"/>
  <c r="B342" i="5"/>
  <c r="BP342" i="5"/>
  <c r="B343" i="5"/>
  <c r="BP343" i="5"/>
  <c r="B344" i="5"/>
  <c r="BP344" i="5"/>
  <c r="B345" i="5"/>
  <c r="BP345" i="5"/>
  <c r="B346" i="5"/>
  <c r="BP346" i="5"/>
  <c r="B347" i="5"/>
  <c r="BP347" i="5"/>
  <c r="B348" i="5"/>
  <c r="BP348" i="5"/>
  <c r="B349" i="5"/>
  <c r="BP349" i="5"/>
  <c r="B350" i="5"/>
  <c r="BP350" i="5"/>
  <c r="B351" i="5"/>
  <c r="BP351" i="5"/>
  <c r="B352" i="5"/>
  <c r="BP352" i="5"/>
  <c r="B353" i="5"/>
  <c r="BP353" i="5"/>
  <c r="B354" i="5"/>
  <c r="BP354" i="5"/>
  <c r="B355" i="5"/>
  <c r="BP355" i="5"/>
  <c r="B356" i="5"/>
  <c r="BP356" i="5"/>
  <c r="B357" i="5"/>
  <c r="BP357" i="5"/>
  <c r="B358" i="5"/>
  <c r="BP358" i="5"/>
  <c r="B359" i="5"/>
  <c r="BP359" i="5"/>
  <c r="B360" i="5"/>
  <c r="BP360" i="5"/>
  <c r="B361" i="5"/>
  <c r="BP361" i="5"/>
  <c r="B362" i="5"/>
  <c r="BP362" i="5"/>
  <c r="B363" i="5"/>
  <c r="BP363" i="5"/>
  <c r="B364" i="5"/>
  <c r="BP364" i="5"/>
  <c r="B365" i="5"/>
  <c r="BP365" i="5"/>
  <c r="B366" i="5"/>
  <c r="BP366" i="5"/>
  <c r="B367" i="5"/>
  <c r="BP367" i="5"/>
  <c r="B368" i="5"/>
  <c r="BP368" i="5"/>
  <c r="B369" i="5"/>
  <c r="BP369" i="5"/>
  <c r="B370" i="5"/>
  <c r="BP370" i="5"/>
  <c r="B371" i="5"/>
  <c r="BP371" i="5"/>
  <c r="B372" i="5"/>
  <c r="BP372" i="5"/>
  <c r="B373" i="5"/>
  <c r="BP373" i="5"/>
  <c r="B374" i="5"/>
  <c r="BP374" i="5"/>
  <c r="B375" i="5"/>
  <c r="BP375" i="5"/>
  <c r="B376" i="5"/>
  <c r="BP376" i="5"/>
  <c r="B377" i="5"/>
  <c r="BP377" i="5"/>
  <c r="BP378" i="5"/>
  <c r="BP379" i="5"/>
  <c r="BP380" i="5"/>
  <c r="BP381" i="5"/>
  <c r="BP382" i="5"/>
  <c r="BP383" i="5"/>
  <c r="BP384" i="5"/>
  <c r="BP385" i="5"/>
  <c r="BP386" i="5"/>
  <c r="BP387" i="5"/>
  <c r="BP388" i="5"/>
  <c r="BP389" i="5"/>
  <c r="BP390" i="5"/>
  <c r="BP391" i="5"/>
  <c r="BP392" i="5"/>
  <c r="BP393" i="5"/>
  <c r="BP394" i="5"/>
  <c r="BP395" i="5"/>
  <c r="BP396" i="5"/>
  <c r="BP397" i="5"/>
  <c r="BP398" i="5"/>
  <c r="BP399" i="5"/>
  <c r="BP400" i="5"/>
  <c r="BP401" i="5"/>
  <c r="BP402" i="5"/>
  <c r="BP403" i="5"/>
  <c r="BP404" i="5"/>
  <c r="BP405" i="5"/>
  <c r="BP406" i="5"/>
  <c r="BP407" i="5"/>
  <c r="BP408" i="5"/>
  <c r="BP409" i="5"/>
  <c r="D1" i="2"/>
  <c r="D2" i="2"/>
  <c r="D5" i="2"/>
  <c r="K5" i="2"/>
  <c r="D7" i="2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E17" i="8"/>
  <c r="A19" i="8"/>
  <c r="W12" i="4"/>
  <c r="A13" i="4"/>
  <c r="B13" i="4"/>
  <c r="DU13" i="4"/>
  <c r="A14" i="4"/>
  <c r="B14" i="4"/>
  <c r="A15" i="4"/>
  <c r="B15" i="4"/>
  <c r="A16" i="4"/>
  <c r="B16" i="4"/>
  <c r="A17" i="4"/>
  <c r="B17" i="4"/>
  <c r="CI17" i="4"/>
  <c r="CJ17" i="4"/>
  <c r="CK17" i="4"/>
  <c r="A18" i="4"/>
  <c r="B18" i="4"/>
  <c r="CI18" i="4"/>
  <c r="CJ18" i="4"/>
  <c r="CK18" i="4"/>
  <c r="A19" i="4"/>
  <c r="B19" i="4"/>
  <c r="CI19" i="4"/>
  <c r="CJ19" i="4"/>
  <c r="CK19" i="4"/>
  <c r="CY19" i="4"/>
  <c r="CZ19" i="4"/>
  <c r="DA19" i="4"/>
  <c r="DB19" i="4"/>
  <c r="DD19" i="4"/>
  <c r="DE19" i="4"/>
  <c r="DF19" i="4"/>
  <c r="DH19" i="4"/>
  <c r="A20" i="4"/>
  <c r="B20" i="4"/>
  <c r="CI20" i="4"/>
  <c r="CJ20" i="4"/>
  <c r="CK20" i="4"/>
  <c r="CY20" i="4"/>
  <c r="CZ20" i="4"/>
  <c r="DA20" i="4"/>
  <c r="DB20" i="4"/>
  <c r="DD20" i="4"/>
  <c r="DE20" i="4"/>
  <c r="DF20" i="4"/>
  <c r="DH20" i="4"/>
  <c r="A21" i="4"/>
  <c r="B21" i="4"/>
  <c r="CI21" i="4"/>
  <c r="CJ21" i="4"/>
  <c r="CK21" i="4"/>
  <c r="CY21" i="4"/>
  <c r="CZ21" i="4"/>
  <c r="DA21" i="4"/>
  <c r="DB21" i="4"/>
  <c r="DD21" i="4"/>
  <c r="DE21" i="4"/>
  <c r="DF21" i="4"/>
  <c r="DH21" i="4"/>
  <c r="A22" i="4"/>
  <c r="B22" i="4"/>
  <c r="CI22" i="4"/>
  <c r="CJ22" i="4"/>
  <c r="CK22" i="4"/>
  <c r="CY22" i="4"/>
  <c r="CZ22" i="4"/>
  <c r="DA22" i="4"/>
  <c r="DB22" i="4"/>
  <c r="DD22" i="4"/>
  <c r="DE22" i="4"/>
  <c r="DF22" i="4"/>
  <c r="DH22" i="4"/>
  <c r="A23" i="4"/>
  <c r="B23" i="4"/>
  <c r="CI23" i="4"/>
  <c r="CJ23" i="4"/>
  <c r="CK23" i="4"/>
  <c r="CY23" i="4"/>
  <c r="CZ23" i="4"/>
  <c r="DA23" i="4"/>
  <c r="DB23" i="4"/>
  <c r="DD23" i="4"/>
  <c r="DE23" i="4"/>
  <c r="DF23" i="4"/>
  <c r="DH23" i="4"/>
  <c r="A24" i="4"/>
  <c r="B24" i="4"/>
  <c r="CI24" i="4"/>
  <c r="CJ24" i="4"/>
  <c r="CK24" i="4"/>
  <c r="CY24" i="4"/>
  <c r="CZ24" i="4"/>
  <c r="DA24" i="4"/>
  <c r="DB24" i="4"/>
  <c r="DD24" i="4"/>
  <c r="DE24" i="4"/>
  <c r="DF24" i="4"/>
  <c r="DH24" i="4"/>
  <c r="A25" i="4"/>
  <c r="B25" i="4"/>
  <c r="CI25" i="4"/>
  <c r="CJ25" i="4"/>
  <c r="CK25" i="4"/>
  <c r="CY25" i="4"/>
  <c r="CZ25" i="4"/>
  <c r="DA25" i="4"/>
  <c r="DB25" i="4"/>
  <c r="DD25" i="4"/>
  <c r="DE25" i="4"/>
  <c r="DF25" i="4"/>
  <c r="DH25" i="4"/>
  <c r="A26" i="4"/>
  <c r="B26" i="4"/>
  <c r="CI26" i="4"/>
  <c r="CJ26" i="4"/>
  <c r="CK26" i="4"/>
  <c r="CY26" i="4"/>
  <c r="CZ26" i="4"/>
  <c r="DA26" i="4"/>
  <c r="DB26" i="4"/>
  <c r="DD26" i="4"/>
  <c r="DE26" i="4"/>
  <c r="DF26" i="4"/>
  <c r="DH26" i="4"/>
  <c r="A27" i="4"/>
  <c r="B27" i="4"/>
  <c r="CI27" i="4"/>
  <c r="CJ27" i="4"/>
  <c r="CK27" i="4"/>
  <c r="CY27" i="4"/>
  <c r="CZ27" i="4"/>
  <c r="DA27" i="4"/>
  <c r="DB27" i="4"/>
  <c r="DD27" i="4"/>
  <c r="DE27" i="4"/>
  <c r="DF27" i="4"/>
  <c r="DH27" i="4"/>
  <c r="A28" i="4"/>
  <c r="B28" i="4"/>
  <c r="CI28" i="4"/>
  <c r="CJ28" i="4"/>
  <c r="CK28" i="4"/>
  <c r="CY28" i="4"/>
  <c r="CZ28" i="4"/>
  <c r="DA28" i="4"/>
  <c r="DB28" i="4"/>
  <c r="DD28" i="4"/>
  <c r="DE28" i="4"/>
  <c r="DF28" i="4"/>
  <c r="DH28" i="4"/>
  <c r="A29" i="4"/>
  <c r="B29" i="4"/>
  <c r="CY29" i="4"/>
  <c r="CZ29" i="4"/>
  <c r="DA29" i="4"/>
  <c r="DB29" i="4"/>
  <c r="DD29" i="4"/>
  <c r="DE29" i="4"/>
  <c r="DF29" i="4"/>
  <c r="DH29" i="4"/>
  <c r="A30" i="4"/>
  <c r="B30" i="4"/>
  <c r="CY30" i="4"/>
  <c r="CZ30" i="4"/>
  <c r="DA30" i="4"/>
  <c r="DB30" i="4"/>
  <c r="DD30" i="4"/>
  <c r="DE30" i="4"/>
  <c r="DF30" i="4"/>
  <c r="DH30" i="4"/>
  <c r="A31" i="4"/>
  <c r="B31" i="4"/>
  <c r="CY31" i="4"/>
  <c r="CZ31" i="4"/>
  <c r="DA31" i="4"/>
  <c r="DB31" i="4"/>
  <c r="DD31" i="4"/>
  <c r="DE31" i="4"/>
  <c r="DF31" i="4"/>
  <c r="DH31" i="4"/>
  <c r="A32" i="4"/>
  <c r="B32" i="4"/>
  <c r="CY32" i="4"/>
  <c r="CZ32" i="4"/>
  <c r="DA32" i="4"/>
  <c r="DB32" i="4"/>
  <c r="DD32" i="4"/>
  <c r="DE32" i="4"/>
  <c r="DF32" i="4"/>
  <c r="DH32" i="4"/>
  <c r="A33" i="4"/>
  <c r="B33" i="4"/>
  <c r="CY33" i="4"/>
  <c r="CZ33" i="4"/>
  <c r="DA33" i="4"/>
  <c r="DB33" i="4"/>
  <c r="DD33" i="4"/>
  <c r="DE33" i="4"/>
  <c r="DF33" i="4"/>
  <c r="DH33" i="4"/>
  <c r="A34" i="4"/>
  <c r="B34" i="4"/>
  <c r="CY34" i="4"/>
  <c r="CZ34" i="4"/>
  <c r="DA34" i="4"/>
  <c r="DB34" i="4"/>
  <c r="DD34" i="4"/>
  <c r="DE34" i="4"/>
  <c r="DF34" i="4"/>
  <c r="DH34" i="4"/>
  <c r="A35" i="4"/>
  <c r="B35" i="4"/>
  <c r="CY35" i="4"/>
  <c r="CZ35" i="4"/>
  <c r="DA35" i="4"/>
  <c r="DB35" i="4"/>
  <c r="DD35" i="4"/>
  <c r="DE35" i="4"/>
  <c r="DF35" i="4"/>
  <c r="DH35" i="4"/>
  <c r="A36" i="4"/>
  <c r="B36" i="4"/>
  <c r="CY36" i="4"/>
  <c r="CZ36" i="4"/>
  <c r="DA36" i="4"/>
  <c r="DB36" i="4"/>
  <c r="DD36" i="4"/>
  <c r="DE36" i="4"/>
  <c r="DF36" i="4"/>
  <c r="DH36" i="4"/>
  <c r="A37" i="4"/>
  <c r="B37" i="4"/>
  <c r="CI37" i="4"/>
  <c r="CJ37" i="4"/>
  <c r="CK37" i="4"/>
  <c r="CY37" i="4"/>
  <c r="CZ37" i="4"/>
  <c r="DA37" i="4"/>
  <c r="DB37" i="4"/>
  <c r="DD37" i="4"/>
  <c r="DE37" i="4"/>
  <c r="DF37" i="4"/>
  <c r="DH37" i="4"/>
  <c r="A38" i="4"/>
  <c r="B38" i="4"/>
  <c r="CI38" i="4"/>
  <c r="CJ38" i="4"/>
  <c r="CK38" i="4"/>
  <c r="CY38" i="4"/>
  <c r="CZ38" i="4"/>
  <c r="DA38" i="4"/>
  <c r="DB38" i="4"/>
  <c r="DD38" i="4"/>
  <c r="DE38" i="4"/>
  <c r="DF38" i="4"/>
  <c r="DH38" i="4"/>
  <c r="A39" i="4"/>
  <c r="B39" i="4"/>
  <c r="CI39" i="4"/>
  <c r="CJ39" i="4"/>
  <c r="CK39" i="4"/>
  <c r="CY39" i="4"/>
  <c r="CZ39" i="4"/>
  <c r="DA39" i="4"/>
  <c r="DB39" i="4"/>
  <c r="DD39" i="4"/>
  <c r="DE39" i="4"/>
  <c r="DF39" i="4"/>
  <c r="DH39" i="4"/>
  <c r="A40" i="4"/>
  <c r="B40" i="4"/>
  <c r="CI40" i="4"/>
  <c r="CJ40" i="4"/>
  <c r="CK40" i="4"/>
  <c r="CY40" i="4"/>
  <c r="CZ40" i="4"/>
  <c r="DA40" i="4"/>
  <c r="DB40" i="4"/>
  <c r="DD40" i="4"/>
  <c r="DE40" i="4"/>
  <c r="DF40" i="4"/>
  <c r="DH40" i="4"/>
  <c r="A41" i="4"/>
  <c r="B41" i="4"/>
  <c r="CI41" i="4"/>
  <c r="CJ41" i="4"/>
  <c r="CK41" i="4"/>
  <c r="CY41" i="4"/>
  <c r="CZ41" i="4"/>
  <c r="DA41" i="4"/>
  <c r="DB41" i="4"/>
  <c r="DD41" i="4"/>
  <c r="DE41" i="4"/>
  <c r="DF41" i="4"/>
  <c r="DH41" i="4"/>
  <c r="A42" i="4"/>
  <c r="B42" i="4"/>
  <c r="CI42" i="4"/>
  <c r="CJ42" i="4"/>
  <c r="CK42" i="4"/>
  <c r="CY42" i="4"/>
  <c r="CZ42" i="4"/>
  <c r="DA42" i="4"/>
  <c r="DB42" i="4"/>
  <c r="DD42" i="4"/>
  <c r="DE42" i="4"/>
  <c r="DF42" i="4"/>
  <c r="DH42" i="4"/>
  <c r="A43" i="4"/>
  <c r="B43" i="4"/>
  <c r="CI43" i="4"/>
  <c r="CJ43" i="4"/>
  <c r="CK43" i="4"/>
  <c r="CY43" i="4"/>
  <c r="CZ43" i="4"/>
  <c r="DA43" i="4"/>
  <c r="DB43" i="4"/>
  <c r="DD43" i="4"/>
  <c r="DE43" i="4"/>
  <c r="DF43" i="4"/>
  <c r="DH43" i="4"/>
  <c r="A44" i="4"/>
  <c r="B44" i="4"/>
  <c r="CI44" i="4"/>
  <c r="CJ44" i="4"/>
  <c r="CK44" i="4"/>
  <c r="CY44" i="4"/>
  <c r="CZ44" i="4"/>
  <c r="DA44" i="4"/>
  <c r="DB44" i="4"/>
  <c r="DD44" i="4"/>
  <c r="DE44" i="4"/>
  <c r="DF44" i="4"/>
  <c r="DH44" i="4"/>
  <c r="A45" i="4"/>
  <c r="B45" i="4"/>
  <c r="CI45" i="4"/>
  <c r="CJ45" i="4"/>
  <c r="CK45" i="4"/>
  <c r="CY45" i="4"/>
  <c r="CZ45" i="4"/>
  <c r="DA45" i="4"/>
  <c r="DB45" i="4"/>
  <c r="DD45" i="4"/>
  <c r="DE45" i="4"/>
  <c r="DF45" i="4"/>
  <c r="DH45" i="4"/>
  <c r="A46" i="4"/>
  <c r="B46" i="4"/>
  <c r="CI46" i="4"/>
  <c r="CJ46" i="4"/>
  <c r="CK46" i="4"/>
  <c r="CY46" i="4"/>
  <c r="CZ46" i="4"/>
  <c r="DA46" i="4"/>
  <c r="DB46" i="4"/>
  <c r="DD46" i="4"/>
  <c r="DE46" i="4"/>
  <c r="DF46" i="4"/>
  <c r="DH46" i="4"/>
  <c r="A47" i="4"/>
  <c r="B47" i="4"/>
  <c r="CI47" i="4"/>
  <c r="CJ47" i="4"/>
  <c r="CK47" i="4"/>
  <c r="CY47" i="4"/>
  <c r="CZ47" i="4"/>
  <c r="DA47" i="4"/>
  <c r="DB47" i="4"/>
  <c r="DD47" i="4"/>
  <c r="DE47" i="4"/>
  <c r="DF47" i="4"/>
  <c r="DH47" i="4"/>
  <c r="A48" i="4"/>
  <c r="B48" i="4"/>
  <c r="CI48" i="4"/>
  <c r="CJ48" i="4"/>
  <c r="CK48" i="4"/>
  <c r="CY48" i="4"/>
  <c r="CZ48" i="4"/>
  <c r="DA48" i="4"/>
  <c r="DB48" i="4"/>
  <c r="DD48" i="4"/>
  <c r="DE48" i="4"/>
  <c r="DF48" i="4"/>
  <c r="DH48" i="4"/>
  <c r="A49" i="4"/>
  <c r="B49" i="4"/>
  <c r="CY49" i="4"/>
  <c r="CZ49" i="4"/>
  <c r="DA49" i="4"/>
  <c r="DB49" i="4"/>
  <c r="DD49" i="4"/>
  <c r="DE49" i="4"/>
  <c r="DF49" i="4"/>
  <c r="DH49" i="4"/>
  <c r="A50" i="4"/>
  <c r="B50" i="4"/>
  <c r="CY50" i="4"/>
  <c r="CZ50" i="4"/>
  <c r="DA50" i="4"/>
  <c r="DB50" i="4"/>
  <c r="DD50" i="4"/>
  <c r="DE50" i="4"/>
  <c r="DF50" i="4"/>
  <c r="DH50" i="4"/>
  <c r="A51" i="4"/>
  <c r="B51" i="4"/>
  <c r="CY51" i="4"/>
  <c r="CZ51" i="4"/>
  <c r="DA51" i="4"/>
  <c r="DB51" i="4"/>
  <c r="DD51" i="4"/>
  <c r="DE51" i="4"/>
  <c r="DF51" i="4"/>
  <c r="DH51" i="4"/>
  <c r="A52" i="4"/>
  <c r="B52" i="4"/>
  <c r="CY52" i="4"/>
  <c r="CZ52" i="4"/>
  <c r="DA52" i="4"/>
  <c r="DB52" i="4"/>
  <c r="DD52" i="4"/>
  <c r="DE52" i="4"/>
  <c r="DF52" i="4"/>
  <c r="DH52" i="4"/>
  <c r="A53" i="4"/>
  <c r="B53" i="4"/>
  <c r="CI53" i="4"/>
  <c r="CJ53" i="4"/>
  <c r="CK53" i="4"/>
  <c r="CY53" i="4"/>
  <c r="CZ53" i="4"/>
  <c r="DA53" i="4"/>
  <c r="DB53" i="4"/>
  <c r="DD53" i="4"/>
  <c r="DE53" i="4"/>
  <c r="DF53" i="4"/>
  <c r="DH53" i="4"/>
  <c r="A54" i="4"/>
  <c r="B54" i="4"/>
  <c r="CI54" i="4"/>
  <c r="CJ54" i="4"/>
  <c r="CK54" i="4"/>
  <c r="CY54" i="4"/>
  <c r="CZ54" i="4"/>
  <c r="DA54" i="4"/>
  <c r="DB54" i="4"/>
  <c r="DD54" i="4"/>
  <c r="DE54" i="4"/>
  <c r="DF54" i="4"/>
  <c r="DH54" i="4"/>
  <c r="A55" i="4"/>
  <c r="B55" i="4"/>
  <c r="CI55" i="4"/>
  <c r="CJ55" i="4"/>
  <c r="CK55" i="4"/>
  <c r="CY55" i="4"/>
  <c r="CZ55" i="4"/>
  <c r="DA55" i="4"/>
  <c r="DB55" i="4"/>
  <c r="DD55" i="4"/>
  <c r="DE55" i="4"/>
  <c r="DF55" i="4"/>
  <c r="DH55" i="4"/>
  <c r="A56" i="4"/>
  <c r="B56" i="4"/>
  <c r="CI56" i="4"/>
  <c r="CJ56" i="4"/>
  <c r="CK56" i="4"/>
  <c r="CY56" i="4"/>
  <c r="CZ56" i="4"/>
  <c r="DA56" i="4"/>
  <c r="DB56" i="4"/>
  <c r="DD56" i="4"/>
  <c r="DE56" i="4"/>
  <c r="DF56" i="4"/>
  <c r="DH56" i="4"/>
  <c r="A57" i="4"/>
  <c r="B57" i="4"/>
  <c r="CI57" i="4"/>
  <c r="CJ57" i="4"/>
  <c r="CK57" i="4"/>
  <c r="CY57" i="4"/>
  <c r="CZ57" i="4"/>
  <c r="DA57" i="4"/>
  <c r="DB57" i="4"/>
  <c r="DD57" i="4"/>
  <c r="DE57" i="4"/>
  <c r="DF57" i="4"/>
  <c r="DH57" i="4"/>
  <c r="A58" i="4"/>
  <c r="B58" i="4"/>
  <c r="CI58" i="4"/>
  <c r="CJ58" i="4"/>
  <c r="CK58" i="4"/>
  <c r="CY58" i="4"/>
  <c r="CZ58" i="4"/>
  <c r="DA58" i="4"/>
  <c r="DB58" i="4"/>
  <c r="DD58" i="4"/>
  <c r="DE58" i="4"/>
  <c r="DF58" i="4"/>
  <c r="DH58" i="4"/>
  <c r="A59" i="4"/>
  <c r="B59" i="4"/>
  <c r="CI59" i="4"/>
  <c r="CJ59" i="4"/>
  <c r="CK59" i="4"/>
  <c r="CY59" i="4"/>
  <c r="CZ59" i="4"/>
  <c r="DA59" i="4"/>
  <c r="DB59" i="4"/>
  <c r="DD59" i="4"/>
  <c r="DE59" i="4"/>
  <c r="DF59" i="4"/>
  <c r="DH59" i="4"/>
  <c r="A60" i="4"/>
  <c r="B60" i="4"/>
  <c r="CI60" i="4"/>
  <c r="CJ60" i="4"/>
  <c r="CK60" i="4"/>
  <c r="CY60" i="4"/>
  <c r="CZ60" i="4"/>
  <c r="DA60" i="4"/>
  <c r="DB60" i="4"/>
  <c r="DD60" i="4"/>
  <c r="DE60" i="4"/>
  <c r="DF60" i="4"/>
  <c r="DH60" i="4"/>
  <c r="A61" i="4"/>
  <c r="B61" i="4"/>
  <c r="CI61" i="4"/>
  <c r="CJ61" i="4"/>
  <c r="CK61" i="4"/>
  <c r="CY61" i="4"/>
  <c r="CZ61" i="4"/>
  <c r="DA61" i="4"/>
  <c r="DB61" i="4"/>
  <c r="DD61" i="4"/>
  <c r="DE61" i="4"/>
  <c r="DF61" i="4"/>
  <c r="DH61" i="4"/>
  <c r="A62" i="4"/>
  <c r="B62" i="4"/>
  <c r="CI62" i="4"/>
  <c r="CJ62" i="4"/>
  <c r="CK62" i="4"/>
  <c r="CY62" i="4"/>
  <c r="CZ62" i="4"/>
  <c r="DA62" i="4"/>
  <c r="DB62" i="4"/>
  <c r="DD62" i="4"/>
  <c r="DE62" i="4"/>
  <c r="DF62" i="4"/>
  <c r="DH62" i="4"/>
  <c r="A63" i="4"/>
  <c r="B63" i="4"/>
  <c r="CI63" i="4"/>
  <c r="CJ63" i="4"/>
  <c r="CK63" i="4"/>
  <c r="CY63" i="4"/>
  <c r="CZ63" i="4"/>
  <c r="DA63" i="4"/>
  <c r="DB63" i="4"/>
  <c r="DD63" i="4"/>
  <c r="DE63" i="4"/>
  <c r="DF63" i="4"/>
  <c r="DH63" i="4"/>
  <c r="A64" i="4"/>
  <c r="B64" i="4"/>
  <c r="CI64" i="4"/>
  <c r="CJ64" i="4"/>
  <c r="CK64" i="4"/>
  <c r="CY64" i="4"/>
  <c r="CZ64" i="4"/>
  <c r="DA64" i="4"/>
  <c r="DB64" i="4"/>
  <c r="DD64" i="4"/>
  <c r="DE64" i="4"/>
  <c r="DF64" i="4"/>
  <c r="DH64" i="4"/>
  <c r="A65" i="4"/>
  <c r="B65" i="4"/>
  <c r="CY65" i="4"/>
  <c r="CZ65" i="4"/>
  <c r="DA65" i="4"/>
  <c r="DB65" i="4"/>
  <c r="DD65" i="4"/>
  <c r="DE65" i="4"/>
  <c r="DF65" i="4"/>
  <c r="DH65" i="4"/>
  <c r="A66" i="4"/>
  <c r="B66" i="4"/>
  <c r="CY66" i="4"/>
  <c r="CZ66" i="4"/>
  <c r="DA66" i="4"/>
  <c r="DB66" i="4"/>
  <c r="DD66" i="4"/>
  <c r="DE66" i="4"/>
  <c r="DF66" i="4"/>
  <c r="DH66" i="4"/>
  <c r="A67" i="4"/>
  <c r="B67" i="4"/>
  <c r="CY67" i="4"/>
  <c r="CZ67" i="4"/>
  <c r="DA67" i="4"/>
  <c r="DB67" i="4"/>
  <c r="DD67" i="4"/>
  <c r="DE67" i="4"/>
  <c r="DF67" i="4"/>
  <c r="DH67" i="4"/>
  <c r="A68" i="4"/>
  <c r="B68" i="4"/>
  <c r="CY68" i="4"/>
  <c r="CZ68" i="4"/>
  <c r="DA68" i="4"/>
  <c r="DB68" i="4"/>
  <c r="DD68" i="4"/>
  <c r="DE68" i="4"/>
  <c r="DF68" i="4"/>
  <c r="DH68" i="4"/>
  <c r="A69" i="4"/>
  <c r="B69" i="4"/>
  <c r="CI69" i="4"/>
  <c r="CJ69" i="4"/>
  <c r="CK69" i="4"/>
  <c r="CY69" i="4"/>
  <c r="CZ69" i="4"/>
  <c r="DA69" i="4"/>
  <c r="DB69" i="4"/>
  <c r="DD69" i="4"/>
  <c r="DE69" i="4"/>
  <c r="DF69" i="4"/>
  <c r="DH69" i="4"/>
  <c r="A70" i="4"/>
  <c r="B70" i="4"/>
  <c r="CI70" i="4"/>
  <c r="CJ70" i="4"/>
  <c r="CK70" i="4"/>
  <c r="CY70" i="4"/>
  <c r="CZ70" i="4"/>
  <c r="DA70" i="4"/>
  <c r="DB70" i="4"/>
  <c r="DD70" i="4"/>
  <c r="DE70" i="4"/>
  <c r="DF70" i="4"/>
  <c r="DH70" i="4"/>
  <c r="A71" i="4"/>
  <c r="B71" i="4"/>
  <c r="CI71" i="4"/>
  <c r="CJ71" i="4"/>
  <c r="CK71" i="4"/>
  <c r="CY71" i="4"/>
  <c r="CZ71" i="4"/>
  <c r="DA71" i="4"/>
  <c r="DB71" i="4"/>
  <c r="DD71" i="4"/>
  <c r="DE71" i="4"/>
  <c r="DF71" i="4"/>
  <c r="DH71" i="4"/>
  <c r="A72" i="4"/>
  <c r="B72" i="4"/>
  <c r="CI72" i="4"/>
  <c r="CJ72" i="4"/>
  <c r="CK72" i="4"/>
  <c r="CY72" i="4"/>
  <c r="CZ72" i="4"/>
  <c r="DA72" i="4"/>
  <c r="DB72" i="4"/>
  <c r="DD72" i="4"/>
  <c r="DE72" i="4"/>
  <c r="DF72" i="4"/>
  <c r="DH72" i="4"/>
  <c r="A73" i="4"/>
  <c r="B73" i="4"/>
  <c r="CI73" i="4"/>
  <c r="CJ73" i="4"/>
  <c r="CK73" i="4"/>
  <c r="CY73" i="4"/>
  <c r="CZ73" i="4"/>
  <c r="DA73" i="4"/>
  <c r="DB73" i="4"/>
  <c r="DD73" i="4"/>
  <c r="DE73" i="4"/>
  <c r="DF73" i="4"/>
  <c r="DH73" i="4"/>
  <c r="A74" i="4"/>
  <c r="B74" i="4"/>
  <c r="CI74" i="4"/>
  <c r="CJ74" i="4"/>
  <c r="CK74" i="4"/>
  <c r="CY74" i="4"/>
  <c r="CZ74" i="4"/>
  <c r="DA74" i="4"/>
  <c r="DB74" i="4"/>
  <c r="DD74" i="4"/>
  <c r="DE74" i="4"/>
  <c r="DF74" i="4"/>
  <c r="DH74" i="4"/>
  <c r="A75" i="4"/>
  <c r="B75" i="4"/>
  <c r="CI75" i="4"/>
  <c r="CJ75" i="4"/>
  <c r="CK75" i="4"/>
  <c r="CY75" i="4"/>
  <c r="CZ75" i="4"/>
  <c r="DA75" i="4"/>
  <c r="DB75" i="4"/>
  <c r="DD75" i="4"/>
  <c r="DE75" i="4"/>
  <c r="DF75" i="4"/>
  <c r="DH75" i="4"/>
  <c r="A76" i="4"/>
  <c r="B76" i="4"/>
  <c r="CI76" i="4"/>
  <c r="CJ76" i="4"/>
  <c r="CK76" i="4"/>
  <c r="CY76" i="4"/>
  <c r="CZ76" i="4"/>
  <c r="DA76" i="4"/>
  <c r="DB76" i="4"/>
  <c r="DD76" i="4"/>
  <c r="DE76" i="4"/>
  <c r="DF76" i="4"/>
  <c r="DH76" i="4"/>
  <c r="A77" i="4"/>
  <c r="B77" i="4"/>
  <c r="CI77" i="4"/>
  <c r="CJ77" i="4"/>
  <c r="CK77" i="4"/>
  <c r="CY77" i="4"/>
  <c r="CZ77" i="4"/>
  <c r="DA77" i="4"/>
  <c r="DB77" i="4"/>
  <c r="DD77" i="4"/>
  <c r="DE77" i="4"/>
  <c r="DF77" i="4"/>
  <c r="DH77" i="4"/>
  <c r="A78" i="4"/>
  <c r="B78" i="4"/>
  <c r="CI78" i="4"/>
  <c r="CJ78" i="4"/>
  <c r="CK78" i="4"/>
  <c r="CY78" i="4"/>
  <c r="CZ78" i="4"/>
  <c r="DA78" i="4"/>
  <c r="DB78" i="4"/>
  <c r="DD78" i="4"/>
  <c r="DE78" i="4"/>
  <c r="DF78" i="4"/>
  <c r="DH78" i="4"/>
  <c r="A79" i="4"/>
  <c r="B79" i="4"/>
  <c r="CI79" i="4"/>
  <c r="CJ79" i="4"/>
  <c r="CK79" i="4"/>
  <c r="CY79" i="4"/>
  <c r="CZ79" i="4"/>
  <c r="DA79" i="4"/>
  <c r="DB79" i="4"/>
  <c r="DD79" i="4"/>
  <c r="DE79" i="4"/>
  <c r="DF79" i="4"/>
  <c r="DH79" i="4"/>
  <c r="A80" i="4"/>
  <c r="B80" i="4"/>
  <c r="CI80" i="4"/>
  <c r="CJ80" i="4"/>
  <c r="CK80" i="4"/>
  <c r="CY80" i="4"/>
  <c r="CZ80" i="4"/>
  <c r="DA80" i="4"/>
  <c r="DB80" i="4"/>
  <c r="DD80" i="4"/>
  <c r="DE80" i="4"/>
  <c r="DF80" i="4"/>
  <c r="DH80" i="4"/>
  <c r="A81" i="4"/>
  <c r="B81" i="4"/>
  <c r="CY81" i="4"/>
  <c r="CZ81" i="4"/>
  <c r="DA81" i="4"/>
  <c r="DB81" i="4"/>
  <c r="DD81" i="4"/>
  <c r="DE81" i="4"/>
  <c r="DF81" i="4"/>
  <c r="DH81" i="4"/>
  <c r="A82" i="4"/>
  <c r="B82" i="4"/>
  <c r="CY82" i="4"/>
  <c r="CZ82" i="4"/>
  <c r="DA82" i="4"/>
  <c r="DB82" i="4"/>
  <c r="DD82" i="4"/>
  <c r="DE82" i="4"/>
  <c r="DF82" i="4"/>
  <c r="DH82" i="4"/>
  <c r="A83" i="4"/>
  <c r="B83" i="4"/>
  <c r="CY83" i="4"/>
  <c r="CZ83" i="4"/>
  <c r="DA83" i="4"/>
  <c r="DB83" i="4"/>
  <c r="DD83" i="4"/>
  <c r="DE83" i="4"/>
  <c r="DF83" i="4"/>
  <c r="DH83" i="4"/>
  <c r="A84" i="4"/>
  <c r="B84" i="4"/>
  <c r="CY84" i="4"/>
  <c r="CZ84" i="4"/>
  <c r="DA84" i="4"/>
  <c r="DB84" i="4"/>
  <c r="DD84" i="4"/>
  <c r="DE84" i="4"/>
  <c r="DF84" i="4"/>
  <c r="DH84" i="4"/>
  <c r="A85" i="4"/>
  <c r="B85" i="4"/>
  <c r="CY85" i="4"/>
  <c r="CZ85" i="4"/>
  <c r="DA85" i="4"/>
  <c r="DB85" i="4"/>
  <c r="DD85" i="4"/>
  <c r="DE85" i="4"/>
  <c r="DF85" i="4"/>
  <c r="DH85" i="4"/>
  <c r="A86" i="4"/>
  <c r="B86" i="4"/>
  <c r="CY86" i="4"/>
  <c r="CZ86" i="4"/>
  <c r="DA86" i="4"/>
  <c r="DB86" i="4"/>
  <c r="DD86" i="4"/>
  <c r="DE86" i="4"/>
  <c r="DF86" i="4"/>
  <c r="DH86" i="4"/>
  <c r="A87" i="4"/>
  <c r="B87" i="4"/>
  <c r="CY87" i="4"/>
  <c r="CZ87" i="4"/>
  <c r="DA87" i="4"/>
  <c r="DB87" i="4"/>
  <c r="DD87" i="4"/>
  <c r="DE87" i="4"/>
  <c r="DF87" i="4"/>
  <c r="DH87" i="4"/>
  <c r="A88" i="4"/>
  <c r="B88" i="4"/>
  <c r="CY88" i="4"/>
  <c r="CZ88" i="4"/>
  <c r="DA88" i="4"/>
  <c r="DB88" i="4"/>
  <c r="DD88" i="4"/>
  <c r="DE88" i="4"/>
  <c r="DF88" i="4"/>
  <c r="DH88" i="4"/>
  <c r="A89" i="4"/>
  <c r="B89" i="4"/>
  <c r="CY89" i="4"/>
  <c r="CZ89" i="4"/>
  <c r="DA89" i="4"/>
  <c r="DB89" i="4"/>
  <c r="DD89" i="4"/>
  <c r="DE89" i="4"/>
  <c r="DF89" i="4"/>
  <c r="DH89" i="4"/>
  <c r="A90" i="4"/>
  <c r="B90" i="4"/>
  <c r="CY90" i="4"/>
  <c r="CZ90" i="4"/>
  <c r="DA90" i="4"/>
  <c r="DB90" i="4"/>
  <c r="DD90" i="4"/>
  <c r="DE90" i="4"/>
  <c r="DF90" i="4"/>
  <c r="DH90" i="4"/>
  <c r="A91" i="4"/>
  <c r="B91" i="4"/>
  <c r="CY91" i="4"/>
  <c r="CZ91" i="4"/>
  <c r="DA91" i="4"/>
  <c r="DB91" i="4"/>
  <c r="DD91" i="4"/>
  <c r="DE91" i="4"/>
  <c r="DF91" i="4"/>
  <c r="DH91" i="4"/>
  <c r="A92" i="4"/>
  <c r="B92" i="4"/>
  <c r="CY92" i="4"/>
  <c r="CZ92" i="4"/>
  <c r="DA92" i="4"/>
  <c r="DB92" i="4"/>
  <c r="DD92" i="4"/>
  <c r="DE92" i="4"/>
  <c r="DF92" i="4"/>
  <c r="DH92" i="4"/>
  <c r="A93" i="4"/>
  <c r="B93" i="4"/>
  <c r="CY93" i="4"/>
  <c r="CZ93" i="4"/>
  <c r="DA93" i="4"/>
  <c r="DB93" i="4"/>
  <c r="DD93" i="4"/>
  <c r="DE93" i="4"/>
  <c r="DF93" i="4"/>
  <c r="DH93" i="4"/>
  <c r="A94" i="4"/>
  <c r="B94" i="4"/>
  <c r="CY94" i="4"/>
  <c r="CZ94" i="4"/>
  <c r="DA94" i="4"/>
  <c r="DB94" i="4"/>
  <c r="DD94" i="4"/>
  <c r="DE94" i="4"/>
  <c r="DF94" i="4"/>
  <c r="DH94" i="4"/>
  <c r="A95" i="4"/>
  <c r="B95" i="4"/>
  <c r="CY95" i="4"/>
  <c r="CZ95" i="4"/>
  <c r="DA95" i="4"/>
  <c r="DB95" i="4"/>
  <c r="DD95" i="4"/>
  <c r="DE95" i="4"/>
  <c r="DF95" i="4"/>
  <c r="DH95" i="4"/>
  <c r="A96" i="4"/>
  <c r="B96" i="4"/>
  <c r="CY96" i="4"/>
  <c r="CZ96" i="4"/>
  <c r="DA96" i="4"/>
  <c r="DB96" i="4"/>
  <c r="DD96" i="4"/>
  <c r="DE96" i="4"/>
  <c r="DF96" i="4"/>
  <c r="DH96" i="4"/>
  <c r="A97" i="4"/>
  <c r="B97" i="4"/>
  <c r="CY97" i="4"/>
  <c r="CZ97" i="4"/>
  <c r="DA97" i="4"/>
  <c r="DB97" i="4"/>
  <c r="DD97" i="4"/>
  <c r="DE97" i="4"/>
  <c r="DF97" i="4"/>
  <c r="DH97" i="4"/>
  <c r="A98" i="4"/>
  <c r="B98" i="4"/>
  <c r="CY98" i="4"/>
  <c r="CZ98" i="4"/>
  <c r="DA98" i="4"/>
  <c r="DB98" i="4"/>
  <c r="DD98" i="4"/>
  <c r="DE98" i="4"/>
  <c r="DF98" i="4"/>
  <c r="DH98" i="4"/>
  <c r="A99" i="4"/>
  <c r="B99" i="4"/>
  <c r="CY99" i="4"/>
  <c r="CZ99" i="4"/>
  <c r="DA99" i="4"/>
  <c r="DB99" i="4"/>
  <c r="DD99" i="4"/>
  <c r="DE99" i="4"/>
  <c r="DF99" i="4"/>
  <c r="DH99" i="4"/>
  <c r="A100" i="4"/>
  <c r="B100" i="4"/>
  <c r="CY100" i="4"/>
  <c r="CZ100" i="4"/>
  <c r="DA100" i="4"/>
  <c r="DB100" i="4"/>
  <c r="DD100" i="4"/>
  <c r="DE100" i="4"/>
  <c r="DF100" i="4"/>
  <c r="DH100" i="4"/>
  <c r="A101" i="4"/>
  <c r="B101" i="4"/>
  <c r="CY101" i="4"/>
  <c r="CZ101" i="4"/>
  <c r="DA101" i="4"/>
  <c r="DB101" i="4"/>
  <c r="DD101" i="4"/>
  <c r="DE101" i="4"/>
  <c r="DF101" i="4"/>
  <c r="DH101" i="4"/>
  <c r="A102" i="4"/>
  <c r="B102" i="4"/>
  <c r="CY102" i="4"/>
  <c r="CZ102" i="4"/>
  <c r="DA102" i="4"/>
  <c r="DB102" i="4"/>
  <c r="DD102" i="4"/>
  <c r="DE102" i="4"/>
  <c r="DF102" i="4"/>
  <c r="DH102" i="4"/>
  <c r="A103" i="4"/>
  <c r="B103" i="4"/>
  <c r="CY103" i="4"/>
  <c r="CZ103" i="4"/>
  <c r="DA103" i="4"/>
  <c r="DB103" i="4"/>
  <c r="DD103" i="4"/>
  <c r="DE103" i="4"/>
  <c r="DF103" i="4"/>
  <c r="DH103" i="4"/>
  <c r="A104" i="4"/>
  <c r="B104" i="4"/>
  <c r="CY104" i="4"/>
  <c r="CZ104" i="4"/>
  <c r="DA104" i="4"/>
  <c r="DB104" i="4"/>
  <c r="DD104" i="4"/>
  <c r="DE104" i="4"/>
  <c r="DF104" i="4"/>
  <c r="DH104" i="4"/>
  <c r="A105" i="4"/>
  <c r="B105" i="4"/>
  <c r="CY105" i="4"/>
  <c r="CZ105" i="4"/>
  <c r="DA105" i="4"/>
  <c r="DB105" i="4"/>
  <c r="DD105" i="4"/>
  <c r="DE105" i="4"/>
  <c r="DF105" i="4"/>
  <c r="DH105" i="4"/>
  <c r="A106" i="4"/>
  <c r="B106" i="4"/>
  <c r="CY106" i="4"/>
  <c r="CZ106" i="4"/>
  <c r="DA106" i="4"/>
  <c r="DB106" i="4"/>
  <c r="DD106" i="4"/>
  <c r="DE106" i="4"/>
  <c r="DF106" i="4"/>
  <c r="DH106" i="4"/>
  <c r="A107" i="4"/>
  <c r="B107" i="4"/>
  <c r="CY107" i="4"/>
  <c r="CZ107" i="4"/>
  <c r="DA107" i="4"/>
  <c r="DB107" i="4"/>
  <c r="DD107" i="4"/>
  <c r="DE107" i="4"/>
  <c r="DF107" i="4"/>
  <c r="DH107" i="4"/>
  <c r="A108" i="4"/>
  <c r="B108" i="4"/>
  <c r="CY108" i="4"/>
  <c r="CZ108" i="4"/>
  <c r="DA108" i="4"/>
  <c r="DB108" i="4"/>
  <c r="DD108" i="4"/>
  <c r="DE108" i="4"/>
  <c r="DF108" i="4"/>
  <c r="DH108" i="4"/>
  <c r="A109" i="4"/>
  <c r="B109" i="4"/>
  <c r="CY109" i="4"/>
  <c r="CZ109" i="4"/>
  <c r="DA109" i="4"/>
  <c r="DB109" i="4"/>
  <c r="DD109" i="4"/>
  <c r="DE109" i="4"/>
  <c r="DF109" i="4"/>
  <c r="DH109" i="4"/>
  <c r="A110" i="4"/>
  <c r="B110" i="4"/>
  <c r="CY110" i="4"/>
  <c r="CZ110" i="4"/>
  <c r="DA110" i="4"/>
  <c r="DB110" i="4"/>
  <c r="DD110" i="4"/>
  <c r="DE110" i="4"/>
  <c r="DF110" i="4"/>
  <c r="DH110" i="4"/>
  <c r="A111" i="4"/>
  <c r="B111" i="4"/>
  <c r="CY111" i="4"/>
  <c r="CZ111" i="4"/>
  <c r="DA111" i="4"/>
  <c r="DB111" i="4"/>
  <c r="DD111" i="4"/>
  <c r="DE111" i="4"/>
  <c r="DF111" i="4"/>
  <c r="DH111" i="4"/>
  <c r="A112" i="4"/>
  <c r="B112" i="4"/>
  <c r="CY112" i="4"/>
  <c r="CZ112" i="4"/>
  <c r="DA112" i="4"/>
  <c r="DB112" i="4"/>
  <c r="DD112" i="4"/>
  <c r="DE112" i="4"/>
  <c r="DF112" i="4"/>
  <c r="DH112" i="4"/>
  <c r="A113" i="4"/>
  <c r="B113" i="4"/>
  <c r="CY113" i="4"/>
  <c r="CZ113" i="4"/>
  <c r="DA113" i="4"/>
  <c r="DB113" i="4"/>
  <c r="DD113" i="4"/>
  <c r="DE113" i="4"/>
  <c r="DF113" i="4"/>
  <c r="DH113" i="4"/>
  <c r="A114" i="4"/>
  <c r="B114" i="4"/>
  <c r="CY114" i="4"/>
  <c r="CZ114" i="4"/>
  <c r="DA114" i="4"/>
  <c r="DB114" i="4"/>
  <c r="DD114" i="4"/>
  <c r="DE114" i="4"/>
  <c r="DF114" i="4"/>
  <c r="DH114" i="4"/>
  <c r="A115" i="4"/>
  <c r="B115" i="4"/>
  <c r="CY115" i="4"/>
  <c r="CZ115" i="4"/>
  <c r="DA115" i="4"/>
  <c r="DB115" i="4"/>
  <c r="DD115" i="4"/>
  <c r="DE115" i="4"/>
  <c r="DF115" i="4"/>
  <c r="DH115" i="4"/>
  <c r="A116" i="4"/>
  <c r="B116" i="4"/>
  <c r="CY116" i="4"/>
  <c r="CZ116" i="4"/>
  <c r="DA116" i="4"/>
  <c r="DB116" i="4"/>
  <c r="DD116" i="4"/>
  <c r="DE116" i="4"/>
  <c r="DF116" i="4"/>
  <c r="DH116" i="4"/>
  <c r="A117" i="4"/>
  <c r="B117" i="4"/>
  <c r="CY117" i="4"/>
  <c r="CZ117" i="4"/>
  <c r="DA117" i="4"/>
  <c r="DB117" i="4"/>
  <c r="DD117" i="4"/>
  <c r="DE117" i="4"/>
  <c r="DF117" i="4"/>
  <c r="DH117" i="4"/>
  <c r="A118" i="4"/>
  <c r="B118" i="4"/>
  <c r="CY118" i="4"/>
  <c r="CZ118" i="4"/>
  <c r="DA118" i="4"/>
  <c r="DB118" i="4"/>
  <c r="DD118" i="4"/>
  <c r="DE118" i="4"/>
  <c r="DF118" i="4"/>
  <c r="DH118" i="4"/>
  <c r="A119" i="4"/>
  <c r="B119" i="4"/>
  <c r="CY119" i="4"/>
  <c r="CZ119" i="4"/>
  <c r="DA119" i="4"/>
  <c r="DB119" i="4"/>
  <c r="DD119" i="4"/>
  <c r="DE119" i="4"/>
  <c r="DF119" i="4"/>
  <c r="DH119" i="4"/>
  <c r="A120" i="4"/>
  <c r="B120" i="4"/>
  <c r="CY120" i="4"/>
  <c r="CZ120" i="4"/>
  <c r="DA120" i="4"/>
  <c r="DB120" i="4"/>
  <c r="DD120" i="4"/>
  <c r="DE120" i="4"/>
  <c r="DF120" i="4"/>
  <c r="DH120" i="4"/>
  <c r="A121" i="4"/>
  <c r="B121" i="4"/>
  <c r="CY121" i="4"/>
  <c r="CZ121" i="4"/>
  <c r="DA121" i="4"/>
  <c r="DB121" i="4"/>
  <c r="DD121" i="4"/>
  <c r="DE121" i="4"/>
  <c r="DF121" i="4"/>
  <c r="DH121" i="4"/>
  <c r="A122" i="4"/>
  <c r="B122" i="4"/>
  <c r="CY122" i="4"/>
  <c r="CZ122" i="4"/>
  <c r="DA122" i="4"/>
  <c r="DB122" i="4"/>
  <c r="DD122" i="4"/>
  <c r="DE122" i="4"/>
  <c r="DF122" i="4"/>
  <c r="DH122" i="4"/>
  <c r="A123" i="4"/>
  <c r="B123" i="4"/>
  <c r="CY123" i="4"/>
  <c r="CZ123" i="4"/>
  <c r="DA123" i="4"/>
  <c r="DB123" i="4"/>
  <c r="DD123" i="4"/>
  <c r="DE123" i="4"/>
  <c r="DF123" i="4"/>
  <c r="DH123" i="4"/>
  <c r="A124" i="4"/>
  <c r="B124" i="4"/>
  <c r="CY124" i="4"/>
  <c r="CZ124" i="4"/>
  <c r="DA124" i="4"/>
  <c r="DB124" i="4"/>
  <c r="DD124" i="4"/>
  <c r="DE124" i="4"/>
  <c r="DF124" i="4"/>
  <c r="DH124" i="4"/>
  <c r="A125" i="4"/>
  <c r="B125" i="4"/>
  <c r="CY125" i="4"/>
  <c r="CZ125" i="4"/>
  <c r="DA125" i="4"/>
  <c r="DB125" i="4"/>
  <c r="DD125" i="4"/>
  <c r="DE125" i="4"/>
  <c r="DF125" i="4"/>
  <c r="DH125" i="4"/>
  <c r="A126" i="4"/>
  <c r="B126" i="4"/>
  <c r="CY126" i="4"/>
  <c r="CZ126" i="4"/>
  <c r="DA126" i="4"/>
  <c r="DB126" i="4"/>
  <c r="DD126" i="4"/>
  <c r="DE126" i="4"/>
  <c r="DF126" i="4"/>
  <c r="DH126" i="4"/>
  <c r="A127" i="4"/>
  <c r="B127" i="4"/>
  <c r="CY127" i="4"/>
  <c r="CZ127" i="4"/>
  <c r="DA127" i="4"/>
  <c r="DB127" i="4"/>
  <c r="DD127" i="4"/>
  <c r="DE127" i="4"/>
  <c r="DF127" i="4"/>
  <c r="DH127" i="4"/>
  <c r="A128" i="4"/>
  <c r="B128" i="4"/>
  <c r="CY128" i="4"/>
  <c r="CZ128" i="4"/>
  <c r="DA128" i="4"/>
  <c r="DB128" i="4"/>
  <c r="DD128" i="4"/>
  <c r="DE128" i="4"/>
  <c r="DF128" i="4"/>
  <c r="DH128" i="4"/>
  <c r="A129" i="4"/>
  <c r="B129" i="4"/>
  <c r="CY129" i="4"/>
  <c r="CZ129" i="4"/>
  <c r="DA129" i="4"/>
  <c r="DB129" i="4"/>
  <c r="DD129" i="4"/>
  <c r="DE129" i="4"/>
  <c r="DF129" i="4"/>
  <c r="DH129" i="4"/>
  <c r="A130" i="4"/>
  <c r="B130" i="4"/>
  <c r="CY130" i="4"/>
  <c r="CZ130" i="4"/>
  <c r="DA130" i="4"/>
  <c r="DB130" i="4"/>
  <c r="DD130" i="4"/>
  <c r="DE130" i="4"/>
  <c r="DF130" i="4"/>
  <c r="DH130" i="4"/>
  <c r="A131" i="4"/>
  <c r="B131" i="4"/>
  <c r="CY131" i="4"/>
  <c r="CZ131" i="4"/>
  <c r="DA131" i="4"/>
  <c r="DB131" i="4"/>
  <c r="DD131" i="4"/>
  <c r="DE131" i="4"/>
  <c r="DF131" i="4"/>
  <c r="DH131" i="4"/>
  <c r="A132" i="4"/>
  <c r="B132" i="4"/>
  <c r="CY132" i="4"/>
  <c r="CZ132" i="4"/>
  <c r="DA132" i="4"/>
  <c r="DB132" i="4"/>
  <c r="DD132" i="4"/>
  <c r="DE132" i="4"/>
  <c r="DF132" i="4"/>
  <c r="DH132" i="4"/>
  <c r="A133" i="4"/>
  <c r="B133" i="4"/>
  <c r="CY133" i="4"/>
  <c r="CZ133" i="4"/>
  <c r="DA133" i="4"/>
  <c r="DB133" i="4"/>
  <c r="DD133" i="4"/>
  <c r="DE133" i="4"/>
  <c r="DF133" i="4"/>
  <c r="DH133" i="4"/>
  <c r="A134" i="4"/>
  <c r="B134" i="4"/>
  <c r="CY134" i="4"/>
  <c r="CZ134" i="4"/>
  <c r="DA134" i="4"/>
  <c r="DB134" i="4"/>
  <c r="DD134" i="4"/>
  <c r="DE134" i="4"/>
  <c r="DF134" i="4"/>
  <c r="DH134" i="4"/>
  <c r="A135" i="4"/>
  <c r="B135" i="4"/>
  <c r="CY135" i="4"/>
  <c r="CZ135" i="4"/>
  <c r="DA135" i="4"/>
  <c r="DB135" i="4"/>
  <c r="DD135" i="4"/>
  <c r="DE135" i="4"/>
  <c r="DF135" i="4"/>
  <c r="DH135" i="4"/>
  <c r="A136" i="4"/>
  <c r="B136" i="4"/>
  <c r="CY136" i="4"/>
  <c r="CZ136" i="4"/>
  <c r="DA136" i="4"/>
  <c r="DB136" i="4"/>
  <c r="DD136" i="4"/>
  <c r="DE136" i="4"/>
  <c r="DF136" i="4"/>
  <c r="DH136" i="4"/>
  <c r="A137" i="4"/>
  <c r="B137" i="4"/>
  <c r="CY137" i="4"/>
  <c r="CZ137" i="4"/>
  <c r="DA137" i="4"/>
  <c r="DB137" i="4"/>
  <c r="DD137" i="4"/>
  <c r="DE137" i="4"/>
  <c r="DF137" i="4"/>
  <c r="DH137" i="4"/>
  <c r="A138" i="4"/>
  <c r="B138" i="4"/>
  <c r="CY138" i="4"/>
  <c r="CZ138" i="4"/>
  <c r="DA138" i="4"/>
  <c r="DB138" i="4"/>
  <c r="DD138" i="4"/>
  <c r="DE138" i="4"/>
  <c r="DF138" i="4"/>
  <c r="DH138" i="4"/>
  <c r="A139" i="4"/>
  <c r="B139" i="4"/>
  <c r="CY139" i="4"/>
  <c r="CZ139" i="4"/>
  <c r="DA139" i="4"/>
  <c r="DB139" i="4"/>
  <c r="DD139" i="4"/>
  <c r="DE139" i="4"/>
  <c r="DF139" i="4"/>
  <c r="DH139" i="4"/>
  <c r="A140" i="4"/>
  <c r="B140" i="4"/>
  <c r="CY140" i="4"/>
  <c r="CZ140" i="4"/>
  <c r="DA140" i="4"/>
  <c r="DB140" i="4"/>
  <c r="DD140" i="4"/>
  <c r="DE140" i="4"/>
  <c r="DF140" i="4"/>
  <c r="DH140" i="4"/>
  <c r="A141" i="4"/>
  <c r="B141" i="4"/>
  <c r="CY141" i="4"/>
  <c r="CZ141" i="4"/>
  <c r="DA141" i="4"/>
  <c r="DB141" i="4"/>
  <c r="DD141" i="4"/>
  <c r="DE141" i="4"/>
  <c r="DF141" i="4"/>
  <c r="DH141" i="4"/>
  <c r="A142" i="4"/>
  <c r="B142" i="4"/>
  <c r="CY142" i="4"/>
  <c r="CZ142" i="4"/>
  <c r="DA142" i="4"/>
  <c r="DB142" i="4"/>
  <c r="DD142" i="4"/>
  <c r="DE142" i="4"/>
  <c r="DF142" i="4"/>
  <c r="DH142" i="4"/>
  <c r="A143" i="4"/>
  <c r="B143" i="4"/>
  <c r="CY143" i="4"/>
  <c r="CZ143" i="4"/>
  <c r="DA143" i="4"/>
  <c r="DB143" i="4"/>
  <c r="DD143" i="4"/>
  <c r="DE143" i="4"/>
  <c r="DF143" i="4"/>
  <c r="DH143" i="4"/>
  <c r="A144" i="4"/>
  <c r="B144" i="4"/>
  <c r="CY144" i="4"/>
  <c r="CZ144" i="4"/>
  <c r="DA144" i="4"/>
  <c r="DB144" i="4"/>
  <c r="DD144" i="4"/>
  <c r="DE144" i="4"/>
  <c r="DF144" i="4"/>
  <c r="DH144" i="4"/>
  <c r="A145" i="4"/>
  <c r="B145" i="4"/>
  <c r="CY145" i="4"/>
  <c r="CZ145" i="4"/>
  <c r="DA145" i="4"/>
  <c r="DB145" i="4"/>
  <c r="DD145" i="4"/>
  <c r="DE145" i="4"/>
  <c r="DF145" i="4"/>
  <c r="DH145" i="4"/>
  <c r="A146" i="4"/>
  <c r="B146" i="4"/>
  <c r="CY146" i="4"/>
  <c r="CZ146" i="4"/>
  <c r="DA146" i="4"/>
  <c r="DB146" i="4"/>
  <c r="DD146" i="4"/>
  <c r="DE146" i="4"/>
  <c r="DF146" i="4"/>
  <c r="DH146" i="4"/>
  <c r="A147" i="4"/>
  <c r="B147" i="4"/>
  <c r="CY147" i="4"/>
  <c r="CZ147" i="4"/>
  <c r="DA147" i="4"/>
  <c r="DB147" i="4"/>
  <c r="DD147" i="4"/>
  <c r="DE147" i="4"/>
  <c r="DF147" i="4"/>
  <c r="DH147" i="4"/>
  <c r="A148" i="4"/>
  <c r="B148" i="4"/>
  <c r="CY148" i="4"/>
  <c r="CZ148" i="4"/>
  <c r="DA148" i="4"/>
  <c r="DB148" i="4"/>
  <c r="DD148" i="4"/>
  <c r="DE148" i="4"/>
  <c r="DF148" i="4"/>
  <c r="DH148" i="4"/>
  <c r="A149" i="4"/>
  <c r="B149" i="4"/>
  <c r="CY149" i="4"/>
  <c r="CZ149" i="4"/>
  <c r="DA149" i="4"/>
  <c r="DB149" i="4"/>
  <c r="DD149" i="4"/>
  <c r="DE149" i="4"/>
  <c r="DF149" i="4"/>
  <c r="DH149" i="4"/>
  <c r="A150" i="4"/>
  <c r="B150" i="4"/>
  <c r="CY150" i="4"/>
  <c r="CZ150" i="4"/>
  <c r="DA150" i="4"/>
  <c r="DB150" i="4"/>
  <c r="DD150" i="4"/>
  <c r="DE150" i="4"/>
  <c r="DF150" i="4"/>
  <c r="DH150" i="4"/>
  <c r="A151" i="4"/>
  <c r="B151" i="4"/>
  <c r="CY151" i="4"/>
  <c r="CZ151" i="4"/>
  <c r="DA151" i="4"/>
  <c r="DB151" i="4"/>
  <c r="DD151" i="4"/>
  <c r="DE151" i="4"/>
  <c r="DF151" i="4"/>
  <c r="DH151" i="4"/>
  <c r="A152" i="4"/>
  <c r="B152" i="4"/>
  <c r="CY152" i="4"/>
  <c r="CZ152" i="4"/>
  <c r="DA152" i="4"/>
  <c r="DB152" i="4"/>
  <c r="DD152" i="4"/>
  <c r="DE152" i="4"/>
  <c r="DF152" i="4"/>
  <c r="DH152" i="4"/>
  <c r="A153" i="4"/>
  <c r="B153" i="4"/>
  <c r="CY153" i="4"/>
  <c r="CZ153" i="4"/>
  <c r="DA153" i="4"/>
  <c r="DB153" i="4"/>
  <c r="DD153" i="4"/>
  <c r="DE153" i="4"/>
  <c r="DF153" i="4"/>
  <c r="DH153" i="4"/>
  <c r="A154" i="4"/>
  <c r="B154" i="4"/>
  <c r="CY154" i="4"/>
  <c r="CZ154" i="4"/>
  <c r="DA154" i="4"/>
  <c r="DB154" i="4"/>
  <c r="DD154" i="4"/>
  <c r="DE154" i="4"/>
  <c r="DF154" i="4"/>
  <c r="DH154" i="4"/>
  <c r="A155" i="4"/>
  <c r="B155" i="4"/>
  <c r="CY155" i="4"/>
  <c r="CZ155" i="4"/>
  <c r="DA155" i="4"/>
  <c r="DB155" i="4"/>
  <c r="DD155" i="4"/>
  <c r="DE155" i="4"/>
  <c r="DF155" i="4"/>
  <c r="DH155" i="4"/>
  <c r="A156" i="4"/>
  <c r="B156" i="4"/>
  <c r="CY156" i="4"/>
  <c r="CZ156" i="4"/>
  <c r="DA156" i="4"/>
  <c r="DB156" i="4"/>
  <c r="DD156" i="4"/>
  <c r="DE156" i="4"/>
  <c r="DF156" i="4"/>
  <c r="DH156" i="4"/>
  <c r="A157" i="4"/>
  <c r="B157" i="4"/>
  <c r="CY157" i="4"/>
  <c r="CZ157" i="4"/>
  <c r="DA157" i="4"/>
  <c r="DB157" i="4"/>
  <c r="DD157" i="4"/>
  <c r="DE157" i="4"/>
  <c r="DF157" i="4"/>
  <c r="DH157" i="4"/>
  <c r="A158" i="4"/>
  <c r="B158" i="4"/>
  <c r="CY158" i="4"/>
  <c r="CZ158" i="4"/>
  <c r="DA158" i="4"/>
  <c r="DB158" i="4"/>
  <c r="DD158" i="4"/>
  <c r="DE158" i="4"/>
  <c r="DF158" i="4"/>
  <c r="DH158" i="4"/>
  <c r="A159" i="4"/>
  <c r="B159" i="4"/>
  <c r="CY159" i="4"/>
  <c r="CZ159" i="4"/>
  <c r="DA159" i="4"/>
  <c r="DB159" i="4"/>
  <c r="DD159" i="4"/>
  <c r="DE159" i="4"/>
  <c r="DF159" i="4"/>
  <c r="DH159" i="4"/>
  <c r="A160" i="4"/>
  <c r="B160" i="4"/>
  <c r="CY160" i="4"/>
  <c r="CZ160" i="4"/>
  <c r="DA160" i="4"/>
  <c r="DB160" i="4"/>
  <c r="DD160" i="4"/>
  <c r="DE160" i="4"/>
  <c r="DF160" i="4"/>
  <c r="DH160" i="4"/>
  <c r="A161" i="4"/>
  <c r="B161" i="4"/>
  <c r="CY161" i="4"/>
  <c r="CZ161" i="4"/>
  <c r="DA161" i="4"/>
  <c r="DB161" i="4"/>
  <c r="DD161" i="4"/>
  <c r="DE161" i="4"/>
  <c r="DF161" i="4"/>
  <c r="DH161" i="4"/>
  <c r="A162" i="4"/>
  <c r="B162" i="4"/>
  <c r="CY162" i="4"/>
  <c r="CZ162" i="4"/>
  <c r="DA162" i="4"/>
  <c r="DB162" i="4"/>
  <c r="DD162" i="4"/>
  <c r="DE162" i="4"/>
  <c r="DF162" i="4"/>
  <c r="DH162" i="4"/>
  <c r="A163" i="4"/>
  <c r="B163" i="4"/>
  <c r="CY163" i="4"/>
  <c r="CZ163" i="4"/>
  <c r="DA163" i="4"/>
  <c r="DB163" i="4"/>
  <c r="DD163" i="4"/>
  <c r="DE163" i="4"/>
  <c r="DF163" i="4"/>
  <c r="DH163" i="4"/>
  <c r="A164" i="4"/>
  <c r="B164" i="4"/>
  <c r="CY164" i="4"/>
  <c r="CZ164" i="4"/>
  <c r="DA164" i="4"/>
  <c r="DB164" i="4"/>
  <c r="DD164" i="4"/>
  <c r="DE164" i="4"/>
  <c r="DF164" i="4"/>
  <c r="DH164" i="4"/>
  <c r="A165" i="4"/>
  <c r="B165" i="4"/>
  <c r="CY165" i="4"/>
  <c r="CZ165" i="4"/>
  <c r="DA165" i="4"/>
  <c r="DB165" i="4"/>
  <c r="DD165" i="4"/>
  <c r="DE165" i="4"/>
  <c r="DF165" i="4"/>
  <c r="DH165" i="4"/>
  <c r="A166" i="4"/>
  <c r="B166" i="4"/>
  <c r="CY166" i="4"/>
  <c r="CZ166" i="4"/>
  <c r="DA166" i="4"/>
  <c r="DB166" i="4"/>
  <c r="DD166" i="4"/>
  <c r="DE166" i="4"/>
  <c r="DF166" i="4"/>
  <c r="DH166" i="4"/>
  <c r="A167" i="4"/>
  <c r="B167" i="4"/>
  <c r="CY167" i="4"/>
  <c r="CZ167" i="4"/>
  <c r="DA167" i="4"/>
  <c r="DB167" i="4"/>
  <c r="DD167" i="4"/>
  <c r="DE167" i="4"/>
  <c r="DF167" i="4"/>
  <c r="DH167" i="4"/>
  <c r="A168" i="4"/>
  <c r="B168" i="4"/>
  <c r="CY168" i="4"/>
  <c r="CZ168" i="4"/>
  <c r="DA168" i="4"/>
  <c r="DB168" i="4"/>
  <c r="DD168" i="4"/>
  <c r="DE168" i="4"/>
  <c r="DF168" i="4"/>
  <c r="DH168" i="4"/>
  <c r="A169" i="4"/>
  <c r="B169" i="4"/>
  <c r="CY169" i="4"/>
  <c r="CZ169" i="4"/>
  <c r="DA169" i="4"/>
  <c r="DB169" i="4"/>
  <c r="DD169" i="4"/>
  <c r="DE169" i="4"/>
  <c r="DF169" i="4"/>
  <c r="DH169" i="4"/>
  <c r="A170" i="4"/>
  <c r="B170" i="4"/>
  <c r="CY170" i="4"/>
  <c r="CZ170" i="4"/>
  <c r="DA170" i="4"/>
  <c r="DB170" i="4"/>
  <c r="DD170" i="4"/>
  <c r="DE170" i="4"/>
  <c r="DF170" i="4"/>
  <c r="DH170" i="4"/>
  <c r="A171" i="4"/>
  <c r="B171" i="4"/>
  <c r="CY171" i="4"/>
  <c r="CZ171" i="4"/>
  <c r="DA171" i="4"/>
  <c r="DB171" i="4"/>
  <c r="DD171" i="4"/>
  <c r="DE171" i="4"/>
  <c r="DF171" i="4"/>
  <c r="DH171" i="4"/>
  <c r="A172" i="4"/>
  <c r="B172" i="4"/>
  <c r="CY172" i="4"/>
  <c r="CZ172" i="4"/>
  <c r="DA172" i="4"/>
  <c r="DB172" i="4"/>
  <c r="DD172" i="4"/>
  <c r="DE172" i="4"/>
  <c r="DF172" i="4"/>
  <c r="DH172" i="4"/>
  <c r="A173" i="4"/>
  <c r="B173" i="4"/>
  <c r="CY173" i="4"/>
  <c r="CZ173" i="4"/>
  <c r="DA173" i="4"/>
  <c r="DB173" i="4"/>
  <c r="DD173" i="4"/>
  <c r="DE173" i="4"/>
  <c r="DF173" i="4"/>
  <c r="DH173" i="4"/>
  <c r="A174" i="4"/>
  <c r="B174" i="4"/>
  <c r="CY174" i="4"/>
  <c r="CZ174" i="4"/>
  <c r="DA174" i="4"/>
  <c r="DB174" i="4"/>
  <c r="DD174" i="4"/>
  <c r="DE174" i="4"/>
  <c r="DF174" i="4"/>
  <c r="DH174" i="4"/>
  <c r="A175" i="4"/>
  <c r="B175" i="4"/>
  <c r="CY175" i="4"/>
  <c r="CZ175" i="4"/>
  <c r="DA175" i="4"/>
  <c r="DB175" i="4"/>
  <c r="DD175" i="4"/>
  <c r="DE175" i="4"/>
  <c r="DF175" i="4"/>
  <c r="DH175" i="4"/>
  <c r="A176" i="4"/>
  <c r="B176" i="4"/>
  <c r="CY176" i="4"/>
  <c r="CZ176" i="4"/>
  <c r="DA176" i="4"/>
  <c r="DB176" i="4"/>
  <c r="DD176" i="4"/>
  <c r="DE176" i="4"/>
  <c r="DF176" i="4"/>
  <c r="DH176" i="4"/>
  <c r="A177" i="4"/>
  <c r="B177" i="4"/>
  <c r="CY177" i="4"/>
  <c r="CZ177" i="4"/>
  <c r="DA177" i="4"/>
  <c r="DB177" i="4"/>
  <c r="DD177" i="4"/>
  <c r="DE177" i="4"/>
  <c r="DF177" i="4"/>
  <c r="DH177" i="4"/>
  <c r="A178" i="4"/>
  <c r="B178" i="4"/>
  <c r="CY178" i="4"/>
  <c r="CZ178" i="4"/>
  <c r="DA178" i="4"/>
  <c r="DB178" i="4"/>
  <c r="DD178" i="4"/>
  <c r="DE178" i="4"/>
  <c r="DF178" i="4"/>
  <c r="DH178" i="4"/>
  <c r="A179" i="4"/>
  <c r="B179" i="4"/>
  <c r="CY179" i="4"/>
  <c r="CZ179" i="4"/>
  <c r="DA179" i="4"/>
  <c r="DB179" i="4"/>
  <c r="DD179" i="4"/>
  <c r="DE179" i="4"/>
  <c r="DF179" i="4"/>
  <c r="DH179" i="4"/>
  <c r="A180" i="4"/>
  <c r="B180" i="4"/>
  <c r="CY180" i="4"/>
  <c r="CZ180" i="4"/>
  <c r="DA180" i="4"/>
  <c r="DB180" i="4"/>
  <c r="DD180" i="4"/>
  <c r="DE180" i="4"/>
  <c r="DF180" i="4"/>
  <c r="DH180" i="4"/>
  <c r="A181" i="4"/>
  <c r="B181" i="4"/>
  <c r="CY181" i="4"/>
  <c r="CZ181" i="4"/>
  <c r="DA181" i="4"/>
  <c r="DB181" i="4"/>
  <c r="DD181" i="4"/>
  <c r="DE181" i="4"/>
  <c r="DF181" i="4"/>
  <c r="DH181" i="4"/>
  <c r="A182" i="4"/>
  <c r="B182" i="4"/>
  <c r="CY182" i="4"/>
  <c r="CZ182" i="4"/>
  <c r="DA182" i="4"/>
  <c r="DB182" i="4"/>
  <c r="DD182" i="4"/>
  <c r="DE182" i="4"/>
  <c r="DF182" i="4"/>
  <c r="DH182" i="4"/>
  <c r="A183" i="4"/>
  <c r="B183" i="4"/>
  <c r="CY183" i="4"/>
  <c r="CZ183" i="4"/>
  <c r="DA183" i="4"/>
  <c r="DB183" i="4"/>
  <c r="DD183" i="4"/>
  <c r="DE183" i="4"/>
  <c r="DF183" i="4"/>
  <c r="DH183" i="4"/>
  <c r="A184" i="4"/>
  <c r="B184" i="4"/>
  <c r="CY184" i="4"/>
  <c r="CZ184" i="4"/>
  <c r="DA184" i="4"/>
  <c r="DB184" i="4"/>
  <c r="DD184" i="4"/>
  <c r="DE184" i="4"/>
  <c r="DF184" i="4"/>
  <c r="DH184" i="4"/>
  <c r="A185" i="4"/>
  <c r="B185" i="4"/>
  <c r="CY185" i="4"/>
  <c r="CZ185" i="4"/>
  <c r="DA185" i="4"/>
  <c r="DB185" i="4"/>
  <c r="DD185" i="4"/>
  <c r="DE185" i="4"/>
  <c r="DF185" i="4"/>
  <c r="DH185" i="4"/>
  <c r="A186" i="4"/>
  <c r="B186" i="4"/>
  <c r="CY186" i="4"/>
  <c r="CZ186" i="4"/>
  <c r="DA186" i="4"/>
  <c r="DB186" i="4"/>
  <c r="DD186" i="4"/>
  <c r="DE186" i="4"/>
  <c r="DF186" i="4"/>
  <c r="DH186" i="4"/>
  <c r="A187" i="4"/>
  <c r="B187" i="4"/>
  <c r="CY187" i="4"/>
  <c r="CZ187" i="4"/>
  <c r="DA187" i="4"/>
  <c r="DB187" i="4"/>
  <c r="DD187" i="4"/>
  <c r="DE187" i="4"/>
  <c r="DF187" i="4"/>
  <c r="DH187" i="4"/>
  <c r="A188" i="4"/>
  <c r="B188" i="4"/>
  <c r="CY188" i="4"/>
  <c r="CZ188" i="4"/>
  <c r="DA188" i="4"/>
  <c r="DB188" i="4"/>
  <c r="DD188" i="4"/>
  <c r="DE188" i="4"/>
  <c r="DF188" i="4"/>
  <c r="DH188" i="4"/>
  <c r="A189" i="4"/>
  <c r="B189" i="4"/>
  <c r="CY189" i="4"/>
  <c r="CZ189" i="4"/>
  <c r="DA189" i="4"/>
  <c r="DB189" i="4"/>
  <c r="DD189" i="4"/>
  <c r="DE189" i="4"/>
  <c r="DF189" i="4"/>
  <c r="DH189" i="4"/>
  <c r="A190" i="4"/>
  <c r="B190" i="4"/>
  <c r="CY190" i="4"/>
  <c r="CZ190" i="4"/>
  <c r="DA190" i="4"/>
  <c r="DB190" i="4"/>
  <c r="DD190" i="4"/>
  <c r="DE190" i="4"/>
  <c r="DF190" i="4"/>
  <c r="DH190" i="4"/>
  <c r="A191" i="4"/>
  <c r="B191" i="4"/>
  <c r="CY191" i="4"/>
  <c r="CZ191" i="4"/>
  <c r="DA191" i="4"/>
  <c r="DB191" i="4"/>
  <c r="DD191" i="4"/>
  <c r="DE191" i="4"/>
  <c r="DF191" i="4"/>
  <c r="DH191" i="4"/>
  <c r="A192" i="4"/>
  <c r="B192" i="4"/>
  <c r="CY192" i="4"/>
  <c r="CZ192" i="4"/>
  <c r="DA192" i="4"/>
  <c r="DB192" i="4"/>
  <c r="DD192" i="4"/>
  <c r="DE192" i="4"/>
  <c r="DF192" i="4"/>
  <c r="DH192" i="4"/>
  <c r="A193" i="4"/>
  <c r="B193" i="4"/>
  <c r="CY193" i="4"/>
  <c r="CZ193" i="4"/>
  <c r="DA193" i="4"/>
  <c r="DB193" i="4"/>
  <c r="DD193" i="4"/>
  <c r="DE193" i="4"/>
  <c r="DF193" i="4"/>
  <c r="DH193" i="4"/>
  <c r="A194" i="4"/>
  <c r="B194" i="4"/>
  <c r="CY194" i="4"/>
  <c r="CZ194" i="4"/>
  <c r="DA194" i="4"/>
  <c r="DB194" i="4"/>
  <c r="DD194" i="4"/>
  <c r="DE194" i="4"/>
  <c r="DF194" i="4"/>
  <c r="DH194" i="4"/>
  <c r="A195" i="4"/>
  <c r="B195" i="4"/>
  <c r="CY195" i="4"/>
  <c r="CZ195" i="4"/>
  <c r="DA195" i="4"/>
  <c r="DB195" i="4"/>
  <c r="DD195" i="4"/>
  <c r="DE195" i="4"/>
  <c r="DF195" i="4"/>
  <c r="DH195" i="4"/>
  <c r="A196" i="4"/>
  <c r="B196" i="4"/>
  <c r="CY196" i="4"/>
  <c r="CZ196" i="4"/>
  <c r="DA196" i="4"/>
  <c r="DB196" i="4"/>
  <c r="DD196" i="4"/>
  <c r="DE196" i="4"/>
  <c r="DF196" i="4"/>
  <c r="DH196" i="4"/>
  <c r="A197" i="4"/>
  <c r="B197" i="4"/>
  <c r="CY197" i="4"/>
  <c r="CZ197" i="4"/>
  <c r="DA197" i="4"/>
  <c r="DB197" i="4"/>
  <c r="DD197" i="4"/>
  <c r="DE197" i="4"/>
  <c r="DF197" i="4"/>
  <c r="DH197" i="4"/>
  <c r="A198" i="4"/>
  <c r="B198" i="4"/>
  <c r="CY198" i="4"/>
  <c r="CZ198" i="4"/>
  <c r="DA198" i="4"/>
  <c r="DB198" i="4"/>
  <c r="DD198" i="4"/>
  <c r="DE198" i="4"/>
  <c r="DF198" i="4"/>
  <c r="DH198" i="4"/>
  <c r="A199" i="4"/>
  <c r="B199" i="4"/>
  <c r="CY199" i="4"/>
  <c r="CZ199" i="4"/>
  <c r="DA199" i="4"/>
  <c r="DB199" i="4"/>
  <c r="DD199" i="4"/>
  <c r="DE199" i="4"/>
  <c r="DF199" i="4"/>
  <c r="DH199" i="4"/>
  <c r="A200" i="4"/>
  <c r="B200" i="4"/>
  <c r="CY200" i="4"/>
  <c r="CZ200" i="4"/>
  <c r="DA200" i="4"/>
  <c r="DB200" i="4"/>
  <c r="DD200" i="4"/>
  <c r="DE200" i="4"/>
  <c r="DF200" i="4"/>
  <c r="DH200" i="4"/>
  <c r="A201" i="4"/>
  <c r="B201" i="4"/>
  <c r="CY201" i="4"/>
  <c r="CZ201" i="4"/>
  <c r="DA201" i="4"/>
  <c r="DB201" i="4"/>
  <c r="DD201" i="4"/>
  <c r="DE201" i="4"/>
  <c r="DF201" i="4"/>
  <c r="DH201" i="4"/>
  <c r="A202" i="4"/>
  <c r="B202" i="4"/>
  <c r="CY202" i="4"/>
  <c r="CZ202" i="4"/>
  <c r="DA202" i="4"/>
  <c r="DB202" i="4"/>
  <c r="DD202" i="4"/>
  <c r="DE202" i="4"/>
  <c r="DF202" i="4"/>
  <c r="DH202" i="4"/>
  <c r="A203" i="4"/>
  <c r="B203" i="4"/>
  <c r="CY203" i="4"/>
  <c r="CZ203" i="4"/>
  <c r="DA203" i="4"/>
  <c r="DB203" i="4"/>
  <c r="DD203" i="4"/>
  <c r="DE203" i="4"/>
  <c r="DF203" i="4"/>
  <c r="DH203" i="4"/>
  <c r="A204" i="4"/>
  <c r="B204" i="4"/>
  <c r="CY204" i="4"/>
  <c r="CZ204" i="4"/>
  <c r="DA204" i="4"/>
  <c r="DB204" i="4"/>
  <c r="DD204" i="4"/>
  <c r="DE204" i="4"/>
  <c r="DF204" i="4"/>
  <c r="DH204" i="4"/>
  <c r="A205" i="4"/>
  <c r="B205" i="4"/>
  <c r="CY205" i="4"/>
  <c r="CZ205" i="4"/>
  <c r="DA205" i="4"/>
  <c r="DB205" i="4"/>
  <c r="DD205" i="4"/>
  <c r="DE205" i="4"/>
  <c r="DF205" i="4"/>
  <c r="DH205" i="4"/>
  <c r="A206" i="4"/>
  <c r="B206" i="4"/>
  <c r="CY206" i="4"/>
  <c r="CZ206" i="4"/>
  <c r="DA206" i="4"/>
  <c r="DB206" i="4"/>
  <c r="DD206" i="4"/>
  <c r="DE206" i="4"/>
  <c r="DF206" i="4"/>
  <c r="DH206" i="4"/>
  <c r="A207" i="4"/>
  <c r="B207" i="4"/>
  <c r="CY207" i="4"/>
  <c r="CZ207" i="4"/>
  <c r="DA207" i="4"/>
  <c r="DB207" i="4"/>
  <c r="DD207" i="4"/>
  <c r="DE207" i="4"/>
  <c r="DF207" i="4"/>
  <c r="DH207" i="4"/>
  <c r="A208" i="4"/>
  <c r="B208" i="4"/>
  <c r="CY208" i="4"/>
  <c r="CZ208" i="4"/>
  <c r="DA208" i="4"/>
  <c r="DB208" i="4"/>
  <c r="DD208" i="4"/>
  <c r="DE208" i="4"/>
  <c r="DF208" i="4"/>
  <c r="DH208" i="4"/>
  <c r="A209" i="4"/>
  <c r="B209" i="4"/>
  <c r="CY209" i="4"/>
  <c r="CZ209" i="4"/>
  <c r="DA209" i="4"/>
  <c r="DB209" i="4"/>
  <c r="DD209" i="4"/>
  <c r="DE209" i="4"/>
  <c r="DF209" i="4"/>
  <c r="DH209" i="4"/>
  <c r="A210" i="4"/>
  <c r="B210" i="4"/>
  <c r="CY210" i="4"/>
  <c r="CZ210" i="4"/>
  <c r="DA210" i="4"/>
  <c r="DB210" i="4"/>
  <c r="DD210" i="4"/>
  <c r="DE210" i="4"/>
  <c r="DF210" i="4"/>
  <c r="DH210" i="4"/>
  <c r="A211" i="4"/>
  <c r="B211" i="4"/>
  <c r="CY211" i="4"/>
  <c r="CZ211" i="4"/>
  <c r="DA211" i="4"/>
  <c r="DB211" i="4"/>
  <c r="DD211" i="4"/>
  <c r="DE211" i="4"/>
  <c r="DF211" i="4"/>
  <c r="DH211" i="4"/>
  <c r="A212" i="4"/>
  <c r="B212" i="4"/>
  <c r="CY212" i="4"/>
  <c r="CZ212" i="4"/>
  <c r="DA212" i="4"/>
  <c r="DB212" i="4"/>
  <c r="DD212" i="4"/>
  <c r="DE212" i="4"/>
  <c r="DF212" i="4"/>
  <c r="DH212" i="4"/>
  <c r="A213" i="4"/>
  <c r="B213" i="4"/>
  <c r="CY213" i="4"/>
  <c r="CZ213" i="4"/>
  <c r="DA213" i="4"/>
  <c r="DB213" i="4"/>
  <c r="DD213" i="4"/>
  <c r="DE213" i="4"/>
  <c r="DF213" i="4"/>
  <c r="DH213" i="4"/>
  <c r="A214" i="4"/>
  <c r="B214" i="4"/>
  <c r="CY214" i="4"/>
  <c r="CZ214" i="4"/>
  <c r="DA214" i="4"/>
  <c r="DB214" i="4"/>
  <c r="DD214" i="4"/>
  <c r="DE214" i="4"/>
  <c r="DF214" i="4"/>
  <c r="DH214" i="4"/>
  <c r="A215" i="4"/>
  <c r="B215" i="4"/>
  <c r="CY215" i="4"/>
  <c r="CZ215" i="4"/>
  <c r="DA215" i="4"/>
  <c r="DB215" i="4"/>
  <c r="DD215" i="4"/>
  <c r="DE215" i="4"/>
  <c r="DF215" i="4"/>
  <c r="DH215" i="4"/>
  <c r="A216" i="4"/>
  <c r="B216" i="4"/>
  <c r="CY216" i="4"/>
  <c r="CZ216" i="4"/>
  <c r="DA216" i="4"/>
  <c r="DB216" i="4"/>
  <c r="DD216" i="4"/>
  <c r="DE216" i="4"/>
  <c r="DF216" i="4"/>
  <c r="DH216" i="4"/>
  <c r="A217" i="4"/>
  <c r="B217" i="4"/>
  <c r="CY217" i="4"/>
  <c r="CZ217" i="4"/>
  <c r="DA217" i="4"/>
  <c r="DB217" i="4"/>
  <c r="DD217" i="4"/>
  <c r="DE217" i="4"/>
  <c r="DF217" i="4"/>
  <c r="DH217" i="4"/>
  <c r="A218" i="4"/>
  <c r="B218" i="4"/>
  <c r="CY218" i="4"/>
  <c r="CZ218" i="4"/>
  <c r="DA218" i="4"/>
  <c r="DB218" i="4"/>
  <c r="DD218" i="4"/>
  <c r="DE218" i="4"/>
  <c r="DF218" i="4"/>
  <c r="DH218" i="4"/>
  <c r="A219" i="4"/>
  <c r="B219" i="4"/>
  <c r="CY219" i="4"/>
  <c r="CZ219" i="4"/>
  <c r="DA219" i="4"/>
  <c r="DB219" i="4"/>
  <c r="DD219" i="4"/>
  <c r="DE219" i="4"/>
  <c r="DF219" i="4"/>
  <c r="DH219" i="4"/>
  <c r="A220" i="4"/>
  <c r="B220" i="4"/>
  <c r="CY220" i="4"/>
  <c r="CZ220" i="4"/>
  <c r="DA220" i="4"/>
  <c r="DB220" i="4"/>
  <c r="DD220" i="4"/>
  <c r="DE220" i="4"/>
  <c r="DF220" i="4"/>
  <c r="DH220" i="4"/>
  <c r="A221" i="4"/>
  <c r="B221" i="4"/>
  <c r="CY221" i="4"/>
  <c r="CZ221" i="4"/>
  <c r="DA221" i="4"/>
  <c r="DB221" i="4"/>
  <c r="DD221" i="4"/>
  <c r="DE221" i="4"/>
  <c r="DF221" i="4"/>
  <c r="DH221" i="4"/>
  <c r="A222" i="4"/>
  <c r="B222" i="4"/>
  <c r="CY222" i="4"/>
  <c r="CZ222" i="4"/>
  <c r="DA222" i="4"/>
  <c r="DB222" i="4"/>
  <c r="DD222" i="4"/>
  <c r="DE222" i="4"/>
  <c r="DF222" i="4"/>
  <c r="DH222" i="4"/>
  <c r="A223" i="4"/>
  <c r="B223" i="4"/>
  <c r="CY223" i="4"/>
  <c r="CZ223" i="4"/>
  <c r="DA223" i="4"/>
  <c r="DB223" i="4"/>
  <c r="DD223" i="4"/>
  <c r="DE223" i="4"/>
  <c r="DF223" i="4"/>
  <c r="DH223" i="4"/>
  <c r="A224" i="4"/>
  <c r="B224" i="4"/>
  <c r="CY224" i="4"/>
  <c r="CZ224" i="4"/>
  <c r="DA224" i="4"/>
  <c r="DB224" i="4"/>
  <c r="DD224" i="4"/>
  <c r="DE224" i="4"/>
  <c r="DF224" i="4"/>
  <c r="DH224" i="4"/>
  <c r="A225" i="4"/>
  <c r="B225" i="4"/>
  <c r="CY225" i="4"/>
  <c r="CZ225" i="4"/>
  <c r="DA225" i="4"/>
  <c r="DB225" i="4"/>
  <c r="DD225" i="4"/>
  <c r="DE225" i="4"/>
  <c r="DF225" i="4"/>
  <c r="DH225" i="4"/>
  <c r="A226" i="4"/>
  <c r="B226" i="4"/>
  <c r="CY226" i="4"/>
  <c r="CZ226" i="4"/>
  <c r="DA226" i="4"/>
  <c r="DB226" i="4"/>
  <c r="DD226" i="4"/>
  <c r="DE226" i="4"/>
  <c r="DF226" i="4"/>
  <c r="DH226" i="4"/>
  <c r="A227" i="4"/>
  <c r="B227" i="4"/>
  <c r="CY227" i="4"/>
  <c r="CZ227" i="4"/>
  <c r="DA227" i="4"/>
  <c r="DB227" i="4"/>
  <c r="DD227" i="4"/>
  <c r="DE227" i="4"/>
  <c r="DF227" i="4"/>
  <c r="DH227" i="4"/>
  <c r="A228" i="4"/>
  <c r="B228" i="4"/>
  <c r="CY228" i="4"/>
  <c r="CZ228" i="4"/>
  <c r="DA228" i="4"/>
  <c r="DB228" i="4"/>
  <c r="DD228" i="4"/>
  <c r="DE228" i="4"/>
  <c r="DF228" i="4"/>
  <c r="DH228" i="4"/>
  <c r="A229" i="4"/>
  <c r="B229" i="4"/>
  <c r="CY229" i="4"/>
  <c r="CZ229" i="4"/>
  <c r="DA229" i="4"/>
  <c r="DB229" i="4"/>
  <c r="DD229" i="4"/>
  <c r="DE229" i="4"/>
  <c r="DF229" i="4"/>
  <c r="DH229" i="4"/>
  <c r="A230" i="4"/>
  <c r="B230" i="4"/>
  <c r="CY230" i="4"/>
  <c r="CZ230" i="4"/>
  <c r="DA230" i="4"/>
  <c r="DB230" i="4"/>
  <c r="DD230" i="4"/>
  <c r="DE230" i="4"/>
  <c r="DF230" i="4"/>
  <c r="DH230" i="4"/>
  <c r="A231" i="4"/>
  <c r="B231" i="4"/>
  <c r="CY231" i="4"/>
  <c r="CZ231" i="4"/>
  <c r="DA231" i="4"/>
  <c r="DB231" i="4"/>
  <c r="DD231" i="4"/>
  <c r="DE231" i="4"/>
  <c r="DF231" i="4"/>
  <c r="DH231" i="4"/>
  <c r="A232" i="4"/>
  <c r="B232" i="4"/>
  <c r="CY232" i="4"/>
  <c r="CZ232" i="4"/>
  <c r="DA232" i="4"/>
  <c r="DB232" i="4"/>
  <c r="DD232" i="4"/>
  <c r="DE232" i="4"/>
  <c r="DF232" i="4"/>
  <c r="DH232" i="4"/>
  <c r="A233" i="4"/>
  <c r="B233" i="4"/>
  <c r="CY233" i="4"/>
  <c r="CZ233" i="4"/>
  <c r="DA233" i="4"/>
  <c r="DB233" i="4"/>
  <c r="DD233" i="4"/>
  <c r="DE233" i="4"/>
  <c r="DF233" i="4"/>
  <c r="DH233" i="4"/>
  <c r="A234" i="4"/>
  <c r="B234" i="4"/>
  <c r="CY234" i="4"/>
  <c r="CZ234" i="4"/>
  <c r="DA234" i="4"/>
  <c r="DB234" i="4"/>
  <c r="DD234" i="4"/>
  <c r="DE234" i="4"/>
  <c r="DF234" i="4"/>
  <c r="DH234" i="4"/>
  <c r="A235" i="4"/>
  <c r="B235" i="4"/>
  <c r="CY235" i="4"/>
  <c r="CZ235" i="4"/>
  <c r="DA235" i="4"/>
  <c r="DB235" i="4"/>
  <c r="DD235" i="4"/>
  <c r="DE235" i="4"/>
  <c r="DF235" i="4"/>
  <c r="DH235" i="4"/>
  <c r="A236" i="4"/>
  <c r="B236" i="4"/>
  <c r="CY236" i="4"/>
  <c r="CZ236" i="4"/>
  <c r="DA236" i="4"/>
  <c r="DB236" i="4"/>
  <c r="DD236" i="4"/>
  <c r="DE236" i="4"/>
  <c r="DF236" i="4"/>
  <c r="DH236" i="4"/>
  <c r="A237" i="4"/>
  <c r="B237" i="4"/>
  <c r="CY237" i="4"/>
  <c r="CZ237" i="4"/>
  <c r="DA237" i="4"/>
  <c r="DB237" i="4"/>
  <c r="DD237" i="4"/>
  <c r="DE237" i="4"/>
  <c r="DF237" i="4"/>
  <c r="DH237" i="4"/>
  <c r="A238" i="4"/>
  <c r="B238" i="4"/>
  <c r="CY238" i="4"/>
  <c r="CZ238" i="4"/>
  <c r="DA238" i="4"/>
  <c r="DB238" i="4"/>
  <c r="DD238" i="4"/>
  <c r="DE238" i="4"/>
  <c r="DF238" i="4"/>
  <c r="DH238" i="4"/>
  <c r="A239" i="4"/>
  <c r="B239" i="4"/>
  <c r="CY239" i="4"/>
  <c r="CZ239" i="4"/>
  <c r="DA239" i="4"/>
  <c r="DB239" i="4"/>
  <c r="DD239" i="4"/>
  <c r="DE239" i="4"/>
  <c r="DF239" i="4"/>
  <c r="DH239" i="4"/>
  <c r="A240" i="4"/>
  <c r="B240" i="4"/>
  <c r="CY240" i="4"/>
  <c r="CZ240" i="4"/>
  <c r="DA240" i="4"/>
  <c r="DB240" i="4"/>
  <c r="DD240" i="4"/>
  <c r="DE240" i="4"/>
  <c r="DF240" i="4"/>
  <c r="DH240" i="4"/>
  <c r="A241" i="4"/>
  <c r="B241" i="4"/>
  <c r="CY241" i="4"/>
  <c r="CZ241" i="4"/>
  <c r="DA241" i="4"/>
  <c r="DB241" i="4"/>
  <c r="DD241" i="4"/>
  <c r="DE241" i="4"/>
  <c r="DF241" i="4"/>
  <c r="DH241" i="4"/>
  <c r="A242" i="4"/>
  <c r="B242" i="4"/>
  <c r="CY242" i="4"/>
  <c r="CZ242" i="4"/>
  <c r="DA242" i="4"/>
  <c r="DB242" i="4"/>
  <c r="DD242" i="4"/>
  <c r="DE242" i="4"/>
  <c r="DF242" i="4"/>
  <c r="DH242" i="4"/>
  <c r="A243" i="4"/>
  <c r="B243" i="4"/>
  <c r="CY243" i="4"/>
  <c r="CZ243" i="4"/>
  <c r="DA243" i="4"/>
  <c r="DB243" i="4"/>
  <c r="DD243" i="4"/>
  <c r="DE243" i="4"/>
  <c r="DF243" i="4"/>
  <c r="DH243" i="4"/>
  <c r="A244" i="4"/>
  <c r="B244" i="4"/>
  <c r="CY244" i="4"/>
  <c r="CZ244" i="4"/>
  <c r="DA244" i="4"/>
  <c r="DB244" i="4"/>
  <c r="DD244" i="4"/>
  <c r="DE244" i="4"/>
  <c r="DF244" i="4"/>
  <c r="DH244" i="4"/>
  <c r="A245" i="4"/>
  <c r="B245" i="4"/>
  <c r="CY245" i="4"/>
  <c r="CZ245" i="4"/>
  <c r="DA245" i="4"/>
  <c r="DB245" i="4"/>
  <c r="DD245" i="4"/>
  <c r="DE245" i="4"/>
  <c r="DF245" i="4"/>
  <c r="DH245" i="4"/>
  <c r="A246" i="4"/>
  <c r="B246" i="4"/>
  <c r="CY246" i="4"/>
  <c r="CZ246" i="4"/>
  <c r="DA246" i="4"/>
  <c r="DB246" i="4"/>
  <c r="DD246" i="4"/>
  <c r="DE246" i="4"/>
  <c r="DF246" i="4"/>
  <c r="DH246" i="4"/>
  <c r="A247" i="4"/>
  <c r="B247" i="4"/>
  <c r="CY247" i="4"/>
  <c r="CZ247" i="4"/>
  <c r="DA247" i="4"/>
  <c r="DB247" i="4"/>
  <c r="DD247" i="4"/>
  <c r="DE247" i="4"/>
  <c r="DF247" i="4"/>
  <c r="DH247" i="4"/>
  <c r="A248" i="4"/>
  <c r="B248" i="4"/>
  <c r="CY248" i="4"/>
  <c r="CZ248" i="4"/>
  <c r="DA248" i="4"/>
  <c r="DB248" i="4"/>
  <c r="DD248" i="4"/>
  <c r="DE248" i="4"/>
  <c r="DF248" i="4"/>
  <c r="DH248" i="4"/>
  <c r="A249" i="4"/>
  <c r="B249" i="4"/>
  <c r="CY249" i="4"/>
  <c r="CZ249" i="4"/>
  <c r="DA249" i="4"/>
  <c r="DB249" i="4"/>
  <c r="DD249" i="4"/>
  <c r="DE249" i="4"/>
  <c r="DF249" i="4"/>
  <c r="DH249" i="4"/>
  <c r="A250" i="4"/>
  <c r="B250" i="4"/>
  <c r="CY250" i="4"/>
  <c r="CZ250" i="4"/>
  <c r="DA250" i="4"/>
  <c r="DB250" i="4"/>
  <c r="DD250" i="4"/>
  <c r="DE250" i="4"/>
  <c r="DF250" i="4"/>
  <c r="DH250" i="4"/>
  <c r="A251" i="4"/>
  <c r="B251" i="4"/>
  <c r="CY251" i="4"/>
  <c r="CZ251" i="4"/>
  <c r="DA251" i="4"/>
  <c r="DB251" i="4"/>
  <c r="DD251" i="4"/>
  <c r="DE251" i="4"/>
  <c r="DF251" i="4"/>
  <c r="DH251" i="4"/>
  <c r="A252" i="4"/>
  <c r="B252" i="4"/>
  <c r="CY252" i="4"/>
  <c r="CZ252" i="4"/>
  <c r="DA252" i="4"/>
  <c r="DB252" i="4"/>
  <c r="DD252" i="4"/>
  <c r="DE252" i="4"/>
  <c r="DF252" i="4"/>
  <c r="DH252" i="4"/>
  <c r="A253" i="4"/>
  <c r="B253" i="4"/>
  <c r="CY253" i="4"/>
  <c r="CZ253" i="4"/>
  <c r="DA253" i="4"/>
  <c r="DB253" i="4"/>
  <c r="DD253" i="4"/>
  <c r="DE253" i="4"/>
  <c r="DF253" i="4"/>
  <c r="DH253" i="4"/>
  <c r="A254" i="4"/>
  <c r="B254" i="4"/>
  <c r="CY254" i="4"/>
  <c r="CZ254" i="4"/>
  <c r="DA254" i="4"/>
  <c r="DB254" i="4"/>
  <c r="DD254" i="4"/>
  <c r="DE254" i="4"/>
  <c r="DF254" i="4"/>
  <c r="DH254" i="4"/>
  <c r="A255" i="4"/>
  <c r="B255" i="4"/>
  <c r="CY255" i="4"/>
  <c r="CZ255" i="4"/>
  <c r="DA255" i="4"/>
  <c r="DB255" i="4"/>
  <c r="DD255" i="4"/>
  <c r="DE255" i="4"/>
  <c r="DF255" i="4"/>
  <c r="DH255" i="4"/>
  <c r="A256" i="4"/>
  <c r="B256" i="4"/>
  <c r="CY256" i="4"/>
  <c r="CZ256" i="4"/>
  <c r="DA256" i="4"/>
  <c r="DB256" i="4"/>
  <c r="DD256" i="4"/>
  <c r="DE256" i="4"/>
  <c r="DF256" i="4"/>
  <c r="DH256" i="4"/>
  <c r="A257" i="4"/>
  <c r="B257" i="4"/>
  <c r="CY257" i="4"/>
  <c r="CZ257" i="4"/>
  <c r="DA257" i="4"/>
  <c r="DB257" i="4"/>
  <c r="DD257" i="4"/>
  <c r="DE257" i="4"/>
  <c r="DF257" i="4"/>
  <c r="DH257" i="4"/>
  <c r="A258" i="4"/>
  <c r="B258" i="4"/>
  <c r="CY258" i="4"/>
  <c r="CZ258" i="4"/>
  <c r="DA258" i="4"/>
  <c r="DB258" i="4"/>
  <c r="DD258" i="4"/>
  <c r="DE258" i="4"/>
  <c r="DF258" i="4"/>
  <c r="DH258" i="4"/>
  <c r="A259" i="4"/>
  <c r="B259" i="4"/>
  <c r="CY259" i="4"/>
  <c r="CZ259" i="4"/>
  <c r="DA259" i="4"/>
  <c r="DB259" i="4"/>
  <c r="DD259" i="4"/>
  <c r="DE259" i="4"/>
  <c r="DF259" i="4"/>
  <c r="DH259" i="4"/>
  <c r="A260" i="4"/>
  <c r="B260" i="4"/>
  <c r="CY260" i="4"/>
  <c r="CZ260" i="4"/>
  <c r="DA260" i="4"/>
  <c r="DB260" i="4"/>
  <c r="DD260" i="4"/>
  <c r="DE260" i="4"/>
  <c r="DF260" i="4"/>
  <c r="DH260" i="4"/>
  <c r="A261" i="4"/>
  <c r="B261" i="4"/>
  <c r="CY261" i="4"/>
  <c r="CZ261" i="4"/>
  <c r="DA261" i="4"/>
  <c r="DB261" i="4"/>
  <c r="DD261" i="4"/>
  <c r="DE261" i="4"/>
  <c r="DF261" i="4"/>
  <c r="DH261" i="4"/>
  <c r="A262" i="4"/>
  <c r="B262" i="4"/>
  <c r="CY262" i="4"/>
  <c r="CZ262" i="4"/>
  <c r="DA262" i="4"/>
  <c r="DB262" i="4"/>
  <c r="DD262" i="4"/>
  <c r="DE262" i="4"/>
  <c r="DF262" i="4"/>
  <c r="DH262" i="4"/>
  <c r="A263" i="4"/>
  <c r="B263" i="4"/>
  <c r="CY263" i="4"/>
  <c r="CZ263" i="4"/>
  <c r="DA263" i="4"/>
  <c r="DB263" i="4"/>
  <c r="DD263" i="4"/>
  <c r="DE263" i="4"/>
  <c r="DF263" i="4"/>
  <c r="DH263" i="4"/>
  <c r="A264" i="4"/>
  <c r="B264" i="4"/>
  <c r="CY264" i="4"/>
  <c r="CZ264" i="4"/>
  <c r="DA264" i="4"/>
  <c r="DB264" i="4"/>
  <c r="DD264" i="4"/>
  <c r="DE264" i="4"/>
  <c r="DF264" i="4"/>
  <c r="DH264" i="4"/>
  <c r="A265" i="4"/>
  <c r="B265" i="4"/>
  <c r="CY265" i="4"/>
  <c r="CZ265" i="4"/>
  <c r="DA265" i="4"/>
  <c r="DB265" i="4"/>
  <c r="DD265" i="4"/>
  <c r="DE265" i="4"/>
  <c r="DF265" i="4"/>
  <c r="DH265" i="4"/>
  <c r="A266" i="4"/>
  <c r="B266" i="4"/>
  <c r="CY266" i="4"/>
  <c r="CZ266" i="4"/>
  <c r="DA266" i="4"/>
  <c r="DB266" i="4"/>
  <c r="DD266" i="4"/>
  <c r="DE266" i="4"/>
  <c r="DF266" i="4"/>
  <c r="DH266" i="4"/>
  <c r="A267" i="4"/>
  <c r="B267" i="4"/>
  <c r="CY267" i="4"/>
  <c r="CZ267" i="4"/>
  <c r="DA267" i="4"/>
  <c r="DB267" i="4"/>
  <c r="DD267" i="4"/>
  <c r="DE267" i="4"/>
  <c r="DF267" i="4"/>
  <c r="DH267" i="4"/>
  <c r="A268" i="4"/>
  <c r="B268" i="4"/>
  <c r="CY268" i="4"/>
  <c r="CZ268" i="4"/>
  <c r="DA268" i="4"/>
  <c r="DB268" i="4"/>
  <c r="DD268" i="4"/>
  <c r="DE268" i="4"/>
  <c r="DF268" i="4"/>
  <c r="DH268" i="4"/>
  <c r="A269" i="4"/>
  <c r="B269" i="4"/>
  <c r="CY269" i="4"/>
  <c r="CZ269" i="4"/>
  <c r="DA269" i="4"/>
  <c r="DB269" i="4"/>
  <c r="DD269" i="4"/>
  <c r="DE269" i="4"/>
  <c r="DF269" i="4"/>
  <c r="DH269" i="4"/>
  <c r="A270" i="4"/>
  <c r="B270" i="4"/>
  <c r="CY270" i="4"/>
  <c r="CZ270" i="4"/>
  <c r="DA270" i="4"/>
  <c r="DB270" i="4"/>
  <c r="DD270" i="4"/>
  <c r="DE270" i="4"/>
  <c r="DF270" i="4"/>
  <c r="DH270" i="4"/>
  <c r="A271" i="4"/>
  <c r="B271" i="4"/>
  <c r="CY271" i="4"/>
  <c r="CZ271" i="4"/>
  <c r="DA271" i="4"/>
  <c r="DB271" i="4"/>
  <c r="DD271" i="4"/>
  <c r="DE271" i="4"/>
  <c r="DF271" i="4"/>
  <c r="DH271" i="4"/>
  <c r="A272" i="4"/>
  <c r="B272" i="4"/>
  <c r="CY272" i="4"/>
  <c r="CZ272" i="4"/>
  <c r="DA272" i="4"/>
  <c r="DB272" i="4"/>
  <c r="DD272" i="4"/>
  <c r="DE272" i="4"/>
  <c r="DF272" i="4"/>
  <c r="DH272" i="4"/>
  <c r="A273" i="4"/>
  <c r="B273" i="4"/>
  <c r="CY273" i="4"/>
  <c r="CZ273" i="4"/>
  <c r="DA273" i="4"/>
  <c r="DB273" i="4"/>
  <c r="DD273" i="4"/>
  <c r="DE273" i="4"/>
  <c r="DF273" i="4"/>
  <c r="DH273" i="4"/>
  <c r="A274" i="4"/>
  <c r="B274" i="4"/>
  <c r="CY274" i="4"/>
  <c r="CZ274" i="4"/>
  <c r="DA274" i="4"/>
  <c r="DB274" i="4"/>
  <c r="DD274" i="4"/>
  <c r="DE274" i="4"/>
  <c r="DF274" i="4"/>
  <c r="DH274" i="4"/>
  <c r="A275" i="4"/>
  <c r="B275" i="4"/>
  <c r="CY275" i="4"/>
  <c r="CZ275" i="4"/>
  <c r="DA275" i="4"/>
  <c r="DB275" i="4"/>
  <c r="DD275" i="4"/>
  <c r="DE275" i="4"/>
  <c r="DF275" i="4"/>
  <c r="DH275" i="4"/>
  <c r="A276" i="4"/>
  <c r="B276" i="4"/>
  <c r="CY276" i="4"/>
  <c r="CZ276" i="4"/>
  <c r="DA276" i="4"/>
  <c r="DB276" i="4"/>
  <c r="DD276" i="4"/>
  <c r="DE276" i="4"/>
  <c r="DF276" i="4"/>
  <c r="DH276" i="4"/>
  <c r="A277" i="4"/>
  <c r="B277" i="4"/>
  <c r="CY277" i="4"/>
  <c r="CZ277" i="4"/>
  <c r="DA277" i="4"/>
  <c r="DB277" i="4"/>
  <c r="DD277" i="4"/>
  <c r="DE277" i="4"/>
  <c r="DF277" i="4"/>
  <c r="DH277" i="4"/>
  <c r="A278" i="4"/>
  <c r="B278" i="4"/>
  <c r="CY278" i="4"/>
  <c r="CZ278" i="4"/>
  <c r="DA278" i="4"/>
  <c r="DB278" i="4"/>
  <c r="DD278" i="4"/>
  <c r="DE278" i="4"/>
  <c r="DF278" i="4"/>
  <c r="DH278" i="4"/>
  <c r="A279" i="4"/>
  <c r="B279" i="4"/>
  <c r="CY279" i="4"/>
  <c r="CZ279" i="4"/>
  <c r="DA279" i="4"/>
  <c r="DB279" i="4"/>
  <c r="DD279" i="4"/>
  <c r="DE279" i="4"/>
  <c r="DF279" i="4"/>
  <c r="DH279" i="4"/>
  <c r="A280" i="4"/>
  <c r="B280" i="4"/>
  <c r="CY280" i="4"/>
  <c r="CZ280" i="4"/>
  <c r="DA280" i="4"/>
  <c r="DB280" i="4"/>
  <c r="DD280" i="4"/>
  <c r="DE280" i="4"/>
  <c r="DF280" i="4"/>
  <c r="DH280" i="4"/>
  <c r="A281" i="4"/>
  <c r="B281" i="4"/>
  <c r="CY281" i="4"/>
  <c r="CZ281" i="4"/>
  <c r="DA281" i="4"/>
  <c r="DB281" i="4"/>
  <c r="DD281" i="4"/>
  <c r="DE281" i="4"/>
  <c r="DF281" i="4"/>
  <c r="DH281" i="4"/>
  <c r="A282" i="4"/>
  <c r="B282" i="4"/>
  <c r="CY282" i="4"/>
  <c r="CZ282" i="4"/>
  <c r="DA282" i="4"/>
  <c r="DB282" i="4"/>
  <c r="DD282" i="4"/>
  <c r="DE282" i="4"/>
  <c r="DF282" i="4"/>
  <c r="DH282" i="4"/>
  <c r="A283" i="4"/>
  <c r="B283" i="4"/>
  <c r="CY283" i="4"/>
  <c r="CZ283" i="4"/>
  <c r="DA283" i="4"/>
  <c r="DB283" i="4"/>
  <c r="DD283" i="4"/>
  <c r="DE283" i="4"/>
  <c r="DF283" i="4"/>
  <c r="DH283" i="4"/>
  <c r="A284" i="4"/>
  <c r="B284" i="4"/>
  <c r="CY284" i="4"/>
  <c r="CZ284" i="4"/>
  <c r="DA284" i="4"/>
  <c r="DB284" i="4"/>
  <c r="DD284" i="4"/>
  <c r="DE284" i="4"/>
  <c r="DF284" i="4"/>
  <c r="DH284" i="4"/>
  <c r="A285" i="4"/>
  <c r="B285" i="4"/>
  <c r="CY285" i="4"/>
  <c r="CZ285" i="4"/>
  <c r="DA285" i="4"/>
  <c r="DB285" i="4"/>
  <c r="DD285" i="4"/>
  <c r="DE285" i="4"/>
  <c r="DF285" i="4"/>
  <c r="DH285" i="4"/>
  <c r="A286" i="4"/>
  <c r="B286" i="4"/>
  <c r="CY286" i="4"/>
  <c r="CZ286" i="4"/>
  <c r="DA286" i="4"/>
  <c r="DB286" i="4"/>
  <c r="DD286" i="4"/>
  <c r="DE286" i="4"/>
  <c r="DF286" i="4"/>
  <c r="DH286" i="4"/>
  <c r="A287" i="4"/>
  <c r="B287" i="4"/>
  <c r="CY287" i="4"/>
  <c r="CZ287" i="4"/>
  <c r="DA287" i="4"/>
  <c r="DB287" i="4"/>
  <c r="DD287" i="4"/>
  <c r="DE287" i="4"/>
  <c r="DF287" i="4"/>
  <c r="DH287" i="4"/>
  <c r="A288" i="4"/>
  <c r="B288" i="4"/>
  <c r="CY288" i="4"/>
  <c r="CZ288" i="4"/>
  <c r="DA288" i="4"/>
  <c r="DB288" i="4"/>
  <c r="DD288" i="4"/>
  <c r="DE288" i="4"/>
  <c r="DF288" i="4"/>
  <c r="DH288" i="4"/>
  <c r="A289" i="4"/>
  <c r="B289" i="4"/>
  <c r="CY289" i="4"/>
  <c r="CZ289" i="4"/>
  <c r="DA289" i="4"/>
  <c r="DB289" i="4"/>
  <c r="DD289" i="4"/>
  <c r="DE289" i="4"/>
  <c r="DF289" i="4"/>
  <c r="DH289" i="4"/>
  <c r="A290" i="4"/>
  <c r="B290" i="4"/>
  <c r="CY290" i="4"/>
  <c r="CZ290" i="4"/>
  <c r="DA290" i="4"/>
  <c r="DB290" i="4"/>
  <c r="DD290" i="4"/>
  <c r="DE290" i="4"/>
  <c r="DF290" i="4"/>
  <c r="DH290" i="4"/>
  <c r="A291" i="4"/>
  <c r="B291" i="4"/>
  <c r="CY291" i="4"/>
  <c r="CZ291" i="4"/>
  <c r="DA291" i="4"/>
  <c r="DB291" i="4"/>
  <c r="DD291" i="4"/>
  <c r="DE291" i="4"/>
  <c r="DF291" i="4"/>
  <c r="DH291" i="4"/>
  <c r="A292" i="4"/>
  <c r="B292" i="4"/>
  <c r="CY292" i="4"/>
  <c r="CZ292" i="4"/>
  <c r="DA292" i="4"/>
  <c r="DB292" i="4"/>
  <c r="DD292" i="4"/>
  <c r="DE292" i="4"/>
  <c r="DF292" i="4"/>
  <c r="DH292" i="4"/>
  <c r="A293" i="4"/>
  <c r="B293" i="4"/>
  <c r="CY293" i="4"/>
  <c r="CZ293" i="4"/>
  <c r="DA293" i="4"/>
  <c r="DB293" i="4"/>
  <c r="DD293" i="4"/>
  <c r="DE293" i="4"/>
  <c r="DF293" i="4"/>
  <c r="DH293" i="4"/>
  <c r="A294" i="4"/>
  <c r="B294" i="4"/>
  <c r="CY294" i="4"/>
  <c r="CZ294" i="4"/>
  <c r="DA294" i="4"/>
  <c r="DB294" i="4"/>
  <c r="DD294" i="4"/>
  <c r="DE294" i="4"/>
  <c r="DF294" i="4"/>
  <c r="DH294" i="4"/>
  <c r="A295" i="4"/>
  <c r="B295" i="4"/>
  <c r="CY295" i="4"/>
  <c r="CZ295" i="4"/>
  <c r="DA295" i="4"/>
  <c r="DB295" i="4"/>
  <c r="DD295" i="4"/>
  <c r="DE295" i="4"/>
  <c r="DF295" i="4"/>
  <c r="DH295" i="4"/>
  <c r="A296" i="4"/>
  <c r="B296" i="4"/>
  <c r="CY296" i="4"/>
  <c r="CZ296" i="4"/>
  <c r="DA296" i="4"/>
  <c r="DB296" i="4"/>
  <c r="DD296" i="4"/>
  <c r="DE296" i="4"/>
  <c r="DF296" i="4"/>
  <c r="DH296" i="4"/>
  <c r="A297" i="4"/>
  <c r="B297" i="4"/>
  <c r="CY297" i="4"/>
  <c r="CZ297" i="4"/>
  <c r="DA297" i="4"/>
  <c r="DB297" i="4"/>
  <c r="DD297" i="4"/>
  <c r="DE297" i="4"/>
  <c r="DF297" i="4"/>
  <c r="DH297" i="4"/>
  <c r="A298" i="4"/>
  <c r="B298" i="4"/>
  <c r="CY298" i="4"/>
  <c r="CZ298" i="4"/>
  <c r="DA298" i="4"/>
  <c r="DB298" i="4"/>
  <c r="DD298" i="4"/>
  <c r="DE298" i="4"/>
  <c r="DF298" i="4"/>
  <c r="DH298" i="4"/>
  <c r="A299" i="4"/>
  <c r="B299" i="4"/>
  <c r="CY299" i="4"/>
  <c r="CZ299" i="4"/>
  <c r="DA299" i="4"/>
  <c r="DB299" i="4"/>
  <c r="DD299" i="4"/>
  <c r="DE299" i="4"/>
  <c r="DF299" i="4"/>
  <c r="DH299" i="4"/>
  <c r="A300" i="4"/>
  <c r="B300" i="4"/>
  <c r="CY300" i="4"/>
  <c r="CZ300" i="4"/>
  <c r="DA300" i="4"/>
  <c r="DB300" i="4"/>
  <c r="DD300" i="4"/>
  <c r="DE300" i="4"/>
  <c r="DF300" i="4"/>
  <c r="DH300" i="4"/>
  <c r="A301" i="4"/>
  <c r="B301" i="4"/>
  <c r="CY301" i="4"/>
  <c r="CZ301" i="4"/>
  <c r="DA301" i="4"/>
  <c r="DB301" i="4"/>
  <c r="DD301" i="4"/>
  <c r="DE301" i="4"/>
  <c r="DF301" i="4"/>
  <c r="DH301" i="4"/>
  <c r="A302" i="4"/>
  <c r="B302" i="4"/>
  <c r="CY302" i="4"/>
  <c r="CZ302" i="4"/>
  <c r="DA302" i="4"/>
  <c r="DB302" i="4"/>
  <c r="DD302" i="4"/>
  <c r="DE302" i="4"/>
  <c r="DF302" i="4"/>
  <c r="DH302" i="4"/>
  <c r="A303" i="4"/>
  <c r="B303" i="4"/>
  <c r="CY303" i="4"/>
  <c r="CZ303" i="4"/>
  <c r="DA303" i="4"/>
  <c r="DB303" i="4"/>
  <c r="DD303" i="4"/>
  <c r="DE303" i="4"/>
  <c r="DF303" i="4"/>
  <c r="DH303" i="4"/>
  <c r="A304" i="4"/>
  <c r="B304" i="4"/>
  <c r="CY304" i="4"/>
  <c r="CZ304" i="4"/>
  <c r="DA304" i="4"/>
  <c r="DB304" i="4"/>
  <c r="DD304" i="4"/>
  <c r="DE304" i="4"/>
  <c r="DF304" i="4"/>
  <c r="DH304" i="4"/>
  <c r="A305" i="4"/>
  <c r="B305" i="4"/>
  <c r="CY305" i="4"/>
  <c r="CZ305" i="4"/>
  <c r="DA305" i="4"/>
  <c r="DB305" i="4"/>
  <c r="DD305" i="4"/>
  <c r="DE305" i="4"/>
  <c r="DF305" i="4"/>
  <c r="DH305" i="4"/>
  <c r="A306" i="4"/>
  <c r="B306" i="4"/>
  <c r="CY306" i="4"/>
  <c r="CZ306" i="4"/>
  <c r="DA306" i="4"/>
  <c r="DB306" i="4"/>
  <c r="DD306" i="4"/>
  <c r="DE306" i="4"/>
  <c r="DF306" i="4"/>
  <c r="DH306" i="4"/>
  <c r="A307" i="4"/>
  <c r="B307" i="4"/>
  <c r="CY307" i="4"/>
  <c r="CZ307" i="4"/>
  <c r="DA307" i="4"/>
  <c r="DB307" i="4"/>
  <c r="DD307" i="4"/>
  <c r="DE307" i="4"/>
  <c r="DF307" i="4"/>
  <c r="DH307" i="4"/>
  <c r="A308" i="4"/>
  <c r="B308" i="4"/>
  <c r="CY308" i="4"/>
  <c r="CZ308" i="4"/>
  <c r="DA308" i="4"/>
  <c r="DB308" i="4"/>
  <c r="DD308" i="4"/>
  <c r="DE308" i="4"/>
  <c r="DF308" i="4"/>
  <c r="DH308" i="4"/>
  <c r="A309" i="4"/>
  <c r="B309" i="4"/>
  <c r="CY309" i="4"/>
  <c r="CZ309" i="4"/>
  <c r="DA309" i="4"/>
  <c r="DB309" i="4"/>
  <c r="DD309" i="4"/>
  <c r="DE309" i="4"/>
  <c r="DF309" i="4"/>
  <c r="DH309" i="4"/>
  <c r="A310" i="4"/>
  <c r="B310" i="4"/>
  <c r="CY310" i="4"/>
  <c r="CZ310" i="4"/>
  <c r="DA310" i="4"/>
  <c r="DB310" i="4"/>
  <c r="DD310" i="4"/>
  <c r="DE310" i="4"/>
  <c r="DF310" i="4"/>
  <c r="DH310" i="4"/>
  <c r="A311" i="4"/>
  <c r="B311" i="4"/>
  <c r="CY311" i="4"/>
  <c r="CZ311" i="4"/>
  <c r="DA311" i="4"/>
  <c r="DB311" i="4"/>
  <c r="DD311" i="4"/>
  <c r="DE311" i="4"/>
  <c r="DF311" i="4"/>
  <c r="DH311" i="4"/>
  <c r="A312" i="4"/>
  <c r="B312" i="4"/>
  <c r="CY312" i="4"/>
  <c r="CZ312" i="4"/>
  <c r="DA312" i="4"/>
  <c r="DB312" i="4"/>
  <c r="DD312" i="4"/>
  <c r="DE312" i="4"/>
  <c r="DF312" i="4"/>
  <c r="DH312" i="4"/>
  <c r="A313" i="4"/>
  <c r="B313" i="4"/>
  <c r="CY313" i="4"/>
  <c r="CZ313" i="4"/>
  <c r="DA313" i="4"/>
  <c r="DB313" i="4"/>
  <c r="DD313" i="4"/>
  <c r="DE313" i="4"/>
  <c r="DF313" i="4"/>
  <c r="DH313" i="4"/>
  <c r="A314" i="4"/>
  <c r="B314" i="4"/>
  <c r="CY314" i="4"/>
  <c r="CZ314" i="4"/>
  <c r="DA314" i="4"/>
  <c r="DB314" i="4"/>
  <c r="DD314" i="4"/>
  <c r="DE314" i="4"/>
  <c r="DF314" i="4"/>
  <c r="DH314" i="4"/>
  <c r="A315" i="4"/>
  <c r="B315" i="4"/>
  <c r="CY315" i="4"/>
  <c r="CZ315" i="4"/>
  <c r="DA315" i="4"/>
  <c r="DB315" i="4"/>
  <c r="DD315" i="4"/>
  <c r="DE315" i="4"/>
  <c r="DF315" i="4"/>
  <c r="DH315" i="4"/>
  <c r="A316" i="4"/>
  <c r="B316" i="4"/>
  <c r="CY316" i="4"/>
  <c r="CZ316" i="4"/>
  <c r="DA316" i="4"/>
  <c r="DB316" i="4"/>
  <c r="DD316" i="4"/>
  <c r="DE316" i="4"/>
  <c r="DF316" i="4"/>
  <c r="DH316" i="4"/>
  <c r="A317" i="4"/>
  <c r="B317" i="4"/>
  <c r="CY317" i="4"/>
  <c r="CZ317" i="4"/>
  <c r="DA317" i="4"/>
  <c r="DB317" i="4"/>
  <c r="DD317" i="4"/>
  <c r="DE317" i="4"/>
  <c r="DF317" i="4"/>
  <c r="DH317" i="4"/>
  <c r="A318" i="4"/>
  <c r="B318" i="4"/>
  <c r="CY318" i="4"/>
  <c r="CZ318" i="4"/>
  <c r="DA318" i="4"/>
  <c r="DB318" i="4"/>
  <c r="DD318" i="4"/>
  <c r="DE318" i="4"/>
  <c r="DF318" i="4"/>
  <c r="DH318" i="4"/>
  <c r="A319" i="4"/>
  <c r="B319" i="4"/>
  <c r="CY319" i="4"/>
  <c r="CZ319" i="4"/>
  <c r="DA319" i="4"/>
  <c r="DB319" i="4"/>
  <c r="DD319" i="4"/>
  <c r="DE319" i="4"/>
  <c r="DF319" i="4"/>
  <c r="DH319" i="4"/>
  <c r="A320" i="4"/>
  <c r="B320" i="4"/>
  <c r="CY320" i="4"/>
  <c r="CZ320" i="4"/>
  <c r="DA320" i="4"/>
  <c r="DB320" i="4"/>
  <c r="DD320" i="4"/>
  <c r="DE320" i="4"/>
  <c r="DF320" i="4"/>
  <c r="DH320" i="4"/>
  <c r="A321" i="4"/>
  <c r="B321" i="4"/>
  <c r="CY321" i="4"/>
  <c r="CZ321" i="4"/>
  <c r="DA321" i="4"/>
  <c r="DB321" i="4"/>
  <c r="DD321" i="4"/>
  <c r="DE321" i="4"/>
  <c r="DF321" i="4"/>
  <c r="DH321" i="4"/>
  <c r="A322" i="4"/>
  <c r="B322" i="4"/>
  <c r="CY322" i="4"/>
  <c r="CZ322" i="4"/>
  <c r="DA322" i="4"/>
  <c r="DB322" i="4"/>
  <c r="DD322" i="4"/>
  <c r="DE322" i="4"/>
  <c r="DF322" i="4"/>
  <c r="DH322" i="4"/>
  <c r="A323" i="4"/>
  <c r="B323" i="4"/>
  <c r="CY323" i="4"/>
  <c r="CZ323" i="4"/>
  <c r="DA323" i="4"/>
  <c r="DB323" i="4"/>
  <c r="DD323" i="4"/>
  <c r="DE323" i="4"/>
  <c r="DF323" i="4"/>
  <c r="DH323" i="4"/>
  <c r="A324" i="4"/>
  <c r="B324" i="4"/>
  <c r="CY324" i="4"/>
  <c r="CZ324" i="4"/>
  <c r="DA324" i="4"/>
  <c r="DB324" i="4"/>
  <c r="DD324" i="4"/>
  <c r="DE324" i="4"/>
  <c r="DF324" i="4"/>
  <c r="DH324" i="4"/>
  <c r="A325" i="4"/>
  <c r="B325" i="4"/>
  <c r="CY325" i="4"/>
  <c r="CZ325" i="4"/>
  <c r="DA325" i="4"/>
  <c r="DB325" i="4"/>
  <c r="DD325" i="4"/>
  <c r="DE325" i="4"/>
  <c r="DF325" i="4"/>
  <c r="DH325" i="4"/>
  <c r="A326" i="4"/>
  <c r="B326" i="4"/>
  <c r="CY326" i="4"/>
  <c r="CZ326" i="4"/>
  <c r="DA326" i="4"/>
  <c r="DB326" i="4"/>
  <c r="DD326" i="4"/>
  <c r="DE326" i="4"/>
  <c r="DF326" i="4"/>
  <c r="DH326" i="4"/>
  <c r="A327" i="4"/>
  <c r="B327" i="4"/>
  <c r="CY327" i="4"/>
  <c r="CZ327" i="4"/>
  <c r="DA327" i="4"/>
  <c r="DB327" i="4"/>
  <c r="DD327" i="4"/>
  <c r="DE327" i="4"/>
  <c r="DF327" i="4"/>
  <c r="DH327" i="4"/>
  <c r="A328" i="4"/>
  <c r="B328" i="4"/>
  <c r="CY328" i="4"/>
  <c r="CZ328" i="4"/>
  <c r="DA328" i="4"/>
  <c r="DB328" i="4"/>
  <c r="DD328" i="4"/>
  <c r="DE328" i="4"/>
  <c r="DF328" i="4"/>
  <c r="DH328" i="4"/>
  <c r="A329" i="4"/>
  <c r="B329" i="4"/>
  <c r="CY329" i="4"/>
  <c r="CZ329" i="4"/>
  <c r="DA329" i="4"/>
  <c r="DB329" i="4"/>
  <c r="DD329" i="4"/>
  <c r="DE329" i="4"/>
  <c r="DF329" i="4"/>
  <c r="DH329" i="4"/>
  <c r="A330" i="4"/>
  <c r="B330" i="4"/>
  <c r="CY330" i="4"/>
  <c r="CZ330" i="4"/>
  <c r="DA330" i="4"/>
  <c r="DB330" i="4"/>
  <c r="DD330" i="4"/>
  <c r="DE330" i="4"/>
  <c r="DF330" i="4"/>
  <c r="DH330" i="4"/>
  <c r="A331" i="4"/>
  <c r="B331" i="4"/>
  <c r="CY331" i="4"/>
  <c r="CZ331" i="4"/>
  <c r="DA331" i="4"/>
  <c r="DB331" i="4"/>
  <c r="DD331" i="4"/>
  <c r="DE331" i="4"/>
  <c r="DF331" i="4"/>
  <c r="DH331" i="4"/>
  <c r="A332" i="4"/>
  <c r="B332" i="4"/>
  <c r="CY332" i="4"/>
  <c r="CZ332" i="4"/>
  <c r="DA332" i="4"/>
  <c r="DB332" i="4"/>
  <c r="DD332" i="4"/>
  <c r="DE332" i="4"/>
  <c r="DF332" i="4"/>
  <c r="DH332" i="4"/>
  <c r="A333" i="4"/>
  <c r="B333" i="4"/>
  <c r="CY333" i="4"/>
  <c r="CZ333" i="4"/>
  <c r="DA333" i="4"/>
  <c r="DB333" i="4"/>
  <c r="DD333" i="4"/>
  <c r="DE333" i="4"/>
  <c r="DF333" i="4"/>
  <c r="DH333" i="4"/>
  <c r="A334" i="4"/>
  <c r="B334" i="4"/>
  <c r="CY334" i="4"/>
  <c r="CZ334" i="4"/>
  <c r="DA334" i="4"/>
  <c r="DB334" i="4"/>
  <c r="DD334" i="4"/>
  <c r="DE334" i="4"/>
  <c r="DF334" i="4"/>
  <c r="DH334" i="4"/>
  <c r="A335" i="4"/>
  <c r="B335" i="4"/>
  <c r="CY335" i="4"/>
  <c r="CZ335" i="4"/>
  <c r="DA335" i="4"/>
  <c r="DB335" i="4"/>
  <c r="DD335" i="4"/>
  <c r="DE335" i="4"/>
  <c r="DF335" i="4"/>
  <c r="DH335" i="4"/>
  <c r="A336" i="4"/>
  <c r="B336" i="4"/>
  <c r="CY336" i="4"/>
  <c r="CZ336" i="4"/>
  <c r="DA336" i="4"/>
  <c r="DB336" i="4"/>
  <c r="DD336" i="4"/>
  <c r="DE336" i="4"/>
  <c r="DF336" i="4"/>
  <c r="DH336" i="4"/>
  <c r="A337" i="4"/>
  <c r="B337" i="4"/>
  <c r="CY337" i="4"/>
  <c r="CZ337" i="4"/>
  <c r="DA337" i="4"/>
  <c r="DB337" i="4"/>
  <c r="DD337" i="4"/>
  <c r="DE337" i="4"/>
  <c r="DF337" i="4"/>
  <c r="DH337" i="4"/>
  <c r="A338" i="4"/>
  <c r="B338" i="4"/>
  <c r="CY338" i="4"/>
  <c r="CZ338" i="4"/>
  <c r="DA338" i="4"/>
  <c r="DB338" i="4"/>
  <c r="DD338" i="4"/>
  <c r="DE338" i="4"/>
  <c r="DF338" i="4"/>
  <c r="DH338" i="4"/>
  <c r="A339" i="4"/>
  <c r="B339" i="4"/>
  <c r="CY339" i="4"/>
  <c r="CZ339" i="4"/>
  <c r="DA339" i="4"/>
  <c r="DB339" i="4"/>
  <c r="DD339" i="4"/>
  <c r="DE339" i="4"/>
  <c r="DF339" i="4"/>
  <c r="DH339" i="4"/>
  <c r="A340" i="4"/>
  <c r="B340" i="4"/>
  <c r="CY340" i="4"/>
  <c r="CZ340" i="4"/>
  <c r="DA340" i="4"/>
  <c r="DB340" i="4"/>
  <c r="DD340" i="4"/>
  <c r="DE340" i="4"/>
  <c r="DF340" i="4"/>
  <c r="DH340" i="4"/>
  <c r="A341" i="4"/>
  <c r="B341" i="4"/>
  <c r="CY341" i="4"/>
  <c r="CZ341" i="4"/>
  <c r="DA341" i="4"/>
  <c r="DB341" i="4"/>
  <c r="DD341" i="4"/>
  <c r="DE341" i="4"/>
  <c r="DF341" i="4"/>
  <c r="DH341" i="4"/>
  <c r="A342" i="4"/>
  <c r="B342" i="4"/>
  <c r="CY342" i="4"/>
  <c r="CZ342" i="4"/>
  <c r="DA342" i="4"/>
  <c r="DB342" i="4"/>
  <c r="DD342" i="4"/>
  <c r="DE342" i="4"/>
  <c r="DF342" i="4"/>
  <c r="DH342" i="4"/>
  <c r="A343" i="4"/>
  <c r="B343" i="4"/>
  <c r="CY343" i="4"/>
  <c r="CZ343" i="4"/>
  <c r="DA343" i="4"/>
  <c r="DB343" i="4"/>
  <c r="DD343" i="4"/>
  <c r="DE343" i="4"/>
  <c r="DF343" i="4"/>
  <c r="DH343" i="4"/>
  <c r="A344" i="4"/>
  <c r="B344" i="4"/>
  <c r="CY344" i="4"/>
  <c r="CZ344" i="4"/>
  <c r="DA344" i="4"/>
  <c r="DB344" i="4"/>
  <c r="DD344" i="4"/>
  <c r="DE344" i="4"/>
  <c r="DF344" i="4"/>
  <c r="DH344" i="4"/>
  <c r="A345" i="4"/>
  <c r="B345" i="4"/>
  <c r="CY345" i="4"/>
  <c r="CZ345" i="4"/>
  <c r="DA345" i="4"/>
  <c r="DB345" i="4"/>
  <c r="DD345" i="4"/>
  <c r="DE345" i="4"/>
  <c r="DF345" i="4"/>
  <c r="DH345" i="4"/>
  <c r="A346" i="4"/>
  <c r="B346" i="4"/>
  <c r="CY346" i="4"/>
  <c r="CZ346" i="4"/>
  <c r="DA346" i="4"/>
  <c r="DB346" i="4"/>
  <c r="DD346" i="4"/>
  <c r="DE346" i="4"/>
  <c r="DF346" i="4"/>
  <c r="DH346" i="4"/>
  <c r="A347" i="4"/>
  <c r="B347" i="4"/>
  <c r="CY347" i="4"/>
  <c r="CZ347" i="4"/>
  <c r="DA347" i="4"/>
  <c r="DB347" i="4"/>
  <c r="DD347" i="4"/>
  <c r="DE347" i="4"/>
  <c r="DF347" i="4"/>
  <c r="DH347" i="4"/>
  <c r="A348" i="4"/>
  <c r="B348" i="4"/>
  <c r="CY348" i="4"/>
  <c r="CZ348" i="4"/>
  <c r="DA348" i="4"/>
  <c r="DB348" i="4"/>
  <c r="DD348" i="4"/>
  <c r="DE348" i="4"/>
  <c r="DF348" i="4"/>
  <c r="DH348" i="4"/>
  <c r="A349" i="4"/>
  <c r="B349" i="4"/>
  <c r="CY349" i="4"/>
  <c r="CZ349" i="4"/>
  <c r="DA349" i="4"/>
  <c r="DB349" i="4"/>
  <c r="DD349" i="4"/>
  <c r="DE349" i="4"/>
  <c r="DF349" i="4"/>
  <c r="DH349" i="4"/>
  <c r="A350" i="4"/>
  <c r="B350" i="4"/>
  <c r="CY350" i="4"/>
  <c r="CZ350" i="4"/>
  <c r="DA350" i="4"/>
  <c r="DB350" i="4"/>
  <c r="DD350" i="4"/>
  <c r="DE350" i="4"/>
  <c r="DF350" i="4"/>
  <c r="DH350" i="4"/>
  <c r="A351" i="4"/>
  <c r="B351" i="4"/>
  <c r="CY351" i="4"/>
  <c r="CZ351" i="4"/>
  <c r="DA351" i="4"/>
  <c r="DB351" i="4"/>
  <c r="DD351" i="4"/>
  <c r="DE351" i="4"/>
  <c r="DF351" i="4"/>
  <c r="DH351" i="4"/>
  <c r="A352" i="4"/>
  <c r="B352" i="4"/>
  <c r="CY352" i="4"/>
  <c r="CZ352" i="4"/>
  <c r="DA352" i="4"/>
  <c r="DB352" i="4"/>
  <c r="DD352" i="4"/>
  <c r="DE352" i="4"/>
  <c r="DF352" i="4"/>
  <c r="DH352" i="4"/>
  <c r="A353" i="4"/>
  <c r="B353" i="4"/>
  <c r="CY353" i="4"/>
  <c r="CZ353" i="4"/>
  <c r="DA353" i="4"/>
  <c r="DB353" i="4"/>
  <c r="DD353" i="4"/>
  <c r="DE353" i="4"/>
  <c r="DF353" i="4"/>
  <c r="DH353" i="4"/>
  <c r="A354" i="4"/>
  <c r="B354" i="4"/>
  <c r="CY354" i="4"/>
  <c r="CZ354" i="4"/>
  <c r="DA354" i="4"/>
  <c r="DB354" i="4"/>
  <c r="DD354" i="4"/>
  <c r="DE354" i="4"/>
  <c r="DF354" i="4"/>
  <c r="DH354" i="4"/>
  <c r="A355" i="4"/>
  <c r="B355" i="4"/>
  <c r="CY355" i="4"/>
  <c r="CZ355" i="4"/>
  <c r="DA355" i="4"/>
  <c r="DB355" i="4"/>
  <c r="DD355" i="4"/>
  <c r="DE355" i="4"/>
  <c r="DF355" i="4"/>
  <c r="DH355" i="4"/>
  <c r="A356" i="4"/>
  <c r="B356" i="4"/>
  <c r="CY356" i="4"/>
  <c r="CZ356" i="4"/>
  <c r="DA356" i="4"/>
  <c r="DB356" i="4"/>
  <c r="DD356" i="4"/>
  <c r="DE356" i="4"/>
  <c r="DF356" i="4"/>
  <c r="DH356" i="4"/>
  <c r="A357" i="4"/>
  <c r="B357" i="4"/>
  <c r="CY357" i="4"/>
  <c r="CZ357" i="4"/>
  <c r="DA357" i="4"/>
  <c r="DB357" i="4"/>
  <c r="DD357" i="4"/>
  <c r="DE357" i="4"/>
  <c r="DF357" i="4"/>
  <c r="DH357" i="4"/>
  <c r="A358" i="4"/>
  <c r="B358" i="4"/>
  <c r="CY358" i="4"/>
  <c r="CZ358" i="4"/>
  <c r="DA358" i="4"/>
  <c r="DB358" i="4"/>
  <c r="DD358" i="4"/>
  <c r="DE358" i="4"/>
  <c r="DF358" i="4"/>
  <c r="DH358" i="4"/>
  <c r="A359" i="4"/>
  <c r="B359" i="4"/>
  <c r="CY359" i="4"/>
  <c r="CZ359" i="4"/>
  <c r="DA359" i="4"/>
  <c r="DB359" i="4"/>
  <c r="DD359" i="4"/>
  <c r="DE359" i="4"/>
  <c r="DF359" i="4"/>
  <c r="DH359" i="4"/>
  <c r="A360" i="4"/>
  <c r="B360" i="4"/>
  <c r="CY360" i="4"/>
  <c r="CZ360" i="4"/>
  <c r="DA360" i="4"/>
  <c r="DB360" i="4"/>
  <c r="DD360" i="4"/>
  <c r="DE360" i="4"/>
  <c r="DF360" i="4"/>
  <c r="DH360" i="4"/>
  <c r="A361" i="4"/>
  <c r="B361" i="4"/>
  <c r="CY361" i="4"/>
  <c r="CZ361" i="4"/>
  <c r="DA361" i="4"/>
  <c r="DB361" i="4"/>
  <c r="DD361" i="4"/>
  <c r="DE361" i="4"/>
  <c r="DF361" i="4"/>
  <c r="DH361" i="4"/>
  <c r="A362" i="4"/>
  <c r="B362" i="4"/>
  <c r="CY362" i="4"/>
  <c r="CZ362" i="4"/>
  <c r="DA362" i="4"/>
  <c r="DB362" i="4"/>
  <c r="DD362" i="4"/>
  <c r="DE362" i="4"/>
  <c r="DF362" i="4"/>
  <c r="DH362" i="4"/>
  <c r="A363" i="4"/>
  <c r="B363" i="4"/>
  <c r="CY363" i="4"/>
  <c r="CZ363" i="4"/>
  <c r="DA363" i="4"/>
  <c r="DB363" i="4"/>
  <c r="DD363" i="4"/>
  <c r="DE363" i="4"/>
  <c r="DF363" i="4"/>
  <c r="DH363" i="4"/>
  <c r="A364" i="4"/>
  <c r="B364" i="4"/>
  <c r="CY364" i="4"/>
  <c r="CZ364" i="4"/>
  <c r="DA364" i="4"/>
  <c r="DB364" i="4"/>
  <c r="DD364" i="4"/>
  <c r="DE364" i="4"/>
  <c r="DF364" i="4"/>
  <c r="DH364" i="4"/>
  <c r="A365" i="4"/>
  <c r="B365" i="4"/>
  <c r="CY365" i="4"/>
  <c r="CZ365" i="4"/>
  <c r="DA365" i="4"/>
  <c r="DB365" i="4"/>
  <c r="DD365" i="4"/>
  <c r="DE365" i="4"/>
  <c r="DF365" i="4"/>
  <c r="DH365" i="4"/>
  <c r="A366" i="4"/>
  <c r="B366" i="4"/>
  <c r="CY366" i="4"/>
  <c r="CZ366" i="4"/>
  <c r="DA366" i="4"/>
  <c r="DB366" i="4"/>
  <c r="DD366" i="4"/>
  <c r="DE366" i="4"/>
  <c r="DF366" i="4"/>
  <c r="DH366" i="4"/>
  <c r="A367" i="4"/>
  <c r="B367" i="4"/>
  <c r="CY367" i="4"/>
  <c r="CZ367" i="4"/>
  <c r="DA367" i="4"/>
  <c r="DB367" i="4"/>
  <c r="DD367" i="4"/>
  <c r="DE367" i="4"/>
  <c r="DF367" i="4"/>
  <c r="DH367" i="4"/>
  <c r="A368" i="4"/>
  <c r="B368" i="4"/>
  <c r="CY368" i="4"/>
  <c r="CZ368" i="4"/>
  <c r="DA368" i="4"/>
  <c r="DB368" i="4"/>
  <c r="DD368" i="4"/>
  <c r="DE368" i="4"/>
  <c r="DF368" i="4"/>
  <c r="DH368" i="4"/>
  <c r="A369" i="4"/>
  <c r="B369" i="4"/>
  <c r="CY369" i="4"/>
  <c r="CZ369" i="4"/>
  <c r="DA369" i="4"/>
  <c r="DB369" i="4"/>
  <c r="DD369" i="4"/>
  <c r="DE369" i="4"/>
  <c r="DF369" i="4"/>
  <c r="DH369" i="4"/>
  <c r="A370" i="4"/>
  <c r="B370" i="4"/>
  <c r="CY370" i="4"/>
  <c r="CZ370" i="4"/>
  <c r="DA370" i="4"/>
  <c r="DB370" i="4"/>
  <c r="DD370" i="4"/>
  <c r="DE370" i="4"/>
  <c r="DF370" i="4"/>
  <c r="DH370" i="4"/>
  <c r="A371" i="4"/>
  <c r="B371" i="4"/>
  <c r="CY371" i="4"/>
  <c r="CZ371" i="4"/>
  <c r="DA371" i="4"/>
  <c r="DB371" i="4"/>
  <c r="DD371" i="4"/>
  <c r="DE371" i="4"/>
  <c r="DF371" i="4"/>
  <c r="DH371" i="4"/>
  <c r="A372" i="4"/>
  <c r="B372" i="4"/>
  <c r="CY372" i="4"/>
  <c r="CZ372" i="4"/>
  <c r="DA372" i="4"/>
  <c r="DB372" i="4"/>
  <c r="DD372" i="4"/>
  <c r="DE372" i="4"/>
  <c r="DF372" i="4"/>
  <c r="DH372" i="4"/>
  <c r="CY373" i="4"/>
  <c r="CZ373" i="4"/>
  <c r="DA373" i="4"/>
  <c r="DB373" i="4"/>
  <c r="DD373" i="4"/>
  <c r="DE373" i="4"/>
  <c r="DF373" i="4"/>
  <c r="DH373" i="4"/>
  <c r="CY374" i="4"/>
  <c r="CZ374" i="4"/>
  <c r="DA374" i="4"/>
  <c r="DB374" i="4"/>
  <c r="DD374" i="4"/>
  <c r="DE374" i="4"/>
  <c r="DF374" i="4"/>
  <c r="DH374" i="4"/>
  <c r="CY375" i="4"/>
  <c r="CZ375" i="4"/>
  <c r="DA375" i="4"/>
  <c r="DB375" i="4"/>
  <c r="DD375" i="4"/>
  <c r="DE375" i="4"/>
  <c r="DF375" i="4"/>
  <c r="DH375" i="4"/>
  <c r="CY376" i="4"/>
  <c r="CZ376" i="4"/>
  <c r="DA376" i="4"/>
  <c r="DB376" i="4"/>
  <c r="DD376" i="4"/>
  <c r="DE376" i="4"/>
  <c r="DF376" i="4"/>
  <c r="DH376" i="4"/>
  <c r="CY377" i="4"/>
  <c r="CZ377" i="4"/>
  <c r="DA377" i="4"/>
  <c r="DB377" i="4"/>
  <c r="DD377" i="4"/>
  <c r="DE377" i="4"/>
  <c r="DF377" i="4"/>
  <c r="DH377" i="4"/>
  <c r="CY378" i="4"/>
  <c r="CZ378" i="4"/>
  <c r="DA378" i="4"/>
  <c r="DB378" i="4"/>
  <c r="DD378" i="4"/>
  <c r="DE378" i="4"/>
  <c r="DF378" i="4"/>
  <c r="DH378" i="4"/>
  <c r="CY379" i="4"/>
  <c r="CZ379" i="4"/>
  <c r="DA379" i="4"/>
  <c r="DB379" i="4"/>
  <c r="DD379" i="4"/>
  <c r="DE379" i="4"/>
  <c r="DF379" i="4"/>
  <c r="DH379" i="4"/>
  <c r="CY380" i="4"/>
  <c r="CZ380" i="4"/>
  <c r="DA380" i="4"/>
  <c r="DB380" i="4"/>
  <c r="DD380" i="4"/>
  <c r="DE380" i="4"/>
  <c r="DF380" i="4"/>
  <c r="DH380" i="4"/>
  <c r="CY381" i="4"/>
  <c r="CZ381" i="4"/>
  <c r="DA381" i="4"/>
  <c r="DB381" i="4"/>
  <c r="DD381" i="4"/>
  <c r="DE381" i="4"/>
  <c r="DF381" i="4"/>
  <c r="DH381" i="4"/>
  <c r="CY382" i="4"/>
  <c r="CZ382" i="4"/>
  <c r="DA382" i="4"/>
  <c r="DB382" i="4"/>
  <c r="DD382" i="4"/>
  <c r="DE382" i="4"/>
  <c r="DF382" i="4"/>
  <c r="DH382" i="4"/>
  <c r="CY383" i="4"/>
  <c r="CZ383" i="4"/>
  <c r="DA383" i="4"/>
  <c r="DB383" i="4"/>
  <c r="DD383" i="4"/>
  <c r="DE383" i="4"/>
  <c r="DF383" i="4"/>
  <c r="DH383" i="4"/>
  <c r="CY384" i="4"/>
  <c r="CZ384" i="4"/>
  <c r="DA384" i="4"/>
  <c r="DB384" i="4"/>
  <c r="DD384" i="4"/>
  <c r="DE384" i="4"/>
  <c r="DF384" i="4"/>
  <c r="DH384" i="4"/>
  <c r="CY385" i="4"/>
  <c r="CZ385" i="4"/>
  <c r="DA385" i="4"/>
  <c r="DB385" i="4"/>
  <c r="DD385" i="4"/>
  <c r="DE385" i="4"/>
  <c r="DF385" i="4"/>
  <c r="DH385" i="4"/>
  <c r="CY386" i="4"/>
  <c r="CZ386" i="4"/>
  <c r="DA386" i="4"/>
  <c r="DB386" i="4"/>
  <c r="DD386" i="4"/>
  <c r="DE386" i="4"/>
  <c r="DF386" i="4"/>
  <c r="DH386" i="4"/>
  <c r="CY387" i="4"/>
  <c r="CZ387" i="4"/>
  <c r="DA387" i="4"/>
  <c r="DB387" i="4"/>
  <c r="DD387" i="4"/>
  <c r="DE387" i="4"/>
  <c r="DF387" i="4"/>
  <c r="DH387" i="4"/>
  <c r="CY388" i="4"/>
  <c r="CZ388" i="4"/>
  <c r="DA388" i="4"/>
  <c r="DB388" i="4"/>
  <c r="DD388" i="4"/>
  <c r="DE388" i="4"/>
  <c r="DF388" i="4"/>
  <c r="DH388" i="4"/>
  <c r="CY389" i="4"/>
  <c r="CZ389" i="4"/>
  <c r="DA389" i="4"/>
  <c r="DB389" i="4"/>
  <c r="DD389" i="4"/>
  <c r="DE389" i="4"/>
  <c r="DF389" i="4"/>
  <c r="DH389" i="4"/>
  <c r="CY390" i="4"/>
  <c r="CZ390" i="4"/>
  <c r="DA390" i="4"/>
  <c r="DB390" i="4"/>
  <c r="DD390" i="4"/>
  <c r="DE390" i="4"/>
  <c r="DF390" i="4"/>
  <c r="DH390" i="4"/>
  <c r="CY391" i="4"/>
  <c r="CZ391" i="4"/>
  <c r="DA391" i="4"/>
  <c r="DB391" i="4"/>
  <c r="DD391" i="4"/>
  <c r="DE391" i="4"/>
  <c r="DF391" i="4"/>
  <c r="DH391" i="4"/>
  <c r="CY392" i="4"/>
  <c r="CZ392" i="4"/>
  <c r="DA392" i="4"/>
  <c r="DB392" i="4"/>
  <c r="DD392" i="4"/>
  <c r="DE392" i="4"/>
  <c r="DF392" i="4"/>
  <c r="DH392" i="4"/>
  <c r="CY393" i="4"/>
  <c r="CZ393" i="4"/>
  <c r="DA393" i="4"/>
  <c r="DB393" i="4"/>
  <c r="DD393" i="4"/>
  <c r="DE393" i="4"/>
  <c r="DF393" i="4"/>
  <c r="DH393" i="4"/>
  <c r="CY394" i="4"/>
  <c r="CZ394" i="4"/>
  <c r="DA394" i="4"/>
  <c r="DB394" i="4"/>
  <c r="DD394" i="4"/>
  <c r="DE394" i="4"/>
  <c r="DF394" i="4"/>
  <c r="DH394" i="4"/>
  <c r="CY395" i="4"/>
  <c r="CZ395" i="4"/>
  <c r="DA395" i="4"/>
  <c r="DB395" i="4"/>
  <c r="DD395" i="4"/>
  <c r="DE395" i="4"/>
  <c r="DF395" i="4"/>
  <c r="DH395" i="4"/>
  <c r="CY396" i="4"/>
  <c r="CZ396" i="4"/>
  <c r="DA396" i="4"/>
  <c r="DB396" i="4"/>
  <c r="DD396" i="4"/>
  <c r="DE396" i="4"/>
  <c r="DF396" i="4"/>
  <c r="DH396" i="4"/>
  <c r="CY397" i="4"/>
  <c r="CZ397" i="4"/>
  <c r="DA397" i="4"/>
  <c r="DB397" i="4"/>
  <c r="DD397" i="4"/>
  <c r="DE397" i="4"/>
  <c r="DF397" i="4"/>
  <c r="DH397" i="4"/>
  <c r="CY398" i="4"/>
  <c r="CZ398" i="4"/>
  <c r="DA398" i="4"/>
  <c r="DB398" i="4"/>
  <c r="DD398" i="4"/>
  <c r="DE398" i="4"/>
  <c r="DF398" i="4"/>
  <c r="DH398" i="4"/>
  <c r="CY399" i="4"/>
  <c r="CZ399" i="4"/>
  <c r="DA399" i="4"/>
  <c r="DB399" i="4"/>
  <c r="DD399" i="4"/>
  <c r="DE399" i="4"/>
  <c r="DF399" i="4"/>
  <c r="DH399" i="4"/>
  <c r="CY400" i="4"/>
  <c r="CZ400" i="4"/>
  <c r="DA400" i="4"/>
  <c r="DB400" i="4"/>
  <c r="DD400" i="4"/>
  <c r="DE400" i="4"/>
  <c r="DF400" i="4"/>
  <c r="DH400" i="4"/>
  <c r="CY401" i="4"/>
  <c r="CZ401" i="4"/>
  <c r="DA401" i="4"/>
  <c r="DB401" i="4"/>
  <c r="DD401" i="4"/>
  <c r="DE401" i="4"/>
  <c r="DF401" i="4"/>
  <c r="DH401" i="4"/>
  <c r="CY402" i="4"/>
  <c r="CZ402" i="4"/>
  <c r="DA402" i="4"/>
  <c r="DB402" i="4"/>
  <c r="DD402" i="4"/>
  <c r="DE402" i="4"/>
  <c r="DF402" i="4"/>
  <c r="DH402" i="4"/>
  <c r="G2" i="6"/>
  <c r="G3" i="6"/>
  <c r="B7" i="6"/>
  <c r="C7" i="6"/>
  <c r="D7" i="6"/>
  <c r="E7" i="6"/>
  <c r="F7" i="6"/>
  <c r="G7" i="6"/>
  <c r="H7" i="6"/>
  <c r="I7" i="6"/>
  <c r="J7" i="6"/>
  <c r="K7" i="6"/>
  <c r="L7" i="6"/>
  <c r="M7" i="6"/>
  <c r="B8" i="6"/>
  <c r="C8" i="6"/>
  <c r="D8" i="6"/>
  <c r="E8" i="6"/>
  <c r="F8" i="6"/>
  <c r="G8" i="6"/>
  <c r="H8" i="6"/>
  <c r="I8" i="6"/>
  <c r="J8" i="6"/>
  <c r="K8" i="6"/>
  <c r="L8" i="6"/>
  <c r="M8" i="6"/>
  <c r="B9" i="6"/>
  <c r="C9" i="6"/>
  <c r="D9" i="6"/>
  <c r="E9" i="6"/>
  <c r="F9" i="6"/>
  <c r="G9" i="6"/>
  <c r="H9" i="6"/>
  <c r="I9" i="6"/>
  <c r="J9" i="6"/>
  <c r="K9" i="6"/>
  <c r="L9" i="6"/>
  <c r="M9" i="6"/>
  <c r="B10" i="6"/>
  <c r="C10" i="6"/>
  <c r="D10" i="6"/>
  <c r="E10" i="6"/>
  <c r="F10" i="6"/>
  <c r="G10" i="6"/>
  <c r="H10" i="6"/>
  <c r="I10" i="6"/>
  <c r="J10" i="6"/>
  <c r="K10" i="6"/>
  <c r="L10" i="6"/>
  <c r="M10" i="6"/>
  <c r="B11" i="6"/>
  <c r="C11" i="6"/>
  <c r="D11" i="6"/>
  <c r="E11" i="6"/>
  <c r="F11" i="6"/>
  <c r="G11" i="6"/>
  <c r="H11" i="6"/>
  <c r="I11" i="6"/>
  <c r="J11" i="6"/>
  <c r="K11" i="6"/>
  <c r="L11" i="6"/>
  <c r="M11" i="6"/>
  <c r="B12" i="6"/>
  <c r="C12" i="6"/>
  <c r="D12" i="6"/>
  <c r="E12" i="6"/>
  <c r="F12" i="6"/>
  <c r="G12" i="6"/>
  <c r="H12" i="6"/>
  <c r="I12" i="6"/>
  <c r="J12" i="6"/>
  <c r="K12" i="6"/>
  <c r="L12" i="6"/>
  <c r="M12" i="6"/>
  <c r="B13" i="6"/>
  <c r="C13" i="6"/>
  <c r="D13" i="6"/>
  <c r="E13" i="6"/>
  <c r="F13" i="6"/>
  <c r="G13" i="6"/>
  <c r="H13" i="6"/>
  <c r="I13" i="6"/>
  <c r="J13" i="6"/>
  <c r="K13" i="6"/>
  <c r="L13" i="6"/>
  <c r="M13" i="6"/>
  <c r="B14" i="6"/>
  <c r="C14" i="6"/>
  <c r="D14" i="6"/>
  <c r="E14" i="6"/>
  <c r="F14" i="6"/>
  <c r="G14" i="6"/>
  <c r="H14" i="6"/>
  <c r="I14" i="6"/>
  <c r="J14" i="6"/>
  <c r="K14" i="6"/>
  <c r="L14" i="6"/>
  <c r="M14" i="6"/>
  <c r="B15" i="6"/>
  <c r="C15" i="6"/>
  <c r="D15" i="6"/>
  <c r="E15" i="6"/>
  <c r="F15" i="6"/>
  <c r="G15" i="6"/>
  <c r="H15" i="6"/>
  <c r="I15" i="6"/>
  <c r="J15" i="6"/>
  <c r="K15" i="6"/>
  <c r="L15" i="6"/>
  <c r="M15" i="6"/>
  <c r="B16" i="6"/>
  <c r="C16" i="6"/>
  <c r="D16" i="6"/>
  <c r="E16" i="6"/>
  <c r="F16" i="6"/>
  <c r="G16" i="6"/>
  <c r="H16" i="6"/>
  <c r="I16" i="6"/>
  <c r="J16" i="6"/>
  <c r="K16" i="6"/>
  <c r="L16" i="6"/>
  <c r="M16" i="6"/>
  <c r="B17" i="6"/>
  <c r="C17" i="6"/>
  <c r="D17" i="6"/>
  <c r="E17" i="6"/>
  <c r="F17" i="6"/>
  <c r="G17" i="6"/>
  <c r="H17" i="6"/>
  <c r="I17" i="6"/>
  <c r="J17" i="6"/>
  <c r="K17" i="6"/>
  <c r="L17" i="6"/>
  <c r="M17" i="6"/>
  <c r="B18" i="6"/>
  <c r="C18" i="6"/>
  <c r="D18" i="6"/>
  <c r="E18" i="6"/>
  <c r="F18" i="6"/>
  <c r="G18" i="6"/>
  <c r="H18" i="6"/>
  <c r="I18" i="6"/>
  <c r="J18" i="6"/>
  <c r="K18" i="6"/>
  <c r="L18" i="6"/>
  <c r="M18" i="6"/>
  <c r="B19" i="6"/>
  <c r="C19" i="6"/>
  <c r="D19" i="6"/>
  <c r="E19" i="6"/>
  <c r="F19" i="6"/>
  <c r="G19" i="6"/>
  <c r="H19" i="6"/>
  <c r="I19" i="6"/>
  <c r="J19" i="6"/>
  <c r="K19" i="6"/>
  <c r="L19" i="6"/>
  <c r="M19" i="6"/>
  <c r="B20" i="6"/>
  <c r="C20" i="6"/>
  <c r="D20" i="6"/>
  <c r="E20" i="6"/>
  <c r="F20" i="6"/>
  <c r="G20" i="6"/>
  <c r="H20" i="6"/>
  <c r="I20" i="6"/>
  <c r="J20" i="6"/>
  <c r="K20" i="6"/>
  <c r="L20" i="6"/>
  <c r="M20" i="6"/>
  <c r="B21" i="6"/>
  <c r="C21" i="6"/>
  <c r="D21" i="6"/>
  <c r="E21" i="6"/>
  <c r="F21" i="6"/>
  <c r="G21" i="6"/>
  <c r="H21" i="6"/>
  <c r="I21" i="6"/>
  <c r="J21" i="6"/>
  <c r="K21" i="6"/>
  <c r="L21" i="6"/>
  <c r="M21" i="6"/>
  <c r="B22" i="6"/>
  <c r="C22" i="6"/>
  <c r="D22" i="6"/>
  <c r="E22" i="6"/>
  <c r="F22" i="6"/>
  <c r="G22" i="6"/>
  <c r="H22" i="6"/>
  <c r="I22" i="6"/>
  <c r="J22" i="6"/>
  <c r="K22" i="6"/>
  <c r="L22" i="6"/>
  <c r="M22" i="6"/>
  <c r="B23" i="6"/>
  <c r="C23" i="6"/>
  <c r="D23" i="6"/>
  <c r="E23" i="6"/>
  <c r="F23" i="6"/>
  <c r="G23" i="6"/>
  <c r="H23" i="6"/>
  <c r="I23" i="6"/>
  <c r="J23" i="6"/>
  <c r="K23" i="6"/>
  <c r="L23" i="6"/>
  <c r="M23" i="6"/>
  <c r="B24" i="6"/>
  <c r="C24" i="6"/>
  <c r="D24" i="6"/>
  <c r="E24" i="6"/>
  <c r="F24" i="6"/>
  <c r="G24" i="6"/>
  <c r="H24" i="6"/>
  <c r="I24" i="6"/>
  <c r="J24" i="6"/>
  <c r="K24" i="6"/>
  <c r="L24" i="6"/>
  <c r="M24" i="6"/>
  <c r="B25" i="6"/>
  <c r="C25" i="6"/>
  <c r="D25" i="6"/>
  <c r="E25" i="6"/>
  <c r="F25" i="6"/>
  <c r="G25" i="6"/>
  <c r="H25" i="6"/>
  <c r="I25" i="6"/>
  <c r="J25" i="6"/>
  <c r="K25" i="6"/>
  <c r="L25" i="6"/>
  <c r="M25" i="6"/>
  <c r="B26" i="6"/>
  <c r="C26" i="6"/>
  <c r="D26" i="6"/>
  <c r="E26" i="6"/>
  <c r="F26" i="6"/>
  <c r="G26" i="6"/>
  <c r="H26" i="6"/>
  <c r="I26" i="6"/>
  <c r="J26" i="6"/>
  <c r="K26" i="6"/>
  <c r="L26" i="6"/>
  <c r="M26" i="6"/>
  <c r="B27" i="6"/>
  <c r="C27" i="6"/>
  <c r="D27" i="6"/>
  <c r="E27" i="6"/>
  <c r="F27" i="6"/>
  <c r="G27" i="6"/>
  <c r="H27" i="6"/>
  <c r="I27" i="6"/>
  <c r="J27" i="6"/>
  <c r="K27" i="6"/>
  <c r="L27" i="6"/>
  <c r="M27" i="6"/>
  <c r="B28" i="6"/>
  <c r="C28" i="6"/>
  <c r="D28" i="6"/>
  <c r="E28" i="6"/>
  <c r="F28" i="6"/>
  <c r="G28" i="6"/>
  <c r="H28" i="6"/>
  <c r="I28" i="6"/>
  <c r="J28" i="6"/>
  <c r="K28" i="6"/>
  <c r="L28" i="6"/>
  <c r="M28" i="6"/>
  <c r="B29" i="6"/>
  <c r="C29" i="6"/>
  <c r="D29" i="6"/>
  <c r="E29" i="6"/>
  <c r="F29" i="6"/>
  <c r="G29" i="6"/>
  <c r="H29" i="6"/>
  <c r="I29" i="6"/>
  <c r="J29" i="6"/>
  <c r="K29" i="6"/>
  <c r="L29" i="6"/>
  <c r="M29" i="6"/>
  <c r="B30" i="6"/>
  <c r="C30" i="6"/>
  <c r="D30" i="6"/>
  <c r="E30" i="6"/>
  <c r="F30" i="6"/>
  <c r="G30" i="6"/>
  <c r="H30" i="6"/>
  <c r="I30" i="6"/>
  <c r="J30" i="6"/>
  <c r="K30" i="6"/>
  <c r="L30" i="6"/>
  <c r="M30" i="6"/>
  <c r="B32" i="6"/>
  <c r="C32" i="6"/>
  <c r="D32" i="6"/>
  <c r="E32" i="6"/>
  <c r="F32" i="6"/>
  <c r="G32" i="6"/>
  <c r="H32" i="6"/>
  <c r="I32" i="6"/>
  <c r="J32" i="6"/>
  <c r="K32" i="6"/>
  <c r="L32" i="6"/>
  <c r="M32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A38" i="6"/>
  <c r="B38" i="6"/>
  <c r="C38" i="6"/>
  <c r="D38" i="6"/>
  <c r="E38" i="6"/>
  <c r="F38" i="6"/>
  <c r="G38" i="6"/>
  <c r="H38" i="6"/>
  <c r="I38" i="6"/>
  <c r="J38" i="6"/>
  <c r="L38" i="6"/>
  <c r="M38" i="6"/>
  <c r="N38" i="6"/>
  <c r="O38" i="6"/>
  <c r="P38" i="6"/>
  <c r="A39" i="6"/>
  <c r="B39" i="6"/>
  <c r="C39" i="6"/>
  <c r="D39" i="6"/>
  <c r="E39" i="6"/>
  <c r="F39" i="6"/>
  <c r="G39" i="6"/>
  <c r="H39" i="6"/>
  <c r="I39" i="6"/>
  <c r="J39" i="6"/>
  <c r="L39" i="6"/>
  <c r="M39" i="6"/>
  <c r="N39" i="6"/>
  <c r="O39" i="6"/>
  <c r="P39" i="6"/>
  <c r="A40" i="6"/>
  <c r="B40" i="6"/>
  <c r="C40" i="6"/>
  <c r="D40" i="6"/>
  <c r="E40" i="6"/>
  <c r="F40" i="6"/>
  <c r="G40" i="6"/>
  <c r="H40" i="6"/>
  <c r="I40" i="6"/>
  <c r="J40" i="6"/>
  <c r="L40" i="6"/>
  <c r="M40" i="6"/>
  <c r="N40" i="6"/>
  <c r="O40" i="6"/>
  <c r="P40" i="6"/>
  <c r="A41" i="6"/>
  <c r="B41" i="6"/>
  <c r="C41" i="6"/>
  <c r="D41" i="6"/>
  <c r="E41" i="6"/>
  <c r="F41" i="6"/>
  <c r="G41" i="6"/>
  <c r="H41" i="6"/>
  <c r="I41" i="6"/>
  <c r="J41" i="6"/>
  <c r="L41" i="6"/>
  <c r="M41" i="6"/>
  <c r="N41" i="6"/>
  <c r="O41" i="6"/>
  <c r="P41" i="6"/>
  <c r="A42" i="6"/>
  <c r="B42" i="6"/>
  <c r="C42" i="6"/>
  <c r="D42" i="6"/>
  <c r="E42" i="6"/>
  <c r="F42" i="6"/>
  <c r="G42" i="6"/>
  <c r="H42" i="6"/>
  <c r="I42" i="6"/>
  <c r="J42" i="6"/>
  <c r="L42" i="6"/>
  <c r="M42" i="6"/>
  <c r="N42" i="6"/>
  <c r="O42" i="6"/>
  <c r="P42" i="6"/>
  <c r="A43" i="6"/>
  <c r="B43" i="6"/>
  <c r="C43" i="6"/>
  <c r="D43" i="6"/>
  <c r="E43" i="6"/>
  <c r="F43" i="6"/>
  <c r="G43" i="6"/>
  <c r="H43" i="6"/>
  <c r="I43" i="6"/>
  <c r="J43" i="6"/>
  <c r="L43" i="6"/>
  <c r="M43" i="6"/>
  <c r="N43" i="6"/>
  <c r="O43" i="6"/>
  <c r="P43" i="6"/>
  <c r="A44" i="6"/>
  <c r="B44" i="6"/>
  <c r="C44" i="6"/>
  <c r="D44" i="6"/>
  <c r="E44" i="6"/>
  <c r="F44" i="6"/>
  <c r="G44" i="6"/>
  <c r="H44" i="6"/>
  <c r="I44" i="6"/>
  <c r="J44" i="6"/>
  <c r="L44" i="6"/>
  <c r="M44" i="6"/>
  <c r="N44" i="6"/>
  <c r="O44" i="6"/>
  <c r="P44" i="6"/>
  <c r="A45" i="6"/>
  <c r="B45" i="6"/>
  <c r="C45" i="6"/>
  <c r="D45" i="6"/>
  <c r="E45" i="6"/>
  <c r="F45" i="6"/>
  <c r="G45" i="6"/>
  <c r="H45" i="6"/>
  <c r="I45" i="6"/>
  <c r="J45" i="6"/>
  <c r="L45" i="6"/>
  <c r="M45" i="6"/>
  <c r="N45" i="6"/>
  <c r="O45" i="6"/>
  <c r="P45" i="6"/>
  <c r="A46" i="6"/>
  <c r="B46" i="6"/>
  <c r="C46" i="6"/>
  <c r="D46" i="6"/>
  <c r="E46" i="6"/>
  <c r="F46" i="6"/>
  <c r="G46" i="6"/>
  <c r="H46" i="6"/>
  <c r="I46" i="6"/>
  <c r="J46" i="6"/>
  <c r="L46" i="6"/>
  <c r="M46" i="6"/>
  <c r="N46" i="6"/>
  <c r="O46" i="6"/>
  <c r="P46" i="6"/>
  <c r="A47" i="6"/>
  <c r="B47" i="6"/>
  <c r="C47" i="6"/>
  <c r="D47" i="6"/>
  <c r="E47" i="6"/>
  <c r="F47" i="6"/>
  <c r="G47" i="6"/>
  <c r="H47" i="6"/>
  <c r="I47" i="6"/>
  <c r="J47" i="6"/>
  <c r="L47" i="6"/>
  <c r="M47" i="6"/>
  <c r="N47" i="6"/>
  <c r="O47" i="6"/>
  <c r="P47" i="6"/>
  <c r="A48" i="6"/>
  <c r="B48" i="6"/>
  <c r="C48" i="6"/>
  <c r="D48" i="6"/>
  <c r="E48" i="6"/>
  <c r="F48" i="6"/>
  <c r="G48" i="6"/>
  <c r="H48" i="6"/>
  <c r="I48" i="6"/>
  <c r="J48" i="6"/>
  <c r="L48" i="6"/>
  <c r="M48" i="6"/>
  <c r="N48" i="6"/>
  <c r="O48" i="6"/>
  <c r="P48" i="6"/>
  <c r="A49" i="6"/>
  <c r="B49" i="6"/>
  <c r="C49" i="6"/>
  <c r="D49" i="6"/>
  <c r="E49" i="6"/>
  <c r="F49" i="6"/>
  <c r="G49" i="6"/>
  <c r="H49" i="6"/>
  <c r="I49" i="6"/>
  <c r="J49" i="6"/>
  <c r="L49" i="6"/>
  <c r="M49" i="6"/>
  <c r="N49" i="6"/>
  <c r="O49" i="6"/>
  <c r="P49" i="6"/>
  <c r="A50" i="6"/>
  <c r="B50" i="6"/>
  <c r="C50" i="6"/>
  <c r="D50" i="6"/>
  <c r="E50" i="6"/>
  <c r="F50" i="6"/>
  <c r="G50" i="6"/>
  <c r="H50" i="6"/>
  <c r="I50" i="6"/>
  <c r="J50" i="6"/>
  <c r="L50" i="6"/>
  <c r="M50" i="6"/>
  <c r="N50" i="6"/>
  <c r="O50" i="6"/>
  <c r="P50" i="6"/>
  <c r="A51" i="6"/>
  <c r="B51" i="6"/>
  <c r="C51" i="6"/>
  <c r="D51" i="6"/>
  <c r="E51" i="6"/>
  <c r="F51" i="6"/>
  <c r="G51" i="6"/>
  <c r="H51" i="6"/>
  <c r="I51" i="6"/>
  <c r="J51" i="6"/>
  <c r="L51" i="6"/>
  <c r="M51" i="6"/>
  <c r="N51" i="6"/>
  <c r="O51" i="6"/>
  <c r="P51" i="6"/>
  <c r="A52" i="6"/>
  <c r="B52" i="6"/>
  <c r="C52" i="6"/>
  <c r="D52" i="6"/>
  <c r="E52" i="6"/>
  <c r="F52" i="6"/>
  <c r="G52" i="6"/>
  <c r="H52" i="6"/>
  <c r="I52" i="6"/>
  <c r="J52" i="6"/>
  <c r="L52" i="6"/>
  <c r="M52" i="6"/>
  <c r="N52" i="6"/>
  <c r="O52" i="6"/>
  <c r="P52" i="6"/>
  <c r="A53" i="6"/>
  <c r="B53" i="6"/>
  <c r="C53" i="6"/>
  <c r="D53" i="6"/>
  <c r="E53" i="6"/>
  <c r="F53" i="6"/>
  <c r="G53" i="6"/>
  <c r="H53" i="6"/>
  <c r="I53" i="6"/>
  <c r="J53" i="6"/>
  <c r="L53" i="6"/>
  <c r="M53" i="6"/>
  <c r="N53" i="6"/>
  <c r="O53" i="6"/>
  <c r="P53" i="6"/>
  <c r="A54" i="6"/>
  <c r="B54" i="6"/>
  <c r="C54" i="6"/>
  <c r="D54" i="6"/>
  <c r="E54" i="6"/>
  <c r="F54" i="6"/>
  <c r="G54" i="6"/>
  <c r="H54" i="6"/>
  <c r="I54" i="6"/>
  <c r="J54" i="6"/>
  <c r="L54" i="6"/>
  <c r="M54" i="6"/>
  <c r="N54" i="6"/>
  <c r="O54" i="6"/>
  <c r="P54" i="6"/>
  <c r="A55" i="6"/>
  <c r="B55" i="6"/>
  <c r="C55" i="6"/>
  <c r="D55" i="6"/>
  <c r="E55" i="6"/>
  <c r="F55" i="6"/>
  <c r="G55" i="6"/>
  <c r="H55" i="6"/>
  <c r="I55" i="6"/>
  <c r="J55" i="6"/>
  <c r="L55" i="6"/>
  <c r="M55" i="6"/>
  <c r="N55" i="6"/>
  <c r="O55" i="6"/>
  <c r="P55" i="6"/>
  <c r="A56" i="6"/>
  <c r="B56" i="6"/>
  <c r="C56" i="6"/>
  <c r="D56" i="6"/>
  <c r="E56" i="6"/>
  <c r="F56" i="6"/>
  <c r="G56" i="6"/>
  <c r="H56" i="6"/>
  <c r="I56" i="6"/>
  <c r="J56" i="6"/>
  <c r="L56" i="6"/>
  <c r="M56" i="6"/>
  <c r="N56" i="6"/>
  <c r="O56" i="6"/>
  <c r="P56" i="6"/>
  <c r="A57" i="6"/>
  <c r="B57" i="6"/>
  <c r="C57" i="6"/>
  <c r="D57" i="6"/>
  <c r="E57" i="6"/>
  <c r="F57" i="6"/>
  <c r="G57" i="6"/>
  <c r="H57" i="6"/>
  <c r="I57" i="6"/>
  <c r="J57" i="6"/>
  <c r="L57" i="6"/>
  <c r="M57" i="6"/>
  <c r="N57" i="6"/>
  <c r="O57" i="6"/>
  <c r="P57" i="6"/>
  <c r="A58" i="6"/>
  <c r="B58" i="6"/>
  <c r="C58" i="6"/>
  <c r="D58" i="6"/>
  <c r="E58" i="6"/>
  <c r="F58" i="6"/>
  <c r="G58" i="6"/>
  <c r="H58" i="6"/>
  <c r="I58" i="6"/>
  <c r="J58" i="6"/>
  <c r="L58" i="6"/>
  <c r="M58" i="6"/>
  <c r="N58" i="6"/>
  <c r="O58" i="6"/>
  <c r="P58" i="6"/>
  <c r="A59" i="6"/>
  <c r="B59" i="6"/>
  <c r="C59" i="6"/>
  <c r="D59" i="6"/>
  <c r="E59" i="6"/>
  <c r="F59" i="6"/>
  <c r="G59" i="6"/>
  <c r="H59" i="6"/>
  <c r="I59" i="6"/>
  <c r="J59" i="6"/>
  <c r="L59" i="6"/>
  <c r="M59" i="6"/>
  <c r="N59" i="6"/>
  <c r="O59" i="6"/>
  <c r="P59" i="6"/>
  <c r="A60" i="6"/>
  <c r="B60" i="6"/>
  <c r="C60" i="6"/>
  <c r="D60" i="6"/>
  <c r="E60" i="6"/>
  <c r="F60" i="6"/>
  <c r="G60" i="6"/>
  <c r="H60" i="6"/>
  <c r="I60" i="6"/>
  <c r="J60" i="6"/>
  <c r="L60" i="6"/>
  <c r="M60" i="6"/>
  <c r="N60" i="6"/>
  <c r="O60" i="6"/>
  <c r="P60" i="6"/>
  <c r="A61" i="6"/>
  <c r="B61" i="6"/>
  <c r="C61" i="6"/>
  <c r="D61" i="6"/>
  <c r="E61" i="6"/>
  <c r="F61" i="6"/>
  <c r="G61" i="6"/>
  <c r="H61" i="6"/>
  <c r="I61" i="6"/>
  <c r="J61" i="6"/>
  <c r="L61" i="6"/>
  <c r="M61" i="6"/>
  <c r="N61" i="6"/>
  <c r="O61" i="6"/>
  <c r="P61" i="6"/>
  <c r="A62" i="6"/>
  <c r="B62" i="6"/>
  <c r="C62" i="6"/>
  <c r="D62" i="6"/>
  <c r="E62" i="6"/>
  <c r="F62" i="6"/>
  <c r="G62" i="6"/>
  <c r="H62" i="6"/>
  <c r="I62" i="6"/>
  <c r="J62" i="6"/>
  <c r="L62" i="6"/>
  <c r="M62" i="6"/>
  <c r="N62" i="6"/>
  <c r="O62" i="6"/>
  <c r="P62" i="6"/>
  <c r="A63" i="6"/>
  <c r="B63" i="6"/>
  <c r="C63" i="6"/>
  <c r="D63" i="6"/>
  <c r="E63" i="6"/>
  <c r="F63" i="6"/>
  <c r="G63" i="6"/>
  <c r="H63" i="6"/>
  <c r="I63" i="6"/>
  <c r="J63" i="6"/>
  <c r="L63" i="6"/>
  <c r="M63" i="6"/>
  <c r="N63" i="6"/>
  <c r="O63" i="6"/>
  <c r="P63" i="6"/>
  <c r="A64" i="6"/>
  <c r="B64" i="6"/>
  <c r="C64" i="6"/>
  <c r="D64" i="6"/>
  <c r="E64" i="6"/>
  <c r="F64" i="6"/>
  <c r="G64" i="6"/>
  <c r="H64" i="6"/>
  <c r="I64" i="6"/>
  <c r="J64" i="6"/>
  <c r="L64" i="6"/>
  <c r="M64" i="6"/>
  <c r="N64" i="6"/>
  <c r="O64" i="6"/>
  <c r="P64" i="6"/>
  <c r="A65" i="6"/>
  <c r="B65" i="6"/>
  <c r="C65" i="6"/>
  <c r="D65" i="6"/>
  <c r="E65" i="6"/>
  <c r="F65" i="6"/>
  <c r="G65" i="6"/>
  <c r="H65" i="6"/>
  <c r="I65" i="6"/>
  <c r="J65" i="6"/>
  <c r="L65" i="6"/>
  <c r="M65" i="6"/>
  <c r="N65" i="6"/>
  <c r="O65" i="6"/>
  <c r="P65" i="6"/>
  <c r="A66" i="6"/>
  <c r="B66" i="6"/>
  <c r="C66" i="6"/>
  <c r="D66" i="6"/>
  <c r="E66" i="6"/>
  <c r="F66" i="6"/>
  <c r="G66" i="6"/>
  <c r="H66" i="6"/>
  <c r="I66" i="6"/>
  <c r="J66" i="6"/>
  <c r="L66" i="6"/>
  <c r="M66" i="6"/>
  <c r="N66" i="6"/>
  <c r="O66" i="6"/>
  <c r="P66" i="6"/>
  <c r="A67" i="6"/>
  <c r="B67" i="6"/>
  <c r="C67" i="6"/>
  <c r="D67" i="6"/>
  <c r="E67" i="6"/>
  <c r="F67" i="6"/>
  <c r="G67" i="6"/>
  <c r="H67" i="6"/>
  <c r="I67" i="6"/>
  <c r="J67" i="6"/>
  <c r="L67" i="6"/>
  <c r="M67" i="6"/>
  <c r="N67" i="6"/>
  <c r="O67" i="6"/>
  <c r="P67" i="6"/>
  <c r="A68" i="6"/>
  <c r="B68" i="6"/>
  <c r="C68" i="6"/>
  <c r="D68" i="6"/>
  <c r="E68" i="6"/>
  <c r="F68" i="6"/>
  <c r="G68" i="6"/>
  <c r="H68" i="6"/>
  <c r="I68" i="6"/>
  <c r="J68" i="6"/>
  <c r="L68" i="6"/>
  <c r="M68" i="6"/>
  <c r="N68" i="6"/>
  <c r="O68" i="6"/>
  <c r="P68" i="6"/>
  <c r="A69" i="6"/>
  <c r="B69" i="6"/>
  <c r="C69" i="6"/>
  <c r="D69" i="6"/>
  <c r="E69" i="6"/>
  <c r="F69" i="6"/>
  <c r="G69" i="6"/>
  <c r="H69" i="6"/>
  <c r="I69" i="6"/>
  <c r="J69" i="6"/>
  <c r="L69" i="6"/>
  <c r="M69" i="6"/>
  <c r="N69" i="6"/>
  <c r="O69" i="6"/>
  <c r="P69" i="6"/>
  <c r="A70" i="6"/>
  <c r="B70" i="6"/>
  <c r="C70" i="6"/>
  <c r="D70" i="6"/>
  <c r="E70" i="6"/>
  <c r="F70" i="6"/>
  <c r="G70" i="6"/>
  <c r="H70" i="6"/>
  <c r="I70" i="6"/>
  <c r="J70" i="6"/>
  <c r="L70" i="6"/>
  <c r="M70" i="6"/>
  <c r="N70" i="6"/>
  <c r="O70" i="6"/>
  <c r="P70" i="6"/>
  <c r="A71" i="6"/>
  <c r="B71" i="6"/>
  <c r="C71" i="6"/>
  <c r="D71" i="6"/>
  <c r="E71" i="6"/>
  <c r="F71" i="6"/>
  <c r="G71" i="6"/>
  <c r="H71" i="6"/>
  <c r="I71" i="6"/>
  <c r="J71" i="6"/>
  <c r="L71" i="6"/>
  <c r="M71" i="6"/>
  <c r="N71" i="6"/>
  <c r="O71" i="6"/>
  <c r="P71" i="6"/>
  <c r="A72" i="6"/>
  <c r="B72" i="6"/>
  <c r="C72" i="6"/>
  <c r="D72" i="6"/>
  <c r="E72" i="6"/>
  <c r="F72" i="6"/>
  <c r="G72" i="6"/>
  <c r="H72" i="6"/>
  <c r="I72" i="6"/>
  <c r="J72" i="6"/>
  <c r="L72" i="6"/>
  <c r="M72" i="6"/>
  <c r="N72" i="6"/>
  <c r="O72" i="6"/>
  <c r="P72" i="6"/>
  <c r="A73" i="6"/>
  <c r="B73" i="6"/>
  <c r="C73" i="6"/>
  <c r="D73" i="6"/>
  <c r="E73" i="6"/>
  <c r="F73" i="6"/>
  <c r="G73" i="6"/>
  <c r="H73" i="6"/>
  <c r="I73" i="6"/>
  <c r="J73" i="6"/>
  <c r="L73" i="6"/>
  <c r="M73" i="6"/>
  <c r="N73" i="6"/>
  <c r="O73" i="6"/>
  <c r="P73" i="6"/>
  <c r="A74" i="6"/>
  <c r="B74" i="6"/>
  <c r="C74" i="6"/>
  <c r="D74" i="6"/>
  <c r="E74" i="6"/>
  <c r="F74" i="6"/>
  <c r="G74" i="6"/>
  <c r="H74" i="6"/>
  <c r="I74" i="6"/>
  <c r="J74" i="6"/>
  <c r="L74" i="6"/>
  <c r="M74" i="6"/>
  <c r="N74" i="6"/>
  <c r="O74" i="6"/>
  <c r="P74" i="6"/>
  <c r="A75" i="6"/>
  <c r="B75" i="6"/>
  <c r="C75" i="6"/>
  <c r="D75" i="6"/>
  <c r="E75" i="6"/>
  <c r="F75" i="6"/>
  <c r="G75" i="6"/>
  <c r="H75" i="6"/>
  <c r="I75" i="6"/>
  <c r="J75" i="6"/>
  <c r="L75" i="6"/>
  <c r="M75" i="6"/>
  <c r="N75" i="6"/>
  <c r="O75" i="6"/>
  <c r="P75" i="6"/>
  <c r="A76" i="6"/>
  <c r="B76" i="6"/>
  <c r="C76" i="6"/>
  <c r="D76" i="6"/>
  <c r="E76" i="6"/>
  <c r="F76" i="6"/>
  <c r="G76" i="6"/>
  <c r="H76" i="6"/>
  <c r="I76" i="6"/>
  <c r="J76" i="6"/>
  <c r="L76" i="6"/>
  <c r="M76" i="6"/>
  <c r="N76" i="6"/>
  <c r="O76" i="6"/>
  <c r="P76" i="6"/>
  <c r="A77" i="6"/>
  <c r="B77" i="6"/>
  <c r="C77" i="6"/>
  <c r="D77" i="6"/>
  <c r="E77" i="6"/>
  <c r="F77" i="6"/>
  <c r="G77" i="6"/>
  <c r="H77" i="6"/>
  <c r="I77" i="6"/>
  <c r="J77" i="6"/>
  <c r="L77" i="6"/>
  <c r="M77" i="6"/>
  <c r="N77" i="6"/>
  <c r="O77" i="6"/>
  <c r="P77" i="6"/>
  <c r="A78" i="6"/>
  <c r="B78" i="6"/>
  <c r="C78" i="6"/>
  <c r="D78" i="6"/>
  <c r="E78" i="6"/>
  <c r="F78" i="6"/>
  <c r="G78" i="6"/>
  <c r="H78" i="6"/>
  <c r="I78" i="6"/>
  <c r="J78" i="6"/>
  <c r="L78" i="6"/>
  <c r="M78" i="6"/>
  <c r="N78" i="6"/>
  <c r="O78" i="6"/>
  <c r="P78" i="6"/>
  <c r="A79" i="6"/>
  <c r="B79" i="6"/>
  <c r="C79" i="6"/>
  <c r="D79" i="6"/>
  <c r="E79" i="6"/>
  <c r="F79" i="6"/>
  <c r="G79" i="6"/>
  <c r="H79" i="6"/>
  <c r="I79" i="6"/>
  <c r="J79" i="6"/>
  <c r="L79" i="6"/>
  <c r="M79" i="6"/>
  <c r="N79" i="6"/>
  <c r="O79" i="6"/>
  <c r="P79" i="6"/>
  <c r="A80" i="6"/>
  <c r="B80" i="6"/>
  <c r="C80" i="6"/>
  <c r="D80" i="6"/>
  <c r="E80" i="6"/>
  <c r="F80" i="6"/>
  <c r="G80" i="6"/>
  <c r="H80" i="6"/>
  <c r="I80" i="6"/>
  <c r="J80" i="6"/>
  <c r="L80" i="6"/>
  <c r="M80" i="6"/>
  <c r="N80" i="6"/>
  <c r="O80" i="6"/>
  <c r="P80" i="6"/>
  <c r="A81" i="6"/>
  <c r="B81" i="6"/>
  <c r="C81" i="6"/>
  <c r="D81" i="6"/>
  <c r="E81" i="6"/>
  <c r="F81" i="6"/>
  <c r="G81" i="6"/>
  <c r="H81" i="6"/>
  <c r="I81" i="6"/>
  <c r="J81" i="6"/>
  <c r="L81" i="6"/>
  <c r="M81" i="6"/>
  <c r="N81" i="6"/>
  <c r="O81" i="6"/>
  <c r="P81" i="6"/>
  <c r="A82" i="6"/>
  <c r="B82" i="6"/>
  <c r="C82" i="6"/>
  <c r="D82" i="6"/>
  <c r="E82" i="6"/>
  <c r="F82" i="6"/>
  <c r="G82" i="6"/>
  <c r="H82" i="6"/>
  <c r="I82" i="6"/>
  <c r="J82" i="6"/>
  <c r="L82" i="6"/>
  <c r="M82" i="6"/>
  <c r="N82" i="6"/>
  <c r="O82" i="6"/>
  <c r="P82" i="6"/>
  <c r="A83" i="6"/>
  <c r="B83" i="6"/>
  <c r="C83" i="6"/>
  <c r="D83" i="6"/>
  <c r="E83" i="6"/>
  <c r="F83" i="6"/>
  <c r="G83" i="6"/>
  <c r="H83" i="6"/>
  <c r="I83" i="6"/>
  <c r="J83" i="6"/>
  <c r="L83" i="6"/>
  <c r="M83" i="6"/>
  <c r="N83" i="6"/>
  <c r="O83" i="6"/>
  <c r="P83" i="6"/>
  <c r="A84" i="6"/>
  <c r="B84" i="6"/>
  <c r="C84" i="6"/>
  <c r="D84" i="6"/>
  <c r="E84" i="6"/>
  <c r="F84" i="6"/>
  <c r="G84" i="6"/>
  <c r="H84" i="6"/>
  <c r="I84" i="6"/>
  <c r="J84" i="6"/>
  <c r="L84" i="6"/>
  <c r="M84" i="6"/>
  <c r="N84" i="6"/>
  <c r="O84" i="6"/>
  <c r="P84" i="6"/>
  <c r="A85" i="6"/>
  <c r="B85" i="6"/>
  <c r="C85" i="6"/>
  <c r="D85" i="6"/>
  <c r="E85" i="6"/>
  <c r="F85" i="6"/>
  <c r="G85" i="6"/>
  <c r="H85" i="6"/>
  <c r="I85" i="6"/>
  <c r="J85" i="6"/>
  <c r="L85" i="6"/>
  <c r="M85" i="6"/>
  <c r="N85" i="6"/>
  <c r="O85" i="6"/>
  <c r="P85" i="6"/>
  <c r="A86" i="6"/>
  <c r="B86" i="6"/>
  <c r="C86" i="6"/>
  <c r="D86" i="6"/>
  <c r="E86" i="6"/>
  <c r="F86" i="6"/>
  <c r="G86" i="6"/>
  <c r="H86" i="6"/>
  <c r="I86" i="6"/>
  <c r="J86" i="6"/>
  <c r="L86" i="6"/>
  <c r="M86" i="6"/>
  <c r="N86" i="6"/>
  <c r="O86" i="6"/>
  <c r="P86" i="6"/>
  <c r="A87" i="6"/>
  <c r="B87" i="6"/>
  <c r="C87" i="6"/>
  <c r="D87" i="6"/>
  <c r="E87" i="6"/>
  <c r="F87" i="6"/>
  <c r="G87" i="6"/>
  <c r="H87" i="6"/>
  <c r="I87" i="6"/>
  <c r="J87" i="6"/>
  <c r="L87" i="6"/>
  <c r="M87" i="6"/>
  <c r="N87" i="6"/>
  <c r="O87" i="6"/>
  <c r="P87" i="6"/>
  <c r="A88" i="6"/>
  <c r="B88" i="6"/>
  <c r="C88" i="6"/>
  <c r="D88" i="6"/>
  <c r="E88" i="6"/>
  <c r="F88" i="6"/>
  <c r="G88" i="6"/>
  <c r="H88" i="6"/>
  <c r="I88" i="6"/>
  <c r="J88" i="6"/>
  <c r="L88" i="6"/>
  <c r="M88" i="6"/>
  <c r="N88" i="6"/>
  <c r="O88" i="6"/>
  <c r="P88" i="6"/>
  <c r="A89" i="6"/>
  <c r="B89" i="6"/>
  <c r="C89" i="6"/>
  <c r="D89" i="6"/>
  <c r="E89" i="6"/>
  <c r="F89" i="6"/>
  <c r="G89" i="6"/>
  <c r="H89" i="6"/>
  <c r="I89" i="6"/>
  <c r="J89" i="6"/>
  <c r="L89" i="6"/>
  <c r="M89" i="6"/>
  <c r="N89" i="6"/>
  <c r="O89" i="6"/>
  <c r="P89" i="6"/>
  <c r="A90" i="6"/>
  <c r="B90" i="6"/>
  <c r="C90" i="6"/>
  <c r="D90" i="6"/>
  <c r="E90" i="6"/>
  <c r="F90" i="6"/>
  <c r="G90" i="6"/>
  <c r="H90" i="6"/>
  <c r="I90" i="6"/>
  <c r="J90" i="6"/>
  <c r="L90" i="6"/>
  <c r="M90" i="6"/>
  <c r="N90" i="6"/>
  <c r="O90" i="6"/>
  <c r="P90" i="6"/>
  <c r="A91" i="6"/>
  <c r="B91" i="6"/>
  <c r="C91" i="6"/>
  <c r="D91" i="6"/>
  <c r="E91" i="6"/>
  <c r="F91" i="6"/>
  <c r="G91" i="6"/>
  <c r="H91" i="6"/>
  <c r="I91" i="6"/>
  <c r="J91" i="6"/>
  <c r="L91" i="6"/>
  <c r="M91" i="6"/>
  <c r="N91" i="6"/>
  <c r="O91" i="6"/>
  <c r="P91" i="6"/>
  <c r="A92" i="6"/>
  <c r="B92" i="6"/>
  <c r="C92" i="6"/>
  <c r="D92" i="6"/>
  <c r="E92" i="6"/>
  <c r="F92" i="6"/>
  <c r="G92" i="6"/>
  <c r="H92" i="6"/>
  <c r="I92" i="6"/>
  <c r="J92" i="6"/>
  <c r="L92" i="6"/>
  <c r="M92" i="6"/>
  <c r="N92" i="6"/>
  <c r="O92" i="6"/>
  <c r="P92" i="6"/>
  <c r="A93" i="6"/>
  <c r="B93" i="6"/>
  <c r="C93" i="6"/>
  <c r="D93" i="6"/>
  <c r="E93" i="6"/>
  <c r="F93" i="6"/>
  <c r="G93" i="6"/>
  <c r="H93" i="6"/>
  <c r="I93" i="6"/>
  <c r="J93" i="6"/>
  <c r="L93" i="6"/>
  <c r="M93" i="6"/>
  <c r="N93" i="6"/>
  <c r="O93" i="6"/>
  <c r="P93" i="6"/>
  <c r="A94" i="6"/>
  <c r="B94" i="6"/>
  <c r="C94" i="6"/>
  <c r="D94" i="6"/>
  <c r="E94" i="6"/>
  <c r="F94" i="6"/>
  <c r="G94" i="6"/>
  <c r="H94" i="6"/>
  <c r="I94" i="6"/>
  <c r="J94" i="6"/>
  <c r="L94" i="6"/>
  <c r="M94" i="6"/>
  <c r="N94" i="6"/>
  <c r="O94" i="6"/>
  <c r="P94" i="6"/>
  <c r="A95" i="6"/>
  <c r="B95" i="6"/>
  <c r="C95" i="6"/>
  <c r="D95" i="6"/>
  <c r="E95" i="6"/>
  <c r="F95" i="6"/>
  <c r="G95" i="6"/>
  <c r="H95" i="6"/>
  <c r="I95" i="6"/>
  <c r="J95" i="6"/>
  <c r="L95" i="6"/>
  <c r="M95" i="6"/>
  <c r="N95" i="6"/>
  <c r="O95" i="6"/>
  <c r="P95" i="6"/>
  <c r="A96" i="6"/>
  <c r="B96" i="6"/>
  <c r="C96" i="6"/>
  <c r="D96" i="6"/>
  <c r="E96" i="6"/>
  <c r="F96" i="6"/>
  <c r="G96" i="6"/>
  <c r="H96" i="6"/>
  <c r="I96" i="6"/>
  <c r="J96" i="6"/>
  <c r="L96" i="6"/>
  <c r="M96" i="6"/>
  <c r="N96" i="6"/>
  <c r="O96" i="6"/>
  <c r="P96" i="6"/>
  <c r="A97" i="6"/>
  <c r="B97" i="6"/>
  <c r="C97" i="6"/>
  <c r="D97" i="6"/>
  <c r="E97" i="6"/>
  <c r="F97" i="6"/>
  <c r="G97" i="6"/>
  <c r="H97" i="6"/>
  <c r="I97" i="6"/>
  <c r="J97" i="6"/>
  <c r="L97" i="6"/>
  <c r="M97" i="6"/>
  <c r="N97" i="6"/>
  <c r="O97" i="6"/>
  <c r="P97" i="6"/>
  <c r="A98" i="6"/>
  <c r="B98" i="6"/>
  <c r="C98" i="6"/>
  <c r="D98" i="6"/>
  <c r="E98" i="6"/>
  <c r="F98" i="6"/>
  <c r="G98" i="6"/>
  <c r="H98" i="6"/>
  <c r="I98" i="6"/>
  <c r="J98" i="6"/>
  <c r="L98" i="6"/>
  <c r="M98" i="6"/>
  <c r="N98" i="6"/>
  <c r="O98" i="6"/>
  <c r="P98" i="6"/>
  <c r="A99" i="6"/>
  <c r="B99" i="6"/>
  <c r="C99" i="6"/>
  <c r="D99" i="6"/>
  <c r="E99" i="6"/>
  <c r="F99" i="6"/>
  <c r="G99" i="6"/>
  <c r="H99" i="6"/>
  <c r="I99" i="6"/>
  <c r="J99" i="6"/>
  <c r="L99" i="6"/>
  <c r="M99" i="6"/>
  <c r="N99" i="6"/>
  <c r="O99" i="6"/>
  <c r="P99" i="6"/>
  <c r="A100" i="6"/>
  <c r="B100" i="6"/>
  <c r="C100" i="6"/>
  <c r="D100" i="6"/>
  <c r="E100" i="6"/>
  <c r="F100" i="6"/>
  <c r="G100" i="6"/>
  <c r="H100" i="6"/>
  <c r="I100" i="6"/>
  <c r="J100" i="6"/>
  <c r="L100" i="6"/>
  <c r="M100" i="6"/>
  <c r="N100" i="6"/>
  <c r="O100" i="6"/>
  <c r="P100" i="6"/>
  <c r="A101" i="6"/>
  <c r="B101" i="6"/>
  <c r="C101" i="6"/>
  <c r="D101" i="6"/>
  <c r="E101" i="6"/>
  <c r="F101" i="6"/>
  <c r="G101" i="6"/>
  <c r="H101" i="6"/>
  <c r="I101" i="6"/>
  <c r="J101" i="6"/>
  <c r="L101" i="6"/>
  <c r="M101" i="6"/>
  <c r="N101" i="6"/>
  <c r="O101" i="6"/>
  <c r="P101" i="6"/>
  <c r="A102" i="6"/>
  <c r="B102" i="6"/>
  <c r="C102" i="6"/>
  <c r="D102" i="6"/>
  <c r="E102" i="6"/>
  <c r="F102" i="6"/>
  <c r="G102" i="6"/>
  <c r="H102" i="6"/>
  <c r="I102" i="6"/>
  <c r="J102" i="6"/>
  <c r="L102" i="6"/>
  <c r="M102" i="6"/>
  <c r="N102" i="6"/>
  <c r="O102" i="6"/>
  <c r="P102" i="6"/>
  <c r="A103" i="6"/>
  <c r="B103" i="6"/>
  <c r="C103" i="6"/>
  <c r="D103" i="6"/>
  <c r="E103" i="6"/>
  <c r="F103" i="6"/>
  <c r="G103" i="6"/>
  <c r="H103" i="6"/>
  <c r="I103" i="6"/>
  <c r="J103" i="6"/>
  <c r="L103" i="6"/>
  <c r="M103" i="6"/>
  <c r="N103" i="6"/>
  <c r="O103" i="6"/>
  <c r="P103" i="6"/>
  <c r="A104" i="6"/>
  <c r="B104" i="6"/>
  <c r="C104" i="6"/>
  <c r="D104" i="6"/>
  <c r="E104" i="6"/>
  <c r="F104" i="6"/>
  <c r="G104" i="6"/>
  <c r="H104" i="6"/>
  <c r="I104" i="6"/>
  <c r="J104" i="6"/>
  <c r="L104" i="6"/>
  <c r="M104" i="6"/>
  <c r="N104" i="6"/>
  <c r="O104" i="6"/>
  <c r="P104" i="6"/>
  <c r="A105" i="6"/>
  <c r="B105" i="6"/>
  <c r="C105" i="6"/>
  <c r="D105" i="6"/>
  <c r="E105" i="6"/>
  <c r="F105" i="6"/>
  <c r="G105" i="6"/>
  <c r="H105" i="6"/>
  <c r="I105" i="6"/>
  <c r="J105" i="6"/>
  <c r="L105" i="6"/>
  <c r="M105" i="6"/>
  <c r="N105" i="6"/>
  <c r="O105" i="6"/>
  <c r="P105" i="6"/>
  <c r="A106" i="6"/>
  <c r="B106" i="6"/>
  <c r="C106" i="6"/>
  <c r="D106" i="6"/>
  <c r="E106" i="6"/>
  <c r="F106" i="6"/>
  <c r="G106" i="6"/>
  <c r="H106" i="6"/>
  <c r="I106" i="6"/>
  <c r="J106" i="6"/>
  <c r="L106" i="6"/>
  <c r="M106" i="6"/>
  <c r="N106" i="6"/>
  <c r="O106" i="6"/>
  <c r="P106" i="6"/>
  <c r="A107" i="6"/>
  <c r="B107" i="6"/>
  <c r="C107" i="6"/>
  <c r="D107" i="6"/>
  <c r="E107" i="6"/>
  <c r="F107" i="6"/>
  <c r="G107" i="6"/>
  <c r="H107" i="6"/>
  <c r="I107" i="6"/>
  <c r="J107" i="6"/>
  <c r="L107" i="6"/>
  <c r="M107" i="6"/>
  <c r="N107" i="6"/>
  <c r="O107" i="6"/>
  <c r="P107" i="6"/>
  <c r="A108" i="6"/>
  <c r="B108" i="6"/>
  <c r="C108" i="6"/>
  <c r="D108" i="6"/>
  <c r="E108" i="6"/>
  <c r="F108" i="6"/>
  <c r="G108" i="6"/>
  <c r="H108" i="6"/>
  <c r="I108" i="6"/>
  <c r="J108" i="6"/>
  <c r="L108" i="6"/>
  <c r="M108" i="6"/>
  <c r="N108" i="6"/>
  <c r="O108" i="6"/>
  <c r="P108" i="6"/>
  <c r="A109" i="6"/>
  <c r="B109" i="6"/>
  <c r="C109" i="6"/>
  <c r="D109" i="6"/>
  <c r="E109" i="6"/>
  <c r="F109" i="6"/>
  <c r="G109" i="6"/>
  <c r="H109" i="6"/>
  <c r="I109" i="6"/>
  <c r="J109" i="6"/>
  <c r="L109" i="6"/>
  <c r="M109" i="6"/>
  <c r="N109" i="6"/>
  <c r="O109" i="6"/>
  <c r="P109" i="6"/>
  <c r="A110" i="6"/>
  <c r="B110" i="6"/>
  <c r="C110" i="6"/>
  <c r="D110" i="6"/>
  <c r="E110" i="6"/>
  <c r="F110" i="6"/>
  <c r="G110" i="6"/>
  <c r="H110" i="6"/>
  <c r="I110" i="6"/>
  <c r="J110" i="6"/>
  <c r="L110" i="6"/>
  <c r="M110" i="6"/>
  <c r="N110" i="6"/>
  <c r="O110" i="6"/>
  <c r="P110" i="6"/>
  <c r="A111" i="6"/>
  <c r="B111" i="6"/>
  <c r="C111" i="6"/>
  <c r="D111" i="6"/>
  <c r="E111" i="6"/>
  <c r="F111" i="6"/>
  <c r="G111" i="6"/>
  <c r="H111" i="6"/>
  <c r="I111" i="6"/>
  <c r="J111" i="6"/>
  <c r="L111" i="6"/>
  <c r="M111" i="6"/>
  <c r="N111" i="6"/>
  <c r="O111" i="6"/>
  <c r="P111" i="6"/>
  <c r="A112" i="6"/>
  <c r="B112" i="6"/>
  <c r="C112" i="6"/>
  <c r="D112" i="6"/>
  <c r="E112" i="6"/>
  <c r="F112" i="6"/>
  <c r="G112" i="6"/>
  <c r="H112" i="6"/>
  <c r="I112" i="6"/>
  <c r="J112" i="6"/>
  <c r="L112" i="6"/>
  <c r="M112" i="6"/>
  <c r="N112" i="6"/>
  <c r="O112" i="6"/>
  <c r="P112" i="6"/>
  <c r="A113" i="6"/>
  <c r="B113" i="6"/>
  <c r="C113" i="6"/>
  <c r="D113" i="6"/>
  <c r="E113" i="6"/>
  <c r="F113" i="6"/>
  <c r="G113" i="6"/>
  <c r="H113" i="6"/>
  <c r="I113" i="6"/>
  <c r="J113" i="6"/>
  <c r="L113" i="6"/>
  <c r="M113" i="6"/>
  <c r="N113" i="6"/>
  <c r="O113" i="6"/>
  <c r="P113" i="6"/>
  <c r="A114" i="6"/>
  <c r="B114" i="6"/>
  <c r="C114" i="6"/>
  <c r="D114" i="6"/>
  <c r="E114" i="6"/>
  <c r="F114" i="6"/>
  <c r="G114" i="6"/>
  <c r="H114" i="6"/>
  <c r="I114" i="6"/>
  <c r="J114" i="6"/>
  <c r="L114" i="6"/>
  <c r="M114" i="6"/>
  <c r="N114" i="6"/>
  <c r="O114" i="6"/>
  <c r="P114" i="6"/>
  <c r="A115" i="6"/>
  <c r="B115" i="6"/>
  <c r="C115" i="6"/>
  <c r="D115" i="6"/>
  <c r="E115" i="6"/>
  <c r="F115" i="6"/>
  <c r="G115" i="6"/>
  <c r="H115" i="6"/>
  <c r="I115" i="6"/>
  <c r="J115" i="6"/>
  <c r="L115" i="6"/>
  <c r="M115" i="6"/>
  <c r="N115" i="6"/>
  <c r="O115" i="6"/>
  <c r="P115" i="6"/>
  <c r="A116" i="6"/>
  <c r="B116" i="6"/>
  <c r="C116" i="6"/>
  <c r="D116" i="6"/>
  <c r="E116" i="6"/>
  <c r="F116" i="6"/>
  <c r="G116" i="6"/>
  <c r="H116" i="6"/>
  <c r="I116" i="6"/>
  <c r="J116" i="6"/>
  <c r="L116" i="6"/>
  <c r="M116" i="6"/>
  <c r="N116" i="6"/>
  <c r="O116" i="6"/>
  <c r="P116" i="6"/>
  <c r="A117" i="6"/>
  <c r="B117" i="6"/>
  <c r="C117" i="6"/>
  <c r="D117" i="6"/>
  <c r="E117" i="6"/>
  <c r="F117" i="6"/>
  <c r="G117" i="6"/>
  <c r="H117" i="6"/>
  <c r="I117" i="6"/>
  <c r="J117" i="6"/>
  <c r="L117" i="6"/>
  <c r="M117" i="6"/>
  <c r="N117" i="6"/>
  <c r="O117" i="6"/>
  <c r="P117" i="6"/>
  <c r="A118" i="6"/>
  <c r="B118" i="6"/>
  <c r="C118" i="6"/>
  <c r="D118" i="6"/>
  <c r="E118" i="6"/>
  <c r="F118" i="6"/>
  <c r="G118" i="6"/>
  <c r="H118" i="6"/>
  <c r="I118" i="6"/>
  <c r="J118" i="6"/>
  <c r="L118" i="6"/>
  <c r="M118" i="6"/>
  <c r="N118" i="6"/>
  <c r="O118" i="6"/>
  <c r="P118" i="6"/>
  <c r="A119" i="6"/>
  <c r="B119" i="6"/>
  <c r="C119" i="6"/>
  <c r="D119" i="6"/>
  <c r="E119" i="6"/>
  <c r="F119" i="6"/>
  <c r="G119" i="6"/>
  <c r="H119" i="6"/>
  <c r="I119" i="6"/>
  <c r="J119" i="6"/>
  <c r="L119" i="6"/>
  <c r="M119" i="6"/>
  <c r="N119" i="6"/>
  <c r="O119" i="6"/>
  <c r="P119" i="6"/>
  <c r="A120" i="6"/>
  <c r="B120" i="6"/>
  <c r="C120" i="6"/>
  <c r="D120" i="6"/>
  <c r="E120" i="6"/>
  <c r="F120" i="6"/>
  <c r="G120" i="6"/>
  <c r="H120" i="6"/>
  <c r="I120" i="6"/>
  <c r="J120" i="6"/>
  <c r="L120" i="6"/>
  <c r="M120" i="6"/>
  <c r="N120" i="6"/>
  <c r="O120" i="6"/>
  <c r="P120" i="6"/>
  <c r="A121" i="6"/>
  <c r="B121" i="6"/>
  <c r="C121" i="6"/>
  <c r="D121" i="6"/>
  <c r="E121" i="6"/>
  <c r="F121" i="6"/>
  <c r="G121" i="6"/>
  <c r="H121" i="6"/>
  <c r="I121" i="6"/>
  <c r="J121" i="6"/>
  <c r="L121" i="6"/>
  <c r="M121" i="6"/>
  <c r="N121" i="6"/>
  <c r="O121" i="6"/>
  <c r="P121" i="6"/>
  <c r="A122" i="6"/>
  <c r="B122" i="6"/>
  <c r="C122" i="6"/>
  <c r="D122" i="6"/>
  <c r="E122" i="6"/>
  <c r="F122" i="6"/>
  <c r="G122" i="6"/>
  <c r="H122" i="6"/>
  <c r="I122" i="6"/>
  <c r="J122" i="6"/>
  <c r="L122" i="6"/>
  <c r="M122" i="6"/>
  <c r="N122" i="6"/>
  <c r="O122" i="6"/>
  <c r="P122" i="6"/>
  <c r="A123" i="6"/>
  <c r="B123" i="6"/>
  <c r="C123" i="6"/>
  <c r="D123" i="6"/>
  <c r="E123" i="6"/>
  <c r="F123" i="6"/>
  <c r="G123" i="6"/>
  <c r="H123" i="6"/>
  <c r="I123" i="6"/>
  <c r="J123" i="6"/>
  <c r="L123" i="6"/>
  <c r="M123" i="6"/>
  <c r="N123" i="6"/>
  <c r="O123" i="6"/>
  <c r="P123" i="6"/>
  <c r="A124" i="6"/>
  <c r="B124" i="6"/>
  <c r="C124" i="6"/>
  <c r="D124" i="6"/>
  <c r="E124" i="6"/>
  <c r="F124" i="6"/>
  <c r="G124" i="6"/>
  <c r="H124" i="6"/>
  <c r="I124" i="6"/>
  <c r="J124" i="6"/>
  <c r="L124" i="6"/>
  <c r="M124" i="6"/>
  <c r="N124" i="6"/>
  <c r="O124" i="6"/>
  <c r="P124" i="6"/>
  <c r="A125" i="6"/>
  <c r="B125" i="6"/>
  <c r="C125" i="6"/>
  <c r="D125" i="6"/>
  <c r="E125" i="6"/>
  <c r="F125" i="6"/>
  <c r="G125" i="6"/>
  <c r="H125" i="6"/>
  <c r="I125" i="6"/>
  <c r="J125" i="6"/>
  <c r="L125" i="6"/>
  <c r="M125" i="6"/>
  <c r="N125" i="6"/>
  <c r="O125" i="6"/>
  <c r="P125" i="6"/>
  <c r="A126" i="6"/>
  <c r="B126" i="6"/>
  <c r="C126" i="6"/>
  <c r="D126" i="6"/>
  <c r="E126" i="6"/>
  <c r="F126" i="6"/>
  <c r="G126" i="6"/>
  <c r="H126" i="6"/>
  <c r="I126" i="6"/>
  <c r="J126" i="6"/>
  <c r="L126" i="6"/>
  <c r="M126" i="6"/>
  <c r="N126" i="6"/>
  <c r="O126" i="6"/>
  <c r="P126" i="6"/>
  <c r="A127" i="6"/>
  <c r="B127" i="6"/>
  <c r="C127" i="6"/>
  <c r="D127" i="6"/>
  <c r="E127" i="6"/>
  <c r="F127" i="6"/>
  <c r="G127" i="6"/>
  <c r="H127" i="6"/>
  <c r="I127" i="6"/>
  <c r="J127" i="6"/>
  <c r="L127" i="6"/>
  <c r="M127" i="6"/>
  <c r="N127" i="6"/>
  <c r="O127" i="6"/>
  <c r="P127" i="6"/>
  <c r="A128" i="6"/>
  <c r="B128" i="6"/>
  <c r="C128" i="6"/>
  <c r="D128" i="6"/>
  <c r="E128" i="6"/>
  <c r="F128" i="6"/>
  <c r="G128" i="6"/>
  <c r="H128" i="6"/>
  <c r="I128" i="6"/>
  <c r="J128" i="6"/>
  <c r="L128" i="6"/>
  <c r="M128" i="6"/>
  <c r="N128" i="6"/>
  <c r="O128" i="6"/>
  <c r="P128" i="6"/>
  <c r="A129" i="6"/>
  <c r="B129" i="6"/>
  <c r="C129" i="6"/>
  <c r="D129" i="6"/>
  <c r="E129" i="6"/>
  <c r="F129" i="6"/>
  <c r="G129" i="6"/>
  <c r="H129" i="6"/>
  <c r="I129" i="6"/>
  <c r="J129" i="6"/>
  <c r="L129" i="6"/>
  <c r="M129" i="6"/>
  <c r="N129" i="6"/>
  <c r="O129" i="6"/>
  <c r="P129" i="6"/>
  <c r="A130" i="6"/>
  <c r="B130" i="6"/>
  <c r="C130" i="6"/>
  <c r="D130" i="6"/>
  <c r="E130" i="6"/>
  <c r="F130" i="6"/>
  <c r="G130" i="6"/>
  <c r="H130" i="6"/>
  <c r="I130" i="6"/>
  <c r="J130" i="6"/>
  <c r="L130" i="6"/>
  <c r="M130" i="6"/>
  <c r="N130" i="6"/>
  <c r="O130" i="6"/>
  <c r="P130" i="6"/>
  <c r="A131" i="6"/>
  <c r="B131" i="6"/>
  <c r="C131" i="6"/>
  <c r="D131" i="6"/>
  <c r="E131" i="6"/>
  <c r="F131" i="6"/>
  <c r="G131" i="6"/>
  <c r="H131" i="6"/>
  <c r="I131" i="6"/>
  <c r="J131" i="6"/>
  <c r="L131" i="6"/>
  <c r="M131" i="6"/>
  <c r="N131" i="6"/>
  <c r="O131" i="6"/>
  <c r="P131" i="6"/>
  <c r="A132" i="6"/>
  <c r="B132" i="6"/>
  <c r="C132" i="6"/>
  <c r="D132" i="6"/>
  <c r="E132" i="6"/>
  <c r="F132" i="6"/>
  <c r="G132" i="6"/>
  <c r="H132" i="6"/>
  <c r="I132" i="6"/>
  <c r="J132" i="6"/>
  <c r="L132" i="6"/>
  <c r="M132" i="6"/>
  <c r="N132" i="6"/>
  <c r="O132" i="6"/>
  <c r="P132" i="6"/>
  <c r="A133" i="6"/>
  <c r="B133" i="6"/>
  <c r="C133" i="6"/>
  <c r="D133" i="6"/>
  <c r="E133" i="6"/>
  <c r="F133" i="6"/>
  <c r="G133" i="6"/>
  <c r="H133" i="6"/>
  <c r="I133" i="6"/>
  <c r="J133" i="6"/>
  <c r="L133" i="6"/>
  <c r="M133" i="6"/>
  <c r="N133" i="6"/>
  <c r="O133" i="6"/>
  <c r="P133" i="6"/>
  <c r="A134" i="6"/>
  <c r="B134" i="6"/>
  <c r="C134" i="6"/>
  <c r="D134" i="6"/>
  <c r="E134" i="6"/>
  <c r="F134" i="6"/>
  <c r="G134" i="6"/>
  <c r="H134" i="6"/>
  <c r="I134" i="6"/>
  <c r="J134" i="6"/>
  <c r="L134" i="6"/>
  <c r="M134" i="6"/>
  <c r="N134" i="6"/>
  <c r="O134" i="6"/>
  <c r="P134" i="6"/>
  <c r="A135" i="6"/>
  <c r="B135" i="6"/>
  <c r="C135" i="6"/>
  <c r="D135" i="6"/>
  <c r="E135" i="6"/>
  <c r="F135" i="6"/>
  <c r="G135" i="6"/>
  <c r="H135" i="6"/>
  <c r="I135" i="6"/>
  <c r="J135" i="6"/>
  <c r="L135" i="6"/>
  <c r="M135" i="6"/>
  <c r="N135" i="6"/>
  <c r="O135" i="6"/>
  <c r="P135" i="6"/>
  <c r="A136" i="6"/>
  <c r="B136" i="6"/>
  <c r="C136" i="6"/>
  <c r="D136" i="6"/>
  <c r="E136" i="6"/>
  <c r="F136" i="6"/>
  <c r="G136" i="6"/>
  <c r="H136" i="6"/>
  <c r="I136" i="6"/>
  <c r="J136" i="6"/>
  <c r="L136" i="6"/>
  <c r="M136" i="6"/>
  <c r="N136" i="6"/>
  <c r="O136" i="6"/>
  <c r="P136" i="6"/>
  <c r="A137" i="6"/>
  <c r="B137" i="6"/>
  <c r="C137" i="6"/>
  <c r="D137" i="6"/>
  <c r="E137" i="6"/>
  <c r="F137" i="6"/>
  <c r="G137" i="6"/>
  <c r="H137" i="6"/>
  <c r="I137" i="6"/>
  <c r="J137" i="6"/>
  <c r="L137" i="6"/>
  <c r="M137" i="6"/>
  <c r="N137" i="6"/>
  <c r="O137" i="6"/>
  <c r="P137" i="6"/>
  <c r="A138" i="6"/>
  <c r="B138" i="6"/>
  <c r="C138" i="6"/>
  <c r="D138" i="6"/>
  <c r="E138" i="6"/>
  <c r="F138" i="6"/>
  <c r="G138" i="6"/>
  <c r="H138" i="6"/>
  <c r="I138" i="6"/>
  <c r="J138" i="6"/>
  <c r="L138" i="6"/>
  <c r="M138" i="6"/>
  <c r="N138" i="6"/>
  <c r="O138" i="6"/>
  <c r="P138" i="6"/>
  <c r="A139" i="6"/>
  <c r="B139" i="6"/>
  <c r="C139" i="6"/>
  <c r="D139" i="6"/>
  <c r="E139" i="6"/>
  <c r="F139" i="6"/>
  <c r="G139" i="6"/>
  <c r="H139" i="6"/>
  <c r="I139" i="6"/>
  <c r="J139" i="6"/>
  <c r="L139" i="6"/>
  <c r="M139" i="6"/>
  <c r="N139" i="6"/>
  <c r="O139" i="6"/>
  <c r="P139" i="6"/>
  <c r="A140" i="6"/>
  <c r="B140" i="6"/>
  <c r="C140" i="6"/>
  <c r="D140" i="6"/>
  <c r="E140" i="6"/>
  <c r="F140" i="6"/>
  <c r="G140" i="6"/>
  <c r="H140" i="6"/>
  <c r="I140" i="6"/>
  <c r="J140" i="6"/>
  <c r="L140" i="6"/>
  <c r="M140" i="6"/>
  <c r="N140" i="6"/>
  <c r="O140" i="6"/>
  <c r="P140" i="6"/>
  <c r="A141" i="6"/>
  <c r="B141" i="6"/>
  <c r="C141" i="6"/>
  <c r="D141" i="6"/>
  <c r="E141" i="6"/>
  <c r="F141" i="6"/>
  <c r="G141" i="6"/>
  <c r="H141" i="6"/>
  <c r="I141" i="6"/>
  <c r="J141" i="6"/>
  <c r="L141" i="6"/>
  <c r="M141" i="6"/>
  <c r="N141" i="6"/>
  <c r="O141" i="6"/>
  <c r="P141" i="6"/>
  <c r="A142" i="6"/>
  <c r="B142" i="6"/>
  <c r="C142" i="6"/>
  <c r="D142" i="6"/>
  <c r="E142" i="6"/>
  <c r="F142" i="6"/>
  <c r="G142" i="6"/>
  <c r="H142" i="6"/>
  <c r="I142" i="6"/>
  <c r="J142" i="6"/>
  <c r="L142" i="6"/>
  <c r="M142" i="6"/>
  <c r="N142" i="6"/>
  <c r="O142" i="6"/>
  <c r="P142" i="6"/>
  <c r="A143" i="6"/>
  <c r="B143" i="6"/>
  <c r="C143" i="6"/>
  <c r="D143" i="6"/>
  <c r="E143" i="6"/>
  <c r="F143" i="6"/>
  <c r="G143" i="6"/>
  <c r="H143" i="6"/>
  <c r="I143" i="6"/>
  <c r="J143" i="6"/>
  <c r="L143" i="6"/>
  <c r="M143" i="6"/>
  <c r="N143" i="6"/>
  <c r="O143" i="6"/>
  <c r="P143" i="6"/>
  <c r="A144" i="6"/>
  <c r="B144" i="6"/>
  <c r="C144" i="6"/>
  <c r="D144" i="6"/>
  <c r="E144" i="6"/>
  <c r="F144" i="6"/>
  <c r="G144" i="6"/>
  <c r="H144" i="6"/>
  <c r="I144" i="6"/>
  <c r="J144" i="6"/>
  <c r="L144" i="6"/>
  <c r="M144" i="6"/>
  <c r="N144" i="6"/>
  <c r="O144" i="6"/>
  <c r="P144" i="6"/>
  <c r="A145" i="6"/>
  <c r="B145" i="6"/>
  <c r="C145" i="6"/>
  <c r="D145" i="6"/>
  <c r="E145" i="6"/>
  <c r="F145" i="6"/>
  <c r="G145" i="6"/>
  <c r="H145" i="6"/>
  <c r="I145" i="6"/>
  <c r="J145" i="6"/>
  <c r="L145" i="6"/>
  <c r="M145" i="6"/>
  <c r="N145" i="6"/>
  <c r="O145" i="6"/>
  <c r="P145" i="6"/>
  <c r="A146" i="6"/>
  <c r="B146" i="6"/>
  <c r="C146" i="6"/>
  <c r="D146" i="6"/>
  <c r="E146" i="6"/>
  <c r="F146" i="6"/>
  <c r="G146" i="6"/>
  <c r="H146" i="6"/>
  <c r="I146" i="6"/>
  <c r="J146" i="6"/>
  <c r="L146" i="6"/>
  <c r="M146" i="6"/>
  <c r="N146" i="6"/>
  <c r="O146" i="6"/>
  <c r="P146" i="6"/>
  <c r="A147" i="6"/>
  <c r="B147" i="6"/>
  <c r="C147" i="6"/>
  <c r="D147" i="6"/>
  <c r="E147" i="6"/>
  <c r="F147" i="6"/>
  <c r="G147" i="6"/>
  <c r="H147" i="6"/>
  <c r="I147" i="6"/>
  <c r="J147" i="6"/>
  <c r="L147" i="6"/>
  <c r="M147" i="6"/>
  <c r="N147" i="6"/>
  <c r="O147" i="6"/>
  <c r="P147" i="6"/>
  <c r="A148" i="6"/>
  <c r="B148" i="6"/>
  <c r="C148" i="6"/>
  <c r="D148" i="6"/>
  <c r="E148" i="6"/>
  <c r="F148" i="6"/>
  <c r="G148" i="6"/>
  <c r="H148" i="6"/>
  <c r="I148" i="6"/>
  <c r="J148" i="6"/>
  <c r="L148" i="6"/>
  <c r="M148" i="6"/>
  <c r="N148" i="6"/>
  <c r="O148" i="6"/>
  <c r="P148" i="6"/>
  <c r="A149" i="6"/>
  <c r="B149" i="6"/>
  <c r="C149" i="6"/>
  <c r="D149" i="6"/>
  <c r="E149" i="6"/>
  <c r="F149" i="6"/>
  <c r="G149" i="6"/>
  <c r="H149" i="6"/>
  <c r="I149" i="6"/>
  <c r="J149" i="6"/>
  <c r="L149" i="6"/>
  <c r="M149" i="6"/>
  <c r="N149" i="6"/>
  <c r="O149" i="6"/>
  <c r="P149" i="6"/>
  <c r="A150" i="6"/>
  <c r="B150" i="6"/>
  <c r="C150" i="6"/>
  <c r="D150" i="6"/>
  <c r="E150" i="6"/>
  <c r="F150" i="6"/>
  <c r="G150" i="6"/>
  <c r="H150" i="6"/>
  <c r="I150" i="6"/>
  <c r="J150" i="6"/>
  <c r="L150" i="6"/>
  <c r="M150" i="6"/>
  <c r="N150" i="6"/>
  <c r="O150" i="6"/>
  <c r="P150" i="6"/>
  <c r="A151" i="6"/>
  <c r="B151" i="6"/>
  <c r="C151" i="6"/>
  <c r="D151" i="6"/>
  <c r="E151" i="6"/>
  <c r="F151" i="6"/>
  <c r="G151" i="6"/>
  <c r="H151" i="6"/>
  <c r="I151" i="6"/>
  <c r="J151" i="6"/>
  <c r="L151" i="6"/>
  <c r="M151" i="6"/>
  <c r="N151" i="6"/>
  <c r="O151" i="6"/>
  <c r="P151" i="6"/>
  <c r="A152" i="6"/>
  <c r="B152" i="6"/>
  <c r="C152" i="6"/>
  <c r="D152" i="6"/>
  <c r="E152" i="6"/>
  <c r="F152" i="6"/>
  <c r="G152" i="6"/>
  <c r="H152" i="6"/>
  <c r="I152" i="6"/>
  <c r="J152" i="6"/>
  <c r="L152" i="6"/>
  <c r="M152" i="6"/>
  <c r="N152" i="6"/>
  <c r="O152" i="6"/>
  <c r="P152" i="6"/>
  <c r="A153" i="6"/>
  <c r="B153" i="6"/>
  <c r="C153" i="6"/>
  <c r="D153" i="6"/>
  <c r="E153" i="6"/>
  <c r="F153" i="6"/>
  <c r="G153" i="6"/>
  <c r="H153" i="6"/>
  <c r="I153" i="6"/>
  <c r="J153" i="6"/>
  <c r="L153" i="6"/>
  <c r="M153" i="6"/>
  <c r="N153" i="6"/>
  <c r="O153" i="6"/>
  <c r="P153" i="6"/>
  <c r="A154" i="6"/>
  <c r="B154" i="6"/>
  <c r="C154" i="6"/>
  <c r="D154" i="6"/>
  <c r="E154" i="6"/>
  <c r="F154" i="6"/>
  <c r="G154" i="6"/>
  <c r="H154" i="6"/>
  <c r="I154" i="6"/>
  <c r="J154" i="6"/>
  <c r="L154" i="6"/>
  <c r="M154" i="6"/>
  <c r="N154" i="6"/>
  <c r="O154" i="6"/>
  <c r="P154" i="6"/>
  <c r="A155" i="6"/>
  <c r="B155" i="6"/>
  <c r="C155" i="6"/>
  <c r="D155" i="6"/>
  <c r="E155" i="6"/>
  <c r="F155" i="6"/>
  <c r="G155" i="6"/>
  <c r="H155" i="6"/>
  <c r="I155" i="6"/>
  <c r="J155" i="6"/>
  <c r="L155" i="6"/>
  <c r="M155" i="6"/>
  <c r="N155" i="6"/>
  <c r="O155" i="6"/>
  <c r="P155" i="6"/>
  <c r="A156" i="6"/>
  <c r="B156" i="6"/>
  <c r="C156" i="6"/>
  <c r="D156" i="6"/>
  <c r="E156" i="6"/>
  <c r="F156" i="6"/>
  <c r="G156" i="6"/>
  <c r="H156" i="6"/>
  <c r="I156" i="6"/>
  <c r="J156" i="6"/>
  <c r="L156" i="6"/>
  <c r="M156" i="6"/>
  <c r="N156" i="6"/>
  <c r="O156" i="6"/>
  <c r="P156" i="6"/>
  <c r="A157" i="6"/>
  <c r="B157" i="6"/>
  <c r="C157" i="6"/>
  <c r="D157" i="6"/>
  <c r="E157" i="6"/>
  <c r="F157" i="6"/>
  <c r="G157" i="6"/>
  <c r="H157" i="6"/>
  <c r="I157" i="6"/>
  <c r="J157" i="6"/>
  <c r="L157" i="6"/>
  <c r="M157" i="6"/>
  <c r="N157" i="6"/>
  <c r="O157" i="6"/>
  <c r="P157" i="6"/>
  <c r="A158" i="6"/>
  <c r="B158" i="6"/>
  <c r="C158" i="6"/>
  <c r="D158" i="6"/>
  <c r="E158" i="6"/>
  <c r="F158" i="6"/>
  <c r="G158" i="6"/>
  <c r="H158" i="6"/>
  <c r="I158" i="6"/>
  <c r="J158" i="6"/>
  <c r="L158" i="6"/>
  <c r="M158" i="6"/>
  <c r="N158" i="6"/>
  <c r="O158" i="6"/>
  <c r="P158" i="6"/>
  <c r="A159" i="6"/>
  <c r="B159" i="6"/>
  <c r="C159" i="6"/>
  <c r="D159" i="6"/>
  <c r="E159" i="6"/>
  <c r="F159" i="6"/>
  <c r="G159" i="6"/>
  <c r="H159" i="6"/>
  <c r="I159" i="6"/>
  <c r="J159" i="6"/>
  <c r="L159" i="6"/>
  <c r="M159" i="6"/>
  <c r="N159" i="6"/>
  <c r="O159" i="6"/>
  <c r="P159" i="6"/>
  <c r="A160" i="6"/>
  <c r="B160" i="6"/>
  <c r="C160" i="6"/>
  <c r="D160" i="6"/>
  <c r="E160" i="6"/>
  <c r="F160" i="6"/>
  <c r="G160" i="6"/>
  <c r="H160" i="6"/>
  <c r="I160" i="6"/>
  <c r="J160" i="6"/>
  <c r="L160" i="6"/>
  <c r="M160" i="6"/>
  <c r="N160" i="6"/>
  <c r="O160" i="6"/>
  <c r="P160" i="6"/>
  <c r="A161" i="6"/>
  <c r="B161" i="6"/>
  <c r="C161" i="6"/>
  <c r="D161" i="6"/>
  <c r="E161" i="6"/>
  <c r="F161" i="6"/>
  <c r="G161" i="6"/>
  <c r="H161" i="6"/>
  <c r="I161" i="6"/>
  <c r="J161" i="6"/>
  <c r="L161" i="6"/>
  <c r="M161" i="6"/>
  <c r="N161" i="6"/>
  <c r="O161" i="6"/>
  <c r="P161" i="6"/>
  <c r="A162" i="6"/>
  <c r="B162" i="6"/>
  <c r="C162" i="6"/>
  <c r="D162" i="6"/>
  <c r="E162" i="6"/>
  <c r="F162" i="6"/>
  <c r="G162" i="6"/>
  <c r="H162" i="6"/>
  <c r="I162" i="6"/>
  <c r="J162" i="6"/>
  <c r="L162" i="6"/>
  <c r="M162" i="6"/>
  <c r="N162" i="6"/>
  <c r="O162" i="6"/>
  <c r="P162" i="6"/>
  <c r="A163" i="6"/>
  <c r="B163" i="6"/>
  <c r="C163" i="6"/>
  <c r="D163" i="6"/>
  <c r="E163" i="6"/>
  <c r="F163" i="6"/>
  <c r="G163" i="6"/>
  <c r="H163" i="6"/>
  <c r="I163" i="6"/>
  <c r="J163" i="6"/>
  <c r="L163" i="6"/>
  <c r="M163" i="6"/>
  <c r="N163" i="6"/>
  <c r="O163" i="6"/>
  <c r="P163" i="6"/>
  <c r="A164" i="6"/>
  <c r="B164" i="6"/>
  <c r="C164" i="6"/>
  <c r="D164" i="6"/>
  <c r="E164" i="6"/>
  <c r="F164" i="6"/>
  <c r="G164" i="6"/>
  <c r="H164" i="6"/>
  <c r="I164" i="6"/>
  <c r="J164" i="6"/>
  <c r="L164" i="6"/>
  <c r="M164" i="6"/>
  <c r="N164" i="6"/>
  <c r="O164" i="6"/>
  <c r="P164" i="6"/>
  <c r="A165" i="6"/>
  <c r="B165" i="6"/>
  <c r="C165" i="6"/>
  <c r="D165" i="6"/>
  <c r="E165" i="6"/>
  <c r="F165" i="6"/>
  <c r="G165" i="6"/>
  <c r="H165" i="6"/>
  <c r="I165" i="6"/>
  <c r="J165" i="6"/>
  <c r="L165" i="6"/>
  <c r="M165" i="6"/>
  <c r="N165" i="6"/>
  <c r="O165" i="6"/>
  <c r="P165" i="6"/>
  <c r="A166" i="6"/>
  <c r="B166" i="6"/>
  <c r="C166" i="6"/>
  <c r="D166" i="6"/>
  <c r="E166" i="6"/>
  <c r="F166" i="6"/>
  <c r="G166" i="6"/>
  <c r="H166" i="6"/>
  <c r="I166" i="6"/>
  <c r="J166" i="6"/>
  <c r="L166" i="6"/>
  <c r="M166" i="6"/>
  <c r="N166" i="6"/>
  <c r="O166" i="6"/>
  <c r="P166" i="6"/>
  <c r="A167" i="6"/>
  <c r="B167" i="6"/>
  <c r="C167" i="6"/>
  <c r="D167" i="6"/>
  <c r="E167" i="6"/>
  <c r="F167" i="6"/>
  <c r="G167" i="6"/>
  <c r="H167" i="6"/>
  <c r="I167" i="6"/>
  <c r="J167" i="6"/>
  <c r="L167" i="6"/>
  <c r="M167" i="6"/>
  <c r="N167" i="6"/>
  <c r="O167" i="6"/>
  <c r="P167" i="6"/>
  <c r="A168" i="6"/>
  <c r="B168" i="6"/>
  <c r="C168" i="6"/>
  <c r="D168" i="6"/>
  <c r="E168" i="6"/>
  <c r="F168" i="6"/>
  <c r="G168" i="6"/>
  <c r="H168" i="6"/>
  <c r="I168" i="6"/>
  <c r="J168" i="6"/>
  <c r="L168" i="6"/>
  <c r="M168" i="6"/>
  <c r="N168" i="6"/>
  <c r="O168" i="6"/>
  <c r="P168" i="6"/>
  <c r="A169" i="6"/>
  <c r="B169" i="6"/>
  <c r="C169" i="6"/>
  <c r="D169" i="6"/>
  <c r="E169" i="6"/>
  <c r="F169" i="6"/>
  <c r="G169" i="6"/>
  <c r="H169" i="6"/>
  <c r="I169" i="6"/>
  <c r="J169" i="6"/>
  <c r="L169" i="6"/>
  <c r="M169" i="6"/>
  <c r="N169" i="6"/>
  <c r="O169" i="6"/>
  <c r="P169" i="6"/>
  <c r="A170" i="6"/>
  <c r="B170" i="6"/>
  <c r="C170" i="6"/>
  <c r="D170" i="6"/>
  <c r="E170" i="6"/>
  <c r="F170" i="6"/>
  <c r="G170" i="6"/>
  <c r="H170" i="6"/>
  <c r="I170" i="6"/>
  <c r="J170" i="6"/>
  <c r="L170" i="6"/>
  <c r="M170" i="6"/>
  <c r="N170" i="6"/>
  <c r="O170" i="6"/>
  <c r="P170" i="6"/>
  <c r="A171" i="6"/>
  <c r="B171" i="6"/>
  <c r="C171" i="6"/>
  <c r="D171" i="6"/>
  <c r="E171" i="6"/>
  <c r="F171" i="6"/>
  <c r="G171" i="6"/>
  <c r="H171" i="6"/>
  <c r="I171" i="6"/>
  <c r="J171" i="6"/>
  <c r="L171" i="6"/>
  <c r="M171" i="6"/>
  <c r="N171" i="6"/>
  <c r="O171" i="6"/>
  <c r="P171" i="6"/>
  <c r="A172" i="6"/>
  <c r="B172" i="6"/>
  <c r="C172" i="6"/>
  <c r="D172" i="6"/>
  <c r="E172" i="6"/>
  <c r="F172" i="6"/>
  <c r="G172" i="6"/>
  <c r="H172" i="6"/>
  <c r="I172" i="6"/>
  <c r="J172" i="6"/>
  <c r="L172" i="6"/>
  <c r="M172" i="6"/>
  <c r="N172" i="6"/>
  <c r="O172" i="6"/>
  <c r="P172" i="6"/>
  <c r="A173" i="6"/>
  <c r="B173" i="6"/>
  <c r="C173" i="6"/>
  <c r="D173" i="6"/>
  <c r="E173" i="6"/>
  <c r="F173" i="6"/>
  <c r="G173" i="6"/>
  <c r="H173" i="6"/>
  <c r="I173" i="6"/>
  <c r="J173" i="6"/>
  <c r="L173" i="6"/>
  <c r="M173" i="6"/>
  <c r="N173" i="6"/>
  <c r="O173" i="6"/>
  <c r="P173" i="6"/>
  <c r="A174" i="6"/>
  <c r="B174" i="6"/>
  <c r="C174" i="6"/>
  <c r="D174" i="6"/>
  <c r="E174" i="6"/>
  <c r="F174" i="6"/>
  <c r="G174" i="6"/>
  <c r="H174" i="6"/>
  <c r="I174" i="6"/>
  <c r="J174" i="6"/>
  <c r="L174" i="6"/>
  <c r="M174" i="6"/>
  <c r="N174" i="6"/>
  <c r="O174" i="6"/>
  <c r="P174" i="6"/>
  <c r="A175" i="6"/>
  <c r="B175" i="6"/>
  <c r="C175" i="6"/>
  <c r="D175" i="6"/>
  <c r="E175" i="6"/>
  <c r="F175" i="6"/>
  <c r="G175" i="6"/>
  <c r="H175" i="6"/>
  <c r="I175" i="6"/>
  <c r="J175" i="6"/>
  <c r="L175" i="6"/>
  <c r="M175" i="6"/>
  <c r="N175" i="6"/>
  <c r="O175" i="6"/>
  <c r="P175" i="6"/>
  <c r="A176" i="6"/>
  <c r="B176" i="6"/>
  <c r="C176" i="6"/>
  <c r="D176" i="6"/>
  <c r="E176" i="6"/>
  <c r="F176" i="6"/>
  <c r="G176" i="6"/>
  <c r="H176" i="6"/>
  <c r="I176" i="6"/>
  <c r="J176" i="6"/>
  <c r="L176" i="6"/>
  <c r="M176" i="6"/>
  <c r="N176" i="6"/>
  <c r="O176" i="6"/>
  <c r="P176" i="6"/>
  <c r="A177" i="6"/>
  <c r="B177" i="6"/>
  <c r="C177" i="6"/>
  <c r="D177" i="6"/>
  <c r="E177" i="6"/>
  <c r="F177" i="6"/>
  <c r="G177" i="6"/>
  <c r="H177" i="6"/>
  <c r="I177" i="6"/>
  <c r="J177" i="6"/>
  <c r="L177" i="6"/>
  <c r="M177" i="6"/>
  <c r="N177" i="6"/>
  <c r="O177" i="6"/>
  <c r="P177" i="6"/>
  <c r="A178" i="6"/>
  <c r="B178" i="6"/>
  <c r="C178" i="6"/>
  <c r="D178" i="6"/>
  <c r="E178" i="6"/>
  <c r="F178" i="6"/>
  <c r="G178" i="6"/>
  <c r="H178" i="6"/>
  <c r="I178" i="6"/>
  <c r="J178" i="6"/>
  <c r="L178" i="6"/>
  <c r="M178" i="6"/>
  <c r="N178" i="6"/>
  <c r="O178" i="6"/>
  <c r="P178" i="6"/>
  <c r="A179" i="6"/>
  <c r="B179" i="6"/>
  <c r="C179" i="6"/>
  <c r="D179" i="6"/>
  <c r="E179" i="6"/>
  <c r="F179" i="6"/>
  <c r="G179" i="6"/>
  <c r="H179" i="6"/>
  <c r="I179" i="6"/>
  <c r="J179" i="6"/>
  <c r="L179" i="6"/>
  <c r="M179" i="6"/>
  <c r="N179" i="6"/>
  <c r="O179" i="6"/>
  <c r="P179" i="6"/>
  <c r="A180" i="6"/>
  <c r="B180" i="6"/>
  <c r="C180" i="6"/>
  <c r="D180" i="6"/>
  <c r="E180" i="6"/>
  <c r="F180" i="6"/>
  <c r="G180" i="6"/>
  <c r="H180" i="6"/>
  <c r="I180" i="6"/>
  <c r="J180" i="6"/>
  <c r="L180" i="6"/>
  <c r="M180" i="6"/>
  <c r="N180" i="6"/>
  <c r="O180" i="6"/>
  <c r="P180" i="6"/>
  <c r="A181" i="6"/>
  <c r="B181" i="6"/>
  <c r="C181" i="6"/>
  <c r="D181" i="6"/>
  <c r="E181" i="6"/>
  <c r="F181" i="6"/>
  <c r="G181" i="6"/>
  <c r="H181" i="6"/>
  <c r="I181" i="6"/>
  <c r="J181" i="6"/>
  <c r="L181" i="6"/>
  <c r="M181" i="6"/>
  <c r="N181" i="6"/>
  <c r="O181" i="6"/>
  <c r="P181" i="6"/>
  <c r="A182" i="6"/>
  <c r="B182" i="6"/>
  <c r="C182" i="6"/>
  <c r="D182" i="6"/>
  <c r="E182" i="6"/>
  <c r="F182" i="6"/>
  <c r="G182" i="6"/>
  <c r="H182" i="6"/>
  <c r="I182" i="6"/>
  <c r="J182" i="6"/>
  <c r="L182" i="6"/>
  <c r="M182" i="6"/>
  <c r="N182" i="6"/>
  <c r="O182" i="6"/>
  <c r="P182" i="6"/>
  <c r="A183" i="6"/>
  <c r="B183" i="6"/>
  <c r="C183" i="6"/>
  <c r="D183" i="6"/>
  <c r="E183" i="6"/>
  <c r="F183" i="6"/>
  <c r="G183" i="6"/>
  <c r="H183" i="6"/>
  <c r="I183" i="6"/>
  <c r="J183" i="6"/>
  <c r="L183" i="6"/>
  <c r="M183" i="6"/>
  <c r="N183" i="6"/>
  <c r="O183" i="6"/>
  <c r="P183" i="6"/>
  <c r="A184" i="6"/>
  <c r="B184" i="6"/>
  <c r="C184" i="6"/>
  <c r="D184" i="6"/>
  <c r="E184" i="6"/>
  <c r="F184" i="6"/>
  <c r="G184" i="6"/>
  <c r="H184" i="6"/>
  <c r="I184" i="6"/>
  <c r="J184" i="6"/>
  <c r="L184" i="6"/>
  <c r="M184" i="6"/>
  <c r="N184" i="6"/>
  <c r="O184" i="6"/>
  <c r="P184" i="6"/>
  <c r="A185" i="6"/>
  <c r="B185" i="6"/>
  <c r="C185" i="6"/>
  <c r="D185" i="6"/>
  <c r="E185" i="6"/>
  <c r="F185" i="6"/>
  <c r="G185" i="6"/>
  <c r="H185" i="6"/>
  <c r="I185" i="6"/>
  <c r="J185" i="6"/>
  <c r="L185" i="6"/>
  <c r="M185" i="6"/>
  <c r="N185" i="6"/>
  <c r="O185" i="6"/>
  <c r="P185" i="6"/>
  <c r="A186" i="6"/>
  <c r="B186" i="6"/>
  <c r="C186" i="6"/>
  <c r="D186" i="6"/>
  <c r="E186" i="6"/>
  <c r="F186" i="6"/>
  <c r="G186" i="6"/>
  <c r="H186" i="6"/>
  <c r="I186" i="6"/>
  <c r="J186" i="6"/>
  <c r="L186" i="6"/>
  <c r="M186" i="6"/>
  <c r="N186" i="6"/>
  <c r="O186" i="6"/>
  <c r="P186" i="6"/>
  <c r="A187" i="6"/>
  <c r="B187" i="6"/>
  <c r="C187" i="6"/>
  <c r="D187" i="6"/>
  <c r="E187" i="6"/>
  <c r="F187" i="6"/>
  <c r="G187" i="6"/>
  <c r="H187" i="6"/>
  <c r="I187" i="6"/>
  <c r="J187" i="6"/>
  <c r="L187" i="6"/>
  <c r="M187" i="6"/>
  <c r="N187" i="6"/>
  <c r="O187" i="6"/>
  <c r="P187" i="6"/>
  <c r="A188" i="6"/>
  <c r="B188" i="6"/>
  <c r="C188" i="6"/>
  <c r="D188" i="6"/>
  <c r="E188" i="6"/>
  <c r="F188" i="6"/>
  <c r="G188" i="6"/>
  <c r="H188" i="6"/>
  <c r="I188" i="6"/>
  <c r="J188" i="6"/>
  <c r="L188" i="6"/>
  <c r="M188" i="6"/>
  <c r="N188" i="6"/>
  <c r="O188" i="6"/>
  <c r="P188" i="6"/>
  <c r="A189" i="6"/>
  <c r="B189" i="6"/>
  <c r="C189" i="6"/>
  <c r="D189" i="6"/>
  <c r="E189" i="6"/>
  <c r="F189" i="6"/>
  <c r="G189" i="6"/>
  <c r="H189" i="6"/>
  <c r="I189" i="6"/>
  <c r="J189" i="6"/>
  <c r="L189" i="6"/>
  <c r="M189" i="6"/>
  <c r="N189" i="6"/>
  <c r="O189" i="6"/>
  <c r="P189" i="6"/>
  <c r="A190" i="6"/>
  <c r="B190" i="6"/>
  <c r="C190" i="6"/>
  <c r="D190" i="6"/>
  <c r="E190" i="6"/>
  <c r="F190" i="6"/>
  <c r="G190" i="6"/>
  <c r="H190" i="6"/>
  <c r="I190" i="6"/>
  <c r="J190" i="6"/>
  <c r="L190" i="6"/>
  <c r="M190" i="6"/>
  <c r="N190" i="6"/>
  <c r="O190" i="6"/>
  <c r="P190" i="6"/>
  <c r="A191" i="6"/>
  <c r="B191" i="6"/>
  <c r="C191" i="6"/>
  <c r="D191" i="6"/>
  <c r="E191" i="6"/>
  <c r="F191" i="6"/>
  <c r="G191" i="6"/>
  <c r="H191" i="6"/>
  <c r="I191" i="6"/>
  <c r="J191" i="6"/>
  <c r="L191" i="6"/>
  <c r="M191" i="6"/>
  <c r="N191" i="6"/>
  <c r="O191" i="6"/>
  <c r="P191" i="6"/>
  <c r="A192" i="6"/>
  <c r="B192" i="6"/>
  <c r="C192" i="6"/>
  <c r="D192" i="6"/>
  <c r="E192" i="6"/>
  <c r="F192" i="6"/>
  <c r="G192" i="6"/>
  <c r="H192" i="6"/>
  <c r="I192" i="6"/>
  <c r="J192" i="6"/>
  <c r="L192" i="6"/>
  <c r="M192" i="6"/>
  <c r="N192" i="6"/>
  <c r="O192" i="6"/>
  <c r="P192" i="6"/>
  <c r="A193" i="6"/>
  <c r="B193" i="6"/>
  <c r="C193" i="6"/>
  <c r="D193" i="6"/>
  <c r="E193" i="6"/>
  <c r="F193" i="6"/>
  <c r="G193" i="6"/>
  <c r="H193" i="6"/>
  <c r="I193" i="6"/>
  <c r="J193" i="6"/>
  <c r="L193" i="6"/>
  <c r="M193" i="6"/>
  <c r="N193" i="6"/>
  <c r="O193" i="6"/>
  <c r="P193" i="6"/>
  <c r="A194" i="6"/>
  <c r="B194" i="6"/>
  <c r="C194" i="6"/>
  <c r="D194" i="6"/>
  <c r="E194" i="6"/>
  <c r="F194" i="6"/>
  <c r="G194" i="6"/>
  <c r="H194" i="6"/>
  <c r="I194" i="6"/>
  <c r="J194" i="6"/>
  <c r="L194" i="6"/>
  <c r="M194" i="6"/>
  <c r="N194" i="6"/>
  <c r="O194" i="6"/>
  <c r="P194" i="6"/>
  <c r="A195" i="6"/>
  <c r="B195" i="6"/>
  <c r="C195" i="6"/>
  <c r="D195" i="6"/>
  <c r="E195" i="6"/>
  <c r="F195" i="6"/>
  <c r="G195" i="6"/>
  <c r="H195" i="6"/>
  <c r="I195" i="6"/>
  <c r="J195" i="6"/>
  <c r="L195" i="6"/>
  <c r="M195" i="6"/>
  <c r="N195" i="6"/>
  <c r="O195" i="6"/>
  <c r="P195" i="6"/>
  <c r="A196" i="6"/>
  <c r="B196" i="6"/>
  <c r="C196" i="6"/>
  <c r="D196" i="6"/>
  <c r="E196" i="6"/>
  <c r="F196" i="6"/>
  <c r="G196" i="6"/>
  <c r="H196" i="6"/>
  <c r="I196" i="6"/>
  <c r="J196" i="6"/>
  <c r="L196" i="6"/>
  <c r="M196" i="6"/>
  <c r="N196" i="6"/>
  <c r="O196" i="6"/>
  <c r="P196" i="6"/>
  <c r="A197" i="6"/>
  <c r="B197" i="6"/>
  <c r="C197" i="6"/>
  <c r="D197" i="6"/>
  <c r="E197" i="6"/>
  <c r="F197" i="6"/>
  <c r="G197" i="6"/>
  <c r="H197" i="6"/>
  <c r="I197" i="6"/>
  <c r="J197" i="6"/>
  <c r="L197" i="6"/>
  <c r="M197" i="6"/>
  <c r="N197" i="6"/>
  <c r="O197" i="6"/>
  <c r="P197" i="6"/>
  <c r="A198" i="6"/>
  <c r="B198" i="6"/>
  <c r="C198" i="6"/>
  <c r="D198" i="6"/>
  <c r="E198" i="6"/>
  <c r="F198" i="6"/>
  <c r="G198" i="6"/>
  <c r="H198" i="6"/>
  <c r="I198" i="6"/>
  <c r="J198" i="6"/>
  <c r="L198" i="6"/>
  <c r="M198" i="6"/>
  <c r="N198" i="6"/>
  <c r="O198" i="6"/>
  <c r="P198" i="6"/>
  <c r="A199" i="6"/>
  <c r="B199" i="6"/>
  <c r="C199" i="6"/>
  <c r="D199" i="6"/>
  <c r="E199" i="6"/>
  <c r="F199" i="6"/>
  <c r="G199" i="6"/>
  <c r="H199" i="6"/>
  <c r="I199" i="6"/>
  <c r="J199" i="6"/>
  <c r="L199" i="6"/>
  <c r="M199" i="6"/>
  <c r="N199" i="6"/>
  <c r="O199" i="6"/>
  <c r="P199" i="6"/>
  <c r="A200" i="6"/>
  <c r="B200" i="6"/>
  <c r="C200" i="6"/>
  <c r="D200" i="6"/>
  <c r="E200" i="6"/>
  <c r="F200" i="6"/>
  <c r="G200" i="6"/>
  <c r="H200" i="6"/>
  <c r="I200" i="6"/>
  <c r="J200" i="6"/>
  <c r="L200" i="6"/>
  <c r="M200" i="6"/>
  <c r="N200" i="6"/>
  <c r="O200" i="6"/>
  <c r="P200" i="6"/>
  <c r="A201" i="6"/>
  <c r="B201" i="6"/>
  <c r="C201" i="6"/>
  <c r="D201" i="6"/>
  <c r="E201" i="6"/>
  <c r="F201" i="6"/>
  <c r="G201" i="6"/>
  <c r="H201" i="6"/>
  <c r="I201" i="6"/>
  <c r="J201" i="6"/>
  <c r="L201" i="6"/>
  <c r="M201" i="6"/>
  <c r="N201" i="6"/>
  <c r="O201" i="6"/>
  <c r="P201" i="6"/>
  <c r="A202" i="6"/>
  <c r="B202" i="6"/>
  <c r="C202" i="6"/>
  <c r="D202" i="6"/>
  <c r="E202" i="6"/>
  <c r="F202" i="6"/>
  <c r="G202" i="6"/>
  <c r="H202" i="6"/>
  <c r="I202" i="6"/>
  <c r="J202" i="6"/>
  <c r="L202" i="6"/>
  <c r="M202" i="6"/>
  <c r="N202" i="6"/>
  <c r="O202" i="6"/>
  <c r="P202" i="6"/>
  <c r="A203" i="6"/>
  <c r="B203" i="6"/>
  <c r="C203" i="6"/>
  <c r="D203" i="6"/>
  <c r="E203" i="6"/>
  <c r="F203" i="6"/>
  <c r="G203" i="6"/>
  <c r="H203" i="6"/>
  <c r="I203" i="6"/>
  <c r="J203" i="6"/>
  <c r="L203" i="6"/>
  <c r="M203" i="6"/>
  <c r="N203" i="6"/>
  <c r="O203" i="6"/>
  <c r="P203" i="6"/>
  <c r="A204" i="6"/>
  <c r="B204" i="6"/>
  <c r="C204" i="6"/>
  <c r="D204" i="6"/>
  <c r="E204" i="6"/>
  <c r="F204" i="6"/>
  <c r="G204" i="6"/>
  <c r="H204" i="6"/>
  <c r="I204" i="6"/>
  <c r="J204" i="6"/>
  <c r="L204" i="6"/>
  <c r="M204" i="6"/>
  <c r="N204" i="6"/>
  <c r="O204" i="6"/>
  <c r="P204" i="6"/>
  <c r="A205" i="6"/>
  <c r="B205" i="6"/>
  <c r="C205" i="6"/>
  <c r="D205" i="6"/>
  <c r="E205" i="6"/>
  <c r="F205" i="6"/>
  <c r="G205" i="6"/>
  <c r="H205" i="6"/>
  <c r="I205" i="6"/>
  <c r="J205" i="6"/>
  <c r="L205" i="6"/>
  <c r="M205" i="6"/>
  <c r="N205" i="6"/>
  <c r="O205" i="6"/>
  <c r="P205" i="6"/>
  <c r="A206" i="6"/>
  <c r="B206" i="6"/>
  <c r="C206" i="6"/>
  <c r="D206" i="6"/>
  <c r="E206" i="6"/>
  <c r="F206" i="6"/>
  <c r="G206" i="6"/>
  <c r="H206" i="6"/>
  <c r="I206" i="6"/>
  <c r="J206" i="6"/>
  <c r="L206" i="6"/>
  <c r="M206" i="6"/>
  <c r="N206" i="6"/>
  <c r="O206" i="6"/>
  <c r="P206" i="6"/>
  <c r="A207" i="6"/>
  <c r="B207" i="6"/>
  <c r="C207" i="6"/>
  <c r="D207" i="6"/>
  <c r="E207" i="6"/>
  <c r="F207" i="6"/>
  <c r="G207" i="6"/>
  <c r="H207" i="6"/>
  <c r="I207" i="6"/>
  <c r="J207" i="6"/>
  <c r="L207" i="6"/>
  <c r="M207" i="6"/>
  <c r="N207" i="6"/>
  <c r="O207" i="6"/>
  <c r="P207" i="6"/>
  <c r="A208" i="6"/>
  <c r="B208" i="6"/>
  <c r="C208" i="6"/>
  <c r="D208" i="6"/>
  <c r="E208" i="6"/>
  <c r="F208" i="6"/>
  <c r="G208" i="6"/>
  <c r="H208" i="6"/>
  <c r="I208" i="6"/>
  <c r="J208" i="6"/>
  <c r="L208" i="6"/>
  <c r="M208" i="6"/>
  <c r="N208" i="6"/>
  <c r="O208" i="6"/>
  <c r="P208" i="6"/>
  <c r="A209" i="6"/>
  <c r="B209" i="6"/>
  <c r="C209" i="6"/>
  <c r="D209" i="6"/>
  <c r="E209" i="6"/>
  <c r="F209" i="6"/>
  <c r="G209" i="6"/>
  <c r="H209" i="6"/>
  <c r="I209" i="6"/>
  <c r="J209" i="6"/>
  <c r="L209" i="6"/>
  <c r="M209" i="6"/>
  <c r="N209" i="6"/>
  <c r="O209" i="6"/>
  <c r="P209" i="6"/>
  <c r="A210" i="6"/>
  <c r="B210" i="6"/>
  <c r="C210" i="6"/>
  <c r="D210" i="6"/>
  <c r="E210" i="6"/>
  <c r="F210" i="6"/>
  <c r="G210" i="6"/>
  <c r="H210" i="6"/>
  <c r="I210" i="6"/>
  <c r="J210" i="6"/>
  <c r="L210" i="6"/>
  <c r="M210" i="6"/>
  <c r="N210" i="6"/>
  <c r="O210" i="6"/>
  <c r="P210" i="6"/>
  <c r="A211" i="6"/>
  <c r="B211" i="6"/>
  <c r="C211" i="6"/>
  <c r="D211" i="6"/>
  <c r="E211" i="6"/>
  <c r="F211" i="6"/>
  <c r="G211" i="6"/>
  <c r="H211" i="6"/>
  <c r="I211" i="6"/>
  <c r="J211" i="6"/>
  <c r="L211" i="6"/>
  <c r="M211" i="6"/>
  <c r="N211" i="6"/>
  <c r="O211" i="6"/>
  <c r="P211" i="6"/>
  <c r="A212" i="6"/>
  <c r="B212" i="6"/>
  <c r="C212" i="6"/>
  <c r="D212" i="6"/>
  <c r="E212" i="6"/>
  <c r="F212" i="6"/>
  <c r="G212" i="6"/>
  <c r="H212" i="6"/>
  <c r="I212" i="6"/>
  <c r="J212" i="6"/>
  <c r="L212" i="6"/>
  <c r="M212" i="6"/>
  <c r="N212" i="6"/>
  <c r="O212" i="6"/>
  <c r="P212" i="6"/>
  <c r="A213" i="6"/>
  <c r="B213" i="6"/>
  <c r="C213" i="6"/>
  <c r="D213" i="6"/>
  <c r="E213" i="6"/>
  <c r="F213" i="6"/>
  <c r="G213" i="6"/>
  <c r="H213" i="6"/>
  <c r="I213" i="6"/>
  <c r="J213" i="6"/>
  <c r="L213" i="6"/>
  <c r="M213" i="6"/>
  <c r="N213" i="6"/>
  <c r="O213" i="6"/>
  <c r="P213" i="6"/>
  <c r="A214" i="6"/>
  <c r="B214" i="6"/>
  <c r="C214" i="6"/>
  <c r="D214" i="6"/>
  <c r="E214" i="6"/>
  <c r="F214" i="6"/>
  <c r="G214" i="6"/>
  <c r="H214" i="6"/>
  <c r="I214" i="6"/>
  <c r="J214" i="6"/>
  <c r="L214" i="6"/>
  <c r="M214" i="6"/>
  <c r="N214" i="6"/>
  <c r="O214" i="6"/>
  <c r="P214" i="6"/>
  <c r="A215" i="6"/>
  <c r="B215" i="6"/>
  <c r="C215" i="6"/>
  <c r="D215" i="6"/>
  <c r="E215" i="6"/>
  <c r="F215" i="6"/>
  <c r="G215" i="6"/>
  <c r="H215" i="6"/>
  <c r="I215" i="6"/>
  <c r="J215" i="6"/>
  <c r="L215" i="6"/>
  <c r="M215" i="6"/>
  <c r="N215" i="6"/>
  <c r="O215" i="6"/>
  <c r="P215" i="6"/>
  <c r="A216" i="6"/>
  <c r="B216" i="6"/>
  <c r="C216" i="6"/>
  <c r="D216" i="6"/>
  <c r="E216" i="6"/>
  <c r="F216" i="6"/>
  <c r="G216" i="6"/>
  <c r="H216" i="6"/>
  <c r="I216" i="6"/>
  <c r="J216" i="6"/>
  <c r="L216" i="6"/>
  <c r="M216" i="6"/>
  <c r="N216" i="6"/>
  <c r="O216" i="6"/>
  <c r="P216" i="6"/>
  <c r="A217" i="6"/>
  <c r="B217" i="6"/>
  <c r="C217" i="6"/>
  <c r="D217" i="6"/>
  <c r="E217" i="6"/>
  <c r="F217" i="6"/>
  <c r="G217" i="6"/>
  <c r="H217" i="6"/>
  <c r="I217" i="6"/>
  <c r="J217" i="6"/>
  <c r="L217" i="6"/>
  <c r="M217" i="6"/>
  <c r="N217" i="6"/>
  <c r="O217" i="6"/>
  <c r="P217" i="6"/>
  <c r="A218" i="6"/>
  <c r="B218" i="6"/>
  <c r="C218" i="6"/>
  <c r="D218" i="6"/>
  <c r="E218" i="6"/>
  <c r="F218" i="6"/>
  <c r="G218" i="6"/>
  <c r="H218" i="6"/>
  <c r="I218" i="6"/>
  <c r="J218" i="6"/>
  <c r="L218" i="6"/>
  <c r="M218" i="6"/>
  <c r="N218" i="6"/>
  <c r="O218" i="6"/>
  <c r="P218" i="6"/>
  <c r="A219" i="6"/>
  <c r="B219" i="6"/>
  <c r="C219" i="6"/>
  <c r="D219" i="6"/>
  <c r="E219" i="6"/>
  <c r="F219" i="6"/>
  <c r="G219" i="6"/>
  <c r="H219" i="6"/>
  <c r="I219" i="6"/>
  <c r="J219" i="6"/>
  <c r="L219" i="6"/>
  <c r="M219" i="6"/>
  <c r="N219" i="6"/>
  <c r="O219" i="6"/>
  <c r="P219" i="6"/>
  <c r="A220" i="6"/>
  <c r="B220" i="6"/>
  <c r="C220" i="6"/>
  <c r="D220" i="6"/>
  <c r="E220" i="6"/>
  <c r="F220" i="6"/>
  <c r="G220" i="6"/>
  <c r="H220" i="6"/>
  <c r="I220" i="6"/>
  <c r="J220" i="6"/>
  <c r="L220" i="6"/>
  <c r="M220" i="6"/>
  <c r="N220" i="6"/>
  <c r="O220" i="6"/>
  <c r="P220" i="6"/>
  <c r="A221" i="6"/>
  <c r="B221" i="6"/>
  <c r="C221" i="6"/>
  <c r="D221" i="6"/>
  <c r="E221" i="6"/>
  <c r="F221" i="6"/>
  <c r="G221" i="6"/>
  <c r="H221" i="6"/>
  <c r="I221" i="6"/>
  <c r="J221" i="6"/>
  <c r="L221" i="6"/>
  <c r="M221" i="6"/>
  <c r="N221" i="6"/>
  <c r="O221" i="6"/>
  <c r="P221" i="6"/>
  <c r="A222" i="6"/>
  <c r="B222" i="6"/>
  <c r="C222" i="6"/>
  <c r="D222" i="6"/>
  <c r="E222" i="6"/>
  <c r="F222" i="6"/>
  <c r="G222" i="6"/>
  <c r="H222" i="6"/>
  <c r="I222" i="6"/>
  <c r="J222" i="6"/>
  <c r="L222" i="6"/>
  <c r="M222" i="6"/>
  <c r="N222" i="6"/>
  <c r="O222" i="6"/>
  <c r="P222" i="6"/>
  <c r="A223" i="6"/>
  <c r="B223" i="6"/>
  <c r="C223" i="6"/>
  <c r="D223" i="6"/>
  <c r="E223" i="6"/>
  <c r="F223" i="6"/>
  <c r="G223" i="6"/>
  <c r="H223" i="6"/>
  <c r="I223" i="6"/>
  <c r="J223" i="6"/>
  <c r="L223" i="6"/>
  <c r="M223" i="6"/>
  <c r="N223" i="6"/>
  <c r="O223" i="6"/>
  <c r="P223" i="6"/>
  <c r="A224" i="6"/>
  <c r="B224" i="6"/>
  <c r="C224" i="6"/>
  <c r="D224" i="6"/>
  <c r="E224" i="6"/>
  <c r="F224" i="6"/>
  <c r="G224" i="6"/>
  <c r="H224" i="6"/>
  <c r="I224" i="6"/>
  <c r="J224" i="6"/>
  <c r="L224" i="6"/>
  <c r="M224" i="6"/>
  <c r="N224" i="6"/>
  <c r="O224" i="6"/>
  <c r="P224" i="6"/>
  <c r="A225" i="6"/>
  <c r="B225" i="6"/>
  <c r="C225" i="6"/>
  <c r="D225" i="6"/>
  <c r="E225" i="6"/>
  <c r="F225" i="6"/>
  <c r="G225" i="6"/>
  <c r="H225" i="6"/>
  <c r="I225" i="6"/>
  <c r="J225" i="6"/>
  <c r="L225" i="6"/>
  <c r="M225" i="6"/>
  <c r="N225" i="6"/>
  <c r="O225" i="6"/>
  <c r="P225" i="6"/>
  <c r="A226" i="6"/>
  <c r="B226" i="6"/>
  <c r="C226" i="6"/>
  <c r="D226" i="6"/>
  <c r="E226" i="6"/>
  <c r="F226" i="6"/>
  <c r="G226" i="6"/>
  <c r="H226" i="6"/>
  <c r="I226" i="6"/>
  <c r="J226" i="6"/>
  <c r="L226" i="6"/>
  <c r="M226" i="6"/>
  <c r="N226" i="6"/>
  <c r="O226" i="6"/>
  <c r="P226" i="6"/>
  <c r="A227" i="6"/>
  <c r="B227" i="6"/>
  <c r="C227" i="6"/>
  <c r="D227" i="6"/>
  <c r="E227" i="6"/>
  <c r="F227" i="6"/>
  <c r="G227" i="6"/>
  <c r="H227" i="6"/>
  <c r="I227" i="6"/>
  <c r="J227" i="6"/>
  <c r="L227" i="6"/>
  <c r="M227" i="6"/>
  <c r="N227" i="6"/>
  <c r="O227" i="6"/>
  <c r="P227" i="6"/>
  <c r="A228" i="6"/>
  <c r="B228" i="6"/>
  <c r="C228" i="6"/>
  <c r="D228" i="6"/>
  <c r="E228" i="6"/>
  <c r="F228" i="6"/>
  <c r="G228" i="6"/>
  <c r="H228" i="6"/>
  <c r="I228" i="6"/>
  <c r="J228" i="6"/>
  <c r="L228" i="6"/>
  <c r="M228" i="6"/>
  <c r="N228" i="6"/>
  <c r="O228" i="6"/>
  <c r="P228" i="6"/>
  <c r="A229" i="6"/>
  <c r="B229" i="6"/>
  <c r="C229" i="6"/>
  <c r="D229" i="6"/>
  <c r="E229" i="6"/>
  <c r="F229" i="6"/>
  <c r="G229" i="6"/>
  <c r="H229" i="6"/>
  <c r="I229" i="6"/>
  <c r="J229" i="6"/>
  <c r="L229" i="6"/>
  <c r="M229" i="6"/>
  <c r="N229" i="6"/>
  <c r="O229" i="6"/>
  <c r="P229" i="6"/>
  <c r="A230" i="6"/>
  <c r="B230" i="6"/>
  <c r="C230" i="6"/>
  <c r="D230" i="6"/>
  <c r="E230" i="6"/>
  <c r="F230" i="6"/>
  <c r="G230" i="6"/>
  <c r="H230" i="6"/>
  <c r="I230" i="6"/>
  <c r="J230" i="6"/>
  <c r="L230" i="6"/>
  <c r="M230" i="6"/>
  <c r="N230" i="6"/>
  <c r="O230" i="6"/>
  <c r="P230" i="6"/>
  <c r="A231" i="6"/>
  <c r="B231" i="6"/>
  <c r="C231" i="6"/>
  <c r="D231" i="6"/>
  <c r="E231" i="6"/>
  <c r="F231" i="6"/>
  <c r="G231" i="6"/>
  <c r="H231" i="6"/>
  <c r="I231" i="6"/>
  <c r="J231" i="6"/>
  <c r="L231" i="6"/>
  <c r="M231" i="6"/>
  <c r="N231" i="6"/>
  <c r="O231" i="6"/>
  <c r="P231" i="6"/>
  <c r="A232" i="6"/>
  <c r="B232" i="6"/>
  <c r="C232" i="6"/>
  <c r="D232" i="6"/>
  <c r="E232" i="6"/>
  <c r="F232" i="6"/>
  <c r="G232" i="6"/>
  <c r="H232" i="6"/>
  <c r="I232" i="6"/>
  <c r="J232" i="6"/>
  <c r="L232" i="6"/>
  <c r="M232" i="6"/>
  <c r="N232" i="6"/>
  <c r="O232" i="6"/>
  <c r="P232" i="6"/>
  <c r="A233" i="6"/>
  <c r="B233" i="6"/>
  <c r="C233" i="6"/>
  <c r="D233" i="6"/>
  <c r="E233" i="6"/>
  <c r="F233" i="6"/>
  <c r="G233" i="6"/>
  <c r="H233" i="6"/>
  <c r="I233" i="6"/>
  <c r="J233" i="6"/>
  <c r="L233" i="6"/>
  <c r="M233" i="6"/>
  <c r="N233" i="6"/>
  <c r="O233" i="6"/>
  <c r="P233" i="6"/>
  <c r="A234" i="6"/>
  <c r="B234" i="6"/>
  <c r="C234" i="6"/>
  <c r="D234" i="6"/>
  <c r="E234" i="6"/>
  <c r="F234" i="6"/>
  <c r="G234" i="6"/>
  <c r="H234" i="6"/>
  <c r="I234" i="6"/>
  <c r="J234" i="6"/>
  <c r="L234" i="6"/>
  <c r="M234" i="6"/>
  <c r="N234" i="6"/>
  <c r="O234" i="6"/>
  <c r="P234" i="6"/>
  <c r="A235" i="6"/>
  <c r="B235" i="6"/>
  <c r="C235" i="6"/>
  <c r="D235" i="6"/>
  <c r="E235" i="6"/>
  <c r="F235" i="6"/>
  <c r="G235" i="6"/>
  <c r="H235" i="6"/>
  <c r="I235" i="6"/>
  <c r="J235" i="6"/>
  <c r="L235" i="6"/>
  <c r="M235" i="6"/>
  <c r="N235" i="6"/>
  <c r="O235" i="6"/>
  <c r="P235" i="6"/>
  <c r="A236" i="6"/>
  <c r="B236" i="6"/>
  <c r="C236" i="6"/>
  <c r="D236" i="6"/>
  <c r="E236" i="6"/>
  <c r="F236" i="6"/>
  <c r="G236" i="6"/>
  <c r="H236" i="6"/>
  <c r="I236" i="6"/>
  <c r="J236" i="6"/>
  <c r="L236" i="6"/>
  <c r="M236" i="6"/>
  <c r="N236" i="6"/>
  <c r="O236" i="6"/>
  <c r="P236" i="6"/>
  <c r="A237" i="6"/>
  <c r="B237" i="6"/>
  <c r="C237" i="6"/>
  <c r="D237" i="6"/>
  <c r="E237" i="6"/>
  <c r="F237" i="6"/>
  <c r="G237" i="6"/>
  <c r="H237" i="6"/>
  <c r="I237" i="6"/>
  <c r="J237" i="6"/>
  <c r="L237" i="6"/>
  <c r="M237" i="6"/>
  <c r="N237" i="6"/>
  <c r="O237" i="6"/>
  <c r="P237" i="6"/>
  <c r="A238" i="6"/>
  <c r="B238" i="6"/>
  <c r="C238" i="6"/>
  <c r="D238" i="6"/>
  <c r="E238" i="6"/>
  <c r="F238" i="6"/>
  <c r="G238" i="6"/>
  <c r="H238" i="6"/>
  <c r="I238" i="6"/>
  <c r="J238" i="6"/>
  <c r="L238" i="6"/>
  <c r="M238" i="6"/>
  <c r="N238" i="6"/>
  <c r="O238" i="6"/>
  <c r="P238" i="6"/>
  <c r="A239" i="6"/>
  <c r="B239" i="6"/>
  <c r="C239" i="6"/>
  <c r="D239" i="6"/>
  <c r="E239" i="6"/>
  <c r="F239" i="6"/>
  <c r="G239" i="6"/>
  <c r="H239" i="6"/>
  <c r="I239" i="6"/>
  <c r="J239" i="6"/>
  <c r="L239" i="6"/>
  <c r="M239" i="6"/>
  <c r="N239" i="6"/>
  <c r="O239" i="6"/>
  <c r="P239" i="6"/>
  <c r="A240" i="6"/>
  <c r="B240" i="6"/>
  <c r="C240" i="6"/>
  <c r="D240" i="6"/>
  <c r="E240" i="6"/>
  <c r="F240" i="6"/>
  <c r="G240" i="6"/>
  <c r="H240" i="6"/>
  <c r="I240" i="6"/>
  <c r="J240" i="6"/>
  <c r="L240" i="6"/>
  <c r="M240" i="6"/>
  <c r="N240" i="6"/>
  <c r="O240" i="6"/>
  <c r="P240" i="6"/>
  <c r="A241" i="6"/>
  <c r="B241" i="6"/>
  <c r="C241" i="6"/>
  <c r="D241" i="6"/>
  <c r="E241" i="6"/>
  <c r="F241" i="6"/>
  <c r="G241" i="6"/>
  <c r="H241" i="6"/>
  <c r="I241" i="6"/>
  <c r="J241" i="6"/>
  <c r="L241" i="6"/>
  <c r="M241" i="6"/>
  <c r="N241" i="6"/>
  <c r="O241" i="6"/>
  <c r="P241" i="6"/>
  <c r="A242" i="6"/>
  <c r="B242" i="6"/>
  <c r="C242" i="6"/>
  <c r="D242" i="6"/>
  <c r="E242" i="6"/>
  <c r="F242" i="6"/>
  <c r="G242" i="6"/>
  <c r="H242" i="6"/>
  <c r="I242" i="6"/>
  <c r="J242" i="6"/>
  <c r="L242" i="6"/>
  <c r="M242" i="6"/>
  <c r="N242" i="6"/>
  <c r="O242" i="6"/>
  <c r="P242" i="6"/>
  <c r="A243" i="6"/>
  <c r="B243" i="6"/>
  <c r="C243" i="6"/>
  <c r="D243" i="6"/>
  <c r="E243" i="6"/>
  <c r="F243" i="6"/>
  <c r="G243" i="6"/>
  <c r="H243" i="6"/>
  <c r="I243" i="6"/>
  <c r="J243" i="6"/>
  <c r="L243" i="6"/>
  <c r="M243" i="6"/>
  <c r="N243" i="6"/>
  <c r="O243" i="6"/>
  <c r="P243" i="6"/>
  <c r="A244" i="6"/>
  <c r="B244" i="6"/>
  <c r="C244" i="6"/>
  <c r="D244" i="6"/>
  <c r="E244" i="6"/>
  <c r="F244" i="6"/>
  <c r="G244" i="6"/>
  <c r="H244" i="6"/>
  <c r="I244" i="6"/>
  <c r="J244" i="6"/>
  <c r="L244" i="6"/>
  <c r="M244" i="6"/>
  <c r="N244" i="6"/>
  <c r="O244" i="6"/>
  <c r="P244" i="6"/>
  <c r="A245" i="6"/>
  <c r="B245" i="6"/>
  <c r="C245" i="6"/>
  <c r="D245" i="6"/>
  <c r="E245" i="6"/>
  <c r="F245" i="6"/>
  <c r="G245" i="6"/>
  <c r="H245" i="6"/>
  <c r="I245" i="6"/>
  <c r="J245" i="6"/>
  <c r="L245" i="6"/>
  <c r="M245" i="6"/>
  <c r="N245" i="6"/>
  <c r="O245" i="6"/>
  <c r="P245" i="6"/>
  <c r="A246" i="6"/>
  <c r="B246" i="6"/>
  <c r="C246" i="6"/>
  <c r="D246" i="6"/>
  <c r="E246" i="6"/>
  <c r="F246" i="6"/>
  <c r="G246" i="6"/>
  <c r="H246" i="6"/>
  <c r="I246" i="6"/>
  <c r="J246" i="6"/>
  <c r="L246" i="6"/>
  <c r="M246" i="6"/>
  <c r="N246" i="6"/>
  <c r="O246" i="6"/>
  <c r="P246" i="6"/>
  <c r="A247" i="6"/>
  <c r="B247" i="6"/>
  <c r="C247" i="6"/>
  <c r="D247" i="6"/>
  <c r="E247" i="6"/>
  <c r="F247" i="6"/>
  <c r="G247" i="6"/>
  <c r="H247" i="6"/>
  <c r="I247" i="6"/>
  <c r="J247" i="6"/>
  <c r="L247" i="6"/>
  <c r="M247" i="6"/>
  <c r="N247" i="6"/>
  <c r="O247" i="6"/>
  <c r="P247" i="6"/>
  <c r="A248" i="6"/>
  <c r="B248" i="6"/>
  <c r="C248" i="6"/>
  <c r="D248" i="6"/>
  <c r="E248" i="6"/>
  <c r="F248" i="6"/>
  <c r="G248" i="6"/>
  <c r="H248" i="6"/>
  <c r="I248" i="6"/>
  <c r="J248" i="6"/>
  <c r="L248" i="6"/>
  <c r="M248" i="6"/>
  <c r="N248" i="6"/>
  <c r="O248" i="6"/>
  <c r="P248" i="6"/>
  <c r="A249" i="6"/>
  <c r="B249" i="6"/>
  <c r="C249" i="6"/>
  <c r="D249" i="6"/>
  <c r="E249" i="6"/>
  <c r="F249" i="6"/>
  <c r="G249" i="6"/>
  <c r="H249" i="6"/>
  <c r="I249" i="6"/>
  <c r="J249" i="6"/>
  <c r="L249" i="6"/>
  <c r="M249" i="6"/>
  <c r="N249" i="6"/>
  <c r="O249" i="6"/>
  <c r="P249" i="6"/>
  <c r="A250" i="6"/>
  <c r="B250" i="6"/>
  <c r="C250" i="6"/>
  <c r="D250" i="6"/>
  <c r="E250" i="6"/>
  <c r="F250" i="6"/>
  <c r="G250" i="6"/>
  <c r="H250" i="6"/>
  <c r="I250" i="6"/>
  <c r="J250" i="6"/>
  <c r="L250" i="6"/>
  <c r="M250" i="6"/>
  <c r="N250" i="6"/>
  <c r="O250" i="6"/>
  <c r="P250" i="6"/>
  <c r="A251" i="6"/>
  <c r="B251" i="6"/>
  <c r="C251" i="6"/>
  <c r="D251" i="6"/>
  <c r="E251" i="6"/>
  <c r="F251" i="6"/>
  <c r="G251" i="6"/>
  <c r="H251" i="6"/>
  <c r="I251" i="6"/>
  <c r="J251" i="6"/>
  <c r="L251" i="6"/>
  <c r="M251" i="6"/>
  <c r="N251" i="6"/>
  <c r="O251" i="6"/>
  <c r="P251" i="6"/>
  <c r="A252" i="6"/>
  <c r="B252" i="6"/>
  <c r="C252" i="6"/>
  <c r="D252" i="6"/>
  <c r="E252" i="6"/>
  <c r="F252" i="6"/>
  <c r="G252" i="6"/>
  <c r="H252" i="6"/>
  <c r="I252" i="6"/>
  <c r="J252" i="6"/>
  <c r="L252" i="6"/>
  <c r="M252" i="6"/>
  <c r="N252" i="6"/>
  <c r="O252" i="6"/>
  <c r="P252" i="6"/>
  <c r="A253" i="6"/>
  <c r="B253" i="6"/>
  <c r="C253" i="6"/>
  <c r="D253" i="6"/>
  <c r="E253" i="6"/>
  <c r="F253" i="6"/>
  <c r="G253" i="6"/>
  <c r="H253" i="6"/>
  <c r="I253" i="6"/>
  <c r="J253" i="6"/>
  <c r="L253" i="6"/>
  <c r="M253" i="6"/>
  <c r="N253" i="6"/>
  <c r="O253" i="6"/>
  <c r="P253" i="6"/>
  <c r="A254" i="6"/>
  <c r="B254" i="6"/>
  <c r="C254" i="6"/>
  <c r="D254" i="6"/>
  <c r="E254" i="6"/>
  <c r="F254" i="6"/>
  <c r="G254" i="6"/>
  <c r="H254" i="6"/>
  <c r="I254" i="6"/>
  <c r="J254" i="6"/>
  <c r="L254" i="6"/>
  <c r="M254" i="6"/>
  <c r="N254" i="6"/>
  <c r="O254" i="6"/>
  <c r="P254" i="6"/>
  <c r="A255" i="6"/>
  <c r="B255" i="6"/>
  <c r="C255" i="6"/>
  <c r="D255" i="6"/>
  <c r="E255" i="6"/>
  <c r="F255" i="6"/>
  <c r="G255" i="6"/>
  <c r="H255" i="6"/>
  <c r="I255" i="6"/>
  <c r="J255" i="6"/>
  <c r="L255" i="6"/>
  <c r="M255" i="6"/>
  <c r="N255" i="6"/>
  <c r="O255" i="6"/>
  <c r="P255" i="6"/>
  <c r="A256" i="6"/>
  <c r="B256" i="6"/>
  <c r="C256" i="6"/>
  <c r="D256" i="6"/>
  <c r="E256" i="6"/>
  <c r="F256" i="6"/>
  <c r="G256" i="6"/>
  <c r="H256" i="6"/>
  <c r="I256" i="6"/>
  <c r="J256" i="6"/>
  <c r="L256" i="6"/>
  <c r="M256" i="6"/>
  <c r="N256" i="6"/>
  <c r="O256" i="6"/>
  <c r="P256" i="6"/>
  <c r="A257" i="6"/>
  <c r="B257" i="6"/>
  <c r="C257" i="6"/>
  <c r="D257" i="6"/>
  <c r="E257" i="6"/>
  <c r="F257" i="6"/>
  <c r="G257" i="6"/>
  <c r="H257" i="6"/>
  <c r="I257" i="6"/>
  <c r="J257" i="6"/>
  <c r="L257" i="6"/>
  <c r="M257" i="6"/>
  <c r="N257" i="6"/>
  <c r="O257" i="6"/>
  <c r="P257" i="6"/>
  <c r="A258" i="6"/>
  <c r="B258" i="6"/>
  <c r="C258" i="6"/>
  <c r="D258" i="6"/>
  <c r="E258" i="6"/>
  <c r="F258" i="6"/>
  <c r="G258" i="6"/>
  <c r="H258" i="6"/>
  <c r="I258" i="6"/>
  <c r="J258" i="6"/>
  <c r="L258" i="6"/>
  <c r="M258" i="6"/>
  <c r="N258" i="6"/>
  <c r="O258" i="6"/>
  <c r="P258" i="6"/>
  <c r="A259" i="6"/>
  <c r="B259" i="6"/>
  <c r="C259" i="6"/>
  <c r="D259" i="6"/>
  <c r="E259" i="6"/>
  <c r="F259" i="6"/>
  <c r="G259" i="6"/>
  <c r="H259" i="6"/>
  <c r="I259" i="6"/>
  <c r="J259" i="6"/>
  <c r="L259" i="6"/>
  <c r="M259" i="6"/>
  <c r="N259" i="6"/>
  <c r="O259" i="6"/>
  <c r="P259" i="6"/>
  <c r="A260" i="6"/>
  <c r="B260" i="6"/>
  <c r="C260" i="6"/>
  <c r="D260" i="6"/>
  <c r="E260" i="6"/>
  <c r="F260" i="6"/>
  <c r="G260" i="6"/>
  <c r="H260" i="6"/>
  <c r="I260" i="6"/>
  <c r="J260" i="6"/>
  <c r="L260" i="6"/>
  <c r="M260" i="6"/>
  <c r="N260" i="6"/>
  <c r="O260" i="6"/>
  <c r="P260" i="6"/>
  <c r="A261" i="6"/>
  <c r="B261" i="6"/>
  <c r="C261" i="6"/>
  <c r="D261" i="6"/>
  <c r="E261" i="6"/>
  <c r="F261" i="6"/>
  <c r="G261" i="6"/>
  <c r="H261" i="6"/>
  <c r="I261" i="6"/>
  <c r="J261" i="6"/>
  <c r="L261" i="6"/>
  <c r="M261" i="6"/>
  <c r="N261" i="6"/>
  <c r="O261" i="6"/>
  <c r="P261" i="6"/>
  <c r="A262" i="6"/>
  <c r="B262" i="6"/>
  <c r="C262" i="6"/>
  <c r="D262" i="6"/>
  <c r="E262" i="6"/>
  <c r="F262" i="6"/>
  <c r="G262" i="6"/>
  <c r="H262" i="6"/>
  <c r="I262" i="6"/>
  <c r="J262" i="6"/>
  <c r="L262" i="6"/>
  <c r="M262" i="6"/>
  <c r="N262" i="6"/>
  <c r="O262" i="6"/>
  <c r="P262" i="6"/>
  <c r="A263" i="6"/>
  <c r="B263" i="6"/>
  <c r="C263" i="6"/>
  <c r="D263" i="6"/>
  <c r="E263" i="6"/>
  <c r="F263" i="6"/>
  <c r="G263" i="6"/>
  <c r="H263" i="6"/>
  <c r="I263" i="6"/>
  <c r="J263" i="6"/>
  <c r="L263" i="6"/>
  <c r="M263" i="6"/>
  <c r="N263" i="6"/>
  <c r="O263" i="6"/>
  <c r="P263" i="6"/>
  <c r="A264" i="6"/>
  <c r="B264" i="6"/>
  <c r="C264" i="6"/>
  <c r="D264" i="6"/>
  <c r="E264" i="6"/>
  <c r="F264" i="6"/>
  <c r="G264" i="6"/>
  <c r="H264" i="6"/>
  <c r="I264" i="6"/>
  <c r="J264" i="6"/>
  <c r="L264" i="6"/>
  <c r="M264" i="6"/>
  <c r="N264" i="6"/>
  <c r="O264" i="6"/>
  <c r="P264" i="6"/>
  <c r="A265" i="6"/>
  <c r="B265" i="6"/>
  <c r="C265" i="6"/>
  <c r="D265" i="6"/>
  <c r="E265" i="6"/>
  <c r="F265" i="6"/>
  <c r="G265" i="6"/>
  <c r="H265" i="6"/>
  <c r="I265" i="6"/>
  <c r="J265" i="6"/>
  <c r="L265" i="6"/>
  <c r="M265" i="6"/>
  <c r="N265" i="6"/>
  <c r="O265" i="6"/>
  <c r="P265" i="6"/>
  <c r="A266" i="6"/>
  <c r="B266" i="6"/>
  <c r="C266" i="6"/>
  <c r="D266" i="6"/>
  <c r="E266" i="6"/>
  <c r="F266" i="6"/>
  <c r="G266" i="6"/>
  <c r="H266" i="6"/>
  <c r="I266" i="6"/>
  <c r="J266" i="6"/>
  <c r="L266" i="6"/>
  <c r="M266" i="6"/>
  <c r="N266" i="6"/>
  <c r="O266" i="6"/>
  <c r="P266" i="6"/>
  <c r="A267" i="6"/>
  <c r="B267" i="6"/>
  <c r="C267" i="6"/>
  <c r="D267" i="6"/>
  <c r="E267" i="6"/>
  <c r="F267" i="6"/>
  <c r="G267" i="6"/>
  <c r="H267" i="6"/>
  <c r="I267" i="6"/>
  <c r="J267" i="6"/>
  <c r="L267" i="6"/>
  <c r="M267" i="6"/>
  <c r="N267" i="6"/>
  <c r="O267" i="6"/>
  <c r="P267" i="6"/>
  <c r="A268" i="6"/>
  <c r="B268" i="6"/>
  <c r="C268" i="6"/>
  <c r="D268" i="6"/>
  <c r="E268" i="6"/>
  <c r="F268" i="6"/>
  <c r="G268" i="6"/>
  <c r="H268" i="6"/>
  <c r="I268" i="6"/>
  <c r="J268" i="6"/>
  <c r="L268" i="6"/>
  <c r="M268" i="6"/>
  <c r="N268" i="6"/>
  <c r="O268" i="6"/>
  <c r="P268" i="6"/>
  <c r="A269" i="6"/>
  <c r="B269" i="6"/>
  <c r="C269" i="6"/>
  <c r="D269" i="6"/>
  <c r="E269" i="6"/>
  <c r="F269" i="6"/>
  <c r="G269" i="6"/>
  <c r="H269" i="6"/>
  <c r="I269" i="6"/>
  <c r="J269" i="6"/>
  <c r="L269" i="6"/>
  <c r="M269" i="6"/>
  <c r="N269" i="6"/>
  <c r="O269" i="6"/>
  <c r="P269" i="6"/>
  <c r="A270" i="6"/>
  <c r="B270" i="6"/>
  <c r="C270" i="6"/>
  <c r="D270" i="6"/>
  <c r="E270" i="6"/>
  <c r="F270" i="6"/>
  <c r="G270" i="6"/>
  <c r="H270" i="6"/>
  <c r="I270" i="6"/>
  <c r="J270" i="6"/>
  <c r="L270" i="6"/>
  <c r="M270" i="6"/>
  <c r="N270" i="6"/>
  <c r="O270" i="6"/>
  <c r="P270" i="6"/>
  <c r="A271" i="6"/>
  <c r="B271" i="6"/>
  <c r="C271" i="6"/>
  <c r="D271" i="6"/>
  <c r="E271" i="6"/>
  <c r="F271" i="6"/>
  <c r="G271" i="6"/>
  <c r="H271" i="6"/>
  <c r="I271" i="6"/>
  <c r="J271" i="6"/>
  <c r="L271" i="6"/>
  <c r="M271" i="6"/>
  <c r="N271" i="6"/>
  <c r="O271" i="6"/>
  <c r="P271" i="6"/>
  <c r="A272" i="6"/>
  <c r="B272" i="6"/>
  <c r="C272" i="6"/>
  <c r="D272" i="6"/>
  <c r="E272" i="6"/>
  <c r="F272" i="6"/>
  <c r="G272" i="6"/>
  <c r="H272" i="6"/>
  <c r="I272" i="6"/>
  <c r="J272" i="6"/>
  <c r="L272" i="6"/>
  <c r="M272" i="6"/>
  <c r="N272" i="6"/>
  <c r="O272" i="6"/>
  <c r="P272" i="6"/>
  <c r="A273" i="6"/>
  <c r="B273" i="6"/>
  <c r="C273" i="6"/>
  <c r="D273" i="6"/>
  <c r="E273" i="6"/>
  <c r="F273" i="6"/>
  <c r="G273" i="6"/>
  <c r="H273" i="6"/>
  <c r="I273" i="6"/>
  <c r="J273" i="6"/>
  <c r="L273" i="6"/>
  <c r="M273" i="6"/>
  <c r="N273" i="6"/>
  <c r="O273" i="6"/>
  <c r="P273" i="6"/>
  <c r="A274" i="6"/>
  <c r="B274" i="6"/>
  <c r="C274" i="6"/>
  <c r="D274" i="6"/>
  <c r="E274" i="6"/>
  <c r="F274" i="6"/>
  <c r="G274" i="6"/>
  <c r="H274" i="6"/>
  <c r="I274" i="6"/>
  <c r="J274" i="6"/>
  <c r="L274" i="6"/>
  <c r="M274" i="6"/>
  <c r="N274" i="6"/>
  <c r="O274" i="6"/>
  <c r="P274" i="6"/>
  <c r="A275" i="6"/>
  <c r="B275" i="6"/>
  <c r="C275" i="6"/>
  <c r="D275" i="6"/>
  <c r="E275" i="6"/>
  <c r="F275" i="6"/>
  <c r="G275" i="6"/>
  <c r="H275" i="6"/>
  <c r="I275" i="6"/>
  <c r="J275" i="6"/>
  <c r="L275" i="6"/>
  <c r="M275" i="6"/>
  <c r="N275" i="6"/>
  <c r="O275" i="6"/>
  <c r="P275" i="6"/>
  <c r="A276" i="6"/>
  <c r="B276" i="6"/>
  <c r="C276" i="6"/>
  <c r="D276" i="6"/>
  <c r="E276" i="6"/>
  <c r="F276" i="6"/>
  <c r="G276" i="6"/>
  <c r="H276" i="6"/>
  <c r="I276" i="6"/>
  <c r="J276" i="6"/>
  <c r="L276" i="6"/>
  <c r="M276" i="6"/>
  <c r="N276" i="6"/>
  <c r="O276" i="6"/>
  <c r="P276" i="6"/>
  <c r="A277" i="6"/>
  <c r="B277" i="6"/>
  <c r="C277" i="6"/>
  <c r="D277" i="6"/>
  <c r="E277" i="6"/>
  <c r="F277" i="6"/>
  <c r="G277" i="6"/>
  <c r="H277" i="6"/>
  <c r="I277" i="6"/>
  <c r="J277" i="6"/>
  <c r="L277" i="6"/>
  <c r="M277" i="6"/>
  <c r="N277" i="6"/>
  <c r="O277" i="6"/>
  <c r="P277" i="6"/>
  <c r="A278" i="6"/>
  <c r="B278" i="6"/>
  <c r="C278" i="6"/>
  <c r="D278" i="6"/>
  <c r="E278" i="6"/>
  <c r="F278" i="6"/>
  <c r="G278" i="6"/>
  <c r="H278" i="6"/>
  <c r="I278" i="6"/>
  <c r="J278" i="6"/>
  <c r="L278" i="6"/>
  <c r="M278" i="6"/>
  <c r="N278" i="6"/>
  <c r="O278" i="6"/>
  <c r="P278" i="6"/>
  <c r="A279" i="6"/>
  <c r="B279" i="6"/>
  <c r="C279" i="6"/>
  <c r="D279" i="6"/>
  <c r="E279" i="6"/>
  <c r="F279" i="6"/>
  <c r="G279" i="6"/>
  <c r="H279" i="6"/>
  <c r="I279" i="6"/>
  <c r="J279" i="6"/>
  <c r="L279" i="6"/>
  <c r="M279" i="6"/>
  <c r="N279" i="6"/>
  <c r="O279" i="6"/>
  <c r="P279" i="6"/>
  <c r="A280" i="6"/>
  <c r="B280" i="6"/>
  <c r="C280" i="6"/>
  <c r="D280" i="6"/>
  <c r="E280" i="6"/>
  <c r="F280" i="6"/>
  <c r="G280" i="6"/>
  <c r="H280" i="6"/>
  <c r="I280" i="6"/>
  <c r="J280" i="6"/>
  <c r="L280" i="6"/>
  <c r="M280" i="6"/>
  <c r="N280" i="6"/>
  <c r="O280" i="6"/>
  <c r="P280" i="6"/>
  <c r="A281" i="6"/>
  <c r="B281" i="6"/>
  <c r="C281" i="6"/>
  <c r="D281" i="6"/>
  <c r="E281" i="6"/>
  <c r="F281" i="6"/>
  <c r="G281" i="6"/>
  <c r="H281" i="6"/>
  <c r="I281" i="6"/>
  <c r="J281" i="6"/>
  <c r="L281" i="6"/>
  <c r="M281" i="6"/>
  <c r="N281" i="6"/>
  <c r="O281" i="6"/>
  <c r="P281" i="6"/>
  <c r="A282" i="6"/>
  <c r="B282" i="6"/>
  <c r="C282" i="6"/>
  <c r="D282" i="6"/>
  <c r="E282" i="6"/>
  <c r="F282" i="6"/>
  <c r="G282" i="6"/>
  <c r="H282" i="6"/>
  <c r="I282" i="6"/>
  <c r="J282" i="6"/>
  <c r="L282" i="6"/>
  <c r="M282" i="6"/>
  <c r="N282" i="6"/>
  <c r="O282" i="6"/>
  <c r="P282" i="6"/>
  <c r="A283" i="6"/>
  <c r="B283" i="6"/>
  <c r="C283" i="6"/>
  <c r="D283" i="6"/>
  <c r="E283" i="6"/>
  <c r="F283" i="6"/>
  <c r="G283" i="6"/>
  <c r="H283" i="6"/>
  <c r="I283" i="6"/>
  <c r="J283" i="6"/>
  <c r="L283" i="6"/>
  <c r="M283" i="6"/>
  <c r="N283" i="6"/>
  <c r="O283" i="6"/>
  <c r="P283" i="6"/>
  <c r="A284" i="6"/>
  <c r="B284" i="6"/>
  <c r="C284" i="6"/>
  <c r="D284" i="6"/>
  <c r="E284" i="6"/>
  <c r="F284" i="6"/>
  <c r="G284" i="6"/>
  <c r="H284" i="6"/>
  <c r="I284" i="6"/>
  <c r="J284" i="6"/>
  <c r="L284" i="6"/>
  <c r="M284" i="6"/>
  <c r="N284" i="6"/>
  <c r="O284" i="6"/>
  <c r="P284" i="6"/>
  <c r="A285" i="6"/>
  <c r="B285" i="6"/>
  <c r="C285" i="6"/>
  <c r="D285" i="6"/>
  <c r="E285" i="6"/>
  <c r="F285" i="6"/>
  <c r="G285" i="6"/>
  <c r="H285" i="6"/>
  <c r="I285" i="6"/>
  <c r="J285" i="6"/>
  <c r="L285" i="6"/>
  <c r="M285" i="6"/>
  <c r="N285" i="6"/>
  <c r="O285" i="6"/>
  <c r="P285" i="6"/>
  <c r="A286" i="6"/>
  <c r="B286" i="6"/>
  <c r="C286" i="6"/>
  <c r="D286" i="6"/>
  <c r="E286" i="6"/>
  <c r="F286" i="6"/>
  <c r="G286" i="6"/>
  <c r="H286" i="6"/>
  <c r="I286" i="6"/>
  <c r="J286" i="6"/>
  <c r="L286" i="6"/>
  <c r="M286" i="6"/>
  <c r="N286" i="6"/>
  <c r="O286" i="6"/>
  <c r="P286" i="6"/>
  <c r="A287" i="6"/>
  <c r="B287" i="6"/>
  <c r="C287" i="6"/>
  <c r="D287" i="6"/>
  <c r="E287" i="6"/>
  <c r="F287" i="6"/>
  <c r="G287" i="6"/>
  <c r="H287" i="6"/>
  <c r="I287" i="6"/>
  <c r="J287" i="6"/>
  <c r="L287" i="6"/>
  <c r="M287" i="6"/>
  <c r="N287" i="6"/>
  <c r="O287" i="6"/>
  <c r="P287" i="6"/>
  <c r="A288" i="6"/>
  <c r="B288" i="6"/>
  <c r="C288" i="6"/>
  <c r="D288" i="6"/>
  <c r="E288" i="6"/>
  <c r="F288" i="6"/>
  <c r="G288" i="6"/>
  <c r="H288" i="6"/>
  <c r="I288" i="6"/>
  <c r="J288" i="6"/>
  <c r="L288" i="6"/>
  <c r="M288" i="6"/>
  <c r="N288" i="6"/>
  <c r="O288" i="6"/>
  <c r="P288" i="6"/>
  <c r="A289" i="6"/>
  <c r="B289" i="6"/>
  <c r="C289" i="6"/>
  <c r="D289" i="6"/>
  <c r="E289" i="6"/>
  <c r="F289" i="6"/>
  <c r="G289" i="6"/>
  <c r="H289" i="6"/>
  <c r="I289" i="6"/>
  <c r="J289" i="6"/>
  <c r="L289" i="6"/>
  <c r="M289" i="6"/>
  <c r="N289" i="6"/>
  <c r="O289" i="6"/>
  <c r="P289" i="6"/>
  <c r="A290" i="6"/>
  <c r="B290" i="6"/>
  <c r="C290" i="6"/>
  <c r="D290" i="6"/>
  <c r="E290" i="6"/>
  <c r="F290" i="6"/>
  <c r="G290" i="6"/>
  <c r="H290" i="6"/>
  <c r="I290" i="6"/>
  <c r="J290" i="6"/>
  <c r="L290" i="6"/>
  <c r="M290" i="6"/>
  <c r="N290" i="6"/>
  <c r="O290" i="6"/>
  <c r="P290" i="6"/>
  <c r="A291" i="6"/>
  <c r="B291" i="6"/>
  <c r="C291" i="6"/>
  <c r="D291" i="6"/>
  <c r="E291" i="6"/>
  <c r="F291" i="6"/>
  <c r="G291" i="6"/>
  <c r="H291" i="6"/>
  <c r="I291" i="6"/>
  <c r="J291" i="6"/>
  <c r="L291" i="6"/>
  <c r="M291" i="6"/>
  <c r="N291" i="6"/>
  <c r="O291" i="6"/>
  <c r="P291" i="6"/>
  <c r="A292" i="6"/>
  <c r="B292" i="6"/>
  <c r="C292" i="6"/>
  <c r="D292" i="6"/>
  <c r="E292" i="6"/>
  <c r="F292" i="6"/>
  <c r="G292" i="6"/>
  <c r="H292" i="6"/>
  <c r="I292" i="6"/>
  <c r="J292" i="6"/>
  <c r="L292" i="6"/>
  <c r="M292" i="6"/>
  <c r="N292" i="6"/>
  <c r="O292" i="6"/>
  <c r="P292" i="6"/>
  <c r="A293" i="6"/>
  <c r="B293" i="6"/>
  <c r="C293" i="6"/>
  <c r="D293" i="6"/>
  <c r="E293" i="6"/>
  <c r="F293" i="6"/>
  <c r="G293" i="6"/>
  <c r="H293" i="6"/>
  <c r="I293" i="6"/>
  <c r="J293" i="6"/>
  <c r="L293" i="6"/>
  <c r="M293" i="6"/>
  <c r="N293" i="6"/>
  <c r="O293" i="6"/>
  <c r="P293" i="6"/>
  <c r="A294" i="6"/>
  <c r="B294" i="6"/>
  <c r="C294" i="6"/>
  <c r="D294" i="6"/>
  <c r="E294" i="6"/>
  <c r="F294" i="6"/>
  <c r="G294" i="6"/>
  <c r="H294" i="6"/>
  <c r="I294" i="6"/>
  <c r="J294" i="6"/>
  <c r="L294" i="6"/>
  <c r="M294" i="6"/>
  <c r="N294" i="6"/>
  <c r="O294" i="6"/>
  <c r="P294" i="6"/>
  <c r="A295" i="6"/>
  <c r="B295" i="6"/>
  <c r="C295" i="6"/>
  <c r="D295" i="6"/>
  <c r="E295" i="6"/>
  <c r="F295" i="6"/>
  <c r="G295" i="6"/>
  <c r="H295" i="6"/>
  <c r="I295" i="6"/>
  <c r="J295" i="6"/>
  <c r="L295" i="6"/>
  <c r="M295" i="6"/>
  <c r="N295" i="6"/>
  <c r="O295" i="6"/>
  <c r="P295" i="6"/>
  <c r="A296" i="6"/>
  <c r="B296" i="6"/>
  <c r="C296" i="6"/>
  <c r="D296" i="6"/>
  <c r="E296" i="6"/>
  <c r="F296" i="6"/>
  <c r="G296" i="6"/>
  <c r="H296" i="6"/>
  <c r="I296" i="6"/>
  <c r="J296" i="6"/>
  <c r="L296" i="6"/>
  <c r="M296" i="6"/>
  <c r="N296" i="6"/>
  <c r="O296" i="6"/>
  <c r="P296" i="6"/>
  <c r="A297" i="6"/>
  <c r="B297" i="6"/>
  <c r="C297" i="6"/>
  <c r="D297" i="6"/>
  <c r="E297" i="6"/>
  <c r="F297" i="6"/>
  <c r="G297" i="6"/>
  <c r="H297" i="6"/>
  <c r="I297" i="6"/>
  <c r="J297" i="6"/>
  <c r="L297" i="6"/>
  <c r="M297" i="6"/>
  <c r="N297" i="6"/>
  <c r="O297" i="6"/>
  <c r="P297" i="6"/>
  <c r="A298" i="6"/>
  <c r="B298" i="6"/>
  <c r="C298" i="6"/>
  <c r="D298" i="6"/>
  <c r="E298" i="6"/>
  <c r="F298" i="6"/>
  <c r="G298" i="6"/>
  <c r="H298" i="6"/>
  <c r="I298" i="6"/>
  <c r="J298" i="6"/>
  <c r="L298" i="6"/>
  <c r="M298" i="6"/>
  <c r="N298" i="6"/>
  <c r="O298" i="6"/>
  <c r="P298" i="6"/>
  <c r="A299" i="6"/>
  <c r="B299" i="6"/>
  <c r="C299" i="6"/>
  <c r="D299" i="6"/>
  <c r="E299" i="6"/>
  <c r="F299" i="6"/>
  <c r="G299" i="6"/>
  <c r="H299" i="6"/>
  <c r="I299" i="6"/>
  <c r="J299" i="6"/>
  <c r="L299" i="6"/>
  <c r="M299" i="6"/>
  <c r="N299" i="6"/>
  <c r="O299" i="6"/>
  <c r="P299" i="6"/>
  <c r="A300" i="6"/>
  <c r="B300" i="6"/>
  <c r="C300" i="6"/>
  <c r="D300" i="6"/>
  <c r="E300" i="6"/>
  <c r="F300" i="6"/>
  <c r="G300" i="6"/>
  <c r="H300" i="6"/>
  <c r="I300" i="6"/>
  <c r="J300" i="6"/>
  <c r="L300" i="6"/>
  <c r="M300" i="6"/>
  <c r="N300" i="6"/>
  <c r="O300" i="6"/>
  <c r="P300" i="6"/>
  <c r="A301" i="6"/>
  <c r="B301" i="6"/>
  <c r="C301" i="6"/>
  <c r="D301" i="6"/>
  <c r="E301" i="6"/>
  <c r="F301" i="6"/>
  <c r="G301" i="6"/>
  <c r="H301" i="6"/>
  <c r="I301" i="6"/>
  <c r="J301" i="6"/>
  <c r="L301" i="6"/>
  <c r="M301" i="6"/>
  <c r="N301" i="6"/>
  <c r="O301" i="6"/>
  <c r="P301" i="6"/>
  <c r="A302" i="6"/>
  <c r="B302" i="6"/>
  <c r="C302" i="6"/>
  <c r="D302" i="6"/>
  <c r="E302" i="6"/>
  <c r="F302" i="6"/>
  <c r="G302" i="6"/>
  <c r="H302" i="6"/>
  <c r="I302" i="6"/>
  <c r="J302" i="6"/>
  <c r="L302" i="6"/>
  <c r="M302" i="6"/>
  <c r="N302" i="6"/>
  <c r="O302" i="6"/>
  <c r="P302" i="6"/>
  <c r="A303" i="6"/>
  <c r="B303" i="6"/>
  <c r="C303" i="6"/>
  <c r="D303" i="6"/>
  <c r="E303" i="6"/>
  <c r="F303" i="6"/>
  <c r="G303" i="6"/>
  <c r="H303" i="6"/>
  <c r="I303" i="6"/>
  <c r="J303" i="6"/>
  <c r="L303" i="6"/>
  <c r="M303" i="6"/>
  <c r="N303" i="6"/>
  <c r="O303" i="6"/>
  <c r="P303" i="6"/>
  <c r="A304" i="6"/>
  <c r="B304" i="6"/>
  <c r="C304" i="6"/>
  <c r="D304" i="6"/>
  <c r="E304" i="6"/>
  <c r="F304" i="6"/>
  <c r="G304" i="6"/>
  <c r="H304" i="6"/>
  <c r="I304" i="6"/>
  <c r="J304" i="6"/>
  <c r="L304" i="6"/>
  <c r="M304" i="6"/>
  <c r="N304" i="6"/>
  <c r="O304" i="6"/>
  <c r="P304" i="6"/>
  <c r="A305" i="6"/>
  <c r="B305" i="6"/>
  <c r="C305" i="6"/>
  <c r="D305" i="6"/>
  <c r="E305" i="6"/>
  <c r="F305" i="6"/>
  <c r="G305" i="6"/>
  <c r="H305" i="6"/>
  <c r="I305" i="6"/>
  <c r="J305" i="6"/>
  <c r="L305" i="6"/>
  <c r="M305" i="6"/>
  <c r="N305" i="6"/>
  <c r="O305" i="6"/>
  <c r="P305" i="6"/>
  <c r="A306" i="6"/>
  <c r="B306" i="6"/>
  <c r="C306" i="6"/>
  <c r="D306" i="6"/>
  <c r="E306" i="6"/>
  <c r="F306" i="6"/>
  <c r="G306" i="6"/>
  <c r="H306" i="6"/>
  <c r="I306" i="6"/>
  <c r="J306" i="6"/>
  <c r="L306" i="6"/>
  <c r="M306" i="6"/>
  <c r="N306" i="6"/>
  <c r="O306" i="6"/>
  <c r="P306" i="6"/>
  <c r="A307" i="6"/>
  <c r="B307" i="6"/>
  <c r="C307" i="6"/>
  <c r="D307" i="6"/>
  <c r="E307" i="6"/>
  <c r="F307" i="6"/>
  <c r="G307" i="6"/>
  <c r="H307" i="6"/>
  <c r="I307" i="6"/>
  <c r="J307" i="6"/>
  <c r="L307" i="6"/>
  <c r="M307" i="6"/>
  <c r="N307" i="6"/>
  <c r="O307" i="6"/>
  <c r="P307" i="6"/>
  <c r="A308" i="6"/>
  <c r="B308" i="6"/>
  <c r="C308" i="6"/>
  <c r="D308" i="6"/>
  <c r="E308" i="6"/>
  <c r="F308" i="6"/>
  <c r="G308" i="6"/>
  <c r="H308" i="6"/>
  <c r="I308" i="6"/>
  <c r="J308" i="6"/>
  <c r="L308" i="6"/>
  <c r="M308" i="6"/>
  <c r="N308" i="6"/>
  <c r="O308" i="6"/>
  <c r="P308" i="6"/>
  <c r="A309" i="6"/>
  <c r="B309" i="6"/>
  <c r="C309" i="6"/>
  <c r="D309" i="6"/>
  <c r="E309" i="6"/>
  <c r="F309" i="6"/>
  <c r="G309" i="6"/>
  <c r="H309" i="6"/>
  <c r="I309" i="6"/>
  <c r="J309" i="6"/>
  <c r="L309" i="6"/>
  <c r="M309" i="6"/>
  <c r="N309" i="6"/>
  <c r="O309" i="6"/>
  <c r="P309" i="6"/>
  <c r="A310" i="6"/>
  <c r="B310" i="6"/>
  <c r="C310" i="6"/>
  <c r="D310" i="6"/>
  <c r="E310" i="6"/>
  <c r="F310" i="6"/>
  <c r="G310" i="6"/>
  <c r="H310" i="6"/>
  <c r="I310" i="6"/>
  <c r="J310" i="6"/>
  <c r="L310" i="6"/>
  <c r="M310" i="6"/>
  <c r="N310" i="6"/>
  <c r="O310" i="6"/>
  <c r="P310" i="6"/>
  <c r="A311" i="6"/>
  <c r="B311" i="6"/>
  <c r="C311" i="6"/>
  <c r="D311" i="6"/>
  <c r="E311" i="6"/>
  <c r="F311" i="6"/>
  <c r="G311" i="6"/>
  <c r="H311" i="6"/>
  <c r="I311" i="6"/>
  <c r="J311" i="6"/>
  <c r="L311" i="6"/>
  <c r="M311" i="6"/>
  <c r="N311" i="6"/>
  <c r="O311" i="6"/>
  <c r="P311" i="6"/>
  <c r="A312" i="6"/>
  <c r="B312" i="6"/>
  <c r="C312" i="6"/>
  <c r="D312" i="6"/>
  <c r="E312" i="6"/>
  <c r="F312" i="6"/>
  <c r="G312" i="6"/>
  <c r="H312" i="6"/>
  <c r="I312" i="6"/>
  <c r="J312" i="6"/>
  <c r="L312" i="6"/>
  <c r="M312" i="6"/>
  <c r="N312" i="6"/>
  <c r="O312" i="6"/>
  <c r="P312" i="6"/>
  <c r="A313" i="6"/>
  <c r="B313" i="6"/>
  <c r="C313" i="6"/>
  <c r="D313" i="6"/>
  <c r="E313" i="6"/>
  <c r="F313" i="6"/>
  <c r="G313" i="6"/>
  <c r="H313" i="6"/>
  <c r="I313" i="6"/>
  <c r="J313" i="6"/>
  <c r="L313" i="6"/>
  <c r="M313" i="6"/>
  <c r="N313" i="6"/>
  <c r="O313" i="6"/>
  <c r="P313" i="6"/>
  <c r="A314" i="6"/>
  <c r="B314" i="6"/>
  <c r="C314" i="6"/>
  <c r="D314" i="6"/>
  <c r="E314" i="6"/>
  <c r="F314" i="6"/>
  <c r="G314" i="6"/>
  <c r="H314" i="6"/>
  <c r="I314" i="6"/>
  <c r="J314" i="6"/>
  <c r="L314" i="6"/>
  <c r="M314" i="6"/>
  <c r="N314" i="6"/>
  <c r="O314" i="6"/>
  <c r="P314" i="6"/>
  <c r="A315" i="6"/>
  <c r="B315" i="6"/>
  <c r="C315" i="6"/>
  <c r="D315" i="6"/>
  <c r="E315" i="6"/>
  <c r="F315" i="6"/>
  <c r="G315" i="6"/>
  <c r="H315" i="6"/>
  <c r="I315" i="6"/>
  <c r="J315" i="6"/>
  <c r="L315" i="6"/>
  <c r="M315" i="6"/>
  <c r="N315" i="6"/>
  <c r="O315" i="6"/>
  <c r="P315" i="6"/>
  <c r="A316" i="6"/>
  <c r="B316" i="6"/>
  <c r="C316" i="6"/>
  <c r="D316" i="6"/>
  <c r="E316" i="6"/>
  <c r="F316" i="6"/>
  <c r="G316" i="6"/>
  <c r="H316" i="6"/>
  <c r="I316" i="6"/>
  <c r="J316" i="6"/>
  <c r="L316" i="6"/>
  <c r="M316" i="6"/>
  <c r="N316" i="6"/>
  <c r="O316" i="6"/>
  <c r="P316" i="6"/>
  <c r="A317" i="6"/>
  <c r="B317" i="6"/>
  <c r="C317" i="6"/>
  <c r="D317" i="6"/>
  <c r="E317" i="6"/>
  <c r="F317" i="6"/>
  <c r="G317" i="6"/>
  <c r="H317" i="6"/>
  <c r="I317" i="6"/>
  <c r="J317" i="6"/>
  <c r="L317" i="6"/>
  <c r="M317" i="6"/>
  <c r="N317" i="6"/>
  <c r="O317" i="6"/>
  <c r="P317" i="6"/>
  <c r="A318" i="6"/>
  <c r="B318" i="6"/>
  <c r="C318" i="6"/>
  <c r="D318" i="6"/>
  <c r="E318" i="6"/>
  <c r="F318" i="6"/>
  <c r="G318" i="6"/>
  <c r="H318" i="6"/>
  <c r="I318" i="6"/>
  <c r="J318" i="6"/>
  <c r="L318" i="6"/>
  <c r="M318" i="6"/>
  <c r="N318" i="6"/>
  <c r="O318" i="6"/>
  <c r="P318" i="6"/>
  <c r="A319" i="6"/>
  <c r="B319" i="6"/>
  <c r="C319" i="6"/>
  <c r="D319" i="6"/>
  <c r="E319" i="6"/>
  <c r="F319" i="6"/>
  <c r="G319" i="6"/>
  <c r="H319" i="6"/>
  <c r="I319" i="6"/>
  <c r="J319" i="6"/>
  <c r="L319" i="6"/>
  <c r="M319" i="6"/>
  <c r="N319" i="6"/>
  <c r="O319" i="6"/>
  <c r="P319" i="6"/>
  <c r="A320" i="6"/>
  <c r="B320" i="6"/>
  <c r="C320" i="6"/>
  <c r="D320" i="6"/>
  <c r="E320" i="6"/>
  <c r="F320" i="6"/>
  <c r="G320" i="6"/>
  <c r="H320" i="6"/>
  <c r="I320" i="6"/>
  <c r="J320" i="6"/>
  <c r="L320" i="6"/>
  <c r="M320" i="6"/>
  <c r="N320" i="6"/>
  <c r="O320" i="6"/>
  <c r="P320" i="6"/>
  <c r="A321" i="6"/>
  <c r="B321" i="6"/>
  <c r="C321" i="6"/>
  <c r="D321" i="6"/>
  <c r="E321" i="6"/>
  <c r="F321" i="6"/>
  <c r="G321" i="6"/>
  <c r="H321" i="6"/>
  <c r="I321" i="6"/>
  <c r="J321" i="6"/>
  <c r="L321" i="6"/>
  <c r="M321" i="6"/>
  <c r="N321" i="6"/>
  <c r="O321" i="6"/>
  <c r="P321" i="6"/>
  <c r="A322" i="6"/>
  <c r="B322" i="6"/>
  <c r="C322" i="6"/>
  <c r="D322" i="6"/>
  <c r="E322" i="6"/>
  <c r="F322" i="6"/>
  <c r="G322" i="6"/>
  <c r="H322" i="6"/>
  <c r="I322" i="6"/>
  <c r="J322" i="6"/>
  <c r="L322" i="6"/>
  <c r="M322" i="6"/>
  <c r="N322" i="6"/>
  <c r="O322" i="6"/>
  <c r="P322" i="6"/>
  <c r="A323" i="6"/>
  <c r="B323" i="6"/>
  <c r="C323" i="6"/>
  <c r="D323" i="6"/>
  <c r="E323" i="6"/>
  <c r="F323" i="6"/>
  <c r="G323" i="6"/>
  <c r="H323" i="6"/>
  <c r="I323" i="6"/>
  <c r="J323" i="6"/>
  <c r="L323" i="6"/>
  <c r="M323" i="6"/>
  <c r="N323" i="6"/>
  <c r="O323" i="6"/>
  <c r="P323" i="6"/>
  <c r="A324" i="6"/>
  <c r="B324" i="6"/>
  <c r="C324" i="6"/>
  <c r="D324" i="6"/>
  <c r="E324" i="6"/>
  <c r="F324" i="6"/>
  <c r="G324" i="6"/>
  <c r="H324" i="6"/>
  <c r="I324" i="6"/>
  <c r="J324" i="6"/>
  <c r="L324" i="6"/>
  <c r="M324" i="6"/>
  <c r="N324" i="6"/>
  <c r="O324" i="6"/>
  <c r="P324" i="6"/>
  <c r="A325" i="6"/>
  <c r="B325" i="6"/>
  <c r="C325" i="6"/>
  <c r="D325" i="6"/>
  <c r="E325" i="6"/>
  <c r="F325" i="6"/>
  <c r="G325" i="6"/>
  <c r="H325" i="6"/>
  <c r="I325" i="6"/>
  <c r="J325" i="6"/>
  <c r="L325" i="6"/>
  <c r="M325" i="6"/>
  <c r="N325" i="6"/>
  <c r="O325" i="6"/>
  <c r="P325" i="6"/>
  <c r="A326" i="6"/>
  <c r="B326" i="6"/>
  <c r="C326" i="6"/>
  <c r="D326" i="6"/>
  <c r="E326" i="6"/>
  <c r="F326" i="6"/>
  <c r="G326" i="6"/>
  <c r="H326" i="6"/>
  <c r="I326" i="6"/>
  <c r="J326" i="6"/>
  <c r="L326" i="6"/>
  <c r="M326" i="6"/>
  <c r="N326" i="6"/>
  <c r="O326" i="6"/>
  <c r="P326" i="6"/>
  <c r="A327" i="6"/>
  <c r="B327" i="6"/>
  <c r="C327" i="6"/>
  <c r="D327" i="6"/>
  <c r="E327" i="6"/>
  <c r="F327" i="6"/>
  <c r="G327" i="6"/>
  <c r="H327" i="6"/>
  <c r="I327" i="6"/>
  <c r="J327" i="6"/>
  <c r="L327" i="6"/>
  <c r="M327" i="6"/>
  <c r="N327" i="6"/>
  <c r="O327" i="6"/>
  <c r="P327" i="6"/>
  <c r="A328" i="6"/>
  <c r="B328" i="6"/>
  <c r="C328" i="6"/>
  <c r="D328" i="6"/>
  <c r="E328" i="6"/>
  <c r="F328" i="6"/>
  <c r="G328" i="6"/>
  <c r="H328" i="6"/>
  <c r="I328" i="6"/>
  <c r="J328" i="6"/>
  <c r="L328" i="6"/>
  <c r="M328" i="6"/>
  <c r="N328" i="6"/>
  <c r="O328" i="6"/>
  <c r="P328" i="6"/>
  <c r="A329" i="6"/>
  <c r="B329" i="6"/>
  <c r="C329" i="6"/>
  <c r="D329" i="6"/>
  <c r="E329" i="6"/>
  <c r="F329" i="6"/>
  <c r="G329" i="6"/>
  <c r="H329" i="6"/>
  <c r="I329" i="6"/>
  <c r="J329" i="6"/>
  <c r="L329" i="6"/>
  <c r="M329" i="6"/>
  <c r="N329" i="6"/>
  <c r="O329" i="6"/>
  <c r="P329" i="6"/>
  <c r="A330" i="6"/>
  <c r="B330" i="6"/>
  <c r="C330" i="6"/>
  <c r="D330" i="6"/>
  <c r="E330" i="6"/>
  <c r="F330" i="6"/>
  <c r="G330" i="6"/>
  <c r="H330" i="6"/>
  <c r="I330" i="6"/>
  <c r="J330" i="6"/>
  <c r="L330" i="6"/>
  <c r="M330" i="6"/>
  <c r="N330" i="6"/>
  <c r="O330" i="6"/>
  <c r="P330" i="6"/>
  <c r="A331" i="6"/>
  <c r="B331" i="6"/>
  <c r="C331" i="6"/>
  <c r="D331" i="6"/>
  <c r="E331" i="6"/>
  <c r="F331" i="6"/>
  <c r="G331" i="6"/>
  <c r="H331" i="6"/>
  <c r="I331" i="6"/>
  <c r="J331" i="6"/>
  <c r="L331" i="6"/>
  <c r="M331" i="6"/>
  <c r="N331" i="6"/>
  <c r="O331" i="6"/>
  <c r="P331" i="6"/>
  <c r="A332" i="6"/>
  <c r="B332" i="6"/>
  <c r="C332" i="6"/>
  <c r="D332" i="6"/>
  <c r="E332" i="6"/>
  <c r="F332" i="6"/>
  <c r="G332" i="6"/>
  <c r="H332" i="6"/>
  <c r="I332" i="6"/>
  <c r="J332" i="6"/>
  <c r="L332" i="6"/>
  <c r="M332" i="6"/>
  <c r="N332" i="6"/>
  <c r="O332" i="6"/>
  <c r="P332" i="6"/>
  <c r="A333" i="6"/>
  <c r="B333" i="6"/>
  <c r="C333" i="6"/>
  <c r="D333" i="6"/>
  <c r="E333" i="6"/>
  <c r="F333" i="6"/>
  <c r="G333" i="6"/>
  <c r="H333" i="6"/>
  <c r="I333" i="6"/>
  <c r="J333" i="6"/>
  <c r="L333" i="6"/>
  <c r="M333" i="6"/>
  <c r="N333" i="6"/>
  <c r="O333" i="6"/>
  <c r="P333" i="6"/>
  <c r="A334" i="6"/>
  <c r="B334" i="6"/>
  <c r="C334" i="6"/>
  <c r="D334" i="6"/>
  <c r="E334" i="6"/>
  <c r="F334" i="6"/>
  <c r="G334" i="6"/>
  <c r="H334" i="6"/>
  <c r="I334" i="6"/>
  <c r="J334" i="6"/>
  <c r="L334" i="6"/>
  <c r="M334" i="6"/>
  <c r="N334" i="6"/>
  <c r="O334" i="6"/>
  <c r="P334" i="6"/>
  <c r="A335" i="6"/>
  <c r="B335" i="6"/>
  <c r="C335" i="6"/>
  <c r="D335" i="6"/>
  <c r="E335" i="6"/>
  <c r="F335" i="6"/>
  <c r="G335" i="6"/>
  <c r="H335" i="6"/>
  <c r="I335" i="6"/>
  <c r="J335" i="6"/>
  <c r="L335" i="6"/>
  <c r="M335" i="6"/>
  <c r="N335" i="6"/>
  <c r="O335" i="6"/>
  <c r="P335" i="6"/>
  <c r="A336" i="6"/>
  <c r="B336" i="6"/>
  <c r="C336" i="6"/>
  <c r="D336" i="6"/>
  <c r="E336" i="6"/>
  <c r="F336" i="6"/>
  <c r="G336" i="6"/>
  <c r="H336" i="6"/>
  <c r="I336" i="6"/>
  <c r="J336" i="6"/>
  <c r="L336" i="6"/>
  <c r="M336" i="6"/>
  <c r="N336" i="6"/>
  <c r="O336" i="6"/>
  <c r="P336" i="6"/>
  <c r="A337" i="6"/>
  <c r="B337" i="6"/>
  <c r="C337" i="6"/>
  <c r="D337" i="6"/>
  <c r="E337" i="6"/>
  <c r="F337" i="6"/>
  <c r="G337" i="6"/>
  <c r="H337" i="6"/>
  <c r="I337" i="6"/>
  <c r="J337" i="6"/>
  <c r="L337" i="6"/>
  <c r="M337" i="6"/>
  <c r="N337" i="6"/>
  <c r="O337" i="6"/>
  <c r="P337" i="6"/>
  <c r="A338" i="6"/>
  <c r="B338" i="6"/>
  <c r="C338" i="6"/>
  <c r="D338" i="6"/>
  <c r="E338" i="6"/>
  <c r="F338" i="6"/>
  <c r="G338" i="6"/>
  <c r="H338" i="6"/>
  <c r="I338" i="6"/>
  <c r="J338" i="6"/>
  <c r="L338" i="6"/>
  <c r="M338" i="6"/>
  <c r="N338" i="6"/>
  <c r="O338" i="6"/>
  <c r="P338" i="6"/>
  <c r="A339" i="6"/>
  <c r="B339" i="6"/>
  <c r="C339" i="6"/>
  <c r="D339" i="6"/>
  <c r="E339" i="6"/>
  <c r="F339" i="6"/>
  <c r="G339" i="6"/>
  <c r="H339" i="6"/>
  <c r="I339" i="6"/>
  <c r="J339" i="6"/>
  <c r="L339" i="6"/>
  <c r="M339" i="6"/>
  <c r="N339" i="6"/>
  <c r="O339" i="6"/>
  <c r="P339" i="6"/>
  <c r="A340" i="6"/>
  <c r="B340" i="6"/>
  <c r="C340" i="6"/>
  <c r="D340" i="6"/>
  <c r="E340" i="6"/>
  <c r="F340" i="6"/>
  <c r="G340" i="6"/>
  <c r="H340" i="6"/>
  <c r="I340" i="6"/>
  <c r="J340" i="6"/>
  <c r="L340" i="6"/>
  <c r="M340" i="6"/>
  <c r="N340" i="6"/>
  <c r="O340" i="6"/>
  <c r="P340" i="6"/>
  <c r="A341" i="6"/>
  <c r="B341" i="6"/>
  <c r="C341" i="6"/>
  <c r="D341" i="6"/>
  <c r="E341" i="6"/>
  <c r="F341" i="6"/>
  <c r="G341" i="6"/>
  <c r="H341" i="6"/>
  <c r="I341" i="6"/>
  <c r="J341" i="6"/>
  <c r="L341" i="6"/>
  <c r="M341" i="6"/>
  <c r="N341" i="6"/>
  <c r="O341" i="6"/>
  <c r="P341" i="6"/>
  <c r="A342" i="6"/>
  <c r="B342" i="6"/>
  <c r="C342" i="6"/>
  <c r="D342" i="6"/>
  <c r="E342" i="6"/>
  <c r="F342" i="6"/>
  <c r="G342" i="6"/>
  <c r="H342" i="6"/>
  <c r="I342" i="6"/>
  <c r="J342" i="6"/>
  <c r="L342" i="6"/>
  <c r="M342" i="6"/>
  <c r="N342" i="6"/>
  <c r="O342" i="6"/>
  <c r="P342" i="6"/>
  <c r="A343" i="6"/>
  <c r="B343" i="6"/>
  <c r="C343" i="6"/>
  <c r="D343" i="6"/>
  <c r="E343" i="6"/>
  <c r="F343" i="6"/>
  <c r="G343" i="6"/>
  <c r="H343" i="6"/>
  <c r="I343" i="6"/>
  <c r="J343" i="6"/>
  <c r="L343" i="6"/>
  <c r="M343" i="6"/>
  <c r="N343" i="6"/>
  <c r="O343" i="6"/>
  <c r="P343" i="6"/>
  <c r="A344" i="6"/>
  <c r="B344" i="6"/>
  <c r="C344" i="6"/>
  <c r="D344" i="6"/>
  <c r="E344" i="6"/>
  <c r="F344" i="6"/>
  <c r="G344" i="6"/>
  <c r="H344" i="6"/>
  <c r="I344" i="6"/>
  <c r="J344" i="6"/>
  <c r="L344" i="6"/>
  <c r="M344" i="6"/>
  <c r="N344" i="6"/>
  <c r="O344" i="6"/>
  <c r="P344" i="6"/>
  <c r="A345" i="6"/>
  <c r="B345" i="6"/>
  <c r="C345" i="6"/>
  <c r="D345" i="6"/>
  <c r="E345" i="6"/>
  <c r="F345" i="6"/>
  <c r="G345" i="6"/>
  <c r="H345" i="6"/>
  <c r="I345" i="6"/>
  <c r="J345" i="6"/>
  <c r="L345" i="6"/>
  <c r="M345" i="6"/>
  <c r="N345" i="6"/>
  <c r="O345" i="6"/>
  <c r="P345" i="6"/>
  <c r="A346" i="6"/>
  <c r="B346" i="6"/>
  <c r="C346" i="6"/>
  <c r="D346" i="6"/>
  <c r="E346" i="6"/>
  <c r="F346" i="6"/>
  <c r="G346" i="6"/>
  <c r="H346" i="6"/>
  <c r="I346" i="6"/>
  <c r="J346" i="6"/>
  <c r="L346" i="6"/>
  <c r="M346" i="6"/>
  <c r="N346" i="6"/>
  <c r="O346" i="6"/>
  <c r="P346" i="6"/>
  <c r="A347" i="6"/>
  <c r="B347" i="6"/>
  <c r="C347" i="6"/>
  <c r="D347" i="6"/>
  <c r="E347" i="6"/>
  <c r="F347" i="6"/>
  <c r="G347" i="6"/>
  <c r="H347" i="6"/>
  <c r="I347" i="6"/>
  <c r="J347" i="6"/>
  <c r="L347" i="6"/>
  <c r="M347" i="6"/>
  <c r="N347" i="6"/>
  <c r="O347" i="6"/>
  <c r="P347" i="6"/>
  <c r="A348" i="6"/>
  <c r="B348" i="6"/>
  <c r="C348" i="6"/>
  <c r="D348" i="6"/>
  <c r="E348" i="6"/>
  <c r="F348" i="6"/>
  <c r="G348" i="6"/>
  <c r="H348" i="6"/>
  <c r="I348" i="6"/>
  <c r="J348" i="6"/>
  <c r="L348" i="6"/>
  <c r="M348" i="6"/>
  <c r="N348" i="6"/>
  <c r="O348" i="6"/>
  <c r="P348" i="6"/>
  <c r="A349" i="6"/>
  <c r="B349" i="6"/>
  <c r="C349" i="6"/>
  <c r="D349" i="6"/>
  <c r="E349" i="6"/>
  <c r="F349" i="6"/>
  <c r="G349" i="6"/>
  <c r="H349" i="6"/>
  <c r="I349" i="6"/>
  <c r="J349" i="6"/>
  <c r="L349" i="6"/>
  <c r="M349" i="6"/>
  <c r="N349" i="6"/>
  <c r="O349" i="6"/>
  <c r="P349" i="6"/>
  <c r="A350" i="6"/>
  <c r="B350" i="6"/>
  <c r="C350" i="6"/>
  <c r="D350" i="6"/>
  <c r="E350" i="6"/>
  <c r="F350" i="6"/>
  <c r="G350" i="6"/>
  <c r="H350" i="6"/>
  <c r="I350" i="6"/>
  <c r="J350" i="6"/>
  <c r="L350" i="6"/>
  <c r="M350" i="6"/>
  <c r="N350" i="6"/>
  <c r="O350" i="6"/>
  <c r="P350" i="6"/>
  <c r="A351" i="6"/>
  <c r="B351" i="6"/>
  <c r="C351" i="6"/>
  <c r="D351" i="6"/>
  <c r="E351" i="6"/>
  <c r="F351" i="6"/>
  <c r="G351" i="6"/>
  <c r="H351" i="6"/>
  <c r="I351" i="6"/>
  <c r="J351" i="6"/>
  <c r="L351" i="6"/>
  <c r="M351" i="6"/>
  <c r="N351" i="6"/>
  <c r="O351" i="6"/>
  <c r="P351" i="6"/>
  <c r="A352" i="6"/>
  <c r="B352" i="6"/>
  <c r="C352" i="6"/>
  <c r="D352" i="6"/>
  <c r="E352" i="6"/>
  <c r="F352" i="6"/>
  <c r="G352" i="6"/>
  <c r="H352" i="6"/>
  <c r="I352" i="6"/>
  <c r="J352" i="6"/>
  <c r="L352" i="6"/>
  <c r="M352" i="6"/>
  <c r="N352" i="6"/>
  <c r="O352" i="6"/>
  <c r="P352" i="6"/>
  <c r="A353" i="6"/>
  <c r="B353" i="6"/>
  <c r="C353" i="6"/>
  <c r="D353" i="6"/>
  <c r="E353" i="6"/>
  <c r="F353" i="6"/>
  <c r="G353" i="6"/>
  <c r="H353" i="6"/>
  <c r="I353" i="6"/>
  <c r="J353" i="6"/>
  <c r="L353" i="6"/>
  <c r="M353" i="6"/>
  <c r="N353" i="6"/>
  <c r="O353" i="6"/>
  <c r="P353" i="6"/>
  <c r="A354" i="6"/>
  <c r="B354" i="6"/>
  <c r="C354" i="6"/>
  <c r="D354" i="6"/>
  <c r="E354" i="6"/>
  <c r="F354" i="6"/>
  <c r="G354" i="6"/>
  <c r="H354" i="6"/>
  <c r="I354" i="6"/>
  <c r="J354" i="6"/>
  <c r="L354" i="6"/>
  <c r="M354" i="6"/>
  <c r="N354" i="6"/>
  <c r="O354" i="6"/>
  <c r="P354" i="6"/>
  <c r="A355" i="6"/>
  <c r="B355" i="6"/>
  <c r="C355" i="6"/>
  <c r="D355" i="6"/>
  <c r="E355" i="6"/>
  <c r="F355" i="6"/>
  <c r="G355" i="6"/>
  <c r="H355" i="6"/>
  <c r="I355" i="6"/>
  <c r="J355" i="6"/>
  <c r="L355" i="6"/>
  <c r="M355" i="6"/>
  <c r="N355" i="6"/>
  <c r="O355" i="6"/>
  <c r="P355" i="6"/>
  <c r="A356" i="6"/>
  <c r="B356" i="6"/>
  <c r="C356" i="6"/>
  <c r="D356" i="6"/>
  <c r="E356" i="6"/>
  <c r="F356" i="6"/>
  <c r="G356" i="6"/>
  <c r="H356" i="6"/>
  <c r="I356" i="6"/>
  <c r="J356" i="6"/>
  <c r="L356" i="6"/>
  <c r="M356" i="6"/>
  <c r="N356" i="6"/>
  <c r="O356" i="6"/>
  <c r="P356" i="6"/>
  <c r="A357" i="6"/>
  <c r="B357" i="6"/>
  <c r="C357" i="6"/>
  <c r="D357" i="6"/>
  <c r="E357" i="6"/>
  <c r="F357" i="6"/>
  <c r="G357" i="6"/>
  <c r="H357" i="6"/>
  <c r="I357" i="6"/>
  <c r="J357" i="6"/>
  <c r="L357" i="6"/>
  <c r="M357" i="6"/>
  <c r="N357" i="6"/>
  <c r="O357" i="6"/>
  <c r="P357" i="6"/>
  <c r="A358" i="6"/>
  <c r="B358" i="6"/>
  <c r="C358" i="6"/>
  <c r="D358" i="6"/>
  <c r="E358" i="6"/>
  <c r="F358" i="6"/>
  <c r="G358" i="6"/>
  <c r="H358" i="6"/>
  <c r="I358" i="6"/>
  <c r="J358" i="6"/>
  <c r="L358" i="6"/>
  <c r="M358" i="6"/>
  <c r="N358" i="6"/>
  <c r="O358" i="6"/>
  <c r="P358" i="6"/>
  <c r="A359" i="6"/>
  <c r="B359" i="6"/>
  <c r="C359" i="6"/>
  <c r="D359" i="6"/>
  <c r="E359" i="6"/>
  <c r="F359" i="6"/>
  <c r="G359" i="6"/>
  <c r="H359" i="6"/>
  <c r="I359" i="6"/>
  <c r="J359" i="6"/>
  <c r="L359" i="6"/>
  <c r="M359" i="6"/>
  <c r="N359" i="6"/>
  <c r="O359" i="6"/>
  <c r="P359" i="6"/>
  <c r="A360" i="6"/>
  <c r="B360" i="6"/>
  <c r="C360" i="6"/>
  <c r="D360" i="6"/>
  <c r="E360" i="6"/>
  <c r="F360" i="6"/>
  <c r="G360" i="6"/>
  <c r="H360" i="6"/>
  <c r="I360" i="6"/>
  <c r="J360" i="6"/>
  <c r="L360" i="6"/>
  <c r="M360" i="6"/>
  <c r="N360" i="6"/>
  <c r="O360" i="6"/>
  <c r="P360" i="6"/>
  <c r="A361" i="6"/>
  <c r="B361" i="6"/>
  <c r="C361" i="6"/>
  <c r="D361" i="6"/>
  <c r="E361" i="6"/>
  <c r="F361" i="6"/>
  <c r="G361" i="6"/>
  <c r="H361" i="6"/>
  <c r="I361" i="6"/>
  <c r="J361" i="6"/>
  <c r="L361" i="6"/>
  <c r="M361" i="6"/>
  <c r="N361" i="6"/>
  <c r="O361" i="6"/>
  <c r="P361" i="6"/>
  <c r="A362" i="6"/>
  <c r="B362" i="6"/>
  <c r="C362" i="6"/>
  <c r="D362" i="6"/>
  <c r="E362" i="6"/>
  <c r="F362" i="6"/>
  <c r="G362" i="6"/>
  <c r="H362" i="6"/>
  <c r="I362" i="6"/>
  <c r="J362" i="6"/>
  <c r="L362" i="6"/>
  <c r="M362" i="6"/>
  <c r="N362" i="6"/>
  <c r="O362" i="6"/>
  <c r="P362" i="6"/>
  <c r="A363" i="6"/>
  <c r="B363" i="6"/>
  <c r="C363" i="6"/>
  <c r="D363" i="6"/>
  <c r="E363" i="6"/>
  <c r="F363" i="6"/>
  <c r="G363" i="6"/>
  <c r="H363" i="6"/>
  <c r="I363" i="6"/>
  <c r="J363" i="6"/>
  <c r="L363" i="6"/>
  <c r="M363" i="6"/>
  <c r="N363" i="6"/>
  <c r="O363" i="6"/>
  <c r="P363" i="6"/>
  <c r="A364" i="6"/>
  <c r="B364" i="6"/>
  <c r="C364" i="6"/>
  <c r="D364" i="6"/>
  <c r="E364" i="6"/>
  <c r="F364" i="6"/>
  <c r="G364" i="6"/>
  <c r="H364" i="6"/>
  <c r="I364" i="6"/>
  <c r="J364" i="6"/>
  <c r="L364" i="6"/>
  <c r="M364" i="6"/>
  <c r="N364" i="6"/>
  <c r="O364" i="6"/>
  <c r="P364" i="6"/>
  <c r="A365" i="6"/>
  <c r="B365" i="6"/>
  <c r="C365" i="6"/>
  <c r="D365" i="6"/>
  <c r="E365" i="6"/>
  <c r="F365" i="6"/>
  <c r="G365" i="6"/>
  <c r="H365" i="6"/>
  <c r="I365" i="6"/>
  <c r="J365" i="6"/>
  <c r="L365" i="6"/>
  <c r="M365" i="6"/>
  <c r="N365" i="6"/>
  <c r="O365" i="6"/>
  <c r="P365" i="6"/>
  <c r="A366" i="6"/>
  <c r="B366" i="6"/>
  <c r="C366" i="6"/>
  <c r="D366" i="6"/>
  <c r="E366" i="6"/>
  <c r="F366" i="6"/>
  <c r="G366" i="6"/>
  <c r="H366" i="6"/>
  <c r="I366" i="6"/>
  <c r="J366" i="6"/>
  <c r="L366" i="6"/>
  <c r="M366" i="6"/>
  <c r="N366" i="6"/>
  <c r="O366" i="6"/>
  <c r="P366" i="6"/>
  <c r="A367" i="6"/>
  <c r="B367" i="6"/>
  <c r="C367" i="6"/>
  <c r="D367" i="6"/>
  <c r="E367" i="6"/>
  <c r="F367" i="6"/>
  <c r="G367" i="6"/>
  <c r="H367" i="6"/>
  <c r="I367" i="6"/>
  <c r="J367" i="6"/>
  <c r="L367" i="6"/>
  <c r="M367" i="6"/>
  <c r="N367" i="6"/>
  <c r="O367" i="6"/>
  <c r="P367" i="6"/>
  <c r="A368" i="6"/>
  <c r="B368" i="6"/>
  <c r="C368" i="6"/>
  <c r="D368" i="6"/>
  <c r="E368" i="6"/>
  <c r="F368" i="6"/>
  <c r="G368" i="6"/>
  <c r="H368" i="6"/>
  <c r="I368" i="6"/>
  <c r="J368" i="6"/>
  <c r="L368" i="6"/>
  <c r="M368" i="6"/>
  <c r="N368" i="6"/>
  <c r="O368" i="6"/>
  <c r="P368" i="6"/>
  <c r="A369" i="6"/>
  <c r="B369" i="6"/>
  <c r="C369" i="6"/>
  <c r="D369" i="6"/>
  <c r="E369" i="6"/>
  <c r="F369" i="6"/>
  <c r="G369" i="6"/>
  <c r="H369" i="6"/>
  <c r="I369" i="6"/>
  <c r="J369" i="6"/>
  <c r="L369" i="6"/>
  <c r="M369" i="6"/>
  <c r="N369" i="6"/>
  <c r="O369" i="6"/>
  <c r="P369" i="6"/>
  <c r="A370" i="6"/>
  <c r="B370" i="6"/>
  <c r="C370" i="6"/>
  <c r="D370" i="6"/>
  <c r="E370" i="6"/>
  <c r="F370" i="6"/>
  <c r="G370" i="6"/>
  <c r="H370" i="6"/>
  <c r="I370" i="6"/>
  <c r="J370" i="6"/>
  <c r="L370" i="6"/>
  <c r="M370" i="6"/>
  <c r="N370" i="6"/>
  <c r="O370" i="6"/>
  <c r="P370" i="6"/>
  <c r="A371" i="6"/>
  <c r="B371" i="6"/>
  <c r="C371" i="6"/>
  <c r="D371" i="6"/>
  <c r="E371" i="6"/>
  <c r="F371" i="6"/>
  <c r="G371" i="6"/>
  <c r="H371" i="6"/>
  <c r="I371" i="6"/>
  <c r="J371" i="6"/>
  <c r="L371" i="6"/>
  <c r="M371" i="6"/>
  <c r="N371" i="6"/>
  <c r="O371" i="6"/>
  <c r="P371" i="6"/>
  <c r="A372" i="6"/>
  <c r="B372" i="6"/>
  <c r="C372" i="6"/>
  <c r="D372" i="6"/>
  <c r="E372" i="6"/>
  <c r="F372" i="6"/>
  <c r="G372" i="6"/>
  <c r="H372" i="6"/>
  <c r="I372" i="6"/>
  <c r="J372" i="6"/>
  <c r="L372" i="6"/>
  <c r="M372" i="6"/>
  <c r="N372" i="6"/>
  <c r="O372" i="6"/>
  <c r="P372" i="6"/>
  <c r="A373" i="6"/>
  <c r="B373" i="6"/>
  <c r="C373" i="6"/>
  <c r="D373" i="6"/>
  <c r="E373" i="6"/>
  <c r="F373" i="6"/>
  <c r="G373" i="6"/>
  <c r="H373" i="6"/>
  <c r="I373" i="6"/>
  <c r="J373" i="6"/>
  <c r="L373" i="6"/>
  <c r="M373" i="6"/>
  <c r="N373" i="6"/>
  <c r="O373" i="6"/>
  <c r="P373" i="6"/>
  <c r="A374" i="6"/>
  <c r="B374" i="6"/>
  <c r="C374" i="6"/>
  <c r="D374" i="6"/>
  <c r="E374" i="6"/>
  <c r="F374" i="6"/>
  <c r="G374" i="6"/>
  <c r="H374" i="6"/>
  <c r="I374" i="6"/>
  <c r="J374" i="6"/>
  <c r="L374" i="6"/>
  <c r="M374" i="6"/>
  <c r="N374" i="6"/>
  <c r="O374" i="6"/>
  <c r="P374" i="6"/>
  <c r="A375" i="6"/>
  <c r="B375" i="6"/>
  <c r="C375" i="6"/>
  <c r="D375" i="6"/>
  <c r="E375" i="6"/>
  <c r="F375" i="6"/>
  <c r="G375" i="6"/>
  <c r="H375" i="6"/>
  <c r="I375" i="6"/>
  <c r="J375" i="6"/>
  <c r="L375" i="6"/>
  <c r="M375" i="6"/>
  <c r="N375" i="6"/>
  <c r="O375" i="6"/>
  <c r="P375" i="6"/>
  <c r="A376" i="6"/>
  <c r="B376" i="6"/>
  <c r="C376" i="6"/>
  <c r="D376" i="6"/>
  <c r="E376" i="6"/>
  <c r="F376" i="6"/>
  <c r="G376" i="6"/>
  <c r="H376" i="6"/>
  <c r="I376" i="6"/>
  <c r="J376" i="6"/>
  <c r="L376" i="6"/>
  <c r="M376" i="6"/>
  <c r="N376" i="6"/>
  <c r="O376" i="6"/>
  <c r="P376" i="6"/>
  <c r="A377" i="6"/>
  <c r="B377" i="6"/>
  <c r="C377" i="6"/>
  <c r="D377" i="6"/>
  <c r="E377" i="6"/>
  <c r="F377" i="6"/>
  <c r="G377" i="6"/>
  <c r="H377" i="6"/>
  <c r="I377" i="6"/>
  <c r="J377" i="6"/>
  <c r="L377" i="6"/>
  <c r="M377" i="6"/>
  <c r="N377" i="6"/>
  <c r="O377" i="6"/>
  <c r="P377" i="6"/>
  <c r="A378" i="6"/>
  <c r="B378" i="6"/>
  <c r="C378" i="6"/>
  <c r="D378" i="6"/>
  <c r="E378" i="6"/>
  <c r="F378" i="6"/>
  <c r="G378" i="6"/>
  <c r="H378" i="6"/>
  <c r="I378" i="6"/>
  <c r="J378" i="6"/>
  <c r="L378" i="6"/>
  <c r="M378" i="6"/>
  <c r="N378" i="6"/>
  <c r="O378" i="6"/>
  <c r="P378" i="6"/>
  <c r="A379" i="6"/>
  <c r="B379" i="6"/>
  <c r="C379" i="6"/>
  <c r="D379" i="6"/>
  <c r="E379" i="6"/>
  <c r="F379" i="6"/>
  <c r="G379" i="6"/>
  <c r="H379" i="6"/>
  <c r="I379" i="6"/>
  <c r="J379" i="6"/>
  <c r="L379" i="6"/>
  <c r="M379" i="6"/>
  <c r="N379" i="6"/>
  <c r="O379" i="6"/>
  <c r="P379" i="6"/>
  <c r="A380" i="6"/>
  <c r="B380" i="6"/>
  <c r="C380" i="6"/>
  <c r="D380" i="6"/>
  <c r="E380" i="6"/>
  <c r="F380" i="6"/>
  <c r="G380" i="6"/>
  <c r="H380" i="6"/>
  <c r="I380" i="6"/>
  <c r="J380" i="6"/>
  <c r="L380" i="6"/>
  <c r="M380" i="6"/>
  <c r="N380" i="6"/>
  <c r="O380" i="6"/>
  <c r="P380" i="6"/>
  <c r="A381" i="6"/>
  <c r="B381" i="6"/>
  <c r="C381" i="6"/>
  <c r="D381" i="6"/>
  <c r="E381" i="6"/>
  <c r="F381" i="6"/>
  <c r="G381" i="6"/>
  <c r="H381" i="6"/>
  <c r="I381" i="6"/>
  <c r="J381" i="6"/>
  <c r="L381" i="6"/>
  <c r="M381" i="6"/>
  <c r="N381" i="6"/>
  <c r="O381" i="6"/>
  <c r="P381" i="6"/>
  <c r="A382" i="6"/>
  <c r="B382" i="6"/>
  <c r="C382" i="6"/>
  <c r="D382" i="6"/>
  <c r="E382" i="6"/>
  <c r="F382" i="6"/>
  <c r="G382" i="6"/>
  <c r="H382" i="6"/>
  <c r="I382" i="6"/>
  <c r="J382" i="6"/>
  <c r="L382" i="6"/>
  <c r="M382" i="6"/>
  <c r="N382" i="6"/>
  <c r="O382" i="6"/>
  <c r="P382" i="6"/>
  <c r="A383" i="6"/>
  <c r="B383" i="6"/>
  <c r="C383" i="6"/>
  <c r="D383" i="6"/>
  <c r="E383" i="6"/>
  <c r="F383" i="6"/>
  <c r="G383" i="6"/>
  <c r="H383" i="6"/>
  <c r="I383" i="6"/>
  <c r="J383" i="6"/>
  <c r="L383" i="6"/>
  <c r="M383" i="6"/>
  <c r="N383" i="6"/>
  <c r="O383" i="6"/>
  <c r="P383" i="6"/>
  <c r="A384" i="6"/>
  <c r="B384" i="6"/>
  <c r="C384" i="6"/>
  <c r="D384" i="6"/>
  <c r="E384" i="6"/>
  <c r="F384" i="6"/>
  <c r="G384" i="6"/>
  <c r="H384" i="6"/>
  <c r="I384" i="6"/>
  <c r="J384" i="6"/>
  <c r="L384" i="6"/>
  <c r="M384" i="6"/>
  <c r="N384" i="6"/>
  <c r="O384" i="6"/>
  <c r="P384" i="6"/>
  <c r="A385" i="6"/>
  <c r="B385" i="6"/>
  <c r="C385" i="6"/>
  <c r="D385" i="6"/>
  <c r="E385" i="6"/>
  <c r="F385" i="6"/>
  <c r="G385" i="6"/>
  <c r="H385" i="6"/>
  <c r="I385" i="6"/>
  <c r="J385" i="6"/>
  <c r="L385" i="6"/>
  <c r="M385" i="6"/>
  <c r="N385" i="6"/>
  <c r="O385" i="6"/>
  <c r="P385" i="6"/>
  <c r="A386" i="6"/>
  <c r="B386" i="6"/>
  <c r="C386" i="6"/>
  <c r="D386" i="6"/>
  <c r="E386" i="6"/>
  <c r="F386" i="6"/>
  <c r="G386" i="6"/>
  <c r="H386" i="6"/>
  <c r="I386" i="6"/>
  <c r="J386" i="6"/>
  <c r="L386" i="6"/>
  <c r="M386" i="6"/>
  <c r="N386" i="6"/>
  <c r="O386" i="6"/>
  <c r="P386" i="6"/>
  <c r="A387" i="6"/>
  <c r="B387" i="6"/>
  <c r="C387" i="6"/>
  <c r="D387" i="6"/>
  <c r="E387" i="6"/>
  <c r="F387" i="6"/>
  <c r="G387" i="6"/>
  <c r="H387" i="6"/>
  <c r="I387" i="6"/>
  <c r="J387" i="6"/>
  <c r="L387" i="6"/>
  <c r="M387" i="6"/>
  <c r="N387" i="6"/>
  <c r="O387" i="6"/>
  <c r="P387" i="6"/>
  <c r="A388" i="6"/>
  <c r="B388" i="6"/>
  <c r="C388" i="6"/>
  <c r="D388" i="6"/>
  <c r="E388" i="6"/>
  <c r="F388" i="6"/>
  <c r="G388" i="6"/>
  <c r="H388" i="6"/>
  <c r="I388" i="6"/>
  <c r="J388" i="6"/>
  <c r="L388" i="6"/>
  <c r="M388" i="6"/>
  <c r="N388" i="6"/>
  <c r="O388" i="6"/>
  <c r="P388" i="6"/>
  <c r="A389" i="6"/>
  <c r="B389" i="6"/>
  <c r="C389" i="6"/>
  <c r="D389" i="6"/>
  <c r="E389" i="6"/>
  <c r="F389" i="6"/>
  <c r="G389" i="6"/>
  <c r="H389" i="6"/>
  <c r="I389" i="6"/>
  <c r="J389" i="6"/>
  <c r="L389" i="6"/>
  <c r="M389" i="6"/>
  <c r="N389" i="6"/>
  <c r="O389" i="6"/>
  <c r="P389" i="6"/>
  <c r="A390" i="6"/>
  <c r="B390" i="6"/>
  <c r="C390" i="6"/>
  <c r="D390" i="6"/>
  <c r="E390" i="6"/>
  <c r="F390" i="6"/>
  <c r="G390" i="6"/>
  <c r="H390" i="6"/>
  <c r="I390" i="6"/>
  <c r="J390" i="6"/>
  <c r="L390" i="6"/>
  <c r="M390" i="6"/>
  <c r="N390" i="6"/>
  <c r="O390" i="6"/>
  <c r="P390" i="6"/>
  <c r="A391" i="6"/>
  <c r="B391" i="6"/>
  <c r="C391" i="6"/>
  <c r="D391" i="6"/>
  <c r="E391" i="6"/>
  <c r="F391" i="6"/>
  <c r="G391" i="6"/>
  <c r="H391" i="6"/>
  <c r="I391" i="6"/>
  <c r="J391" i="6"/>
  <c r="L391" i="6"/>
  <c r="M391" i="6"/>
  <c r="N391" i="6"/>
  <c r="O391" i="6"/>
  <c r="P391" i="6"/>
  <c r="A392" i="6"/>
  <c r="B392" i="6"/>
  <c r="C392" i="6"/>
  <c r="D392" i="6"/>
  <c r="E392" i="6"/>
  <c r="F392" i="6"/>
  <c r="G392" i="6"/>
  <c r="H392" i="6"/>
  <c r="I392" i="6"/>
  <c r="J392" i="6"/>
  <c r="L392" i="6"/>
  <c r="M392" i="6"/>
  <c r="N392" i="6"/>
  <c r="O392" i="6"/>
  <c r="P392" i="6"/>
  <c r="A393" i="6"/>
  <c r="B393" i="6"/>
  <c r="C393" i="6"/>
  <c r="D393" i="6"/>
  <c r="E393" i="6"/>
  <c r="F393" i="6"/>
  <c r="G393" i="6"/>
  <c r="H393" i="6"/>
  <c r="I393" i="6"/>
  <c r="J393" i="6"/>
  <c r="L393" i="6"/>
  <c r="M393" i="6"/>
  <c r="N393" i="6"/>
  <c r="O393" i="6"/>
  <c r="P393" i="6"/>
  <c r="A394" i="6"/>
  <c r="B394" i="6"/>
  <c r="C394" i="6"/>
  <c r="D394" i="6"/>
  <c r="E394" i="6"/>
  <c r="F394" i="6"/>
  <c r="G394" i="6"/>
  <c r="H394" i="6"/>
  <c r="I394" i="6"/>
  <c r="J394" i="6"/>
  <c r="L394" i="6"/>
  <c r="M394" i="6"/>
  <c r="N394" i="6"/>
  <c r="O394" i="6"/>
  <c r="P394" i="6"/>
  <c r="A395" i="6"/>
  <c r="B395" i="6"/>
  <c r="C395" i="6"/>
  <c r="D395" i="6"/>
  <c r="E395" i="6"/>
  <c r="F395" i="6"/>
  <c r="G395" i="6"/>
  <c r="H395" i="6"/>
  <c r="I395" i="6"/>
  <c r="J395" i="6"/>
  <c r="L395" i="6"/>
  <c r="M395" i="6"/>
  <c r="N395" i="6"/>
  <c r="O395" i="6"/>
  <c r="P395" i="6"/>
  <c r="A396" i="6"/>
  <c r="B396" i="6"/>
  <c r="C396" i="6"/>
  <c r="D396" i="6"/>
  <c r="E396" i="6"/>
  <c r="F396" i="6"/>
  <c r="G396" i="6"/>
  <c r="H396" i="6"/>
  <c r="I396" i="6"/>
  <c r="J396" i="6"/>
  <c r="L396" i="6"/>
  <c r="M396" i="6"/>
  <c r="N396" i="6"/>
  <c r="O396" i="6"/>
  <c r="P396" i="6"/>
  <c r="A397" i="6"/>
  <c r="B397" i="6"/>
  <c r="C397" i="6"/>
  <c r="D397" i="6"/>
  <c r="E397" i="6"/>
  <c r="F397" i="6"/>
  <c r="G397" i="6"/>
  <c r="H397" i="6"/>
  <c r="I397" i="6"/>
  <c r="J397" i="6"/>
  <c r="L397" i="6"/>
  <c r="M397" i="6"/>
  <c r="N397" i="6"/>
  <c r="O397" i="6"/>
  <c r="P397" i="6"/>
  <c r="A398" i="6"/>
  <c r="B398" i="6"/>
  <c r="C398" i="6"/>
  <c r="D398" i="6"/>
  <c r="E398" i="6"/>
  <c r="F398" i="6"/>
  <c r="G398" i="6"/>
  <c r="H398" i="6"/>
  <c r="I398" i="6"/>
  <c r="J398" i="6"/>
  <c r="L398" i="6"/>
  <c r="M398" i="6"/>
  <c r="N398" i="6"/>
  <c r="O398" i="6"/>
  <c r="P398" i="6"/>
  <c r="A399" i="6"/>
  <c r="B399" i="6"/>
  <c r="C399" i="6"/>
  <c r="D399" i="6"/>
  <c r="E399" i="6"/>
  <c r="F399" i="6"/>
  <c r="G399" i="6"/>
  <c r="H399" i="6"/>
  <c r="I399" i="6"/>
  <c r="J399" i="6"/>
  <c r="L399" i="6"/>
  <c r="M399" i="6"/>
  <c r="N399" i="6"/>
  <c r="O399" i="6"/>
  <c r="P399" i="6"/>
  <c r="A400" i="6"/>
  <c r="B400" i="6"/>
  <c r="C400" i="6"/>
  <c r="D400" i="6"/>
  <c r="E400" i="6"/>
  <c r="F400" i="6"/>
  <c r="G400" i="6"/>
  <c r="H400" i="6"/>
  <c r="I400" i="6"/>
  <c r="J400" i="6"/>
  <c r="L400" i="6"/>
  <c r="M400" i="6"/>
  <c r="N400" i="6"/>
  <c r="O400" i="6"/>
  <c r="P400" i="6"/>
  <c r="A401" i="6"/>
  <c r="B401" i="6"/>
  <c r="C401" i="6"/>
  <c r="D401" i="6"/>
  <c r="E401" i="6"/>
  <c r="F401" i="6"/>
  <c r="G401" i="6"/>
  <c r="H401" i="6"/>
  <c r="I401" i="6"/>
  <c r="J401" i="6"/>
  <c r="L401" i="6"/>
  <c r="M401" i="6"/>
  <c r="N401" i="6"/>
  <c r="O401" i="6"/>
  <c r="P401" i="6"/>
  <c r="A402" i="6"/>
  <c r="B402" i="6"/>
  <c r="C402" i="6"/>
  <c r="D402" i="6"/>
  <c r="E402" i="6"/>
  <c r="F402" i="6"/>
  <c r="G402" i="6"/>
  <c r="H402" i="6"/>
  <c r="I402" i="6"/>
  <c r="J402" i="6"/>
  <c r="L402" i="6"/>
  <c r="M402" i="6"/>
  <c r="N402" i="6"/>
  <c r="O402" i="6"/>
  <c r="P402" i="6"/>
  <c r="A403" i="6"/>
  <c r="B403" i="6"/>
  <c r="C403" i="6"/>
  <c r="D403" i="6"/>
  <c r="E403" i="6"/>
  <c r="F403" i="6"/>
  <c r="G403" i="6"/>
  <c r="H403" i="6"/>
  <c r="I403" i="6"/>
  <c r="J403" i="6"/>
  <c r="L403" i="6"/>
  <c r="M403" i="6"/>
  <c r="N403" i="6"/>
  <c r="O403" i="6"/>
  <c r="P403" i="6"/>
  <c r="A404" i="6"/>
  <c r="B404" i="6"/>
  <c r="C404" i="6"/>
  <c r="D404" i="6"/>
  <c r="E404" i="6"/>
  <c r="F404" i="6"/>
  <c r="G404" i="6"/>
  <c r="H404" i="6"/>
  <c r="I404" i="6"/>
  <c r="J404" i="6"/>
  <c r="L404" i="6"/>
  <c r="M404" i="6"/>
  <c r="N404" i="6"/>
  <c r="O404" i="6"/>
  <c r="P404" i="6"/>
  <c r="A405" i="6"/>
  <c r="B405" i="6"/>
  <c r="C405" i="6"/>
  <c r="D405" i="6"/>
  <c r="E405" i="6"/>
  <c r="F405" i="6"/>
  <c r="G405" i="6"/>
  <c r="H405" i="6"/>
  <c r="I405" i="6"/>
  <c r="J405" i="6"/>
  <c r="L405" i="6"/>
  <c r="M405" i="6"/>
  <c r="N405" i="6"/>
  <c r="O405" i="6"/>
  <c r="P405" i="6"/>
  <c r="A406" i="6"/>
  <c r="B406" i="6"/>
  <c r="C406" i="6"/>
  <c r="D406" i="6"/>
  <c r="E406" i="6"/>
  <c r="F406" i="6"/>
  <c r="G406" i="6"/>
  <c r="H406" i="6"/>
  <c r="I406" i="6"/>
  <c r="J406" i="6"/>
  <c r="L406" i="6"/>
  <c r="M406" i="6"/>
  <c r="N406" i="6"/>
  <c r="O406" i="6"/>
  <c r="P406" i="6"/>
  <c r="A407" i="6"/>
  <c r="B407" i="6"/>
  <c r="C407" i="6"/>
  <c r="D407" i="6"/>
  <c r="E407" i="6"/>
  <c r="F407" i="6"/>
  <c r="G407" i="6"/>
  <c r="H407" i="6"/>
  <c r="I407" i="6"/>
  <c r="J407" i="6"/>
  <c r="L407" i="6"/>
  <c r="M407" i="6"/>
  <c r="N407" i="6"/>
  <c r="O407" i="6"/>
  <c r="P407" i="6"/>
  <c r="A408" i="6"/>
  <c r="B408" i="6"/>
  <c r="C408" i="6"/>
  <c r="D408" i="6"/>
  <c r="E408" i="6"/>
  <c r="F408" i="6"/>
  <c r="G408" i="6"/>
  <c r="H408" i="6"/>
  <c r="I408" i="6"/>
  <c r="J408" i="6"/>
  <c r="L408" i="6"/>
  <c r="M408" i="6"/>
  <c r="N408" i="6"/>
  <c r="O408" i="6"/>
  <c r="P408" i="6"/>
  <c r="A409" i="6"/>
  <c r="B409" i="6"/>
  <c r="C409" i="6"/>
  <c r="D409" i="6"/>
  <c r="E409" i="6"/>
  <c r="F409" i="6"/>
  <c r="G409" i="6"/>
  <c r="H409" i="6"/>
  <c r="I409" i="6"/>
  <c r="J409" i="6"/>
  <c r="L409" i="6"/>
  <c r="M409" i="6"/>
  <c r="N409" i="6"/>
  <c r="O409" i="6"/>
  <c r="P409" i="6"/>
  <c r="A410" i="6"/>
  <c r="B410" i="6"/>
  <c r="C410" i="6"/>
  <c r="D410" i="6"/>
  <c r="E410" i="6"/>
  <c r="F410" i="6"/>
  <c r="G410" i="6"/>
  <c r="H410" i="6"/>
  <c r="I410" i="6"/>
  <c r="J410" i="6"/>
  <c r="L410" i="6"/>
  <c r="M410" i="6"/>
  <c r="N410" i="6"/>
  <c r="O410" i="6"/>
  <c r="P410" i="6"/>
  <c r="A411" i="6"/>
  <c r="B411" i="6"/>
  <c r="C411" i="6"/>
  <c r="D411" i="6"/>
  <c r="E411" i="6"/>
  <c r="F411" i="6"/>
  <c r="G411" i="6"/>
  <c r="H411" i="6"/>
  <c r="I411" i="6"/>
  <c r="J411" i="6"/>
  <c r="L411" i="6"/>
  <c r="M411" i="6"/>
  <c r="N411" i="6"/>
  <c r="O411" i="6"/>
  <c r="P411" i="6"/>
  <c r="A412" i="6"/>
  <c r="B412" i="6"/>
  <c r="C412" i="6"/>
  <c r="D412" i="6"/>
  <c r="E412" i="6"/>
  <c r="F412" i="6"/>
  <c r="G412" i="6"/>
  <c r="H412" i="6"/>
  <c r="I412" i="6"/>
  <c r="J412" i="6"/>
  <c r="L412" i="6"/>
  <c r="M412" i="6"/>
  <c r="N412" i="6"/>
  <c r="O412" i="6"/>
  <c r="P412" i="6"/>
  <c r="A413" i="6"/>
  <c r="B413" i="6"/>
  <c r="C413" i="6"/>
  <c r="D413" i="6"/>
  <c r="E413" i="6"/>
  <c r="F413" i="6"/>
  <c r="G413" i="6"/>
  <c r="H413" i="6"/>
  <c r="I413" i="6"/>
  <c r="J413" i="6"/>
  <c r="L413" i="6"/>
  <c r="M413" i="6"/>
  <c r="N413" i="6"/>
  <c r="O413" i="6"/>
  <c r="P413" i="6"/>
  <c r="A414" i="6"/>
  <c r="B414" i="6"/>
  <c r="C414" i="6"/>
  <c r="D414" i="6"/>
  <c r="E414" i="6"/>
  <c r="F414" i="6"/>
  <c r="G414" i="6"/>
  <c r="H414" i="6"/>
  <c r="I414" i="6"/>
  <c r="J414" i="6"/>
  <c r="L414" i="6"/>
  <c r="M414" i="6"/>
  <c r="N414" i="6"/>
  <c r="O414" i="6"/>
  <c r="P414" i="6"/>
  <c r="A415" i="6"/>
  <c r="B415" i="6"/>
  <c r="C415" i="6"/>
  <c r="D415" i="6"/>
  <c r="E415" i="6"/>
  <c r="F415" i="6"/>
  <c r="G415" i="6"/>
  <c r="H415" i="6"/>
  <c r="I415" i="6"/>
  <c r="J415" i="6"/>
  <c r="L415" i="6"/>
  <c r="M415" i="6"/>
  <c r="N415" i="6"/>
  <c r="O415" i="6"/>
  <c r="P415" i="6"/>
  <c r="A416" i="6"/>
  <c r="B416" i="6"/>
  <c r="C416" i="6"/>
  <c r="D416" i="6"/>
  <c r="E416" i="6"/>
  <c r="F416" i="6"/>
  <c r="G416" i="6"/>
  <c r="H416" i="6"/>
  <c r="I416" i="6"/>
  <c r="J416" i="6"/>
  <c r="L416" i="6"/>
  <c r="M416" i="6"/>
  <c r="N416" i="6"/>
  <c r="O416" i="6"/>
  <c r="P416" i="6"/>
  <c r="A417" i="6"/>
  <c r="B417" i="6"/>
  <c r="C417" i="6"/>
  <c r="D417" i="6"/>
  <c r="E417" i="6"/>
  <c r="F417" i="6"/>
  <c r="G417" i="6"/>
  <c r="H417" i="6"/>
  <c r="I417" i="6"/>
  <c r="J417" i="6"/>
  <c r="L417" i="6"/>
  <c r="M417" i="6"/>
  <c r="N417" i="6"/>
  <c r="O417" i="6"/>
  <c r="P417" i="6"/>
  <c r="A418" i="6"/>
  <c r="B418" i="6"/>
  <c r="C418" i="6"/>
  <c r="D418" i="6"/>
  <c r="E418" i="6"/>
  <c r="F418" i="6"/>
  <c r="G418" i="6"/>
  <c r="H418" i="6"/>
  <c r="I418" i="6"/>
  <c r="J418" i="6"/>
  <c r="L418" i="6"/>
  <c r="M418" i="6"/>
  <c r="N418" i="6"/>
  <c r="O418" i="6"/>
  <c r="P418" i="6"/>
  <c r="A419" i="6"/>
  <c r="B419" i="6"/>
  <c r="C419" i="6"/>
  <c r="D419" i="6"/>
  <c r="E419" i="6"/>
  <c r="F419" i="6"/>
  <c r="G419" i="6"/>
  <c r="H419" i="6"/>
  <c r="I419" i="6"/>
  <c r="J419" i="6"/>
  <c r="L419" i="6"/>
  <c r="M419" i="6"/>
  <c r="N419" i="6"/>
  <c r="O419" i="6"/>
  <c r="P419" i="6"/>
  <c r="A420" i="6"/>
  <c r="B420" i="6"/>
  <c r="C420" i="6"/>
  <c r="D420" i="6"/>
  <c r="E420" i="6"/>
  <c r="F420" i="6"/>
  <c r="G420" i="6"/>
  <c r="H420" i="6"/>
  <c r="I420" i="6"/>
  <c r="J420" i="6"/>
  <c r="L420" i="6"/>
  <c r="M420" i="6"/>
  <c r="N420" i="6"/>
  <c r="O420" i="6"/>
  <c r="P420" i="6"/>
</calcChain>
</file>

<file path=xl/sharedStrings.xml><?xml version="1.0" encoding="utf-8"?>
<sst xmlns="http://schemas.openxmlformats.org/spreadsheetml/2006/main" count="3695" uniqueCount="1428">
  <si>
    <t>Pricing Date</t>
  </si>
  <si>
    <t>Curve Date</t>
  </si>
  <si>
    <t>Power Region</t>
  </si>
  <si>
    <t>Omicron Curve Date</t>
  </si>
  <si>
    <t>Int Rates Curve</t>
  </si>
  <si>
    <t>Forward Power Price Curves, Volatilities and Price Profile</t>
  </si>
  <si>
    <t>Last Date Of Monthly Vol:</t>
  </si>
  <si>
    <t>Model Volatility</t>
  </si>
  <si>
    <t>Basis Table</t>
  </si>
  <si>
    <t>Smile Table</t>
  </si>
  <si>
    <t>Monthly Volatilities</t>
  </si>
  <si>
    <t>Intra-Month Volatilties</t>
  </si>
  <si>
    <t>Int-Month Peak Vol</t>
  </si>
  <si>
    <t>Strike-Mid</t>
  </si>
  <si>
    <t>Smile</t>
  </si>
  <si>
    <t>Month</t>
  </si>
  <si>
    <t>Gas</t>
  </si>
  <si>
    <t>Region</t>
  </si>
  <si>
    <t>#</t>
  </si>
  <si>
    <t>PEAK</t>
  </si>
  <si>
    <t>OFF-PEAK</t>
  </si>
  <si>
    <t>Saturday</t>
  </si>
  <si>
    <t>Sunday</t>
  </si>
  <si>
    <t>Capacity</t>
  </si>
  <si>
    <t>Peak</t>
  </si>
  <si>
    <t>OffPeak</t>
  </si>
  <si>
    <t>Group</t>
  </si>
  <si>
    <t>Prudent</t>
  </si>
  <si>
    <t>Correlation</t>
  </si>
  <si>
    <t>Mid</t>
  </si>
  <si>
    <t>Bid</t>
  </si>
  <si>
    <t>Offer</t>
  </si>
  <si>
    <t>Vol</t>
  </si>
  <si>
    <t>No Basis</t>
  </si>
  <si>
    <t>Code</t>
  </si>
  <si>
    <t>Factor</t>
  </si>
  <si>
    <t>Start</t>
  </si>
  <si>
    <t>End</t>
  </si>
  <si>
    <t>Gas-Power</t>
  </si>
  <si>
    <t>1  BUSBAR</t>
  </si>
  <si>
    <t>($/MWH)</t>
  </si>
  <si>
    <t>2  MID COLUMBIA</t>
  </si>
  <si>
    <t>Daily Price Profile</t>
  </si>
  <si>
    <t>Delivery Point</t>
  </si>
  <si>
    <t>3  MIDWAY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</si>
  <si>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</si>
  <si>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</si>
  <si>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</si>
  <si>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</si>
  <si>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</si>
  <si>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</si>
  <si>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</si>
  <si>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</si>
  <si>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</si>
  <si>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</si>
  <si>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</si>
  <si>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</si>
  <si>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Con. Edison</t>
  </si>
  <si>
    <t>1      NY East</t>
  </si>
  <si>
    <t>1</t>
  </si>
  <si>
    <t>4  MEAD</t>
  </si>
  <si>
    <t>HR</t>
  </si>
  <si>
    <t>P/OP</t>
  </si>
  <si>
    <t>PJM West</t>
  </si>
  <si>
    <t>1A  PJM</t>
  </si>
  <si>
    <t>1A</t>
  </si>
  <si>
    <t>5  PALO VERDE</t>
  </si>
  <si>
    <t>2</t>
  </si>
  <si>
    <t>Card Street</t>
  </si>
  <si>
    <t>1B   NEPOOL</t>
  </si>
  <si>
    <t>1B</t>
  </si>
  <si>
    <t>6  FOUR CORNERS</t>
  </si>
  <si>
    <t>NY West</t>
  </si>
  <si>
    <t>1C   NY West</t>
  </si>
  <si>
    <t>1C</t>
  </si>
  <si>
    <t>7  CRAIG</t>
  </si>
  <si>
    <t>1D   East Hub</t>
  </si>
  <si>
    <t>1D</t>
  </si>
  <si>
    <t>8  NW DELV</t>
  </si>
  <si>
    <t>1E    West Hub</t>
  </si>
  <si>
    <t>1E</t>
  </si>
  <si>
    <t>10  Into EEI-R4</t>
  </si>
  <si>
    <t>1F   Firm LD</t>
  </si>
  <si>
    <t>1F</t>
  </si>
  <si>
    <t>11  WISCONSIN-R4</t>
  </si>
  <si>
    <t>1H  NE Dispatch</t>
  </si>
  <si>
    <t>1H</t>
  </si>
  <si>
    <t>12  MICHIGAN-R4</t>
  </si>
  <si>
    <t>ECAR</t>
  </si>
  <si>
    <t>2     ECAR</t>
  </si>
  <si>
    <t>14  EAST NY-R1A</t>
  </si>
  <si>
    <t>Into AEP</t>
  </si>
  <si>
    <t>2A  AEP</t>
  </si>
  <si>
    <t>2A</t>
  </si>
  <si>
    <t>15  EASTERN ECAR-R1A</t>
  </si>
  <si>
    <t>Eastern ECAR</t>
  </si>
  <si>
    <t>2B  Eastern ECAR</t>
  </si>
  <si>
    <t>2B</t>
  </si>
  <si>
    <t>OTHER</t>
  </si>
  <si>
    <t>Southern Co.</t>
  </si>
  <si>
    <t>3     SERC</t>
  </si>
  <si>
    <t>3</t>
  </si>
  <si>
    <t>FP&amp;L</t>
  </si>
  <si>
    <t>3A  SERC Florida</t>
  </si>
  <si>
    <t>3A</t>
  </si>
  <si>
    <t>OMICRON Code</t>
  </si>
  <si>
    <t>OMICRON Region</t>
  </si>
  <si>
    <t>TVA</t>
  </si>
  <si>
    <t>3B  TVA</t>
  </si>
  <si>
    <t>3B</t>
  </si>
  <si>
    <t>NG_OMICRON_1</t>
  </si>
  <si>
    <t>Louisiana - Onshore South</t>
  </si>
  <si>
    <t>CINergy</t>
  </si>
  <si>
    <t>4     CINergy</t>
  </si>
  <si>
    <t>4</t>
  </si>
  <si>
    <t>NG_OMICRON_2</t>
  </si>
  <si>
    <t>HSC - East Texas - Katy</t>
  </si>
  <si>
    <t>Int-Month Off-Peak Vol</t>
  </si>
  <si>
    <t>NSP</t>
  </si>
  <si>
    <t>4A  MAPP</t>
  </si>
  <si>
    <t>4A</t>
  </si>
  <si>
    <t>NG_OMICRON_3</t>
  </si>
  <si>
    <t>Oklahoma - Mid Continent</t>
  </si>
  <si>
    <t>Southern MAPP</t>
  </si>
  <si>
    <t>4B  Southern MAPP</t>
  </si>
  <si>
    <t>4B</t>
  </si>
  <si>
    <t>NG_OMICRON_4</t>
  </si>
  <si>
    <t>Permian Basin - San Juan Basin</t>
  </si>
  <si>
    <t>COMED</t>
  </si>
  <si>
    <t>4C  COMED</t>
  </si>
  <si>
    <t>4C</t>
  </si>
  <si>
    <t>NG_OMICRON_5</t>
  </si>
  <si>
    <t>Northern Ventura - Northern Demarc</t>
  </si>
  <si>
    <t>ENTERGY</t>
  </si>
  <si>
    <t>5     Entergy</t>
  </si>
  <si>
    <t>5</t>
  </si>
  <si>
    <t>NG_OMICRON_6</t>
  </si>
  <si>
    <t>Market Area:  Northeast</t>
  </si>
  <si>
    <t>Associated</t>
  </si>
  <si>
    <t>5A  Associated</t>
  </si>
  <si>
    <t>5A</t>
  </si>
  <si>
    <t>NG_OMICRON_7</t>
  </si>
  <si>
    <t>Appalachia</t>
  </si>
  <si>
    <t>HL&amp;P</t>
  </si>
  <si>
    <t>6     ERCOT</t>
  </si>
  <si>
    <t>6</t>
  </si>
  <si>
    <t>NG_OMICRON_8</t>
  </si>
  <si>
    <t>Rockies</t>
  </si>
  <si>
    <t>Palo Verde</t>
  </si>
  <si>
    <t>7     Palo Verde</t>
  </si>
  <si>
    <t>7</t>
  </si>
  <si>
    <t>NG_OMICRON_9</t>
  </si>
  <si>
    <t>Alberta - Sumas</t>
  </si>
  <si>
    <t>7A  Rockies</t>
  </si>
  <si>
    <t>7A</t>
  </si>
  <si>
    <t>NG_OMICRON_10</t>
  </si>
  <si>
    <t>Sithe Curve (ANR/LA_ONSHO)</t>
  </si>
  <si>
    <t>COB</t>
  </si>
  <si>
    <t>8     COB</t>
  </si>
  <si>
    <t>8</t>
  </si>
  <si>
    <t>Mid Columbia</t>
  </si>
  <si>
    <t>9     Mid Columbia</t>
  </si>
  <si>
    <t>NP-15</t>
  </si>
  <si>
    <t>10   NP-15</t>
  </si>
  <si>
    <t>SP-15</t>
  </si>
  <si>
    <t>11    SP-15</t>
  </si>
  <si>
    <t>Volatility Smile</t>
  </si>
  <si>
    <t>Price Sensitivies</t>
  </si>
  <si>
    <t>Int-Month Sat Peak Vol</t>
  </si>
  <si>
    <t>Int-Month Sun Peak Vol</t>
  </si>
  <si>
    <t>Gas Adder</t>
  </si>
  <si>
    <t>Summer</t>
  </si>
  <si>
    <t>Winter</t>
  </si>
  <si>
    <t>Pub code</t>
  </si>
  <si>
    <t>Book type</t>
  </si>
  <si>
    <t>Curve type</t>
  </si>
  <si>
    <t>UOM</t>
  </si>
  <si>
    <t>401-TUSCORARA</t>
  </si>
  <si>
    <t>D</t>
  </si>
  <si>
    <t>PR</t>
  </si>
  <si>
    <t>MMBTU</t>
  </si>
  <si>
    <t>I</t>
  </si>
  <si>
    <t>ABC/C$/IDX</t>
  </si>
  <si>
    <t>CGPR-AECO/BASIS</t>
  </si>
  <si>
    <t>CGPR-CHIPPAWA</t>
  </si>
  <si>
    <t>CGPR-CORNWALL</t>
  </si>
  <si>
    <t>CGPR-DAWN</t>
  </si>
  <si>
    <t>CGPR-EMERSON</t>
  </si>
  <si>
    <t>CGPR-EMERSONUSA</t>
  </si>
  <si>
    <t>CGPR-EMPRESS-US</t>
  </si>
  <si>
    <t>CGPR-KINGSGATE</t>
  </si>
  <si>
    <t>CGPR-NIAGARA</t>
  </si>
  <si>
    <t>CGPR-OJIBWAY</t>
  </si>
  <si>
    <t>CGPR-PARKWAY</t>
  </si>
  <si>
    <t>CGPR-ST.CLAIR</t>
  </si>
  <si>
    <t>CGPR-STN2/IDX</t>
  </si>
  <si>
    <t>CGPR-WADDING</t>
  </si>
  <si>
    <t>CONSUMERS_CDA</t>
  </si>
  <si>
    <t>CONSUMERS_CDA/I</t>
  </si>
  <si>
    <t>DAWN-GDM</t>
  </si>
  <si>
    <t>DJ/BASIN/CIG</t>
  </si>
  <si>
    <t>DJ/BASIN/WEST</t>
  </si>
  <si>
    <t>GAS DAILY</t>
  </si>
  <si>
    <t>GD-AECOUS-DAILY</t>
  </si>
  <si>
    <t>SP</t>
  </si>
  <si>
    <t>GD-AGUADULCE</t>
  </si>
  <si>
    <t>GD-ALGONQUIN</t>
  </si>
  <si>
    <t>GD-ANR/LA_ONSHO</t>
  </si>
  <si>
    <t>GD-ANR/OK</t>
  </si>
  <si>
    <t>GD-CAL BORDER</t>
  </si>
  <si>
    <t>GD-CARTHAGE</t>
  </si>
  <si>
    <t>GD-CGT/APPALAC</t>
  </si>
  <si>
    <t>GD-CHI. GATE</t>
  </si>
  <si>
    <t>GD-CIG/RKYMTN</t>
  </si>
  <si>
    <t>GD-CNG/NORTH</t>
  </si>
  <si>
    <t>GD-CNG/SOUTH</t>
  </si>
  <si>
    <t>GD-COLGULF/LA</t>
  </si>
  <si>
    <t>GD-COLGULF/RAYN</t>
  </si>
  <si>
    <t>GD-CONSUMERS</t>
  </si>
  <si>
    <t>GD-CORPUS/SHPCH</t>
  </si>
  <si>
    <t>GD-DAWN</t>
  </si>
  <si>
    <t>GD-DJ/BASIN</t>
  </si>
  <si>
    <t>GD-ELPO/PERM2</t>
  </si>
  <si>
    <t>GD-ELPO/SANJUAN</t>
  </si>
  <si>
    <t>GD-ELPO/SJBOND</t>
  </si>
  <si>
    <t>GD-EMERSON</t>
  </si>
  <si>
    <t>GD-FGT/MOBILE</t>
  </si>
  <si>
    <t>GD-FGT/Z1</t>
  </si>
  <si>
    <t>GD-FGT/Z1/CORP</t>
  </si>
  <si>
    <t>GD-FGT/Z2</t>
  </si>
  <si>
    <t>GD-FGT/Z3</t>
  </si>
  <si>
    <t>GD-HEHUB</t>
  </si>
  <si>
    <t>GD-HPL/SHPCH</t>
  </si>
  <si>
    <t>GD-INTRASTHUB</t>
  </si>
  <si>
    <t>GD-IROQUOIS</t>
  </si>
  <si>
    <t>GD-KERN/RIVER</t>
  </si>
  <si>
    <t>GD-KOCH</t>
  </si>
  <si>
    <t>GD-KOCH/CORPUS</t>
  </si>
  <si>
    <t>GD-KOCH/TX</t>
  </si>
  <si>
    <t>GD-LONESTAR</t>
  </si>
  <si>
    <t>GD-LOW_IROQUOIS</t>
  </si>
  <si>
    <t>GD-MALIN-CTYGAT</t>
  </si>
  <si>
    <t>GD-MICHCON</t>
  </si>
  <si>
    <t>GD-MRT/MAINLINE</t>
  </si>
  <si>
    <t>GD-MRT/WEST</t>
  </si>
  <si>
    <t>GD-NGPL/(IA-IL)</t>
  </si>
  <si>
    <t>GD-NGPL/AMARILO</t>
  </si>
  <si>
    <t>GD-NGPL/CORPUS</t>
  </si>
  <si>
    <t>GD-NGPL/LA</t>
  </si>
  <si>
    <t>GD-NGPL/OK</t>
  </si>
  <si>
    <t>GD-NGPL/PAN/PRM</t>
  </si>
  <si>
    <t>GD-NGPL/TXOK-E</t>
  </si>
  <si>
    <t>GD-NGPL/TXOK-W</t>
  </si>
  <si>
    <t>GD-NIAGARA</t>
  </si>
  <si>
    <t>GD-NNG/DEMARCAT</t>
  </si>
  <si>
    <t>GD-NNG/TOK</t>
  </si>
  <si>
    <t>GD-NNG/TOK(1-6)</t>
  </si>
  <si>
    <t>GD-NNG/TOK(13)</t>
  </si>
  <si>
    <t>GD-NNG/TOK/PAN</t>
  </si>
  <si>
    <t>GD-NNG/VENT</t>
  </si>
  <si>
    <t>GD-NORAM-N/S</t>
  </si>
  <si>
    <t>GD-NORAM/WEST</t>
  </si>
  <si>
    <t>GD-NTHWST/CANB</t>
  </si>
  <si>
    <t>GD-NW STANF/1ST</t>
  </si>
  <si>
    <t>GD-NW STANFIELD</t>
  </si>
  <si>
    <t>GD-NW/IGNACIO</t>
  </si>
  <si>
    <t>GD-NWPL_ROCKY_M</t>
  </si>
  <si>
    <t>GD-PAN/TX/OK</t>
  </si>
  <si>
    <t>GD-PG&amp;E/CITIGAT</t>
  </si>
  <si>
    <t>GD-PGT/KINGSGAT</t>
  </si>
  <si>
    <t>GD-QUESTAR</t>
  </si>
  <si>
    <t>GD-SONAT/LA</t>
  </si>
  <si>
    <t>GD-TENN/100</t>
  </si>
  <si>
    <t>GD-TENN/500</t>
  </si>
  <si>
    <t>GD-TENN/800</t>
  </si>
  <si>
    <t>GD-TENN/CORPUS</t>
  </si>
  <si>
    <t>GD-TETCO/ELA</t>
  </si>
  <si>
    <t>GD-TETCO/ETX/CR</t>
  </si>
  <si>
    <t>GD-TETCO/M1</t>
  </si>
  <si>
    <t>GD-TETCO/M3</t>
  </si>
  <si>
    <t>GD-TETCO/STX</t>
  </si>
  <si>
    <t>GD-TETCO/WLA</t>
  </si>
  <si>
    <t>GD-TGT/Z1</t>
  </si>
  <si>
    <t>GD-TGT/ZSL</t>
  </si>
  <si>
    <t>GD-TRANSCO/Z1</t>
  </si>
  <si>
    <t>GD-TRANSCO/Z2</t>
  </si>
  <si>
    <t>GD-TRANSCO/Z3</t>
  </si>
  <si>
    <t>GD-TRANSCO/Z4</t>
  </si>
  <si>
    <t>GD-TRANSCO/Z6</t>
  </si>
  <si>
    <t>GD-TRCOZ6/NONY</t>
  </si>
  <si>
    <t>GD-TRCOZ6/NY</t>
  </si>
  <si>
    <t>GD-TRUNKL/ELA</t>
  </si>
  <si>
    <t>GD-TRUNKL/NO</t>
  </si>
  <si>
    <t>GD-TRUNKL/SO</t>
  </si>
  <si>
    <t>GD-TRUNKL/WLA</t>
  </si>
  <si>
    <t>GD-TW/PERMIAN</t>
  </si>
  <si>
    <t>GD-TW/SJ</t>
  </si>
  <si>
    <t>GD-TXINT/KATYTX</t>
  </si>
  <si>
    <t>GD-WADDINGTON</t>
  </si>
  <si>
    <t>GD-WAHA</t>
  </si>
  <si>
    <t>GD-WNG/TOK</t>
  </si>
  <si>
    <t>GDAH-HPL/SHPCH</t>
  </si>
  <si>
    <t>GDAH-TXINT/KATY</t>
  </si>
  <si>
    <t>GDAL-HPL/SHPCH</t>
  </si>
  <si>
    <t>GDAL-TXINT/KATY</t>
  </si>
  <si>
    <t>GDH-CIG/RKYMTN</t>
  </si>
  <si>
    <t>GDH-DJ/BASIN</t>
  </si>
  <si>
    <t>GDH-ELPO/PERM</t>
  </si>
  <si>
    <t>GDH-ELPO/SJ</t>
  </si>
  <si>
    <t>GDH-HEHUB</t>
  </si>
  <si>
    <t>GDH-HPL/SHPCH</t>
  </si>
  <si>
    <t>GDH-PAN/TX/OK</t>
  </si>
  <si>
    <t>GDH-SUMAS</t>
  </si>
  <si>
    <t>GDH-TXINT/KATY</t>
  </si>
  <si>
    <t>GDL-ELPO/PERM</t>
  </si>
  <si>
    <t>GDL-ELPO/SJ</t>
  </si>
  <si>
    <t>GDL-HEHUB</t>
  </si>
  <si>
    <t>GDL-HPL/SHPCH</t>
  </si>
  <si>
    <t>GDL-NNG/TOK/PAN</t>
  </si>
  <si>
    <t>GDL-PAN/TX/OK</t>
  </si>
  <si>
    <t>GDL-TXINT/KATY</t>
  </si>
  <si>
    <t>GDP-AGUADULCE</t>
  </si>
  <si>
    <t>GDP-ALGONQUIN</t>
  </si>
  <si>
    <t>GDP-ANR/LA_ONSH</t>
  </si>
  <si>
    <t>GDP-ANR/OK</t>
  </si>
  <si>
    <t>GDP-CAL BORDER</t>
  </si>
  <si>
    <t>GDP-CARTHAGE</t>
  </si>
  <si>
    <t>GDP-CGT/APPALAC</t>
  </si>
  <si>
    <t>GDP-CHI. GATE</t>
  </si>
  <si>
    <t>GDP-CIG/RKYMTN</t>
  </si>
  <si>
    <t>GDP-CNG/NORTH</t>
  </si>
  <si>
    <t>GDP-CNG/SOUTH</t>
  </si>
  <si>
    <t>GDP-COLGULF/LA</t>
  </si>
  <si>
    <t>GDP-COLGULF/RAY</t>
  </si>
  <si>
    <t>GDP-CONSUMERS</t>
  </si>
  <si>
    <t>GDP-CORPUS/SHPC</t>
  </si>
  <si>
    <t>GDP-DAWN</t>
  </si>
  <si>
    <t>GDP-DJ/BASIN</t>
  </si>
  <si>
    <t>GDP-ELPO/PERM2</t>
  </si>
  <si>
    <t>GDP-ELPO/SANJUA</t>
  </si>
  <si>
    <t>GDP-ELPO/SJBOND</t>
  </si>
  <si>
    <t>GDP-FGT/MOBILE</t>
  </si>
  <si>
    <t>GDP-FGT/Z1</t>
  </si>
  <si>
    <t>GDP-FGT/Z1/CORP</t>
  </si>
  <si>
    <t>GDP-FGT/Z2</t>
  </si>
  <si>
    <t>GDP-FGT/Z3</t>
  </si>
  <si>
    <t>GDP-HEHUB</t>
  </si>
  <si>
    <t>GDP-HPL+1AFTA</t>
  </si>
  <si>
    <t>GDP-HPL+1AFTH</t>
  </si>
  <si>
    <t>GDP-HPL+2AFTA</t>
  </si>
  <si>
    <t>GDP-HPL+2AFTH</t>
  </si>
  <si>
    <t>GDP-HPL/SHPCH</t>
  </si>
  <si>
    <t>GDP-HPLABS+1AH</t>
  </si>
  <si>
    <t>GDP-HPLABSHIGH</t>
  </si>
  <si>
    <t>GDP-HPLRAFTA</t>
  </si>
  <si>
    <t>GDP-HPLU2AFTH</t>
  </si>
  <si>
    <t>GDP-HPLV2AFTH</t>
  </si>
  <si>
    <t>GDP-IROQUOIS</t>
  </si>
  <si>
    <t>GDP-KERN/RIVER</t>
  </si>
  <si>
    <t>GDP-KOCH</t>
  </si>
  <si>
    <t>GDP-KOCH/CORPUS</t>
  </si>
  <si>
    <t>GDP-KOCH/TX</t>
  </si>
  <si>
    <t>GDP-LONESTAR</t>
  </si>
  <si>
    <t>GDP-MALIN-CTYGA</t>
  </si>
  <si>
    <t>GDP-MICHCON</t>
  </si>
  <si>
    <t>GDP-ML7/CG</t>
  </si>
  <si>
    <t>GDP-MRT/MAINLIN</t>
  </si>
  <si>
    <t>GDP-MRT/WEST</t>
  </si>
  <si>
    <t>GDP-NGPL/(IA-IL</t>
  </si>
  <si>
    <t>GDP-NGPL/AMARIL</t>
  </si>
  <si>
    <t>GDP-NGPL/CORPUS</t>
  </si>
  <si>
    <t>GDP-NGPL/LA</t>
  </si>
  <si>
    <t>GDP-NGPL/OK</t>
  </si>
  <si>
    <t>GDP-NGPL/PAN/PR</t>
  </si>
  <si>
    <t>GDP-NGPL/TXOK-E</t>
  </si>
  <si>
    <t>GDP-NGPL/TXOK-W</t>
  </si>
  <si>
    <t>GDP-NIAGARA</t>
  </si>
  <si>
    <t>GDP-NNG/DEMARCA</t>
  </si>
  <si>
    <t>GDP-NNG/TOK</t>
  </si>
  <si>
    <t>GDP-NNG/TOK(1-6</t>
  </si>
  <si>
    <t>GDP-NNG/TOK(13)</t>
  </si>
  <si>
    <t>GDP-NNG/TOK/PAN</t>
  </si>
  <si>
    <t>GDP-NNG/VENT</t>
  </si>
  <si>
    <t>GDP-NORAM-N/S</t>
  </si>
  <si>
    <t>GDP-NORAM/WEST</t>
  </si>
  <si>
    <t>GDP-NTHWST/CANB</t>
  </si>
  <si>
    <t>GDP-NW STANFIEL</t>
  </si>
  <si>
    <t>GDP-NWPL_ROCKYM</t>
  </si>
  <si>
    <t>GDP-PAN/TX/OK</t>
  </si>
  <si>
    <t>GDP-PG&amp;E/CITIGA</t>
  </si>
  <si>
    <t>GDP-PG&amp;E/LG-PKG</t>
  </si>
  <si>
    <t>GDP-PGT/KINGSGA</t>
  </si>
  <si>
    <t>GDP-QUESTAR</t>
  </si>
  <si>
    <t>GDP-SONAT/LA</t>
  </si>
  <si>
    <t>GDP-TENN/100</t>
  </si>
  <si>
    <t>GDP-TENN/500</t>
  </si>
  <si>
    <t>GDP-TENN/800</t>
  </si>
  <si>
    <t>GDP-TENN/CORPUS</t>
  </si>
  <si>
    <t>GDP-TETCO/ELA</t>
  </si>
  <si>
    <t>GDP-TETCO/ETX/C</t>
  </si>
  <si>
    <t>GDP-TETCO/M1</t>
  </si>
  <si>
    <t>GDP-TETCO/M3</t>
  </si>
  <si>
    <t>GDP-TETCO/STX</t>
  </si>
  <si>
    <t>GDP-TETCO/WLA</t>
  </si>
  <si>
    <t>GDP-TGT/Z1</t>
  </si>
  <si>
    <t>GDP-TGT/ZSL</t>
  </si>
  <si>
    <t>GDP-TRANSCO/Z1</t>
  </si>
  <si>
    <t>GDP-TRANSCO/Z2</t>
  </si>
  <si>
    <t>GDP-TRANSCO/Z3</t>
  </si>
  <si>
    <t>GDP-TRANSCO/Z4</t>
  </si>
  <si>
    <t>GDP-TRCOZ6/NONY</t>
  </si>
  <si>
    <t>GDP-TRCOZ6/NY</t>
  </si>
  <si>
    <t>GDP-TRUNKL/ELA</t>
  </si>
  <si>
    <t>GDP-TRUNKL/NO</t>
  </si>
  <si>
    <t>GDP-TRUNKL/SO</t>
  </si>
  <si>
    <t>GDP-TRUNKL/WLA</t>
  </si>
  <si>
    <t>GDP-TW/PERMIAN</t>
  </si>
  <si>
    <t>GDP-TW/SJ</t>
  </si>
  <si>
    <t>GDP-TXINT+1AFTA</t>
  </si>
  <si>
    <t>GDP-TXINT+2AFTA</t>
  </si>
  <si>
    <t>GDP-TXINT+2AFTH</t>
  </si>
  <si>
    <t>GDP-TXINT+2AFTL</t>
  </si>
  <si>
    <t>GDP-TXINT/KATYH</t>
  </si>
  <si>
    <t>GDP-TXINT/KATYL</t>
  </si>
  <si>
    <t>GDP-TXINT/KATYT</t>
  </si>
  <si>
    <t>GDP-TXINTFRWKA</t>
  </si>
  <si>
    <t>GDP-TXINTH+2FTH</t>
  </si>
  <si>
    <t>GDP-TXINTL+2FTH</t>
  </si>
  <si>
    <t>GDP-WAHA</t>
  </si>
  <si>
    <t>GDP-WNG/TOK</t>
  </si>
  <si>
    <t>HPL/SHPCHAN-GD</t>
  </si>
  <si>
    <t>IF-A/S E.BEAUM</t>
  </si>
  <si>
    <t>IF-A/S EAST OFF</t>
  </si>
  <si>
    <t>IF-AGUA DULCE</t>
  </si>
  <si>
    <t>IF-ANR/LA</t>
  </si>
  <si>
    <t>IF-ANR/LA_OFFSH</t>
  </si>
  <si>
    <t>IF-ANR/LA_ONSHO</t>
  </si>
  <si>
    <t>IF-ANR/OK</t>
  </si>
  <si>
    <t>IF-ARKLA/ARK-OK</t>
  </si>
  <si>
    <t>IF-B/M OFFSHORE</t>
  </si>
  <si>
    <t>IF-BONDAD(100%)</t>
  </si>
  <si>
    <t>IF-CARTHAGE</t>
  </si>
  <si>
    <t>IF-CGT/APPALAC</t>
  </si>
  <si>
    <t>IF-CGT/CITYGATE</t>
  </si>
  <si>
    <t>IF-CIG/RKYMTN</t>
  </si>
  <si>
    <t>IF-CIG/TOMAHAWK</t>
  </si>
  <si>
    <t>IF-CIG/WIC</t>
  </si>
  <si>
    <t>IF-CIG/WINDRVR</t>
  </si>
  <si>
    <t>IF-CNG/APPALACH</t>
  </si>
  <si>
    <t>IF-CNG/NORTH</t>
  </si>
  <si>
    <t>IF-CNG/N_CITYGA</t>
  </si>
  <si>
    <t>IF-COLGUL/ERATH</t>
  </si>
  <si>
    <t>IF-COLGUL/RAYNE</t>
  </si>
  <si>
    <t>IF-COLGULF/LA</t>
  </si>
  <si>
    <t>IF-COLGULF/LAOF</t>
  </si>
  <si>
    <t>IF-CORPUS</t>
  </si>
  <si>
    <t>IF-ELPO/ANADARK</t>
  </si>
  <si>
    <t>IF-ELPO/PERMIAN</t>
  </si>
  <si>
    <t>IF-ELPO/SJ</t>
  </si>
  <si>
    <t>IF-ELPO/SJ/KC</t>
  </si>
  <si>
    <t>IF-EPSJ(BONDAD)</t>
  </si>
  <si>
    <t>IF-EPSJ(MILAGR)</t>
  </si>
  <si>
    <t>IF-EPSJ/TWBLANC</t>
  </si>
  <si>
    <t>IF-FGT/CTYGATE</t>
  </si>
  <si>
    <t>IF-FGT/MKTAREA</t>
  </si>
  <si>
    <t>IF-FGT/Z1</t>
  </si>
  <si>
    <t>IF-FGT/Z2</t>
  </si>
  <si>
    <t>IF-FGT/Z3</t>
  </si>
  <si>
    <t>IF-FREEPORT</t>
  </si>
  <si>
    <t>IF-HEHUB</t>
  </si>
  <si>
    <t>IF-HPL/SHPCHAN</t>
  </si>
  <si>
    <t>IF-IOWA_IL</t>
  </si>
  <si>
    <t>IF-K/COL/TN/LA</t>
  </si>
  <si>
    <t>IF-KATY</t>
  </si>
  <si>
    <t>IF-KATY/OASIS</t>
  </si>
  <si>
    <t>IF-KATY/TAIL</t>
  </si>
  <si>
    <t>IF-KATY/WOFLEX</t>
  </si>
  <si>
    <t>IF-KERN/QUEST</t>
  </si>
  <si>
    <t>IF-KERN/RIVER</t>
  </si>
  <si>
    <t>IF-KING RANCH</t>
  </si>
  <si>
    <t>IF-KOCH</t>
  </si>
  <si>
    <t>IF-KOCH/LA</t>
  </si>
  <si>
    <t>IF-KOCH/TX</t>
  </si>
  <si>
    <t>IF-LONESTAR</t>
  </si>
  <si>
    <t>IF-LRC</t>
  </si>
  <si>
    <t>IF-LRC/Z1</t>
  </si>
  <si>
    <t>IF-LRC/Z2</t>
  </si>
  <si>
    <t>IF-LRC/Z3</t>
  </si>
  <si>
    <t>IF-LRC/Z4</t>
  </si>
  <si>
    <t>IF-LRC/Z5</t>
  </si>
  <si>
    <t>IF-MONCHY</t>
  </si>
  <si>
    <t>IF-NGPL/HARPER</t>
  </si>
  <si>
    <t>IF-NGPL/LA</t>
  </si>
  <si>
    <t>IF-NGPL/LA-STNG</t>
  </si>
  <si>
    <t>IF-NGPL/MIDCON</t>
  </si>
  <si>
    <t>IF-NGPL/OK-NW</t>
  </si>
  <si>
    <t>IF-NGPL/STX</t>
  </si>
  <si>
    <t>IF-NGPL/TX</t>
  </si>
  <si>
    <t>IF-NGPLTXOK</t>
  </si>
  <si>
    <t>IF-NNG/DEMARCAT</t>
  </si>
  <si>
    <t>IF-NNG/TOK</t>
  </si>
  <si>
    <t>IF-NNG/VENT</t>
  </si>
  <si>
    <t>IF-NORAM/EAST</t>
  </si>
  <si>
    <t>IF-NORAM/WEST</t>
  </si>
  <si>
    <t>IF-NTHWST/CANBR</t>
  </si>
  <si>
    <t>IF-NWPL_ROCKY_M</t>
  </si>
  <si>
    <t>IF-ONG/OKLAHOMA</t>
  </si>
  <si>
    <t>IF-PAN/TX/OK</t>
  </si>
  <si>
    <t>IF-QUESTAR</t>
  </si>
  <si>
    <t>IF-SONAT/LA</t>
  </si>
  <si>
    <t>IF-TENN/LA</t>
  </si>
  <si>
    <t>IF-TENN/LA_OFF</t>
  </si>
  <si>
    <t>IF-TENN/TX</t>
  </si>
  <si>
    <t>IF-TENN/Z5</t>
  </si>
  <si>
    <t>IF-TENN/Z6</t>
  </si>
  <si>
    <t>IF-TETCO/ELA</t>
  </si>
  <si>
    <t>IF-TETCO/ETX</t>
  </si>
  <si>
    <t>IF-TETCO/LA</t>
  </si>
  <si>
    <t>IF-TETCO/M1</t>
  </si>
  <si>
    <t>IF-TETCO/M3</t>
  </si>
  <si>
    <t>IF-TETCO/STX</t>
  </si>
  <si>
    <t>IF-TETCO/WLA</t>
  </si>
  <si>
    <t>IF-TEXOMA</t>
  </si>
  <si>
    <t>IF-TEXOMA OFFER</t>
  </si>
  <si>
    <t>IF-TGT/Z1</t>
  </si>
  <si>
    <t>IF-TGT/ZSL</t>
  </si>
  <si>
    <t>IF-THOMPSONVILL</t>
  </si>
  <si>
    <t>IF-TRANSCO/Z1</t>
  </si>
  <si>
    <t>IF-TRANSCO/Z2</t>
  </si>
  <si>
    <t>IF-TRANSCO/Z3</t>
  </si>
  <si>
    <t>IF-TRANSCO/Z4</t>
  </si>
  <si>
    <t>IF-TRANSCO/Z5</t>
  </si>
  <si>
    <t>IF-TRANSCO/Z6</t>
  </si>
  <si>
    <t>IF-TRUNK/AVG</t>
  </si>
  <si>
    <t>IF-TRUNKL/FLDZN</t>
  </si>
  <si>
    <t>IF-TRUNKL/LA</t>
  </si>
  <si>
    <t>IF-TRUNKL/TX</t>
  </si>
  <si>
    <t>IF-TW/PERMIAN</t>
  </si>
  <si>
    <t>IF-TX CITY LOOP</t>
  </si>
  <si>
    <t>IF-VALERO/TX</t>
  </si>
  <si>
    <t>IF-VALLEY</t>
  </si>
  <si>
    <t>IF-WAHA</t>
  </si>
  <si>
    <t>IF-WNG/TOK</t>
  </si>
  <si>
    <t>KING/C$/IDX</t>
  </si>
  <si>
    <t>MICH-ST.CLAIR</t>
  </si>
  <si>
    <t>MICH-ST.CLAIR/I</t>
  </si>
  <si>
    <t>MICH/CONS</t>
  </si>
  <si>
    <t>MICH_CG-GD</t>
  </si>
  <si>
    <t>ML7/CG</t>
  </si>
  <si>
    <t>NAT/FUEL/LEIDY</t>
  </si>
  <si>
    <t>NGI-HPL/ETX</t>
  </si>
  <si>
    <t>NGI-HPL/STEX</t>
  </si>
  <si>
    <t>NGI-LIG/NO.LA</t>
  </si>
  <si>
    <t>NGI-MALIN</t>
  </si>
  <si>
    <t>NGI-MICH_CG</t>
  </si>
  <si>
    <t>NGI-NGPL/ETXG7</t>
  </si>
  <si>
    <t>NGI-NGPL/TX_G2</t>
  </si>
  <si>
    <t>NGI-NOCAL</t>
  </si>
  <si>
    <t>NGI-PGE/CG</t>
  </si>
  <si>
    <t>NGI-SOC/MAL(34/</t>
  </si>
  <si>
    <t>NGI-SOCAL</t>
  </si>
  <si>
    <t>NGI-SOCAL(KRS)</t>
  </si>
  <si>
    <t>NGI-TENN/NO_LA</t>
  </si>
  <si>
    <t>NGI-TGT/NO.LA</t>
  </si>
  <si>
    <t>NGI-WHEELER</t>
  </si>
  <si>
    <t>NGI/CHI. GATE</t>
  </si>
  <si>
    <t>NGINDEX</t>
  </si>
  <si>
    <t>NGMR-AECO/IDX</t>
  </si>
  <si>
    <t>NGMR-ALBDR/IDX</t>
  </si>
  <si>
    <t>NGPL/AMARILO-GD</t>
  </si>
  <si>
    <t>NGPL/IA-IL-GDM</t>
  </si>
  <si>
    <t>NGPL/PER/1ST-GD</t>
  </si>
  <si>
    <t>NGW-ALGO/CITY</t>
  </si>
  <si>
    <t>NGW-ALGONQUIN</t>
  </si>
  <si>
    <t>NGW-CGE</t>
  </si>
  <si>
    <t>NGW-CGKY</t>
  </si>
  <si>
    <t>NGW-CHIPPEWA</t>
  </si>
  <si>
    <t>NGW-FGT/Z1</t>
  </si>
  <si>
    <t>NGW-FGT/Z2</t>
  </si>
  <si>
    <t>NGW-FGT/Z3</t>
  </si>
  <si>
    <t>NGW-GB23</t>
  </si>
  <si>
    <t>NGW-HEHUB</t>
  </si>
  <si>
    <t>NGW-IROQ/WADD</t>
  </si>
  <si>
    <t>NGW-IROQ/Z1</t>
  </si>
  <si>
    <t>NGW-IROQ/Z2</t>
  </si>
  <si>
    <t>NGW-ONS/TXDTP</t>
  </si>
  <si>
    <t>NGW-ONS/TXDTPTW</t>
  </si>
  <si>
    <t>NGW-ONSLA</t>
  </si>
  <si>
    <t>NGW-ONSLA1</t>
  </si>
  <si>
    <t>NGW/HH/BIDWEEK</t>
  </si>
  <si>
    <t>NIAGARA-GDM</t>
  </si>
  <si>
    <t>NW STANF/1ST-GD</t>
  </si>
  <si>
    <t>NX3D</t>
  </si>
  <si>
    <t>STORAGE/B</t>
  </si>
  <si>
    <t>T/STX-VAL-AVG</t>
  </si>
  <si>
    <t>TRUNKL/WLA-GD</t>
  </si>
  <si>
    <t>WADD-GDM</t>
  </si>
  <si>
    <t>WAHA KCBT</t>
  </si>
  <si>
    <t>Gas Basis</t>
  </si>
  <si>
    <t>401-TUSCORARA I PR</t>
  </si>
  <si>
    <t>ABC/C$/IDX I PR</t>
  </si>
  <si>
    <t>CGPR-AECO/BASIS I PR</t>
  </si>
  <si>
    <t>CGPR-CHIPPAWA I PR</t>
  </si>
  <si>
    <t>CGPR-DAWN I PR</t>
  </si>
  <si>
    <t>CGPR-EMERSON I PR</t>
  </si>
  <si>
    <t>CGPR-KINGSGATE I PR</t>
  </si>
  <si>
    <t>CGPR-NIAGARA I PR</t>
  </si>
  <si>
    <t>CGPR-OJIBWAY I PR</t>
  </si>
  <si>
    <t>CGPR-PARKWAY I PR</t>
  </si>
  <si>
    <t>CGPR-ST.CLAIR I PR</t>
  </si>
  <si>
    <t>CGPR-STN2/IDX I PR</t>
  </si>
  <si>
    <t>CGPR-WADDING I PR</t>
  </si>
  <si>
    <t>CONSUMERS_CDA/I I PR</t>
  </si>
  <si>
    <t>DJ/BASIN/CIG I PR</t>
  </si>
  <si>
    <t>DJ/BASIN/WEST I PR</t>
  </si>
  <si>
    <t>GAS DAILY I PR</t>
  </si>
  <si>
    <t>GD-FGT/Z2 I PR</t>
  </si>
  <si>
    <t>GD-INTRASTHUB I PR</t>
  </si>
  <si>
    <t>GD-LOW_IROQUOIS I PR</t>
  </si>
  <si>
    <t>GD-TRANSCO/Z6 I PR</t>
  </si>
  <si>
    <t>HPL/SHPCHAN-GD I PR</t>
  </si>
  <si>
    <t>IF-A/S E.BEAUM I PR</t>
  </si>
  <si>
    <t>IF-A/S EAST OFF I PR</t>
  </si>
  <si>
    <t>IF-AGUA DULCE I PR</t>
  </si>
  <si>
    <t>IF-ANR/LA I PR</t>
  </si>
  <si>
    <t>IF-ANR/LA_OFFSH I PR</t>
  </si>
  <si>
    <t>IF-ANR/LA_ONSHO I PR</t>
  </si>
  <si>
    <t>IF-ANR/OK I PR</t>
  </si>
  <si>
    <t>IF-ARKLA/ARK-OK I PR</t>
  </si>
  <si>
    <t>IF-B/M OFFSHORE I PR</t>
  </si>
  <si>
    <t>IF-BONDAD(100%) I PR</t>
  </si>
  <si>
    <t>IF-CARTHAGE I PR</t>
  </si>
  <si>
    <t>IF-CGT/APPALAC I PR</t>
  </si>
  <si>
    <t>IF-CGT/CITYGATE I PR</t>
  </si>
  <si>
    <t>IF-CIG/RKYMTN I PR</t>
  </si>
  <si>
    <t>IF-CIG/TOMAHAWK I PR</t>
  </si>
  <si>
    <t>IF-CIG/WIC I PR</t>
  </si>
  <si>
    <t>IF-CIG/WINDRVR I PR</t>
  </si>
  <si>
    <t>IF-CNG/APPALACH I PR</t>
  </si>
  <si>
    <t>IF-CNG/NORTH I PR</t>
  </si>
  <si>
    <t>IF-CNG/N_CITYGA I PR</t>
  </si>
  <si>
    <t>IF-COLGUL/ERATH I PR</t>
  </si>
  <si>
    <t>IF-COLGUL/RAYNE I PR</t>
  </si>
  <si>
    <t>IF-COLGULF/LA I PR</t>
  </si>
  <si>
    <t>IF-COLGULF/LAOF I PR</t>
  </si>
  <si>
    <t>IF-CORPUS I PR</t>
  </si>
  <si>
    <t>IF-ELPO/ANADARK I PR</t>
  </si>
  <si>
    <t>IF-ELPO/PERMIAN I PR</t>
  </si>
  <si>
    <t>IF-ELPO/SJ I PR</t>
  </si>
  <si>
    <t>IF-ELPO/SJ/KC I PR</t>
  </si>
  <si>
    <t>IF-EPSJ(BONDAD) I PR</t>
  </si>
  <si>
    <t>IF-EPSJ(MILAGR) I PR</t>
  </si>
  <si>
    <t>IF-EPSJ/TWBLANC I PR</t>
  </si>
  <si>
    <t>IF-FGT/CTYGATE I PR</t>
  </si>
  <si>
    <t>IF-FGT/MKTAREA I PR</t>
  </si>
  <si>
    <t>IF-FGT/Z1 I PR</t>
  </si>
  <si>
    <t>IF-FGT/Z2 I PR</t>
  </si>
  <si>
    <t>IF-FGT/Z3 I PR</t>
  </si>
  <si>
    <t>IF-FREEPORT I PR</t>
  </si>
  <si>
    <t>IF-HEHUB I PR</t>
  </si>
  <si>
    <t>IF-HPL/SHPCHAN I PR</t>
  </si>
  <si>
    <t>IF-IOWA_IL I PR</t>
  </si>
  <si>
    <t>IF-K/COL/TN/LA I PR</t>
  </si>
  <si>
    <t>IF-KATY I PR</t>
  </si>
  <si>
    <t>IF-KATY/OASIS I PR</t>
  </si>
  <si>
    <t>IF-KATY/TAIL I PR</t>
  </si>
  <si>
    <t>IF-KATY/WOFLEX I PR</t>
  </si>
  <si>
    <t>IF-KERN/QUEST I PR</t>
  </si>
  <si>
    <t>IF-KERN/RIVER I PR</t>
  </si>
  <si>
    <t>IF-KING RANCH I PR</t>
  </si>
  <si>
    <t>IF-KOCH I PR</t>
  </si>
  <si>
    <t>IF-KOCH/LA I PR</t>
  </si>
  <si>
    <t>IF-KOCH/TX I PR</t>
  </si>
  <si>
    <t>IF-LONESTAR I PR</t>
  </si>
  <si>
    <t>IF-LRC I PR</t>
  </si>
  <si>
    <t>IF-LRC/Z1 I PR</t>
  </si>
  <si>
    <t>IF-LRC/Z2 I PR</t>
  </si>
  <si>
    <t>IF-LRC/Z3 I PR</t>
  </si>
  <si>
    <t>IF-LRC/Z4 I PR</t>
  </si>
  <si>
    <t>IF-LRC/Z5 I PR</t>
  </si>
  <si>
    <t>IF-MONCHY I PR</t>
  </si>
  <si>
    <t>IF-NGPL/HARPER I PR</t>
  </si>
  <si>
    <t>IF-NGPL/LA I PR</t>
  </si>
  <si>
    <t>IF-NGPL/LA-STNG I PR</t>
  </si>
  <si>
    <t>IF-NGPL/MIDCON I PR</t>
  </si>
  <si>
    <t>IF-NGPL/OK-NW I PR</t>
  </si>
  <si>
    <t>IF-NGPL/STX I PR</t>
  </si>
  <si>
    <t>IF-NGPL/TX I PR</t>
  </si>
  <si>
    <t>IF-NGPLTXOK I PR</t>
  </si>
  <si>
    <t>IF-NNG/DEMARCAT I PR</t>
  </si>
  <si>
    <t>IF-NNG/TOK I PR</t>
  </si>
  <si>
    <t>IF-NNG/VENT I PR</t>
  </si>
  <si>
    <t>IF-NORAM/EAST I PR</t>
  </si>
  <si>
    <t>IF-NORAM/WEST I PR</t>
  </si>
  <si>
    <t>IF-NTHWST/CANBR I PR</t>
  </si>
  <si>
    <t>IF-NWPL_ROCKY_M I PR</t>
  </si>
  <si>
    <t>IF-ONG/OKLAHOMA I PR</t>
  </si>
  <si>
    <t>IF-PAN/TX/OK I PR</t>
  </si>
  <si>
    <t>IF-QUESTAR I PR</t>
  </si>
  <si>
    <t>IF-SONAT/LA I PR</t>
  </si>
  <si>
    <t>IF-TENN/LA I PR</t>
  </si>
  <si>
    <t>IF-TENN/LA_OFF I PR</t>
  </si>
  <si>
    <t>IF-TENN/TX I PR</t>
  </si>
  <si>
    <t>IF-TENN/Z5 I PR</t>
  </si>
  <si>
    <t>IF-TENN/Z6 I PR</t>
  </si>
  <si>
    <t>IF-TETCO/ELA I PR</t>
  </si>
  <si>
    <t>IF-TETCO/ETX I PR</t>
  </si>
  <si>
    <t>IF-TETCO/LA I PR</t>
  </si>
  <si>
    <t>IF-TETCO/M1 I PR</t>
  </si>
  <si>
    <t>IF-TETCO/M3 I PR</t>
  </si>
  <si>
    <t>IF-TETCO/STX I PR</t>
  </si>
  <si>
    <t>IF-TETCO/WLA I PR</t>
  </si>
  <si>
    <t>IF-TEXOMA I PR</t>
  </si>
  <si>
    <t>IF-TEXOMA OFFER I PR</t>
  </si>
  <si>
    <t>IF-TGT/Z1 I PR</t>
  </si>
  <si>
    <t>IF-TGT/ZSL I PR</t>
  </si>
  <si>
    <t>IF-THOMPSONVILL I PR</t>
  </si>
  <si>
    <t>IF-TRANSCO/Z1 I PR</t>
  </si>
  <si>
    <t>IF-TRANSCO/Z2 I PR</t>
  </si>
  <si>
    <t>IF-TRANSCO/Z3 I PR</t>
  </si>
  <si>
    <t>IF-TRANSCO/Z4 I PR</t>
  </si>
  <si>
    <t>IF-TRANSCO/Z5 I PR</t>
  </si>
  <si>
    <t>IF-TRANSCO/Z6 I PR</t>
  </si>
  <si>
    <t>IF-TRUNK/AVG I PR</t>
  </si>
  <si>
    <t>IF-TRUNKL/FLDZN I PR</t>
  </si>
  <si>
    <t>IF-TRUNKL/LA I PR</t>
  </si>
  <si>
    <t>IF-TRUNKL/TX I PR</t>
  </si>
  <si>
    <t>IF-TW/PERMIAN I PR</t>
  </si>
  <si>
    <t>IF-TX CITY LOOP I PR</t>
  </si>
  <si>
    <t>IF-VALERO/TX I PR</t>
  </si>
  <si>
    <t>IF-VALLEY I PR</t>
  </si>
  <si>
    <t>IF-WAHA I PR</t>
  </si>
  <si>
    <t>IF-WNG/TOK I PR</t>
  </si>
  <si>
    <t>KING/C$/IDX I PR</t>
  </si>
  <si>
    <t>MICH-ST.CLAIR/I I PR</t>
  </si>
  <si>
    <t>MICH/CONS I PR</t>
  </si>
  <si>
    <t>MICH_CG-GD I PR</t>
  </si>
  <si>
    <t>ML7/CG I PR</t>
  </si>
  <si>
    <t>NAT/FUEL/LEIDY I PR</t>
  </si>
  <si>
    <t>NGI-HPL/ETX I PR</t>
  </si>
  <si>
    <t>NGI-HPL/STEX I PR</t>
  </si>
  <si>
    <t>NGI-LIG/NO.LA I PR</t>
  </si>
  <si>
    <t>NGI-MALIN I PR</t>
  </si>
  <si>
    <t>NGI-MICH_CG I PR</t>
  </si>
  <si>
    <t>NGI-NGPL/ETXG7 I PR</t>
  </si>
  <si>
    <t>NGI-NGPL/TX_G2 I PR</t>
  </si>
  <si>
    <t>NGI-NOCAL I PR</t>
  </si>
  <si>
    <t>NGI-PGE/CG I PR</t>
  </si>
  <si>
    <t>NGI-SOC/MAL(34/ I PR</t>
  </si>
  <si>
    <t>NGI-SOCAL I PR</t>
  </si>
  <si>
    <t>NGI-SOCAL(KRS) I PR</t>
  </si>
  <si>
    <t>NGI-TENN/NO_LA I PR</t>
  </si>
  <si>
    <t>NGI-TGT/NO.LA I PR</t>
  </si>
  <si>
    <t>NGI-WHEELER I PR</t>
  </si>
  <si>
    <t>NGI/CHI. GATE I PR</t>
  </si>
  <si>
    <t>NGINDEX I PR</t>
  </si>
  <si>
    <t>NGMR-AECO/IDX I PR</t>
  </si>
  <si>
    <t>NGMR-ALBDR/IDX I PR</t>
  </si>
  <si>
    <t>NGPL/AMARILO-GD I PR</t>
  </si>
  <si>
    <t>NGPL/IA-IL-GDM I PR</t>
  </si>
  <si>
    <t>NGPL/PER/1ST-GD I PR</t>
  </si>
  <si>
    <t>NGW-ALGO/CITY I PR</t>
  </si>
  <si>
    <t>NGW-ALGONQUIN I PR</t>
  </si>
  <si>
    <t>NGW-CGE I PR</t>
  </si>
  <si>
    <t>NGW-CGKY I PR</t>
  </si>
  <si>
    <t>NGW-CHIPPEWA I PR</t>
  </si>
  <si>
    <t>NGW-FGT/Z1 I PR</t>
  </si>
  <si>
    <t>NGW-FGT/Z2 I PR</t>
  </si>
  <si>
    <t>NGW-FGT/Z3 I PR</t>
  </si>
  <si>
    <t>NGW-GB23 I PR</t>
  </si>
  <si>
    <t>NGW-HEHUB I PR</t>
  </si>
  <si>
    <t>NGW-IROQ/WADD I PR</t>
  </si>
  <si>
    <t>NGW-IROQ/Z1 I PR</t>
  </si>
  <si>
    <t>NGW-IROQ/Z2 I PR</t>
  </si>
  <si>
    <t>NGW-ONS/TXDTP I PR</t>
  </si>
  <si>
    <t>NGW-ONS/TXDTPTW I PR</t>
  </si>
  <si>
    <t>NGW-ONSLA I PR</t>
  </si>
  <si>
    <t>NGW-ONSLA1 I PR</t>
  </si>
  <si>
    <t>NGW/HH/BIDWEEK I PR</t>
  </si>
  <si>
    <t>NW STANF/1ST-GD I PR</t>
  </si>
  <si>
    <t>NX3D I PR</t>
  </si>
  <si>
    <t>T/STX-VAL-AVG I PR</t>
  </si>
  <si>
    <t>TRUNKL/WLA-GD I PR</t>
  </si>
  <si>
    <t>WAHA KCBT I PR</t>
  </si>
  <si>
    <t>401-TUSCORARA D PR</t>
  </si>
  <si>
    <t>CGPR-AECO/BASIS D PR</t>
  </si>
  <si>
    <t>CGPR-CHIPPAWA D PR</t>
  </si>
  <si>
    <t>CGPR-CORNWALL D PR</t>
  </si>
  <si>
    <t>CGPR-DAWN D PR</t>
  </si>
  <si>
    <t>CGPR-EMERSONUSA D PR</t>
  </si>
  <si>
    <t>CGPR-EMPRESS-US D PR</t>
  </si>
  <si>
    <t>CGPR-KINGSGATE D PR</t>
  </si>
  <si>
    <t>CGPR-NIAGARA D PR</t>
  </si>
  <si>
    <t>CGPR-OJIBWAY D PR</t>
  </si>
  <si>
    <t>CGPR-PARKWAY D PR</t>
  </si>
  <si>
    <t>CGPR-ST.CLAIR D PR</t>
  </si>
  <si>
    <t>CGPR-WADDING D PR</t>
  </si>
  <si>
    <t>CONSUMERS_CDA D PR</t>
  </si>
  <si>
    <t>DAWN-GDM D PR</t>
  </si>
  <si>
    <t>DJ/BASIN/CIG D PR</t>
  </si>
  <si>
    <t>DJ/BASIN/WEST D PR</t>
  </si>
  <si>
    <t>GAS DAILY D PR</t>
  </si>
  <si>
    <t>GD-AECOUS-DAILY D SP</t>
  </si>
  <si>
    <t>GD-AGUADULCE D SP</t>
  </si>
  <si>
    <t>GD-ALGONQUIN D SP</t>
  </si>
  <si>
    <t>GD-ANR/LA_ONSHO D SP</t>
  </si>
  <si>
    <t>GD-ANR/OK D SP</t>
  </si>
  <si>
    <t>GD-CAL BORDER D SP</t>
  </si>
  <si>
    <t>GD-CARTHAGE D SP</t>
  </si>
  <si>
    <t>GD-CGT/APPALAC D SP</t>
  </si>
  <si>
    <t>GD-CHI. GATE D SP</t>
  </si>
  <si>
    <t>GD-CIG/RKYMTN D SP</t>
  </si>
  <si>
    <t>GD-CNG/NORTH D SP</t>
  </si>
  <si>
    <t>GD-CNG/SOUTH D SP</t>
  </si>
  <si>
    <t>GD-COLGULF/LA D SP</t>
  </si>
  <si>
    <t>GD-COLGULF/RAYN D SP</t>
  </si>
  <si>
    <t>GD-CONSUMERS D SP</t>
  </si>
  <si>
    <t>GD-CORPUS/SHPCH D SP</t>
  </si>
  <si>
    <t>GD-DAWN D SP</t>
  </si>
  <si>
    <t>GD-DJ/BASIN D SP</t>
  </si>
  <si>
    <t>GD-ELPO/PERM2 D SP</t>
  </si>
  <si>
    <t>GD-ELPO/SANJUAN D SP</t>
  </si>
  <si>
    <t>GD-ELPO/SJBOND D SP</t>
  </si>
  <si>
    <t>GD-EMERSON D SP</t>
  </si>
  <si>
    <t>GD-FGT/MOBILE D SP</t>
  </si>
  <si>
    <t>GD-FGT/Z1 D SP</t>
  </si>
  <si>
    <t>GD-FGT/Z1/CORP D SP</t>
  </si>
  <si>
    <t>GD-FGT/Z2 D PR</t>
  </si>
  <si>
    <t>GD-FGT/Z2 D SP</t>
  </si>
  <si>
    <t>GD-FGT/Z3 D SP</t>
  </si>
  <si>
    <t>GD-HEHUB D SP</t>
  </si>
  <si>
    <t>GD-HPL/SHPCH D SP</t>
  </si>
  <si>
    <t>GD-INTRASTHUB D PR</t>
  </si>
  <si>
    <t>GD-IROQUOIS D SP</t>
  </si>
  <si>
    <t>GD-KERN/RIVER D SP</t>
  </si>
  <si>
    <t>GD-KOCH D SP</t>
  </si>
  <si>
    <t>GD-KOCH/CORPUS D SP</t>
  </si>
  <si>
    <t>GD-KOCH/TX D SP</t>
  </si>
  <si>
    <t>GD-LONESTAR D SP</t>
  </si>
  <si>
    <t>GD-LOW_IROQUOIS D PR</t>
  </si>
  <si>
    <t>GD-MALIN-CTYGAT D SP</t>
  </si>
  <si>
    <t>GD-MICHCON D SP</t>
  </si>
  <si>
    <t>GD-MRT/MAINLINE D SP</t>
  </si>
  <si>
    <t>GD-MRT/WEST D SP</t>
  </si>
  <si>
    <t>GD-NGPL/(IA-IL) D SP</t>
  </si>
  <si>
    <t>GD-NGPL/AMARILO D SP</t>
  </si>
  <si>
    <t>GD-NGPL/CORPUS D SP</t>
  </si>
  <si>
    <t>GD-NGPL/LA D SP</t>
  </si>
  <si>
    <t>GD-NGPL/OK D SP</t>
  </si>
  <si>
    <t>GD-NGPL/PAN/PRM D SP</t>
  </si>
  <si>
    <t>GD-NGPL/TXOK-E D SP</t>
  </si>
  <si>
    <t>GD-NGPL/TXOK-W D SP</t>
  </si>
  <si>
    <t>GD-NIAGARA D SP</t>
  </si>
  <si>
    <t>GD-NNG/DEMARCAT D SP</t>
  </si>
  <si>
    <t>GD-NNG/TOK D SP</t>
  </si>
  <si>
    <t>GD-NNG/TOK(1-6) D SP</t>
  </si>
  <si>
    <t>GD-NNG/TOK(13) D SP</t>
  </si>
  <si>
    <t>GD-NNG/TOK/PAN D SP</t>
  </si>
  <si>
    <t>GD-NNG/VENT D SP</t>
  </si>
  <si>
    <t>GD-NORAM-N/S D SP</t>
  </si>
  <si>
    <t>GD-NORAM/WEST D SP</t>
  </si>
  <si>
    <t>GD-NTHWST/CANB D SP</t>
  </si>
  <si>
    <t>GD-NW STANF/1ST D SP</t>
  </si>
  <si>
    <t>GD-NW STANFIELD D SP</t>
  </si>
  <si>
    <t>GD-NW/IGNACIO D SP</t>
  </si>
  <si>
    <t>GD-NWPL_ROCKY_M D SP</t>
  </si>
  <si>
    <t>GD-PAN/TX/OK D SP</t>
  </si>
  <si>
    <t>GD-PG&amp;E/CITIGAT D SP</t>
  </si>
  <si>
    <t>GD-PGT/KINGSGAT D SP</t>
  </si>
  <si>
    <t>GD-QUESTAR D SP</t>
  </si>
  <si>
    <t>GD-SONAT/LA D SP</t>
  </si>
  <si>
    <t>GD-TENN/100 D SP</t>
  </si>
  <si>
    <t>GD-TENN/500 D SP</t>
  </si>
  <si>
    <t>GD-TENN/800 D SP</t>
  </si>
  <si>
    <t>GD-TENN/CORPUS D SP</t>
  </si>
  <si>
    <t>GD-TETCO/ELA D SP</t>
  </si>
  <si>
    <t>GD-TETCO/ETX/CR D SP</t>
  </si>
  <si>
    <t>GD-TETCO/M1 D SP</t>
  </si>
  <si>
    <t>GD-TETCO/M3 D SP</t>
  </si>
  <si>
    <t>GD-TETCO/STX D SP</t>
  </si>
  <si>
    <t>GD-TETCO/WLA D SP</t>
  </si>
  <si>
    <t>GD-TGT/Z1 D SP</t>
  </si>
  <si>
    <t>GD-TGT/ZSL D SP</t>
  </si>
  <si>
    <t>GD-TRANSCO/Z1 D SP</t>
  </si>
  <si>
    <t>GD-TRANSCO/Z2 D SP</t>
  </si>
  <si>
    <t>GD-TRANSCO/Z3 D SP</t>
  </si>
  <si>
    <t>GD-TRANSCO/Z4 D SP</t>
  </si>
  <si>
    <t>GD-TRANSCO/Z6 D PR</t>
  </si>
  <si>
    <t>GD-TRCOZ6/NONY D SP</t>
  </si>
  <si>
    <t>GD-TRCOZ6/NY D SP</t>
  </si>
  <si>
    <t>GD-TRUNKL/ELA D SP</t>
  </si>
  <si>
    <t>GD-TRUNKL/NO D SP</t>
  </si>
  <si>
    <t>GD-TRUNKL/SO D SP</t>
  </si>
  <si>
    <t>GD-TRUNKL/WLA D SP</t>
  </si>
  <si>
    <t>GD-TW/PERMIAN D SP</t>
  </si>
  <si>
    <t>GD-TW/SJ D SP</t>
  </si>
  <si>
    <t>GD-TXINT/KATYTX D SP</t>
  </si>
  <si>
    <t>GD-WADDINGTON D SP</t>
  </si>
  <si>
    <t>GD-WAHA D SP</t>
  </si>
  <si>
    <t>GD-WNG/TOK D SP</t>
  </si>
  <si>
    <t>GDAH-HPL/SHPCH D SP</t>
  </si>
  <si>
    <t>GDAH-TXINT/KATY D SP</t>
  </si>
  <si>
    <t>GDAL-HPL/SHPCH D SP</t>
  </si>
  <si>
    <t>GDAL-TXINT/KATY D SP</t>
  </si>
  <si>
    <t>GDH-CIG/RKYMTN D SP</t>
  </si>
  <si>
    <t>GDH-DJ/BASIN D SP</t>
  </si>
  <si>
    <t>GDH-ELPO/PERM D SP</t>
  </si>
  <si>
    <t>GDH-ELPO/SJ D SP</t>
  </si>
  <si>
    <t>GDH-HEHUB D SP</t>
  </si>
  <si>
    <t>GDH-HPL/SHPCH D SP</t>
  </si>
  <si>
    <t>GDH-PAN/TX/OK D SP</t>
  </si>
  <si>
    <t>GDH-SUMAS D SP</t>
  </si>
  <si>
    <t>GDH-TXINT/KATY D SP</t>
  </si>
  <si>
    <t>GDL-ELPO/PERM D SP</t>
  </si>
  <si>
    <t>GDL-ELPO/SJ D SP</t>
  </si>
  <si>
    <t>GDL-HEHUB D SP</t>
  </si>
  <si>
    <t>GDL-HPL/SHPCH D SP</t>
  </si>
  <si>
    <t>GDL-NNG/TOK/PAN D SP</t>
  </si>
  <si>
    <t>GDL-PAN/TX/OK D SP</t>
  </si>
  <si>
    <t>GDL-TXINT/KATY D SP</t>
  </si>
  <si>
    <t>GDP-AGUADULCE D SP</t>
  </si>
  <si>
    <t>GDP-ALGONQUIN D SP</t>
  </si>
  <si>
    <t>GDP-ANR/LA_ONSH D SP</t>
  </si>
  <si>
    <t>GDP-ANR/OK D SP</t>
  </si>
  <si>
    <t>GDP-CAL BORDER D SP</t>
  </si>
  <si>
    <t>GDP-CARTHAGE D SP</t>
  </si>
  <si>
    <t>GDP-CGT/APPALAC D SP</t>
  </si>
  <si>
    <t>GDP-CHI. GATE D SP</t>
  </si>
  <si>
    <t>GDP-CIG/RKYMTN D SP</t>
  </si>
  <si>
    <t>GDP-CNG/NORTH D SP</t>
  </si>
  <si>
    <t>GDP-CNG/SOUTH D SP</t>
  </si>
  <si>
    <t>GDP-COLGULF/LA D SP</t>
  </si>
  <si>
    <t>GDP-COLGULF/RAY D SP</t>
  </si>
  <si>
    <t>GDP-CONSUMERS D SP</t>
  </si>
  <si>
    <t>GDP-CORPUS/SHPC D SP</t>
  </si>
  <si>
    <t>GDP-DAWN D SP</t>
  </si>
  <si>
    <t>GDP-DJ/BASIN D SP</t>
  </si>
  <si>
    <t>GDP-ELPO/PERM2 D SP</t>
  </si>
  <si>
    <t>GDP-ELPO/SANJUA D SP</t>
  </si>
  <si>
    <t>GDP-ELPO/SJBOND D SP</t>
  </si>
  <si>
    <t>GDP-FGT/MOBILE D SP</t>
  </si>
  <si>
    <t>GDP-FGT/Z1 D SP</t>
  </si>
  <si>
    <t>GDP-FGT/Z1/CORP D SP</t>
  </si>
  <si>
    <t>GDP-FGT/Z2 D SP</t>
  </si>
  <si>
    <t>GDP-FGT/Z3 D SP</t>
  </si>
  <si>
    <t>GDP-HEHUB D SP</t>
  </si>
  <si>
    <t>GDP-HPL+1AFTA D SP</t>
  </si>
  <si>
    <t>GDP-HPL+1AFTH D SP</t>
  </si>
  <si>
    <t>GDP-HPL+2AFTA D SP</t>
  </si>
  <si>
    <t>GDP-HPL+2AFTH D SP</t>
  </si>
  <si>
    <t>GDP-HPL/SHPCH D SP</t>
  </si>
  <si>
    <t>GDP-HPLABS+1AH D SP</t>
  </si>
  <si>
    <t>GDP-HPLABSHIGH D SP</t>
  </si>
  <si>
    <t>GDP-HPLRAFTA D SP</t>
  </si>
  <si>
    <t>GDP-HPLU2AFTH D SP</t>
  </si>
  <si>
    <t>GDP-HPLV2AFTH D SP</t>
  </si>
  <si>
    <t>GDP-IROQUOIS D SP</t>
  </si>
  <si>
    <t>GDP-KERN/RIVER D SP</t>
  </si>
  <si>
    <t>GDP-KOCH D SP</t>
  </si>
  <si>
    <t>GDP-KOCH/CORPUS D SP</t>
  </si>
  <si>
    <t>GDP-KOCH/TX D SP</t>
  </si>
  <si>
    <t>GDP-LONESTAR D SP</t>
  </si>
  <si>
    <t>GDP-MALIN-CTYGA D SP</t>
  </si>
  <si>
    <t>GDP-MICHCON D SP</t>
  </si>
  <si>
    <t>GDP-ML7/CG D SP</t>
  </si>
  <si>
    <t>GDP-MRT/MAINLIN D SP</t>
  </si>
  <si>
    <t>GDP-MRT/WEST D SP</t>
  </si>
  <si>
    <t>GDP-NGPL/(IA-IL D SP</t>
  </si>
  <si>
    <t>GDP-NGPL/AMARIL D SP</t>
  </si>
  <si>
    <t>GDP-NGPL/CORPUS D SP</t>
  </si>
  <si>
    <t>GDP-NGPL/LA D SP</t>
  </si>
  <si>
    <t>GDP-NGPL/OK D SP</t>
  </si>
  <si>
    <t>GDP-NGPL/PAN/PR D SP</t>
  </si>
  <si>
    <t>GDP-NGPL/TXOK-E D SP</t>
  </si>
  <si>
    <t>GDP-NGPL/TXOK-W D SP</t>
  </si>
  <si>
    <t>GDP-NIAGARA D SP</t>
  </si>
  <si>
    <t>GDP-NNG/DEMARCA D SP</t>
  </si>
  <si>
    <t>GDP-NNG/TOK D SP</t>
  </si>
  <si>
    <t>GDP-NNG/TOK(1-6 D SP</t>
  </si>
  <si>
    <t>GDP-NNG/TOK(13) D SP</t>
  </si>
  <si>
    <t>GDP-NNG/TOK/PAN D SP</t>
  </si>
  <si>
    <t>GDP-NNG/VENT D SP</t>
  </si>
  <si>
    <t>GDP-NORAM-N/S D SP</t>
  </si>
  <si>
    <t>GDP-NORAM/WEST D SP</t>
  </si>
  <si>
    <t>GDP-NTHWST/CANB D SP</t>
  </si>
  <si>
    <t>GDP-NW STANFIEL D SP</t>
  </si>
  <si>
    <t>GDP-NWPL_ROCKYM D SP</t>
  </si>
  <si>
    <t>GDP-PAN/TX/OK D SP</t>
  </si>
  <si>
    <t>GDP-PG&amp;E/CITIGA D SP</t>
  </si>
  <si>
    <t>GDP-PG&amp;E/LG-PKG D SP</t>
  </si>
  <si>
    <t>GDP-PGT/KINGSGA D SP</t>
  </si>
  <si>
    <t>GDP-QUESTAR D SP</t>
  </si>
  <si>
    <t>GDP-SONAT/LA D SP</t>
  </si>
  <si>
    <t>GDP-TENN/100 D SP</t>
  </si>
  <si>
    <t>GDP-TENN/500 D SP</t>
  </si>
  <si>
    <t>GDP-TENN/800 D SP</t>
  </si>
  <si>
    <t>GDP-TENN/CORPUS D SP</t>
  </si>
  <si>
    <t>GDP-TETCO/ELA D SP</t>
  </si>
  <si>
    <t>GDP-TETCO/ETX/C D SP</t>
  </si>
  <si>
    <t>GDP-TETCO/M1 D SP</t>
  </si>
  <si>
    <t>GDP-TETCO/M3 D SP</t>
  </si>
  <si>
    <t>GDP-TETCO/STX D SP</t>
  </si>
  <si>
    <t>GDP-TETCO/WLA D SP</t>
  </si>
  <si>
    <t>GDP-TGT/Z1 D SP</t>
  </si>
  <si>
    <t>GDP-TGT/ZSL D SP</t>
  </si>
  <si>
    <t>GDP-TRANSCO/Z1 D SP</t>
  </si>
  <si>
    <t>GDP-TRANSCO/Z2 D SP</t>
  </si>
  <si>
    <t>GDP-TRANSCO/Z3 D SP</t>
  </si>
  <si>
    <t>GDP-TRANSCO/Z4 D SP</t>
  </si>
  <si>
    <t>GDP-TRCOZ6/NONY D SP</t>
  </si>
  <si>
    <t>GDP-TRCOZ6/NY D SP</t>
  </si>
  <si>
    <t>GDP-TRUNKL/ELA D SP</t>
  </si>
  <si>
    <t>GDP-TRUNKL/NO D SP</t>
  </si>
  <si>
    <t>GDP-TRUNKL/SO D SP</t>
  </si>
  <si>
    <t>GDP-TRUNKL/WLA D SP</t>
  </si>
  <si>
    <t>GDP-TW/PERMIAN D SP</t>
  </si>
  <si>
    <t>GDP-TW/SJ D SP</t>
  </si>
  <si>
    <t>GDP-TXINT+1AFTA D SP</t>
  </si>
  <si>
    <t>GDP-TXINT+2AFTA D SP</t>
  </si>
  <si>
    <t>GDP-TXINT+2AFTH D SP</t>
  </si>
  <si>
    <t>GDP-TXINT+2AFTL D SP</t>
  </si>
  <si>
    <t>GDP-TXINT/KATYH D SP</t>
  </si>
  <si>
    <t>GDP-TXINT/KATYL D SP</t>
  </si>
  <si>
    <t>GDP-TXINT/KATYT D SP</t>
  </si>
  <si>
    <t>GDP-TXINTFRWKA D SP</t>
  </si>
  <si>
    <t>GDP-TXINTH+2FTH D SP</t>
  </si>
  <si>
    <t>GDP-TXINTL+2FTH D SP</t>
  </si>
  <si>
    <t>GDP-WAHA D SP</t>
  </si>
  <si>
    <t>GDP-WNG/TOK D SP</t>
  </si>
  <si>
    <t>HPL/SHPCHAN-GD D PR</t>
  </si>
  <si>
    <t>IF-A/S E.BEAUM D PR</t>
  </si>
  <si>
    <t>IF-A/S EAST OFF D PR</t>
  </si>
  <si>
    <t>IF-AGUA DULCE D PR</t>
  </si>
  <si>
    <t>IF-ANR/LA D PR</t>
  </si>
  <si>
    <t>IF-ANR/LA_OFFSH D PR</t>
  </si>
  <si>
    <t>IF-ANR/LA_ONSHO D PR</t>
  </si>
  <si>
    <t>IF-ANR/OK D PR</t>
  </si>
  <si>
    <t>IF-ARKLA/ARK-OK D PR</t>
  </si>
  <si>
    <t>IF-B/M OFFSHORE D PR</t>
  </si>
  <si>
    <t>IF-BONDAD(100%) D PR</t>
  </si>
  <si>
    <t>IF-CARTHAGE D PR</t>
  </si>
  <si>
    <t>IF-CGT/APPALAC D PR</t>
  </si>
  <si>
    <t>IF-CGT/CITYGATE D PR</t>
  </si>
  <si>
    <t>IF-CIG/RKYMTN D PR</t>
  </si>
  <si>
    <t>IF-CIG/TOMAHAWK D PR</t>
  </si>
  <si>
    <t>IF-CIG/WIC D PR</t>
  </si>
  <si>
    <t>IF-CIG/WINDRVR D PR</t>
  </si>
  <si>
    <t>IF-CNG/APPALACH D PR</t>
  </si>
  <si>
    <t>IF-CNG/NORTH D PR</t>
  </si>
  <si>
    <t>IF-CNG/N_CITYGA D PR</t>
  </si>
  <si>
    <t>IF-COLGUL/ERATH D PR</t>
  </si>
  <si>
    <t>IF-COLGUL/RAYNE D PR</t>
  </si>
  <si>
    <t>IF-COLGULF/LA D PR</t>
  </si>
  <si>
    <t>IF-COLGULF/LAOF D PR</t>
  </si>
  <si>
    <t>IF-CORPUS D PR</t>
  </si>
  <si>
    <t>IF-ELPO/ANADARK D PR</t>
  </si>
  <si>
    <t>IF-ELPO/PERMIAN D PR</t>
  </si>
  <si>
    <t>IF-ELPO/SJ D PR</t>
  </si>
  <si>
    <t>IF-ELPO/SJ/KC D PR</t>
  </si>
  <si>
    <t>IF-EPSJ(BONDAD) D PR</t>
  </si>
  <si>
    <t>IF-EPSJ(MILAGR) D PR</t>
  </si>
  <si>
    <t>IF-EPSJ/TWBLANC D PR</t>
  </si>
  <si>
    <t>IF-FGT/CTYGATE D PR</t>
  </si>
  <si>
    <t>IF-FGT/MKTAREA D PR</t>
  </si>
  <si>
    <t>IF-FGT/Z1 D PR</t>
  </si>
  <si>
    <t>IF-FGT/Z2 D PR</t>
  </si>
  <si>
    <t>IF-FGT/Z3 D PR</t>
  </si>
  <si>
    <t>IF-FREEPORT D PR</t>
  </si>
  <si>
    <t>IF-HEHUB D PR</t>
  </si>
  <si>
    <t>IF-HPL/SHPCHAN D PR</t>
  </si>
  <si>
    <t>IF-IOWA_IL D PR</t>
  </si>
  <si>
    <t>IF-K/COL/TN/LA D PR</t>
  </si>
  <si>
    <t>IF-KATY D PR</t>
  </si>
  <si>
    <t>IF-KATY/OASIS D PR</t>
  </si>
  <si>
    <t>IF-KATY/TAIL D PR</t>
  </si>
  <si>
    <t>IF-KATY/WOFLEX D PR</t>
  </si>
  <si>
    <t>IF-KERN/QUEST D PR</t>
  </si>
  <si>
    <t>IF-KERN/RIVER D PR</t>
  </si>
  <si>
    <t>IF-KING RANCH D PR</t>
  </si>
  <si>
    <t>IF-KOCH D PR</t>
  </si>
  <si>
    <t>IF-KOCH/LA D PR</t>
  </si>
  <si>
    <t>IF-KOCH/TX D PR</t>
  </si>
  <si>
    <t>IF-LONESTAR D PR</t>
  </si>
  <si>
    <t>IF-LRC D PR</t>
  </si>
  <si>
    <t>IF-LRC/Z1 D PR</t>
  </si>
  <si>
    <t>IF-LRC/Z2 D PR</t>
  </si>
  <si>
    <t>IF-LRC/Z3 D PR</t>
  </si>
  <si>
    <t>IF-LRC/Z4 D PR</t>
  </si>
  <si>
    <t>IF-LRC/Z5 D PR</t>
  </si>
  <si>
    <t>IF-MONCHY D PR</t>
  </si>
  <si>
    <t>IF-NGPL/HARPER D PR</t>
  </si>
  <si>
    <t>IF-NGPL/LA D PR</t>
  </si>
  <si>
    <t>IF-NGPL/LA-STNG D PR</t>
  </si>
  <si>
    <t>IF-NGPL/MIDCON D PR</t>
  </si>
  <si>
    <t>IF-NGPL/OK-NW D PR</t>
  </si>
  <si>
    <t>IF-NGPL/STX D PR</t>
  </si>
  <si>
    <t>IF-NGPL/TX D PR</t>
  </si>
  <si>
    <t>IF-NGPLTXOK D PR</t>
  </si>
  <si>
    <t>IF-NNG/DEMARCAT D PR</t>
  </si>
  <si>
    <t>IF-NNG/TOK D PR</t>
  </si>
  <si>
    <t>IF-NNG/VENT D PR</t>
  </si>
  <si>
    <t>IF-NORAM/EAST D PR</t>
  </si>
  <si>
    <t>IF-NORAM/WEST D PR</t>
  </si>
  <si>
    <t>IF-NTHWST/CANBR D PR</t>
  </si>
  <si>
    <t>IF-NWPL_ROCKY_M D PR</t>
  </si>
  <si>
    <t>IF-ONG/OKLAHOMA D PR</t>
  </si>
  <si>
    <t>IF-PAN/TX/OK D PR</t>
  </si>
  <si>
    <t>IF-QUESTAR D PR</t>
  </si>
  <si>
    <t>IF-SONAT/LA D PR</t>
  </si>
  <si>
    <t>IF-TENN/LA D PR</t>
  </si>
  <si>
    <t>IF-TENN/LA_OFF D PR</t>
  </si>
  <si>
    <t>IF-TENN/TX D PR</t>
  </si>
  <si>
    <t>IF-TENN/Z5 D PR</t>
  </si>
  <si>
    <t>IF-TENN/Z6 D PR</t>
  </si>
  <si>
    <t>IF-TETCO/ELA D PR</t>
  </si>
  <si>
    <t>IF-TETCO/ETX D PR</t>
  </si>
  <si>
    <t>IF-TETCO/LA D PR</t>
  </si>
  <si>
    <t>IF-TETCO/M1 D PR</t>
  </si>
  <si>
    <t>IF-TETCO/M3 D PR</t>
  </si>
  <si>
    <t>IF-TETCO/STX D PR</t>
  </si>
  <si>
    <t>IF-TETCO/WLA D PR</t>
  </si>
  <si>
    <t>IF-TEXOMA D PR</t>
  </si>
  <si>
    <t>IF-TEXOMA OFFER D PR</t>
  </si>
  <si>
    <t>IF-TGT/Z1 D PR</t>
  </si>
  <si>
    <t>IF-TGT/ZSL D PR</t>
  </si>
  <si>
    <t>IF-THOMPSONVILL D PR</t>
  </si>
  <si>
    <t>IF-TRANSCO/Z1 D PR</t>
  </si>
  <si>
    <t>IF-TRANSCO/Z2 D PR</t>
  </si>
  <si>
    <t>IF-TRANSCO/Z3 D PR</t>
  </si>
  <si>
    <t>IF-TRANSCO/Z4 D PR</t>
  </si>
  <si>
    <t>IF-TRANSCO/Z5 D PR</t>
  </si>
  <si>
    <t>IF-TRANSCO/Z6 D PR</t>
  </si>
  <si>
    <t>IF-TRUNK/AVG D PR</t>
  </si>
  <si>
    <t>IF-TRUNKL/FLDZN D PR</t>
  </si>
  <si>
    <t>IF-TRUNKL/LA D PR</t>
  </si>
  <si>
    <t>IF-TRUNKL/TX D PR</t>
  </si>
  <si>
    <t>IF-TW/PERMIAN D PR</t>
  </si>
  <si>
    <t>IF-TX CITY LOOP D PR</t>
  </si>
  <si>
    <t>IF-VALERO/TX D PR</t>
  </si>
  <si>
    <t>IF-VALLEY D PR</t>
  </si>
  <si>
    <t>IF-WAHA D PR</t>
  </si>
  <si>
    <t>IF-WNG/TOK D PR</t>
  </si>
  <si>
    <t>MICH-ST.CLAIR D PR</t>
  </si>
  <si>
    <t>MICH/CONS D PR</t>
  </si>
  <si>
    <t>MICH_CG-GD D PR</t>
  </si>
  <si>
    <t>ML7/CG D PR</t>
  </si>
  <si>
    <t>NAT/FUEL/LEIDY D PR</t>
  </si>
  <si>
    <t>NGI-HPL/ETX D PR</t>
  </si>
  <si>
    <t>NGI-HPL/STEX D PR</t>
  </si>
  <si>
    <t>NGI-LIG/NO.LA D PR</t>
  </si>
  <si>
    <t>NGI-MALIN D PR</t>
  </si>
  <si>
    <t>NGI-MICH_CG D PR</t>
  </si>
  <si>
    <t>NGI-NGPL/ETXG7 D PR</t>
  </si>
  <si>
    <t>NGI-NGPL/TX_G2 D PR</t>
  </si>
  <si>
    <t>NGI-NOCAL D PR</t>
  </si>
  <si>
    <t>NGI-PGE/CG D PR</t>
  </si>
  <si>
    <t>NGI-SOC/MAL(34/ D PR</t>
  </si>
  <si>
    <t>NGI-SOCAL D PR</t>
  </si>
  <si>
    <t>NGI-SOCAL(KRS) D PR</t>
  </si>
  <si>
    <t>NGI-TENN/NO_LA D PR</t>
  </si>
  <si>
    <t>NGI-TGT/NO.LA D PR</t>
  </si>
  <si>
    <t>NGI-WHEELER D PR</t>
  </si>
  <si>
    <t>NGI/CHI. GATE D PR</t>
  </si>
  <si>
    <t>NGPL/AMARILO-GD D PR</t>
  </si>
  <si>
    <t>NGPL/IA-IL-GDM D PR</t>
  </si>
  <si>
    <t>NGPL/PER/1ST-GD D PR</t>
  </si>
  <si>
    <t>NGW-ALGO/CITY D PR</t>
  </si>
  <si>
    <t>NGW-ALGONQUIN D PR</t>
  </si>
  <si>
    <t>NGW-CGE D PR</t>
  </si>
  <si>
    <t>NGW-CGKY D PR</t>
  </si>
  <si>
    <t>NGW-CHIPPEWA D PR</t>
  </si>
  <si>
    <t>NGW-FGT/Z1 D PR</t>
  </si>
  <si>
    <t>NGW-FGT/Z2 D PR</t>
  </si>
  <si>
    <t>NGW-FGT/Z3 D PR</t>
  </si>
  <si>
    <t>NGW-GB23 D PR</t>
  </si>
  <si>
    <t>NGW-HEHUB D PR</t>
  </si>
  <si>
    <t>NGW-IROQ/WADD D PR</t>
  </si>
  <si>
    <t>NGW-IROQ/Z1 D PR</t>
  </si>
  <si>
    <t>NGW-IROQ/Z2 D PR</t>
  </si>
  <si>
    <t>NGW-ONS/TXDTP D PR</t>
  </si>
  <si>
    <t>NGW-ONS/TXDTPTW D PR</t>
  </si>
  <si>
    <t>NGW-ONSLA D PR</t>
  </si>
  <si>
    <t>NGW-ONSLA1 D PR</t>
  </si>
  <si>
    <t>NGW/HH/BIDWEEK D PR</t>
  </si>
  <si>
    <t>NIAGARA-GDM D PR</t>
  </si>
  <si>
    <t>NW STANF/1ST-GD D PR</t>
  </si>
  <si>
    <t>NX3D D PR</t>
  </si>
  <si>
    <t>STORAGE/B D PR</t>
  </si>
  <si>
    <t>T/STX-VAL-AVG D PR</t>
  </si>
  <si>
    <t>TRUNKL/WLA-GD D PR</t>
  </si>
  <si>
    <t>WADD-GDM D PR</t>
  </si>
  <si>
    <t>WAHA KCBT D PR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</si>
  <si>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</si>
  <si>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</si>
  <si>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</si>
  <si>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</si>
  <si>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</si>
  <si>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</si>
  <si>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</si>
  <si>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</si>
  <si>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OFFSET(K4,0,0,1,COUNT(4:4))</t>
  </si>
  <si>
    <t>Effective Date</t>
  </si>
  <si>
    <t>Prompt Month</t>
  </si>
  <si>
    <t>Curve Code</t>
  </si>
  <si>
    <t>INTNS</t>
  </si>
  <si>
    <t>NG</t>
  </si>
  <si>
    <t>Curve Type</t>
  </si>
  <si>
    <t>AA</t>
  </si>
  <si>
    <t>VO</t>
  </si>
  <si>
    <t>Book Code 1</t>
  </si>
  <si>
    <t>R</t>
  </si>
  <si>
    <t>P</t>
  </si>
  <si>
    <t>Publisher</t>
  </si>
  <si>
    <t>Gas Curve Date</t>
  </si>
  <si>
    <t xml:space="preserve">Total Gas </t>
  </si>
  <si>
    <t>BP</t>
  </si>
  <si>
    <t>AP</t>
  </si>
  <si>
    <t>Chicago</t>
  </si>
  <si>
    <t>Florida Zones 1 through 3</t>
  </si>
  <si>
    <t>NG_OMICRON_11</t>
  </si>
  <si>
    <t>NG_OMICRON_12</t>
  </si>
  <si>
    <t>Omicron</t>
  </si>
  <si>
    <t>Bid Vol</t>
  </si>
  <si>
    <t>Ask Vol</t>
  </si>
  <si>
    <t xml:space="preserve">Omicron </t>
  </si>
  <si>
    <t>Mid Vol</t>
  </si>
  <si>
    <t>Adder</t>
  </si>
  <si>
    <t>BV</t>
  </si>
  <si>
    <t>AV</t>
  </si>
  <si>
    <t>Nymex Mid</t>
  </si>
  <si>
    <t>Nymex Bid</t>
  </si>
  <si>
    <t>NG Vol Mid</t>
  </si>
  <si>
    <t>NG Vol Bid</t>
  </si>
  <si>
    <t>Nymex Ask</t>
  </si>
  <si>
    <t>NG Vol Ask</t>
  </si>
  <si>
    <t>Interest</t>
  </si>
  <si>
    <t>All-in Price</t>
  </si>
  <si>
    <t>Power Basis</t>
  </si>
  <si>
    <t>Omicron Region</t>
  </si>
  <si>
    <t>Mon-Sun 7X24</t>
  </si>
  <si>
    <t>Mon-Sun 7X16</t>
  </si>
  <si>
    <t>Mon-Fri 5X24</t>
  </si>
  <si>
    <t>Mon-Fri 5X16</t>
  </si>
  <si>
    <t>Mon-Sat 6X24</t>
  </si>
  <si>
    <t>Mon-Sat 6X16</t>
  </si>
  <si>
    <t>Mon-Fri 5X8 Super</t>
  </si>
  <si>
    <t>Mon-Sun 7X8 Super</t>
  </si>
  <si>
    <t>Mon-Sat 6X8 Super</t>
  </si>
  <si>
    <t>Date Range</t>
  </si>
  <si>
    <t>From</t>
  </si>
  <si>
    <t>To</t>
  </si>
  <si>
    <t>Date</t>
  </si>
  <si>
    <t>VOM</t>
  </si>
  <si>
    <t>Variable O&amp;M</t>
  </si>
  <si>
    <t>JBUSS</t>
  </si>
  <si>
    <t>DQUIGLE</t>
  </si>
  <si>
    <t>Heat Rates</t>
  </si>
  <si>
    <t xml:space="preserve">Generation </t>
  </si>
  <si>
    <t>Cost</t>
  </si>
  <si>
    <t>control #</t>
  </si>
  <si>
    <t>Scalar</t>
  </si>
  <si>
    <t xml:space="preserve"> </t>
  </si>
  <si>
    <t>DARNAEZ</t>
  </si>
  <si>
    <t>Gas Basis Check Box</t>
  </si>
  <si>
    <t>Checks</t>
  </si>
  <si>
    <t>16Hr</t>
  </si>
  <si>
    <t>24Hr</t>
  </si>
  <si>
    <t>Must = 1</t>
  </si>
  <si>
    <t>Regular Scalars</t>
  </si>
  <si>
    <t>Mid Curve</t>
  </si>
  <si>
    <t>Super Peak</t>
  </si>
  <si>
    <t>Price</t>
  </si>
  <si>
    <t>Week</t>
  </si>
  <si>
    <t>Sat</t>
  </si>
  <si>
    <t>Sun</t>
  </si>
  <si>
    <t>Hol</t>
  </si>
  <si>
    <t>Total</t>
  </si>
  <si>
    <t>-Hol</t>
  </si>
  <si>
    <t>Control #</t>
  </si>
  <si>
    <t>Days to Run</t>
  </si>
  <si>
    <t>MWs</t>
  </si>
  <si>
    <t>Monthly</t>
  </si>
  <si>
    <t xml:space="preserve">Daily </t>
  </si>
  <si>
    <t xml:space="preserve">Blended </t>
  </si>
  <si>
    <t>8Hr WD</t>
  </si>
  <si>
    <t>8Hr Sat</t>
  </si>
  <si>
    <t>8Hr Sun</t>
  </si>
  <si>
    <t>Generation Components</t>
  </si>
  <si>
    <t xml:space="preserve">Mon-Fri </t>
  </si>
  <si>
    <t>Shoulder Peak</t>
  </si>
  <si>
    <t>OP</t>
  </si>
  <si>
    <t>M-F,Sat,Sun</t>
  </si>
  <si>
    <t>Run Hours</t>
  </si>
  <si>
    <t>To Be fixed:</t>
  </si>
  <si>
    <t xml:space="preserve"> - Fix Sat and Sun Super Peak Scalars to be price dependent on Sat, Sun prices not WD prices</t>
  </si>
  <si>
    <t xml:space="preserve"> - Add Holidays Somewhere</t>
  </si>
  <si>
    <t xml:space="preserve"> - Go thru one iteration add Sprd Opt, then take Delta and run thru another iteration for run Hours</t>
  </si>
  <si>
    <t>Year</t>
  </si>
  <si>
    <t>MW</t>
  </si>
  <si>
    <t>Power</t>
  </si>
  <si>
    <t>Scaled Power Prices</t>
  </si>
  <si>
    <t>Ranking Section</t>
  </si>
  <si>
    <t>Max Run Hours</t>
  </si>
  <si>
    <t>Guess:</t>
  </si>
  <si>
    <t>Resid Hours</t>
  </si>
  <si>
    <t xml:space="preserve"> - Move TP adder to Strike Price for Sprd Opt.</t>
  </si>
  <si>
    <t>Daily</t>
  </si>
  <si>
    <t>Blended</t>
  </si>
  <si>
    <t>Gas-Pwr</t>
  </si>
  <si>
    <t xml:space="preserve">Interest </t>
  </si>
  <si>
    <t>Rate</t>
  </si>
  <si>
    <t>Discount</t>
  </si>
  <si>
    <t xml:space="preserve"> - Spropt needs:</t>
  </si>
  <si>
    <t xml:space="preserve">     - Strike which includes gas transport adder</t>
  </si>
  <si>
    <t xml:space="preserve">     - days to expiry</t>
  </si>
  <si>
    <t xml:space="preserve"> - Make Gas curve pull for seasonality (winter prices/summer prices)</t>
  </si>
  <si>
    <t xml:space="preserve">     - 16 hr vs. two 8hr options</t>
  </si>
  <si>
    <t xml:space="preserve"> - Put toggle in for week days only or weekends/weekdays.</t>
  </si>
  <si>
    <t>Expenses</t>
  </si>
  <si>
    <t xml:space="preserve">    Fuel</t>
  </si>
  <si>
    <t xml:space="preserve">    Variable O&amp;M</t>
  </si>
  <si>
    <t>Revenue</t>
  </si>
  <si>
    <t>$$$</t>
  </si>
  <si>
    <t xml:space="preserve"> - Vol Scalar!!!!! For Hourly Vol Simulation</t>
  </si>
  <si>
    <t>Revenues/Expenses</t>
  </si>
  <si>
    <t>Energy</t>
  </si>
  <si>
    <t>Fuel</t>
  </si>
  <si>
    <t>Expense</t>
  </si>
  <si>
    <t>Check</t>
  </si>
  <si>
    <t>Capacity Revenue ($/Kwm)</t>
  </si>
  <si>
    <t>Energy Revenue ($'s)</t>
  </si>
  <si>
    <t>Tolling Agreement</t>
  </si>
  <si>
    <t>Spread Option Pricing</t>
  </si>
  <si>
    <t>Intrinsic Only Pricing</t>
  </si>
  <si>
    <t>Woulfe Special Pricing</t>
  </si>
  <si>
    <t>Pricing Type</t>
  </si>
  <si>
    <t>Strike</t>
  </si>
  <si>
    <t>Discount Scenarios</t>
  </si>
  <si>
    <t>Notional</t>
  </si>
  <si>
    <t>Present Value (Libor AA)</t>
  </si>
  <si>
    <t>Premium</t>
  </si>
  <si>
    <t>X HR</t>
  </si>
  <si>
    <t>(Gas-TP)</t>
  </si>
  <si>
    <t>Run Hours (Delta)</t>
  </si>
  <si>
    <t xml:space="preserve"> - Need Hourly limitation for each year</t>
  </si>
  <si>
    <t xml:space="preserve"> - Excess Run Hours must be calculated!!!!!!!!!!!!!!!!!!!!!!!!!!!!!!!!!!!</t>
  </si>
  <si>
    <t>=Done</t>
  </si>
  <si>
    <t xml:space="preserve"> - Make Woulfe Special Work</t>
  </si>
  <si>
    <t>Probably Don't need</t>
  </si>
  <si>
    <t xml:space="preserve"> - Add Toggle for PPA situation (5X16, etc…)</t>
  </si>
  <si>
    <t>Works for Intrinsic Only</t>
  </si>
  <si>
    <t>Vol Scalar</t>
  </si>
  <si>
    <t xml:space="preserve"> - Fuel, Commodity</t>
  </si>
  <si>
    <t xml:space="preserve">      Enpower doesn't treat as separate</t>
  </si>
  <si>
    <t xml:space="preserve"> - Add toggle for Genco Scalars and find out what curves use them and do not use them</t>
  </si>
  <si>
    <t>OP Price</t>
  </si>
  <si>
    <t>Prices</t>
  </si>
  <si>
    <t>Summer Gas Basis</t>
  </si>
  <si>
    <t>Winter Gas Basis</t>
  </si>
  <si>
    <t>Value (Intrinsic or Sprd Option Depending on Input)</t>
  </si>
  <si>
    <t xml:space="preserve"> - Must Get peak hours to work no matter what curve is chosen</t>
  </si>
  <si>
    <t xml:space="preserve"> - Availability Factor</t>
  </si>
  <si>
    <t xml:space="preserve"> - Put in Implied HR</t>
  </si>
  <si>
    <t>Bid, Mid, Offer</t>
  </si>
  <si>
    <t xml:space="preserve"> - Bid/Mid/Offer Toggle!!!!!!!!!!!!!!!!!!!!!!!!!!!!!!</t>
  </si>
  <si>
    <t>Does not work yet Fix Pwr Daily, gas monthly and daily</t>
  </si>
  <si>
    <t>Intra-Month Volatilities</t>
  </si>
  <si>
    <t>This Section Needed for Bid,Mid,Offer Toggle</t>
  </si>
  <si>
    <t xml:space="preserve"> - Demand Charge Divisor</t>
  </si>
  <si>
    <t xml:space="preserve"> - HR Degradation</t>
  </si>
  <si>
    <t>=Not Done, but doesn't need to be done just yet</t>
  </si>
  <si>
    <t>Back end Curve escalation/descension</t>
  </si>
  <si>
    <t>1 = Flat curve</t>
  </si>
  <si>
    <t>&gt; 1 escalation</t>
  </si>
  <si>
    <t>&lt; 1 descension</t>
  </si>
  <si>
    <t>Option Inputs</t>
  </si>
  <si>
    <t xml:space="preserve"> - Combine Cycle Calculations</t>
  </si>
  <si>
    <t xml:space="preserve"> - Per Start</t>
  </si>
  <si>
    <t>5X16 Pwr</t>
  </si>
  <si>
    <t>Sat Peak</t>
  </si>
  <si>
    <t>Sun Peak</t>
  </si>
  <si>
    <t>Copy/Paste Special Here, Match Dates with A37</t>
  </si>
  <si>
    <t>Copy/Paste Special Here, Make sure Checks = 1</t>
  </si>
  <si>
    <t xml:space="preserve"> - Curve (Back end) with an escalator, Also to work for Vols </t>
  </si>
  <si>
    <t>Need to fix for Vols</t>
  </si>
  <si>
    <t xml:space="preserve"> - Put in Extrinsic line on Output</t>
  </si>
  <si>
    <t xml:space="preserve"> - Need to add winter Omicron Vol Section</t>
  </si>
  <si>
    <t>Total Plant Per Start</t>
  </si>
  <si>
    <t>Super Peak Scalars (Dynamic Scalars, if applicable)</t>
  </si>
  <si>
    <t>This Section Needed for Curve Extension</t>
  </si>
  <si>
    <t>Monthly Vols</t>
  </si>
  <si>
    <t>These need to be adjusted by user; user must define 8 hr Super Peak Period</t>
  </si>
  <si>
    <t xml:space="preserve">As of 2/2000 Dynamic Scalars are in effect for REGIONS:  2,2A,2B,3,3A,3B,4,4B,4C,5,5A  </t>
  </si>
  <si>
    <t>Per</t>
  </si>
  <si>
    <t>Availability</t>
  </si>
  <si>
    <t xml:space="preserve">    Per Start</t>
  </si>
  <si>
    <t>Plant Operation</t>
  </si>
  <si>
    <t>Combined Cycle</t>
  </si>
  <si>
    <t>Simple Cycle (Peaker)</t>
  </si>
  <si>
    <t>*** ON Run hours or in Ranking section Put in Logic for Combined Cycle Rev&gt;=Per Start (Opportunity Cost)</t>
  </si>
  <si>
    <t>Could be user defined</t>
  </si>
  <si>
    <t xml:space="preserve"> - Extend for at least 30 years</t>
  </si>
  <si>
    <t>16Hr WD</t>
  </si>
  <si>
    <t>16Hr Sat</t>
  </si>
  <si>
    <t>16Hr Sun</t>
  </si>
  <si>
    <t xml:space="preserve">WARNING, When going out past 15 yrs </t>
  </si>
  <si>
    <t>Extend Gas and Rates on Gas Curves page</t>
  </si>
  <si>
    <t>Power extends automatically (price, vols, and correlation)</t>
  </si>
  <si>
    <t>check curve availability for Nymex, Gas Basis, Interest Rates</t>
  </si>
  <si>
    <t>If using a 16Hr curve use scalar of 1</t>
  </si>
  <si>
    <t>Annualized Capacity Revenue</t>
  </si>
  <si>
    <t>Still Working on this, not totally functional yet</t>
  </si>
  <si>
    <t xml:space="preserve">   Coming early March</t>
  </si>
  <si>
    <t>Holidays are included as a Sunday</t>
  </si>
  <si>
    <t>Vols are not effected, they remain flat</t>
  </si>
  <si>
    <t>Summer Omicron</t>
  </si>
  <si>
    <t>Winter Omicron</t>
  </si>
  <si>
    <t>Done for Power curves and Volitility, Must fix for Gas Basis, Nymex, and Vols. Must extend the NumberofDaysTable</t>
  </si>
  <si>
    <t>REGION 1</t>
  </si>
  <si>
    <t>NY East</t>
  </si>
  <si>
    <t>DJENKIN</t>
  </si>
  <si>
    <t>Total PV Value for 2001-2006</t>
  </si>
  <si>
    <t>Offer 7X8 Superpeak</t>
  </si>
  <si>
    <t>Offer 7X16 Peak</t>
  </si>
  <si>
    <t>Mid 7X8 Superpeak</t>
  </si>
  <si>
    <t>Mid 7X16 Peak</t>
  </si>
  <si>
    <t>FSTURM</t>
  </si>
  <si>
    <t>75%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</si>
</sst>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0.0000"/>
    <numFmt numFmtId="174" formatCode="0.000"/>
    <numFmt numFmtId="175" formatCode="0.0"/>
    <numFmt numFmtId="178" formatCode="_(* #,##0_);_(* \(#,##0\);_(* &quot;-&quot;??_);_(@_)"/>
    <numFmt numFmtId="206" formatCode="mm/dd/yy"/>
    <numFmt numFmtId="212" formatCode="0_);[Red]\-0_)"/>
    <numFmt numFmtId="213" formatCode="General_)"/>
    <numFmt numFmtId="214" formatCode="dd\-mmm\-yy_)"/>
    <numFmt numFmtId="220" formatCode="mmm\-yy_)"/>
    <numFmt numFmtId="221" formatCode="#,##0.0000_);\(#,##0.0000\)"/>
    <numFmt numFmtId="224" formatCode="mm/dd/yy_)"/>
    <numFmt numFmtId="225" formatCode="0.000000_)"/>
    <numFmt numFmtId="228" formatCode="0_);\(0\)"/>
    <numFmt numFmtId="229" formatCode="dd\-mmm\-yy_);[Red]dd\-mmm\-yy_)"/>
    <numFmt numFmtId="231" formatCode="dd\-mmm\-yy"/>
    <numFmt numFmtId="283" formatCode="_(&quot;$&quot;* #,##0_);_(&quot;$&quot;* \(#,##0\);_(&quot;$&quot;* &quot;-&quot;??_);_(@_)"/>
    <numFmt numFmtId="316" formatCode="_(&quot;$&quot;* #,##0.0000_);_(&quot;$&quot;* \(#,##0.0000\);_(&quot;$&quot;* &quot;-&quot;??_);_(@_)"/>
    <numFmt numFmtId="324" formatCode="_(&quot;$&quot;* #,##0.000_);_(&quot;$&quot;* \(#,##0.000\);_(&quot;$&quot;* &quot;-&quot;??_);_(@_)"/>
    <numFmt numFmtId="337" formatCode="0E+00;\ᱨ"/>
    <numFmt numFmtId="341" formatCode="_(&quot;$&quot;* #,##0.000_);_(&quot;$&quot;* \(#,##0.000\);_(&quot;$&quot;* &quot;-&quot;???_);_(@_)"/>
    <numFmt numFmtId="342" formatCode="mmmmm"/>
    <numFmt numFmtId="344" formatCode="mmm"/>
  </numFmts>
  <fonts count="46">
    <font>
      <sz val="10"/>
      <name val="Arial"/>
    </font>
    <font>
      <sz val="10"/>
      <name val="Arial"/>
    </font>
    <font>
      <sz val="12"/>
      <color indexed="8"/>
      <name val="Arial MT"/>
    </font>
    <font>
      <sz val="10"/>
      <name val="MS Sans Serif"/>
    </font>
    <font>
      <sz val="8"/>
      <name val="Arial"/>
    </font>
    <font>
      <sz val="10"/>
      <name val="Courier"/>
    </font>
    <font>
      <sz val="11"/>
      <name val="Arial"/>
    </font>
    <font>
      <sz val="8"/>
      <name val="Arial"/>
      <family val="2"/>
    </font>
    <font>
      <sz val="8"/>
      <color indexed="12"/>
      <name val="Arial"/>
      <family val="2"/>
    </font>
    <font>
      <b/>
      <sz val="10"/>
      <color indexed="8"/>
      <name val="Arial"/>
    </font>
    <font>
      <sz val="18"/>
      <color indexed="12"/>
      <name val="Arial"/>
    </font>
    <font>
      <sz val="10"/>
      <color indexed="12"/>
      <name val="Courier"/>
    </font>
    <font>
      <b/>
      <sz val="10"/>
      <color indexed="8"/>
      <name val="Courier"/>
    </font>
    <font>
      <b/>
      <sz val="10"/>
      <name val="Arial"/>
    </font>
    <font>
      <sz val="10"/>
      <color indexed="8"/>
      <name val="Arial"/>
    </font>
    <font>
      <sz val="10"/>
      <color indexed="8"/>
      <name val="Courier"/>
    </font>
    <font>
      <b/>
      <sz val="10"/>
      <color indexed="8"/>
      <name val="Courier"/>
      <family val="3"/>
    </font>
    <font>
      <b/>
      <sz val="8"/>
      <name val="Arial"/>
      <family val="2"/>
    </font>
    <font>
      <sz val="10"/>
      <color indexed="8"/>
      <name val="Arial"/>
      <family val="2"/>
    </font>
    <font>
      <sz val="10"/>
      <color indexed="8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sz val="8"/>
      <name val="Tahoma"/>
      <family val="2"/>
    </font>
    <font>
      <sz val="9"/>
      <name val="Times New Roman"/>
      <family val="1"/>
    </font>
    <font>
      <sz val="8"/>
      <name val="Helv"/>
    </font>
    <font>
      <b/>
      <sz val="9"/>
      <name val="Times New Roman"/>
      <family val="1"/>
    </font>
    <font>
      <sz val="10"/>
      <name val="Times New Roman"/>
      <family val="1"/>
    </font>
    <font>
      <sz val="8"/>
      <name val="Times New Roman"/>
      <family val="1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sz val="9"/>
      <color indexed="9"/>
      <name val="Arial"/>
      <family val="2"/>
    </font>
    <font>
      <b/>
      <sz val="9"/>
      <name val="Arial"/>
      <family val="2"/>
    </font>
    <font>
      <b/>
      <u/>
      <sz val="10"/>
      <name val="Arial"/>
      <family val="2"/>
    </font>
    <font>
      <b/>
      <sz val="8"/>
      <color indexed="8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b/>
      <sz val="9"/>
      <color indexed="10"/>
      <name val="Arial"/>
      <family val="2"/>
    </font>
    <font>
      <b/>
      <i/>
      <sz val="10"/>
      <name val="Arial"/>
      <family val="2"/>
    </font>
    <font>
      <b/>
      <sz val="8"/>
      <color indexed="10"/>
      <name val="Arial"/>
      <family val="2"/>
    </font>
    <font>
      <b/>
      <i/>
      <sz val="9"/>
      <color indexed="10"/>
      <name val="Arial"/>
      <family val="2"/>
    </font>
    <font>
      <b/>
      <sz val="10"/>
      <color indexed="18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1"/>
        <bgColor indexed="64"/>
      </patternFill>
    </fill>
  </fills>
  <borders count="50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37" fontId="7" fillId="3" borderId="0" applyNumberFormat="0" applyBorder="0" applyAlignment="0" applyProtection="0"/>
    <xf numFmtId="37" fontId="4" fillId="0" borderId="0"/>
    <xf numFmtId="3" fontId="8" fillId="4" borderId="1" applyProtection="0"/>
  </cellStyleXfs>
  <cellXfs count="432">
    <xf numFmtId="0" fontId="0" fillId="0" borderId="0" xfId="0"/>
    <xf numFmtId="0" fontId="0" fillId="0" borderId="0" xfId="0" applyProtection="1"/>
    <xf numFmtId="0" fontId="0" fillId="0" borderId="0" xfId="0" applyBorder="1"/>
    <xf numFmtId="0" fontId="0" fillId="0" borderId="0" xfId="0" applyBorder="1" applyProtection="1"/>
    <xf numFmtId="0" fontId="0" fillId="0" borderId="0" xfId="0" applyFill="1"/>
    <xf numFmtId="37" fontId="10" fillId="0" borderId="0" xfId="0" applyNumberFormat="1" applyFont="1" applyFill="1" applyBorder="1" applyProtection="1"/>
    <xf numFmtId="212" fontId="11" fillId="0" borderId="0" xfId="0" applyNumberFormat="1" applyFont="1" applyProtection="1"/>
    <xf numFmtId="0" fontId="11" fillId="0" borderId="0" xfId="0" applyFont="1" applyProtection="1"/>
    <xf numFmtId="212" fontId="11" fillId="0" borderId="0" xfId="0" applyNumberFormat="1" applyFont="1" applyBorder="1" applyProtection="1"/>
    <xf numFmtId="0" fontId="0" fillId="0" borderId="0" xfId="0" applyBorder="1" applyAlignment="1" applyProtection="1">
      <alignment horizontal="left"/>
    </xf>
    <xf numFmtId="0" fontId="12" fillId="0" borderId="2" xfId="0" applyFont="1" applyBorder="1" applyProtection="1"/>
    <xf numFmtId="0" fontId="11" fillId="0" borderId="3" xfId="0" applyFont="1" applyBorder="1" applyProtection="1"/>
    <xf numFmtId="0" fontId="11" fillId="0" borderId="4" xfId="0" applyFont="1" applyBorder="1" applyProtection="1"/>
    <xf numFmtId="220" fontId="13" fillId="0" borderId="5" xfId="0" applyNumberFormat="1" applyFont="1" applyBorder="1" applyProtection="1"/>
    <xf numFmtId="0" fontId="13" fillId="0" borderId="6" xfId="0" applyFont="1" applyBorder="1" applyAlignment="1">
      <alignment horizontal="centerContinuous"/>
    </xf>
    <xf numFmtId="0" fontId="13" fillId="0" borderId="7" xfId="0" applyFont="1" applyBorder="1" applyAlignment="1">
      <alignment horizontal="centerContinuous"/>
    </xf>
    <xf numFmtId="0" fontId="11" fillId="0" borderId="0" xfId="0" applyFont="1" applyBorder="1" applyProtection="1"/>
    <xf numFmtId="0" fontId="9" fillId="0" borderId="2" xfId="0" applyFont="1" applyFill="1" applyBorder="1" applyAlignment="1">
      <alignment horizontal="centerContinuous"/>
    </xf>
    <xf numFmtId="0" fontId="0" fillId="0" borderId="4" xfId="0" applyBorder="1" applyAlignment="1">
      <alignment horizontal="centerContinuous"/>
    </xf>
    <xf numFmtId="17" fontId="0" fillId="2" borderId="5" xfId="0" applyNumberFormat="1" applyFill="1" applyBorder="1" applyProtection="1"/>
    <xf numFmtId="10" fontId="0" fillId="0" borderId="0" xfId="0" applyNumberFormat="1"/>
    <xf numFmtId="0" fontId="1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/>
    </xf>
    <xf numFmtId="14" fontId="14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14" fillId="0" borderId="0" xfId="0" applyFont="1" applyFill="1" applyBorder="1"/>
    <xf numFmtId="14" fontId="0" fillId="0" borderId="0" xfId="0" applyNumberFormat="1" applyFill="1" applyBorder="1"/>
    <xf numFmtId="0" fontId="13" fillId="0" borderId="8" xfId="0" applyFont="1" applyBorder="1" applyAlignment="1">
      <alignment horizontal="centerContinuous"/>
    </xf>
    <xf numFmtId="0" fontId="13" fillId="0" borderId="9" xfId="0" applyFont="1" applyBorder="1" applyAlignment="1">
      <alignment horizontal="centerContinuous"/>
    </xf>
    <xf numFmtId="0" fontId="13" fillId="0" borderId="10" xfId="0" applyFont="1" applyBorder="1" applyAlignment="1" applyProtection="1">
      <alignment horizontal="center"/>
    </xf>
    <xf numFmtId="0" fontId="9" fillId="5" borderId="2" xfId="0" applyFont="1" applyFill="1" applyBorder="1" applyAlignment="1">
      <alignment horizontal="center"/>
    </xf>
    <xf numFmtId="0" fontId="14" fillId="2" borderId="11" xfId="0" applyFont="1" applyFill="1" applyBorder="1" applyProtection="1">
      <protection locked="0"/>
    </xf>
    <xf numFmtId="17" fontId="0" fillId="0" borderId="0" xfId="0" applyNumberFormat="1" applyBorder="1" applyProtection="1"/>
    <xf numFmtId="14" fontId="14" fillId="0" borderId="0" xfId="0" applyNumberFormat="1" applyFont="1" applyFill="1" applyBorder="1"/>
    <xf numFmtId="0" fontId="16" fillId="0" borderId="2" xfId="0" applyFont="1" applyBorder="1" applyAlignment="1" applyProtection="1">
      <alignment horizontal="centerContinuous"/>
    </xf>
    <xf numFmtId="0" fontId="0" fillId="0" borderId="3" xfId="0" applyBorder="1" applyAlignment="1" applyProtection="1">
      <alignment horizontal="centerContinuous"/>
    </xf>
    <xf numFmtId="0" fontId="0" fillId="0" borderId="4" xfId="0" applyBorder="1" applyAlignment="1" applyProtection="1">
      <alignment horizontal="centerContinuous"/>
    </xf>
    <xf numFmtId="0" fontId="0" fillId="0" borderId="12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224" fontId="0" fillId="0" borderId="0" xfId="0" applyNumberFormat="1" applyBorder="1" applyProtection="1"/>
    <xf numFmtId="0" fontId="14" fillId="0" borderId="12" xfId="0" applyFont="1" applyFill="1" applyBorder="1" applyAlignment="1" applyProtection="1">
      <alignment horizontal="center"/>
      <protection locked="0"/>
    </xf>
    <xf numFmtId="0" fontId="9" fillId="0" borderId="13" xfId="0" applyFont="1" applyFill="1" applyBorder="1" applyAlignment="1" applyProtection="1">
      <alignment horizontal="center"/>
      <protection locked="0"/>
    </xf>
    <xf numFmtId="0" fontId="13" fillId="0" borderId="6" xfId="0" applyFont="1" applyBorder="1" applyAlignment="1" applyProtection="1">
      <alignment horizontal="center"/>
    </xf>
    <xf numFmtId="0" fontId="13" fillId="0" borderId="7" xfId="0" applyFont="1" applyBorder="1" applyAlignment="1" applyProtection="1">
      <alignment horizontal="center"/>
    </xf>
    <xf numFmtId="8" fontId="0" fillId="0" borderId="14" xfId="0" applyNumberFormat="1" applyBorder="1" applyProtection="1"/>
    <xf numFmtId="10" fontId="11" fillId="0" borderId="15" xfId="0" applyNumberFormat="1" applyFont="1" applyBorder="1" applyProtection="1"/>
    <xf numFmtId="0" fontId="0" fillId="0" borderId="14" xfId="0" applyBorder="1"/>
    <xf numFmtId="0" fontId="0" fillId="0" borderId="15" xfId="0" applyBorder="1"/>
    <xf numFmtId="0" fontId="17" fillId="0" borderId="0" xfId="0" applyFont="1" applyFill="1" applyBorder="1" applyAlignment="1">
      <alignment horizontal="center"/>
    </xf>
    <xf numFmtId="17" fontId="18" fillId="0" borderId="0" xfId="0" applyNumberFormat="1" applyFont="1" applyFill="1" applyBorder="1"/>
    <xf numFmtId="43" fontId="18" fillId="0" borderId="0" xfId="1" applyFont="1" applyFill="1" applyBorder="1" applyAlignment="1" applyProtection="1">
      <alignment horizontal="centerContinuous"/>
      <protection locked="0"/>
    </xf>
    <xf numFmtId="0" fontId="18" fillId="0" borderId="0" xfId="0" applyFont="1" applyFill="1" applyBorder="1" applyAlignment="1">
      <alignment horizontal="centerContinuous"/>
    </xf>
    <xf numFmtId="0" fontId="18" fillId="0" borderId="0" xfId="0" applyFont="1" applyFill="1" applyBorder="1"/>
    <xf numFmtId="0" fontId="14" fillId="0" borderId="0" xfId="0" applyFont="1" applyFill="1" applyBorder="1" applyAlignment="1">
      <alignment horizontal="centerContinuous"/>
    </xf>
    <xf numFmtId="0" fontId="18" fillId="0" borderId="0" xfId="0" applyFont="1" applyFill="1" applyBorder="1" applyAlignment="1">
      <alignment horizontal="center"/>
    </xf>
    <xf numFmtId="0" fontId="13" fillId="0" borderId="8" xfId="0" applyFont="1" applyBorder="1" applyAlignment="1" applyProtection="1">
      <alignment horizontal="center"/>
    </xf>
    <xf numFmtId="0" fontId="13" fillId="0" borderId="16" xfId="0" applyFont="1" applyBorder="1" applyAlignment="1" applyProtection="1">
      <alignment horizontal="center"/>
    </xf>
    <xf numFmtId="0" fontId="13" fillId="0" borderId="17" xfId="0" applyFont="1" applyBorder="1" applyAlignment="1" applyProtection="1">
      <alignment horizontal="center"/>
    </xf>
    <xf numFmtId="174" fontId="0" fillId="0" borderId="0" xfId="0" applyNumberFormat="1"/>
    <xf numFmtId="174" fontId="0" fillId="0" borderId="0" xfId="0" quotePrefix="1" applyNumberFormat="1" applyBorder="1" applyProtection="1"/>
    <xf numFmtId="10" fontId="0" fillId="0" borderId="0" xfId="0" quotePrefix="1" applyNumberFormat="1"/>
    <xf numFmtId="214" fontId="0" fillId="0" borderId="0" xfId="0" applyNumberFormat="1" applyBorder="1" applyProtection="1"/>
    <xf numFmtId="0" fontId="14" fillId="0" borderId="14" xfId="0" applyFont="1" applyFill="1" applyBorder="1" applyAlignment="1" applyProtection="1">
      <alignment horizontal="left"/>
      <protection locked="0"/>
    </xf>
    <xf numFmtId="0" fontId="14" fillId="0" borderId="15" xfId="0" applyFont="1" applyFill="1" applyBorder="1" applyAlignment="1" applyProtection="1">
      <alignment horizontal="center"/>
      <protection locked="0"/>
    </xf>
    <xf numFmtId="20" fontId="7" fillId="0" borderId="0" xfId="0" applyNumberFormat="1" applyFont="1" applyFill="1" applyBorder="1"/>
    <xf numFmtId="0" fontId="15" fillId="0" borderId="0" xfId="0" applyFont="1" applyFill="1" applyBorder="1" applyProtection="1">
      <protection locked="0"/>
    </xf>
    <xf numFmtId="9" fontId="11" fillId="0" borderId="18" xfId="0" applyNumberFormat="1" applyFont="1" applyBorder="1" applyProtection="1">
      <protection locked="0"/>
    </xf>
    <xf numFmtId="0" fontId="11" fillId="0" borderId="0" xfId="0" applyFont="1" applyBorder="1" applyAlignment="1" applyProtection="1">
      <alignment horizontal="center"/>
      <protection locked="0"/>
    </xf>
    <xf numFmtId="229" fontId="19" fillId="0" borderId="0" xfId="0" applyNumberFormat="1" applyFont="1" applyFill="1" applyBorder="1" applyAlignment="1" applyProtection="1">
      <alignment horizontal="centerContinuous"/>
      <protection locked="0"/>
    </xf>
    <xf numFmtId="212" fontId="14" fillId="0" borderId="0" xfId="0" applyNumberFormat="1" applyFont="1" applyFill="1" applyBorder="1" applyAlignment="1" applyProtection="1">
      <alignment horizontal="centerContinuous"/>
    </xf>
    <xf numFmtId="0" fontId="9" fillId="0" borderId="2" xfId="0" applyFont="1" applyFill="1" applyBorder="1"/>
    <xf numFmtId="0" fontId="9" fillId="5" borderId="5" xfId="0" applyFont="1" applyFill="1" applyBorder="1" applyAlignment="1">
      <alignment horizontal="center"/>
    </xf>
    <xf numFmtId="0" fontId="18" fillId="2" borderId="5" xfId="0" applyFont="1" applyFill="1" applyBorder="1" applyProtection="1">
      <protection locked="0"/>
    </xf>
    <xf numFmtId="14" fontId="14" fillId="0" borderId="0" xfId="0" applyNumberFormat="1" applyFont="1" applyFill="1" applyBorder="1" applyProtection="1"/>
    <xf numFmtId="43" fontId="18" fillId="0" borderId="0" xfId="0" applyNumberFormat="1" applyFont="1" applyFill="1" applyBorder="1"/>
    <xf numFmtId="2" fontId="0" fillId="0" borderId="0" xfId="0" applyNumberFormat="1" applyFill="1" applyBorder="1"/>
    <xf numFmtId="43" fontId="14" fillId="0" borderId="0" xfId="0" applyNumberFormat="1" applyFont="1" applyFill="1" applyBorder="1"/>
    <xf numFmtId="220" fontId="18" fillId="0" borderId="0" xfId="0" applyNumberFormat="1" applyFont="1" applyFill="1" applyBorder="1" applyAlignment="1" applyProtection="1">
      <alignment horizontal="center"/>
    </xf>
    <xf numFmtId="10" fontId="14" fillId="0" borderId="0" xfId="0" applyNumberFormat="1" applyFont="1" applyFill="1" applyBorder="1"/>
    <xf numFmtId="39" fontId="0" fillId="0" borderId="0" xfId="0" applyNumberFormat="1" applyBorder="1" applyProtection="1"/>
    <xf numFmtId="0" fontId="14" fillId="0" borderId="12" xfId="0" applyFont="1" applyFill="1" applyBorder="1" applyAlignment="1" applyProtection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Alignment="1" applyProtection="1">
      <alignment horizontal="center"/>
    </xf>
    <xf numFmtId="0" fontId="14" fillId="0" borderId="14" xfId="0" applyFont="1" applyFill="1" applyBorder="1" applyAlignment="1" applyProtection="1">
      <alignment horizontal="left"/>
    </xf>
    <xf numFmtId="0" fontId="14" fillId="0" borderId="15" xfId="0" applyFont="1" applyFill="1" applyBorder="1" applyAlignment="1" applyProtection="1">
      <alignment horizontal="center"/>
    </xf>
    <xf numFmtId="221" fontId="19" fillId="0" borderId="0" xfId="0" applyNumberFormat="1" applyFont="1" applyFill="1" applyBorder="1" applyProtection="1">
      <protection locked="0"/>
    </xf>
    <xf numFmtId="9" fontId="11" fillId="0" borderId="0" xfId="0" applyNumberFormat="1" applyFont="1" applyProtection="1">
      <protection locked="0"/>
    </xf>
    <xf numFmtId="7" fontId="0" fillId="0" borderId="14" xfId="0" applyNumberFormat="1" applyBorder="1" applyProtection="1"/>
    <xf numFmtId="0" fontId="14" fillId="0" borderId="19" xfId="0" applyFont="1" applyFill="1" applyBorder="1" applyAlignment="1" applyProtection="1">
      <alignment horizontal="left"/>
      <protection locked="0"/>
    </xf>
    <xf numFmtId="0" fontId="14" fillId="0" borderId="20" xfId="0" applyFont="1" applyFill="1" applyBorder="1" applyAlignment="1" applyProtection="1">
      <alignment horizontal="center"/>
      <protection locked="0"/>
    </xf>
    <xf numFmtId="0" fontId="0" fillId="0" borderId="5" xfId="0" applyBorder="1"/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Continuous"/>
    </xf>
    <xf numFmtId="0" fontId="13" fillId="0" borderId="3" xfId="0" applyFont="1" applyFill="1" applyBorder="1" applyAlignment="1">
      <alignment horizontal="centerContinuous"/>
    </xf>
    <xf numFmtId="1" fontId="20" fillId="2" borderId="5" xfId="0" applyNumberFormat="1" applyFont="1" applyFill="1" applyBorder="1" applyAlignment="1"/>
    <xf numFmtId="206" fontId="21" fillId="0" borderId="14" xfId="0" applyNumberFormat="1" applyFont="1" applyBorder="1" applyProtection="1">
      <protection locked="0"/>
    </xf>
    <xf numFmtId="0" fontId="21" fillId="0" borderId="21" xfId="0" applyFont="1" applyBorder="1" applyProtection="1">
      <protection locked="0"/>
    </xf>
    <xf numFmtId="0" fontId="0" fillId="0" borderId="22" xfId="0" applyBorder="1"/>
    <xf numFmtId="0" fontId="0" fillId="0" borderId="22" xfId="0" applyFill="1" applyBorder="1"/>
    <xf numFmtId="20" fontId="7" fillId="0" borderId="23" xfId="0" applyNumberFormat="1" applyFont="1" applyFill="1" applyBorder="1"/>
    <xf numFmtId="0" fontId="12" fillId="0" borderId="2" xfId="0" applyFont="1" applyBorder="1" applyAlignment="1" applyProtection="1">
      <alignment horizontal="centerContinuous"/>
    </xf>
    <xf numFmtId="7" fontId="0" fillId="0" borderId="19" xfId="0" applyNumberFormat="1" applyBorder="1" applyProtection="1"/>
    <xf numFmtId="10" fontId="11" fillId="0" borderId="20" xfId="0" applyNumberFormat="1" applyFont="1" applyBorder="1" applyProtection="1"/>
    <xf numFmtId="39" fontId="11" fillId="0" borderId="0" xfId="0" applyNumberFormat="1" applyFont="1" applyProtection="1">
      <protection locked="0"/>
    </xf>
    <xf numFmtId="9" fontId="11" fillId="0" borderId="24" xfId="0" applyNumberFormat="1" applyFont="1" applyBorder="1" applyProtection="1">
      <protection locked="0"/>
    </xf>
    <xf numFmtId="9" fontId="11" fillId="0" borderId="13" xfId="0" applyNumberFormat="1" applyFont="1" applyBorder="1" applyProtection="1">
      <protection locked="0"/>
    </xf>
    <xf numFmtId="0" fontId="14" fillId="0" borderId="25" xfId="0" applyFont="1" applyFill="1" applyBorder="1" applyAlignment="1" applyProtection="1">
      <alignment horizontal="left"/>
    </xf>
    <xf numFmtId="0" fontId="14" fillId="0" borderId="26" xfId="0" applyFont="1" applyFill="1" applyBorder="1" applyAlignment="1" applyProtection="1">
      <alignment horizontal="center"/>
    </xf>
    <xf numFmtId="206" fontId="21" fillId="0" borderId="19" xfId="0" applyNumberFormat="1" applyFont="1" applyBorder="1" applyProtection="1">
      <protection locked="0"/>
    </xf>
    <xf numFmtId="0" fontId="21" fillId="0" borderId="27" xfId="0" applyFont="1" applyBorder="1" applyProtection="1">
      <protection locked="0"/>
    </xf>
    <xf numFmtId="0" fontId="0" fillId="0" borderId="28" xfId="0" applyBorder="1"/>
    <xf numFmtId="0" fontId="0" fillId="0" borderId="28" xfId="0" applyFill="1" applyBorder="1"/>
    <xf numFmtId="20" fontId="7" fillId="0" borderId="29" xfId="0" applyNumberFormat="1" applyFont="1" applyFill="1" applyBorder="1"/>
    <xf numFmtId="206" fontId="21" fillId="0" borderId="0" xfId="0" applyNumberFormat="1" applyFont="1" applyBorder="1" applyProtection="1">
      <protection locked="0"/>
    </xf>
    <xf numFmtId="0" fontId="21" fillId="0" borderId="0" xfId="0" applyFont="1" applyBorder="1" applyProtection="1">
      <protection locked="0"/>
    </xf>
    <xf numFmtId="0" fontId="14" fillId="0" borderId="19" xfId="0" applyFont="1" applyFill="1" applyBorder="1" applyAlignment="1" applyProtection="1">
      <alignment horizontal="left"/>
    </xf>
    <xf numFmtId="0" fontId="14" fillId="0" borderId="20" xfId="0" applyFont="1" applyFill="1" applyBorder="1" applyAlignment="1" applyProtection="1">
      <alignment horizontal="center"/>
    </xf>
    <xf numFmtId="10" fontId="0" fillId="0" borderId="0" xfId="0" applyNumberFormat="1" applyFill="1" applyBorder="1"/>
    <xf numFmtId="43" fontId="0" fillId="0" borderId="0" xfId="0" applyNumberFormat="1" applyFill="1" applyBorder="1"/>
    <xf numFmtId="1" fontId="0" fillId="0" borderId="0" xfId="0" applyNumberFormat="1" applyBorder="1" applyProtection="1"/>
    <xf numFmtId="43" fontId="18" fillId="0" borderId="0" xfId="1" applyFont="1" applyFill="1" applyBorder="1" applyAlignment="1">
      <alignment horizontal="center"/>
    </xf>
    <xf numFmtId="14" fontId="22" fillId="0" borderId="0" xfId="0" applyNumberFormat="1" applyFont="1"/>
    <xf numFmtId="316" fontId="25" fillId="0" borderId="0" xfId="2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1" fontId="20" fillId="0" borderId="0" xfId="0" applyNumberFormat="1" applyFont="1" applyAlignment="1">
      <alignment horizontal="center"/>
    </xf>
    <xf numFmtId="231" fontId="2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78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31" fontId="0" fillId="0" borderId="0" xfId="0" applyNumberFormat="1" applyBorder="1" applyAlignment="1">
      <alignment horizontal="center"/>
    </xf>
    <xf numFmtId="231" fontId="0" fillId="0" borderId="0" xfId="0" applyNumberFormat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quotePrefix="1" applyAlignment="1" applyProtection="1">
      <alignment horizontal="left"/>
    </xf>
    <xf numFmtId="0" fontId="25" fillId="0" borderId="0" xfId="0" applyFont="1"/>
    <xf numFmtId="17" fontId="25" fillId="0" borderId="0" xfId="0" applyNumberFormat="1" applyFont="1" applyAlignment="1">
      <alignment horizontal="center"/>
    </xf>
    <xf numFmtId="0" fontId="27" fillId="0" borderId="0" xfId="0" applyFont="1" applyAlignment="1">
      <alignment horizontal="left"/>
    </xf>
    <xf numFmtId="0" fontId="25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5" fillId="0" borderId="0" xfId="0" quotePrefix="1" applyFont="1" applyAlignment="1">
      <alignment horizontal="center"/>
    </xf>
    <xf numFmtId="206" fontId="25" fillId="6" borderId="0" xfId="0" applyNumberFormat="1" applyFont="1" applyFill="1"/>
    <xf numFmtId="17" fontId="27" fillId="0" borderId="0" xfId="0" applyNumberFormat="1" applyFont="1" applyAlignment="1">
      <alignment horizontal="left"/>
    </xf>
    <xf numFmtId="17" fontId="25" fillId="0" borderId="0" xfId="0" applyNumberFormat="1" applyFont="1"/>
    <xf numFmtId="17" fontId="25" fillId="0" borderId="0" xfId="0" applyNumberFormat="1" applyFont="1" applyAlignment="1">
      <alignment horizontal="right"/>
    </xf>
    <xf numFmtId="14" fontId="25" fillId="0" borderId="0" xfId="0" applyNumberFormat="1" applyFont="1" applyAlignment="1">
      <alignment horizontal="center"/>
    </xf>
    <xf numFmtId="17" fontId="28" fillId="0" borderId="0" xfId="3" applyNumberFormat="1" applyFont="1" applyBorder="1" applyAlignment="1" applyProtection="1">
      <alignment horizontal="center"/>
    </xf>
    <xf numFmtId="0" fontId="29" fillId="0" borderId="0" xfId="0" quotePrefix="1" applyFont="1" applyAlignment="1">
      <alignment horizontal="center"/>
    </xf>
    <xf numFmtId="0" fontId="29" fillId="0" borderId="0" xfId="0" applyFont="1" applyAlignment="1">
      <alignment horizontal="center"/>
    </xf>
    <xf numFmtId="0" fontId="28" fillId="0" borderId="0" xfId="3" applyFont="1" applyBorder="1" applyAlignment="1" applyProtection="1">
      <alignment horizontal="center"/>
    </xf>
    <xf numFmtId="178" fontId="25" fillId="0" borderId="0" xfId="1" applyNumberFormat="1" applyFont="1" applyFill="1"/>
    <xf numFmtId="206" fontId="25" fillId="0" borderId="0" xfId="0" applyNumberFormat="1" applyFont="1" applyFill="1"/>
    <xf numFmtId="173" fontId="25" fillId="0" borderId="0" xfId="0" applyNumberFormat="1" applyFont="1" applyFill="1" applyAlignment="1">
      <alignment horizontal="center"/>
    </xf>
    <xf numFmtId="173" fontId="25" fillId="0" borderId="0" xfId="0" applyNumberFormat="1" applyFont="1" applyAlignment="1">
      <alignment horizontal="center"/>
    </xf>
    <xf numFmtId="0" fontId="25" fillId="7" borderId="0" xfId="0" applyFont="1" applyFill="1" applyAlignment="1">
      <alignment horizontal="center"/>
    </xf>
    <xf numFmtId="337" fontId="25" fillId="0" borderId="0" xfId="0" applyNumberFormat="1" applyFont="1" applyAlignment="1">
      <alignment horizontal="center"/>
    </xf>
    <xf numFmtId="0" fontId="21" fillId="0" borderId="30" xfId="0" applyFont="1" applyBorder="1" applyProtection="1">
      <protection locked="0"/>
    </xf>
    <xf numFmtId="0" fontId="0" fillId="0" borderId="31" xfId="0" applyBorder="1"/>
    <xf numFmtId="0" fontId="0" fillId="0" borderId="31" xfId="0" applyFill="1" applyBorder="1"/>
    <xf numFmtId="206" fontId="21" fillId="0" borderId="25" xfId="0" applyNumberFormat="1" applyFont="1" applyBorder="1" applyProtection="1">
      <protection locked="0"/>
    </xf>
    <xf numFmtId="206" fontId="21" fillId="0" borderId="12" xfId="0" applyNumberFormat="1" applyFont="1" applyBorder="1" applyProtection="1">
      <protection locked="0"/>
    </xf>
    <xf numFmtId="0" fontId="21" fillId="0" borderId="32" xfId="0" applyFont="1" applyBorder="1" applyProtection="1">
      <protection locked="0"/>
    </xf>
    <xf numFmtId="0" fontId="0" fillId="0" borderId="33" xfId="0" applyBorder="1"/>
    <xf numFmtId="0" fontId="0" fillId="0" borderId="33" xfId="0" applyFill="1" applyBorder="1"/>
    <xf numFmtId="20" fontId="7" fillId="0" borderId="24" xfId="0" applyNumberFormat="1" applyFont="1" applyFill="1" applyBorder="1"/>
    <xf numFmtId="20" fontId="7" fillId="0" borderId="34" xfId="0" applyNumberFormat="1" applyFont="1" applyFill="1" applyBorder="1"/>
    <xf numFmtId="0" fontId="25" fillId="0" borderId="0" xfId="0" applyFont="1" applyAlignment="1">
      <alignment horizontal="right"/>
    </xf>
    <xf numFmtId="9" fontId="25" fillId="0" borderId="0" xfId="4" applyFont="1" applyAlignment="1">
      <alignment horizontal="center"/>
    </xf>
    <xf numFmtId="9" fontId="25" fillId="7" borderId="0" xfId="0" applyNumberFormat="1" applyFont="1" applyFill="1" applyAlignment="1">
      <alignment horizontal="center"/>
    </xf>
    <xf numFmtId="9" fontId="25" fillId="0" borderId="0" xfId="0" applyNumberFormat="1" applyFont="1" applyAlignment="1">
      <alignment horizontal="center"/>
    </xf>
    <xf numFmtId="0" fontId="0" fillId="2" borderId="5" xfId="0" applyFill="1" applyBorder="1"/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Continuous"/>
    </xf>
    <xf numFmtId="0" fontId="13" fillId="0" borderId="0" xfId="0" applyFont="1" applyFill="1" applyBorder="1" applyAlignment="1">
      <alignment horizontal="centerContinuous"/>
    </xf>
    <xf numFmtId="0" fontId="25" fillId="8" borderId="5" xfId="0" applyFont="1" applyFill="1" applyBorder="1" applyAlignment="1">
      <alignment horizontal="center"/>
    </xf>
    <xf numFmtId="212" fontId="9" fillId="9" borderId="0" xfId="0" applyNumberFormat="1" applyFont="1" applyFill="1" applyBorder="1" applyAlignment="1" applyProtection="1">
      <alignment horizontal="left"/>
    </xf>
    <xf numFmtId="212" fontId="9" fillId="9" borderId="0" xfId="0" applyNumberFormat="1" applyFont="1" applyFill="1" applyBorder="1" applyAlignment="1" applyProtection="1">
      <alignment horizontal="right"/>
    </xf>
    <xf numFmtId="212" fontId="9" fillId="0" borderId="0" xfId="0" applyNumberFormat="1" applyFont="1" applyFill="1" applyBorder="1" applyProtection="1">
      <protection locked="0"/>
    </xf>
    <xf numFmtId="0" fontId="30" fillId="0" borderId="35" xfId="0" applyFont="1" applyFill="1" applyBorder="1" applyAlignment="1" applyProtection="1">
      <alignment horizontal="center"/>
    </xf>
    <xf numFmtId="0" fontId="30" fillId="0" borderId="36" xfId="0" applyFont="1" applyFill="1" applyBorder="1" applyAlignment="1" applyProtection="1">
      <alignment horizontal="left"/>
    </xf>
    <xf numFmtId="0" fontId="30" fillId="0" borderId="37" xfId="0" applyFont="1" applyFill="1" applyBorder="1" applyAlignment="1" applyProtection="1">
      <alignment horizontal="left"/>
    </xf>
    <xf numFmtId="0" fontId="30" fillId="0" borderId="38" xfId="0" applyFont="1" applyFill="1" applyBorder="1" applyAlignment="1" applyProtection="1">
      <alignment horizontal="left"/>
    </xf>
    <xf numFmtId="0" fontId="7" fillId="0" borderId="0" xfId="0" applyFont="1" applyFill="1"/>
    <xf numFmtId="0" fontId="0" fillId="0" borderId="0" xfId="0" applyFill="1" applyBorder="1" applyAlignment="1" applyProtection="1">
      <alignment horizontal="right"/>
    </xf>
    <xf numFmtId="206" fontId="20" fillId="0" borderId="0" xfId="0" applyNumberFormat="1" applyFont="1" applyFill="1" applyBorder="1" applyProtection="1"/>
    <xf numFmtId="0" fontId="0" fillId="0" borderId="0" xfId="0" applyFill="1" applyBorder="1" applyProtection="1"/>
    <xf numFmtId="212" fontId="9" fillId="0" borderId="0" xfId="0" applyNumberFormat="1" applyFont="1" applyFill="1" applyBorder="1" applyAlignment="1" applyProtection="1">
      <alignment horizontal="left"/>
    </xf>
    <xf numFmtId="212" fontId="9" fillId="0" borderId="0" xfId="0" applyNumberFormat="1" applyFont="1" applyFill="1" applyBorder="1" applyAlignment="1" applyProtection="1">
      <alignment horizontal="right"/>
    </xf>
    <xf numFmtId="206" fontId="9" fillId="0" borderId="0" xfId="0" applyNumberFormat="1" applyFont="1" applyFill="1" applyBorder="1" applyAlignment="1" applyProtection="1">
      <alignment horizontal="right"/>
      <protection locked="0"/>
    </xf>
    <xf numFmtId="212" fontId="9" fillId="9" borderId="6" xfId="0" applyNumberFormat="1" applyFont="1" applyFill="1" applyBorder="1" applyAlignment="1" applyProtection="1">
      <alignment horizontal="left"/>
    </xf>
    <xf numFmtId="212" fontId="9" fillId="9" borderId="39" xfId="0" applyNumberFormat="1" applyFont="1" applyFill="1" applyBorder="1" applyAlignment="1" applyProtection="1">
      <alignment horizontal="right"/>
    </xf>
    <xf numFmtId="206" fontId="9" fillId="9" borderId="7" xfId="0" applyNumberFormat="1" applyFont="1" applyFill="1" applyBorder="1" applyAlignment="1" applyProtection="1">
      <alignment horizontal="right"/>
      <protection locked="0"/>
    </xf>
    <xf numFmtId="212" fontId="31" fillId="9" borderId="8" xfId="0" applyNumberFormat="1" applyFont="1" applyFill="1" applyBorder="1" applyAlignment="1" applyProtection="1">
      <alignment horizontal="left"/>
    </xf>
    <xf numFmtId="206" fontId="9" fillId="9" borderId="9" xfId="0" applyNumberFormat="1" applyFont="1" applyFill="1" applyBorder="1" applyAlignment="1" applyProtection="1">
      <alignment horizontal="right"/>
      <protection locked="0"/>
    </xf>
    <xf numFmtId="0" fontId="9" fillId="9" borderId="8" xfId="0" applyFont="1" applyFill="1" applyBorder="1" applyAlignment="1" applyProtection="1">
      <alignment horizontal="center"/>
    </xf>
    <xf numFmtId="0" fontId="0" fillId="0" borderId="9" xfId="0" applyBorder="1" applyProtection="1"/>
    <xf numFmtId="212" fontId="9" fillId="9" borderId="8" xfId="0" quotePrefix="1" applyNumberFormat="1" applyFont="1" applyFill="1" applyBorder="1" applyAlignment="1" applyProtection="1">
      <alignment horizontal="center"/>
    </xf>
    <xf numFmtId="212" fontId="9" fillId="9" borderId="8" xfId="0" quotePrefix="1" applyNumberFormat="1" applyFont="1" applyFill="1" applyBorder="1" applyAlignment="1" applyProtection="1">
      <alignment horizontal="left"/>
    </xf>
    <xf numFmtId="212" fontId="9" fillId="9" borderId="9" xfId="0" applyNumberFormat="1" applyFont="1" applyFill="1" applyBorder="1" applyAlignment="1" applyProtection="1">
      <alignment horizontal="left"/>
    </xf>
    <xf numFmtId="212" fontId="31" fillId="9" borderId="8" xfId="0" quotePrefix="1" applyNumberFormat="1" applyFont="1" applyFill="1" applyBorder="1" applyAlignment="1" applyProtection="1">
      <alignment horizontal="left"/>
    </xf>
    <xf numFmtId="212" fontId="9" fillId="9" borderId="8" xfId="0" applyNumberFormat="1" applyFont="1" applyFill="1" applyBorder="1" applyAlignment="1" applyProtection="1">
      <alignment horizontal="left"/>
    </xf>
    <xf numFmtId="212" fontId="9" fillId="9" borderId="40" xfId="0" applyNumberFormat="1" applyFont="1" applyFill="1" applyBorder="1" applyAlignment="1" applyProtection="1">
      <alignment horizontal="left"/>
    </xf>
    <xf numFmtId="212" fontId="9" fillId="9" borderId="41" xfId="0" applyNumberFormat="1" applyFont="1" applyFill="1" applyBorder="1" applyAlignment="1" applyProtection="1">
      <alignment horizontal="right"/>
    </xf>
    <xf numFmtId="206" fontId="9" fillId="9" borderId="17" xfId="0" applyNumberFormat="1" applyFont="1" applyFill="1" applyBorder="1" applyAlignment="1" applyProtection="1">
      <alignment horizontal="right"/>
      <protection locked="0"/>
    </xf>
    <xf numFmtId="17" fontId="0" fillId="0" borderId="0" xfId="0" applyNumberFormat="1"/>
    <xf numFmtId="17" fontId="33" fillId="0" borderId="0" xfId="0" applyNumberFormat="1" applyFont="1"/>
    <xf numFmtId="206" fontId="9" fillId="0" borderId="0" xfId="0" applyNumberFormat="1" applyFont="1" applyFill="1" applyBorder="1" applyAlignment="1" applyProtection="1">
      <alignment horizontal="center"/>
      <protection locked="0"/>
    </xf>
    <xf numFmtId="341" fontId="9" fillId="9" borderId="36" xfId="0" applyNumberFormat="1" applyFont="1" applyFill="1" applyBorder="1" applyAlignment="1" applyProtection="1">
      <alignment horizontal="right"/>
      <protection locked="0"/>
    </xf>
    <xf numFmtId="212" fontId="32" fillId="0" borderId="0" xfId="0" applyNumberFormat="1" applyFont="1" applyFill="1" applyBorder="1" applyAlignment="1" applyProtection="1">
      <alignment horizontal="center"/>
    </xf>
    <xf numFmtId="342" fontId="0" fillId="0" borderId="0" xfId="0" applyNumberFormat="1" applyFill="1" applyBorder="1" applyAlignment="1">
      <alignment horizontal="center"/>
    </xf>
    <xf numFmtId="344" fontId="0" fillId="0" borderId="0" xfId="0" applyNumberFormat="1" applyFill="1" applyBorder="1" applyAlignment="1">
      <alignment horizontal="center"/>
    </xf>
    <xf numFmtId="0" fontId="20" fillId="9" borderId="36" xfId="0" applyFont="1" applyFill="1" applyBorder="1" applyAlignment="1">
      <alignment horizontal="center"/>
    </xf>
    <xf numFmtId="0" fontId="20" fillId="9" borderId="42" xfId="0" quotePrefix="1" applyFont="1" applyFill="1" applyBorder="1" applyAlignment="1">
      <alignment horizontal="center"/>
    </xf>
    <xf numFmtId="178" fontId="21" fillId="0" borderId="36" xfId="1" applyNumberFormat="1" applyFont="1" applyFill="1" applyBorder="1" applyAlignment="1">
      <alignment horizontal="center"/>
    </xf>
    <xf numFmtId="0" fontId="21" fillId="9" borderId="36" xfId="0" applyNumberFormat="1" applyFont="1" applyFill="1" applyBorder="1" applyAlignment="1">
      <alignment horizontal="center"/>
    </xf>
    <xf numFmtId="0" fontId="0" fillId="9" borderId="36" xfId="0" applyNumberFormat="1" applyFill="1" applyBorder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>
      <alignment horizontal="center"/>
    </xf>
    <xf numFmtId="0" fontId="20" fillId="0" borderId="0" xfId="0" applyFont="1"/>
    <xf numFmtId="0" fontId="20" fillId="0" borderId="0" xfId="0" quotePrefix="1" applyFont="1" applyAlignment="1">
      <alignment horizontal="left"/>
    </xf>
    <xf numFmtId="0" fontId="34" fillId="0" borderId="0" xfId="0" applyFont="1" applyFill="1" applyBorder="1" applyAlignment="1">
      <alignment horizontal="center"/>
    </xf>
    <xf numFmtId="220" fontId="34" fillId="0" borderId="0" xfId="0" applyNumberFormat="1" applyFont="1" applyFill="1" applyBorder="1" applyAlignment="1" applyProtection="1">
      <alignment horizontal="center"/>
    </xf>
    <xf numFmtId="0" fontId="34" fillId="0" borderId="0" xfId="0" applyNumberFormat="1" applyFont="1" applyFill="1" applyBorder="1" applyAlignment="1" applyProtection="1">
      <alignment horizontal="center"/>
    </xf>
    <xf numFmtId="221" fontId="35" fillId="10" borderId="0" xfId="0" applyNumberFormat="1" applyFont="1" applyFill="1"/>
    <xf numFmtId="0" fontId="34" fillId="0" borderId="0" xfId="0" applyFont="1" applyFill="1" applyBorder="1"/>
    <xf numFmtId="0" fontId="33" fillId="0" borderId="0" xfId="0" applyFont="1"/>
    <xf numFmtId="0" fontId="34" fillId="0" borderId="0" xfId="0" applyFont="1" applyFill="1" applyBorder="1" applyProtection="1">
      <protection locked="0"/>
    </xf>
    <xf numFmtId="229" fontId="34" fillId="0" borderId="0" xfId="0" applyNumberFormat="1" applyFont="1" applyFill="1" applyBorder="1" applyAlignment="1" applyProtection="1">
      <alignment horizontal="centerContinuous"/>
      <protection locked="0"/>
    </xf>
    <xf numFmtId="212" fontId="34" fillId="0" borderId="0" xfId="0" applyNumberFormat="1" applyFont="1" applyFill="1" applyBorder="1" applyAlignment="1" applyProtection="1">
      <alignment horizontal="centerContinuous"/>
    </xf>
    <xf numFmtId="0" fontId="34" fillId="0" borderId="0" xfId="0" applyFont="1" applyFill="1" applyBorder="1" applyAlignment="1">
      <alignment horizontal="centerContinuous"/>
    </xf>
    <xf numFmtId="0" fontId="33" fillId="0" borderId="0" xfId="0" applyFont="1" applyAlignment="1">
      <alignment horizontal="center"/>
    </xf>
    <xf numFmtId="0" fontId="33" fillId="0" borderId="0" xfId="0" applyFont="1" applyAlignment="1">
      <alignment horizontal="right"/>
    </xf>
    <xf numFmtId="0" fontId="0" fillId="0" borderId="0" xfId="0" quotePrefix="1" applyAlignment="1">
      <alignment horizontal="center"/>
    </xf>
    <xf numFmtId="44" fontId="33" fillId="0" borderId="0" xfId="2" applyNumberFormat="1" applyFont="1"/>
    <xf numFmtId="44" fontId="33" fillId="0" borderId="0" xfId="0" applyNumberFormat="1" applyFont="1"/>
    <xf numFmtId="173" fontId="33" fillId="0" borderId="0" xfId="0" applyNumberFormat="1" applyFont="1"/>
    <xf numFmtId="0" fontId="7" fillId="0" borderId="0" xfId="0" applyFont="1"/>
    <xf numFmtId="206" fontId="33" fillId="0" borderId="0" xfId="0" applyNumberFormat="1" applyFont="1"/>
    <xf numFmtId="0" fontId="36" fillId="0" borderId="0" xfId="0" applyFont="1" applyAlignment="1">
      <alignment horizontal="center"/>
    </xf>
    <xf numFmtId="0" fontId="36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  <xf numFmtId="0" fontId="7" fillId="11" borderId="0" xfId="0" applyFont="1" applyFill="1"/>
    <xf numFmtId="0" fontId="17" fillId="11" borderId="0" xfId="0" applyFont="1" applyFill="1" applyAlignment="1">
      <alignment horizontal="center"/>
    </xf>
    <xf numFmtId="17" fontId="33" fillId="11" borderId="0" xfId="0" applyNumberFormat="1" applyFont="1" applyFill="1"/>
    <xf numFmtId="324" fontId="33" fillId="11" borderId="0" xfId="2" applyNumberFormat="1" applyFont="1" applyFill="1"/>
    <xf numFmtId="2" fontId="33" fillId="11" borderId="0" xfId="2" applyNumberFormat="1" applyFont="1" applyFill="1" applyBorder="1" applyAlignment="1">
      <alignment horizontal="right"/>
    </xf>
    <xf numFmtId="341" fontId="33" fillId="11" borderId="0" xfId="0" applyNumberFormat="1" applyFont="1" applyFill="1"/>
    <xf numFmtId="44" fontId="33" fillId="11" borderId="0" xfId="0" applyNumberFormat="1" applyFont="1" applyFill="1" applyBorder="1" applyAlignment="1">
      <alignment horizontal="right"/>
    </xf>
    <xf numFmtId="0" fontId="17" fillId="12" borderId="0" xfId="0" quotePrefix="1" applyFont="1" applyFill="1" applyAlignment="1">
      <alignment horizontal="center"/>
    </xf>
    <xf numFmtId="0" fontId="17" fillId="12" borderId="0" xfId="0" applyFont="1" applyFill="1" applyAlignment="1">
      <alignment horizontal="center"/>
    </xf>
    <xf numFmtId="44" fontId="33" fillId="12" borderId="0" xfId="2" applyFont="1" applyFill="1" applyBorder="1" applyAlignment="1">
      <alignment horizontal="right"/>
    </xf>
    <xf numFmtId="44" fontId="33" fillId="0" borderId="0" xfId="2" applyFont="1" applyFill="1" applyBorder="1" applyAlignment="1">
      <alignment horizontal="right"/>
    </xf>
    <xf numFmtId="0" fontId="17" fillId="8" borderId="0" xfId="0" quotePrefix="1" applyFont="1" applyFill="1" applyAlignment="1">
      <alignment horizontal="center"/>
    </xf>
    <xf numFmtId="0" fontId="17" fillId="8" borderId="0" xfId="0" applyFont="1" applyFill="1" applyAlignment="1">
      <alignment horizontal="center"/>
    </xf>
    <xf numFmtId="44" fontId="33" fillId="8" borderId="0" xfId="0" applyNumberFormat="1" applyFont="1" applyFill="1"/>
    <xf numFmtId="0" fontId="17" fillId="13" borderId="0" xfId="0" applyFont="1" applyFill="1" applyAlignment="1">
      <alignment horizontal="center"/>
    </xf>
    <xf numFmtId="0" fontId="0" fillId="0" borderId="0" xfId="0" quotePrefix="1" applyAlignment="1">
      <alignment horizontal="left"/>
    </xf>
    <xf numFmtId="1" fontId="33" fillId="11" borderId="0" xfId="0" applyNumberFormat="1" applyFont="1" applyFill="1"/>
    <xf numFmtId="178" fontId="33" fillId="0" borderId="0" xfId="1" applyNumberFormat="1" applyFont="1"/>
    <xf numFmtId="0" fontId="17" fillId="0" borderId="0" xfId="0" applyFont="1" applyFill="1" applyAlignment="1">
      <alignment horizontal="center"/>
    </xf>
    <xf numFmtId="0" fontId="17" fillId="14" borderId="0" xfId="0" applyFont="1" applyFill="1" applyAlignment="1">
      <alignment horizontal="center"/>
    </xf>
    <xf numFmtId="0" fontId="7" fillId="14" borderId="0" xfId="0" applyFont="1" applyFill="1"/>
    <xf numFmtId="178" fontId="33" fillId="14" borderId="0" xfId="1" applyNumberFormat="1" applyFont="1" applyFill="1"/>
    <xf numFmtId="283" fontId="33" fillId="14" borderId="0" xfId="2" applyNumberFormat="1" applyFont="1" applyFill="1"/>
    <xf numFmtId="0" fontId="17" fillId="15" borderId="0" xfId="0" applyFont="1" applyFill="1" applyAlignment="1">
      <alignment horizontal="center"/>
    </xf>
    <xf numFmtId="0" fontId="17" fillId="15" borderId="0" xfId="0" applyFont="1" applyFill="1" applyAlignment="1">
      <alignment horizontal="right"/>
    </xf>
    <xf numFmtId="178" fontId="33" fillId="0" borderId="30" xfId="1" applyNumberFormat="1" applyFont="1" applyBorder="1"/>
    <xf numFmtId="178" fontId="33" fillId="0" borderId="31" xfId="1" applyNumberFormat="1" applyFont="1" applyBorder="1"/>
    <xf numFmtId="178" fontId="33" fillId="0" borderId="43" xfId="1" applyNumberFormat="1" applyFont="1" applyBorder="1"/>
    <xf numFmtId="178" fontId="33" fillId="0" borderId="44" xfId="1" applyNumberFormat="1" applyFont="1" applyBorder="1"/>
    <xf numFmtId="178" fontId="33" fillId="0" borderId="0" xfId="1" applyNumberFormat="1" applyFont="1" applyBorder="1"/>
    <xf numFmtId="178" fontId="33" fillId="0" borderId="45" xfId="1" applyNumberFormat="1" applyFont="1" applyBorder="1"/>
    <xf numFmtId="178" fontId="33" fillId="0" borderId="46" xfId="1" applyNumberFormat="1" applyFont="1" applyBorder="1"/>
    <xf numFmtId="178" fontId="33" fillId="0" borderId="47" xfId="1" applyNumberFormat="1" applyFont="1" applyBorder="1"/>
    <xf numFmtId="178" fontId="33" fillId="0" borderId="48" xfId="1" applyNumberFormat="1" applyFont="1" applyBorder="1"/>
    <xf numFmtId="178" fontId="33" fillId="0" borderId="21" xfId="1" applyNumberFormat="1" applyFont="1" applyBorder="1"/>
    <xf numFmtId="178" fontId="33" fillId="0" borderId="22" xfId="1" applyNumberFormat="1" applyFont="1" applyBorder="1"/>
    <xf numFmtId="178" fontId="33" fillId="0" borderId="42" xfId="1" applyNumberFormat="1" applyFont="1" applyBorder="1"/>
    <xf numFmtId="178" fontId="7" fillId="0" borderId="45" xfId="1" applyNumberFormat="1" applyFont="1" applyBorder="1"/>
    <xf numFmtId="178" fontId="7" fillId="0" borderId="45" xfId="1" applyNumberFormat="1" applyFont="1" applyBorder="1" applyAlignment="1">
      <alignment horizontal="center"/>
    </xf>
    <xf numFmtId="178" fontId="35" fillId="10" borderId="48" xfId="1" applyNumberFormat="1" applyFont="1" applyFill="1" applyBorder="1"/>
    <xf numFmtId="0" fontId="17" fillId="6" borderId="0" xfId="0" applyFont="1" applyFill="1" applyAlignment="1">
      <alignment horizontal="center"/>
    </xf>
    <xf numFmtId="178" fontId="7" fillId="0" borderId="0" xfId="1" applyNumberFormat="1" applyFont="1" applyBorder="1" applyAlignment="1">
      <alignment horizontal="center"/>
    </xf>
    <xf numFmtId="0" fontId="37" fillId="0" borderId="0" xfId="0" applyFont="1"/>
    <xf numFmtId="1" fontId="0" fillId="8" borderId="21" xfId="0" applyNumberFormat="1" applyFill="1" applyBorder="1" applyAlignment="1">
      <alignment horizontal="center"/>
    </xf>
    <xf numFmtId="1" fontId="0" fillId="8" borderId="22" xfId="0" applyNumberFormat="1" applyFill="1" applyBorder="1" applyAlignment="1">
      <alignment horizontal="center"/>
    </xf>
    <xf numFmtId="1" fontId="0" fillId="8" borderId="42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2" applyNumberFormat="1" applyFont="1"/>
    <xf numFmtId="44" fontId="0" fillId="0" borderId="0" xfId="0" applyNumberFormat="1"/>
    <xf numFmtId="0" fontId="17" fillId="9" borderId="0" xfId="0" applyFont="1" applyFill="1" applyAlignment="1">
      <alignment horizontal="center"/>
    </xf>
    <xf numFmtId="283" fontId="33" fillId="9" borderId="0" xfId="2" applyNumberFormat="1" applyFont="1" applyFill="1"/>
    <xf numFmtId="283" fontId="0" fillId="0" borderId="0" xfId="0" applyNumberFormat="1"/>
    <xf numFmtId="0" fontId="23" fillId="0" borderId="0" xfId="0" applyFont="1"/>
    <xf numFmtId="0" fontId="25" fillId="0" borderId="36" xfId="0" applyFont="1" applyBorder="1" applyAlignment="1"/>
    <xf numFmtId="0" fontId="25" fillId="0" borderId="36" xfId="0" applyFont="1" applyBorder="1" applyAlignment="1">
      <alignment horizontal="center"/>
    </xf>
    <xf numFmtId="0" fontId="25" fillId="8" borderId="36" xfId="0" applyFont="1" applyFill="1" applyBorder="1"/>
    <xf numFmtId="0" fontId="25" fillId="0" borderId="36" xfId="0" applyFont="1" applyBorder="1"/>
    <xf numFmtId="0" fontId="0" fillId="0" borderId="0" xfId="0" applyFill="1" applyBorder="1" applyAlignment="1">
      <alignment horizontal="center"/>
    </xf>
    <xf numFmtId="44" fontId="33" fillId="11" borderId="0" xfId="2" applyFont="1" applyFill="1" applyBorder="1" applyAlignment="1">
      <alignment horizontal="right"/>
    </xf>
    <xf numFmtId="0" fontId="17" fillId="11" borderId="0" xfId="0" quotePrefix="1" applyFont="1" applyFill="1" applyAlignment="1">
      <alignment horizontal="center"/>
    </xf>
    <xf numFmtId="178" fontId="33" fillId="13" borderId="0" xfId="1" applyNumberFormat="1" applyFont="1" applyFill="1"/>
    <xf numFmtId="0" fontId="17" fillId="16" borderId="0" xfId="0" applyFont="1" applyFill="1" applyAlignment="1">
      <alignment horizontal="center"/>
    </xf>
    <xf numFmtId="0" fontId="7" fillId="8" borderId="0" xfId="0" applyFont="1" applyFill="1"/>
    <xf numFmtId="0" fontId="0" fillId="8" borderId="0" xfId="0" applyFill="1"/>
    <xf numFmtId="0" fontId="20" fillId="9" borderId="42" xfId="0" applyFont="1" applyFill="1" applyBorder="1" applyAlignment="1">
      <alignment horizontal="center"/>
    </xf>
    <xf numFmtId="43" fontId="21" fillId="0" borderId="36" xfId="1" applyFont="1" applyFill="1" applyBorder="1" applyAlignment="1">
      <alignment horizontal="center"/>
    </xf>
    <xf numFmtId="1" fontId="33" fillId="0" borderId="30" xfId="0" applyNumberFormat="1" applyFont="1" applyBorder="1"/>
    <xf numFmtId="1" fontId="33" fillId="0" borderId="31" xfId="0" applyNumberFormat="1" applyFont="1" applyBorder="1"/>
    <xf numFmtId="1" fontId="33" fillId="0" borderId="44" xfId="0" applyNumberFormat="1" applyFont="1" applyBorder="1"/>
    <xf numFmtId="1" fontId="33" fillId="0" borderId="0" xfId="0" applyNumberFormat="1" applyFont="1" applyBorder="1"/>
    <xf numFmtId="1" fontId="33" fillId="0" borderId="46" xfId="0" applyNumberFormat="1" applyFont="1" applyBorder="1"/>
    <xf numFmtId="1" fontId="33" fillId="0" borderId="47" xfId="0" applyNumberFormat="1" applyFont="1" applyBorder="1"/>
    <xf numFmtId="1" fontId="33" fillId="0" borderId="21" xfId="0" applyNumberFormat="1" applyFont="1" applyBorder="1"/>
    <xf numFmtId="1" fontId="33" fillId="0" borderId="22" xfId="0" applyNumberFormat="1" applyFont="1" applyBorder="1"/>
    <xf numFmtId="44" fontId="33" fillId="8" borderId="0" xfId="2" applyNumberFormat="1" applyFont="1" applyFill="1"/>
    <xf numFmtId="228" fontId="33" fillId="0" borderId="44" xfId="0" applyNumberFormat="1" applyFont="1" applyBorder="1"/>
    <xf numFmtId="228" fontId="33" fillId="0" borderId="31" xfId="0" applyNumberFormat="1" applyFont="1" applyBorder="1"/>
    <xf numFmtId="0" fontId="33" fillId="0" borderId="43" xfId="0" applyFont="1" applyBorder="1"/>
    <xf numFmtId="228" fontId="33" fillId="0" borderId="0" xfId="0" applyNumberFormat="1" applyFont="1" applyBorder="1"/>
    <xf numFmtId="228" fontId="33" fillId="0" borderId="46" xfId="0" applyNumberFormat="1" applyFont="1" applyBorder="1"/>
    <xf numFmtId="228" fontId="33" fillId="0" borderId="47" xfId="0" applyNumberFormat="1" applyFont="1" applyBorder="1"/>
    <xf numFmtId="228" fontId="33" fillId="0" borderId="30" xfId="0" applyNumberFormat="1" applyFont="1" applyBorder="1"/>
    <xf numFmtId="0" fontId="33" fillId="0" borderId="45" xfId="0" applyFont="1" applyBorder="1"/>
    <xf numFmtId="0" fontId="7" fillId="0" borderId="43" xfId="0" applyFont="1" applyBorder="1"/>
    <xf numFmtId="0" fontId="20" fillId="0" borderId="0" xfId="0" applyFont="1" applyBorder="1" applyAlignment="1">
      <alignment horizontal="center"/>
    </xf>
    <xf numFmtId="324" fontId="33" fillId="0" borderId="0" xfId="0" applyNumberFormat="1" applyFont="1"/>
    <xf numFmtId="212" fontId="38" fillId="9" borderId="8" xfId="0" quotePrefix="1" applyNumberFormat="1" applyFont="1" applyFill="1" applyBorder="1" applyAlignment="1" applyProtection="1">
      <alignment horizontal="left"/>
    </xf>
    <xf numFmtId="212" fontId="38" fillId="9" borderId="8" xfId="0" applyNumberFormat="1" applyFont="1" applyFill="1" applyBorder="1" applyAlignment="1" applyProtection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right"/>
    </xf>
    <xf numFmtId="206" fontId="25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7" fillId="8" borderId="0" xfId="0" quotePrefix="1" applyFont="1" applyFill="1" applyAlignment="1">
      <alignment horizontal="left"/>
    </xf>
    <xf numFmtId="0" fontId="20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/>
    <xf numFmtId="0" fontId="7" fillId="17" borderId="0" xfId="0" applyFont="1" applyFill="1"/>
    <xf numFmtId="0" fontId="7" fillId="17" borderId="0" xfId="0" quotePrefix="1" applyFont="1" applyFill="1" applyAlignment="1">
      <alignment horizontal="left"/>
    </xf>
    <xf numFmtId="0" fontId="0" fillId="17" borderId="0" xfId="0" applyFill="1"/>
    <xf numFmtId="0" fontId="7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44" fontId="33" fillId="18" borderId="0" xfId="2" applyNumberFormat="1" applyFont="1" applyFill="1"/>
    <xf numFmtId="44" fontId="33" fillId="18" borderId="0" xfId="0" applyNumberFormat="1" applyFont="1" applyFill="1"/>
    <xf numFmtId="324" fontId="33" fillId="18" borderId="0" xfId="0" applyNumberFormat="1" applyFont="1" applyFill="1"/>
    <xf numFmtId="221" fontId="34" fillId="18" borderId="0" xfId="0" applyNumberFormat="1" applyFont="1" applyFill="1" applyBorder="1" applyProtection="1">
      <protection locked="0"/>
    </xf>
    <xf numFmtId="283" fontId="20" fillId="9" borderId="36" xfId="2" applyNumberFormat="1" applyFont="1" applyFill="1" applyBorder="1"/>
    <xf numFmtId="0" fontId="17" fillId="0" borderId="0" xfId="0" quotePrefix="1" applyFont="1" applyAlignment="1">
      <alignment horizontal="center"/>
    </xf>
    <xf numFmtId="0" fontId="7" fillId="8" borderId="36" xfId="0" applyFont="1" applyFill="1" applyBorder="1" applyProtection="1"/>
    <xf numFmtId="0" fontId="7" fillId="0" borderId="0" xfId="0" applyFont="1" applyBorder="1" applyAlignment="1" applyProtection="1">
      <alignment horizontal="left"/>
    </xf>
    <xf numFmtId="0" fontId="7" fillId="0" borderId="36" xfId="0" applyFont="1" applyBorder="1" applyProtection="1"/>
    <xf numFmtId="0" fontId="7" fillId="0" borderId="36" xfId="0" quotePrefix="1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8" borderId="37" xfId="0" applyFont="1" applyFill="1" applyBorder="1" applyProtection="1"/>
    <xf numFmtId="0" fontId="7" fillId="0" borderId="0" xfId="0" applyFont="1" applyFill="1" applyBorder="1" applyProtection="1"/>
    <xf numFmtId="0" fontId="7" fillId="0" borderId="36" xfId="0" applyFont="1" applyFill="1" applyBorder="1" applyProtection="1"/>
    <xf numFmtId="0" fontId="7" fillId="0" borderId="36" xfId="0" applyFont="1" applyFill="1" applyBorder="1" applyAlignment="1" applyProtection="1">
      <alignment horizontal="center"/>
    </xf>
    <xf numFmtId="0" fontId="7" fillId="0" borderId="0" xfId="0" applyFont="1" applyBorder="1" applyProtection="1"/>
    <xf numFmtId="0" fontId="7" fillId="0" borderId="21" xfId="0" applyFont="1" applyBorder="1" applyProtection="1"/>
    <xf numFmtId="0" fontId="7" fillId="0" borderId="0" xfId="0" applyFont="1" applyBorder="1"/>
    <xf numFmtId="0" fontId="7" fillId="0" borderId="49" xfId="0" applyFont="1" applyBorder="1" applyProtection="1"/>
    <xf numFmtId="0" fontId="7" fillId="18" borderId="0" xfId="0" applyFont="1" applyFill="1" applyAlignment="1">
      <alignment horizontal="right"/>
    </xf>
    <xf numFmtId="0" fontId="17" fillId="3" borderId="0" xfId="0" quotePrefix="1" applyFont="1" applyFill="1" applyAlignment="1">
      <alignment horizontal="left"/>
    </xf>
    <xf numFmtId="0" fontId="7" fillId="3" borderId="0" xfId="0" applyFont="1" applyFill="1"/>
    <xf numFmtId="0" fontId="35" fillId="19" borderId="0" xfId="0" quotePrefix="1" applyFont="1" applyFill="1" applyAlignment="1">
      <alignment horizontal="center"/>
    </xf>
    <xf numFmtId="221" fontId="35" fillId="19" borderId="0" xfId="0" applyNumberFormat="1" applyFont="1" applyFill="1"/>
    <xf numFmtId="0" fontId="41" fillId="0" borderId="0" xfId="0" applyFont="1"/>
    <xf numFmtId="0" fontId="17" fillId="0" borderId="0" xfId="0" applyFont="1" applyAlignment="1">
      <alignment horizontal="center"/>
    </xf>
    <xf numFmtId="344" fontId="17" fillId="0" borderId="0" xfId="0" applyNumberFormat="1" applyFont="1" applyFill="1" applyBorder="1" applyAlignment="1">
      <alignment horizontal="center"/>
    </xf>
    <xf numFmtId="175" fontId="0" fillId="0" borderId="5" xfId="0" applyNumberFormat="1" applyBorder="1" applyAlignment="1">
      <alignment horizontal="center"/>
    </xf>
    <xf numFmtId="0" fontId="0" fillId="9" borderId="5" xfId="0" applyFill="1" applyBorder="1"/>
    <xf numFmtId="0" fontId="21" fillId="9" borderId="5" xfId="0" applyFont="1" applyFill="1" applyBorder="1" applyAlignment="1">
      <alignment horizontal="center"/>
    </xf>
    <xf numFmtId="9" fontId="33" fillId="9" borderId="5" xfId="4" applyFont="1" applyFill="1" applyBorder="1" applyAlignment="1">
      <alignment horizontal="center"/>
    </xf>
    <xf numFmtId="17" fontId="0" fillId="9" borderId="5" xfId="0" applyNumberFormat="1" applyFill="1" applyBorder="1"/>
    <xf numFmtId="44" fontId="0" fillId="9" borderId="10" xfId="2" applyFont="1" applyFill="1" applyBorder="1" applyProtection="1"/>
    <xf numFmtId="44" fontId="0" fillId="9" borderId="5" xfId="2" applyFont="1" applyFill="1" applyBorder="1" applyProtection="1"/>
    <xf numFmtId="0" fontId="25" fillId="0" borderId="36" xfId="0" quotePrefix="1" applyFont="1" applyBorder="1" applyAlignment="1">
      <alignment horizontal="left"/>
    </xf>
    <xf numFmtId="0" fontId="25" fillId="0" borderId="46" xfId="0" quotePrefix="1" applyFont="1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0" borderId="30" xfId="0" applyBorder="1"/>
    <xf numFmtId="0" fontId="17" fillId="0" borderId="31" xfId="0" applyFont="1" applyBorder="1" applyAlignment="1">
      <alignment horizontal="center"/>
    </xf>
    <xf numFmtId="0" fontId="0" fillId="0" borderId="43" xfId="0" applyBorder="1"/>
    <xf numFmtId="0" fontId="20" fillId="0" borderId="45" xfId="0" applyFont="1" applyBorder="1" applyAlignment="1">
      <alignment horizontal="center"/>
    </xf>
    <xf numFmtId="0" fontId="17" fillId="0" borderId="44" xfId="0" quotePrefix="1" applyFont="1" applyFill="1" applyBorder="1" applyAlignment="1">
      <alignment horizontal="center"/>
    </xf>
    <xf numFmtId="0" fontId="17" fillId="0" borderId="45" xfId="0" applyFont="1" applyFill="1" applyBorder="1" applyAlignment="1">
      <alignment horizontal="center"/>
    </xf>
    <xf numFmtId="0" fontId="17" fillId="0" borderId="45" xfId="0" applyFont="1" applyFill="1" applyBorder="1" applyAlignment="1">
      <alignment horizontal="lef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/>
    <xf numFmtId="0" fontId="42" fillId="0" borderId="44" xfId="0" applyFont="1" applyBorder="1" applyAlignment="1">
      <alignment horizontal="center"/>
    </xf>
    <xf numFmtId="0" fontId="42" fillId="0" borderId="46" xfId="0" applyFont="1" applyBorder="1" applyAlignment="1">
      <alignment horizontal="center"/>
    </xf>
    <xf numFmtId="0" fontId="43" fillId="0" borderId="0" xfId="0" applyFont="1"/>
    <xf numFmtId="0" fontId="43" fillId="0" borderId="0" xfId="0" quotePrefix="1" applyFont="1" applyAlignment="1">
      <alignment horizontal="left"/>
    </xf>
    <xf numFmtId="0" fontId="43" fillId="0" borderId="0" xfId="0" quotePrefix="1" applyNumberFormat="1" applyFont="1" applyFill="1" applyBorder="1" applyAlignment="1">
      <alignment horizontal="left"/>
    </xf>
    <xf numFmtId="0" fontId="44" fillId="0" borderId="0" xfId="0" quotePrefix="1" applyFont="1" applyAlignment="1">
      <alignment horizontal="left"/>
    </xf>
    <xf numFmtId="0" fontId="45" fillId="0" borderId="0" xfId="0" applyFont="1"/>
    <xf numFmtId="0" fontId="43" fillId="0" borderId="0" xfId="0" quotePrefix="1" applyFont="1" applyAlignment="1">
      <alignment horizontal="center"/>
    </xf>
    <xf numFmtId="0" fontId="33" fillId="0" borderId="0" xfId="0" applyFont="1" applyFill="1" applyBorder="1" applyAlignment="1">
      <alignment horizontal="center"/>
    </xf>
    <xf numFmtId="10" fontId="7" fillId="16" borderId="0" xfId="4" applyNumberFormat="1" applyFont="1" applyFill="1"/>
    <xf numFmtId="9" fontId="7" fillId="16" borderId="0" xfId="4" applyNumberFormat="1" applyFont="1" applyFill="1"/>
    <xf numFmtId="44" fontId="7" fillId="16" borderId="0" xfId="2" applyFont="1" applyFill="1"/>
    <xf numFmtId="173" fontId="7" fillId="16" borderId="0" xfId="0" applyNumberFormat="1" applyFont="1" applyFill="1" applyBorder="1"/>
    <xf numFmtId="44" fontId="0" fillId="0" borderId="0" xfId="2" applyFont="1"/>
    <xf numFmtId="0" fontId="0" fillId="0" borderId="0" xfId="0" applyAlignment="1">
      <alignment horizontal="center"/>
    </xf>
    <xf numFmtId="0" fontId="20" fillId="11" borderId="21" xfId="0" quotePrefix="1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2" xfId="0" applyBorder="1" applyAlignment="1">
      <alignment horizontal="center"/>
    </xf>
    <xf numFmtId="0" fontId="36" fillId="9" borderId="21" xfId="0" applyFont="1" applyFill="1" applyBorder="1" applyAlignment="1">
      <alignment horizontal="center"/>
    </xf>
    <xf numFmtId="0" fontId="17" fillId="16" borderId="21" xfId="0" applyFont="1" applyFill="1" applyBorder="1" applyAlignment="1">
      <alignment horizontal="center"/>
    </xf>
    <xf numFmtId="0" fontId="0" fillId="0" borderId="22" xfId="0" applyBorder="1" applyAlignment="1"/>
    <xf numFmtId="0" fontId="0" fillId="0" borderId="42" xfId="0" applyBorder="1" applyAlignment="1"/>
    <xf numFmtId="0" fontId="20" fillId="14" borderId="21" xfId="0" applyFont="1" applyFill="1" applyBorder="1" applyAlignment="1">
      <alignment horizontal="center"/>
    </xf>
    <xf numFmtId="0" fontId="20" fillId="12" borderId="21" xfId="0" quotePrefix="1" applyFont="1" applyFill="1" applyBorder="1" applyAlignment="1">
      <alignment horizontal="center"/>
    </xf>
    <xf numFmtId="0" fontId="20" fillId="12" borderId="22" xfId="0" applyFont="1" applyFill="1" applyBorder="1" applyAlignment="1">
      <alignment horizontal="center"/>
    </xf>
    <xf numFmtId="0" fontId="20" fillId="12" borderId="42" xfId="0" applyFont="1" applyFill="1" applyBorder="1" applyAlignment="1">
      <alignment horizontal="center"/>
    </xf>
    <xf numFmtId="0" fontId="20" fillId="8" borderId="21" xfId="0" applyFont="1" applyFill="1" applyBorder="1" applyAlignment="1">
      <alignment horizontal="center"/>
    </xf>
    <xf numFmtId="0" fontId="20" fillId="8" borderId="22" xfId="0" applyFont="1" applyFill="1" applyBorder="1" applyAlignment="1">
      <alignment horizontal="center"/>
    </xf>
    <xf numFmtId="0" fontId="20" fillId="8" borderId="42" xfId="0" applyFont="1" applyFill="1" applyBorder="1" applyAlignment="1">
      <alignment horizontal="center"/>
    </xf>
    <xf numFmtId="0" fontId="20" fillId="13" borderId="21" xfId="0" quotePrefix="1" applyFont="1" applyFill="1" applyBorder="1" applyAlignment="1">
      <alignment horizontal="center"/>
    </xf>
    <xf numFmtId="0" fontId="20" fillId="15" borderId="21" xfId="0" applyFont="1" applyFill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42" xfId="0" applyFont="1" applyBorder="1" applyAlignment="1">
      <alignment horizontal="center"/>
    </xf>
    <xf numFmtId="0" fontId="39" fillId="10" borderId="0" xfId="0" quotePrefix="1" applyFont="1" applyFill="1" applyAlignment="1">
      <alignment horizontal="center"/>
    </xf>
    <xf numFmtId="0" fontId="40" fillId="10" borderId="0" xfId="0" applyFont="1" applyFill="1" applyAlignment="1"/>
    <xf numFmtId="0" fontId="35" fillId="10" borderId="0" xfId="0" applyFont="1" applyFill="1" applyBorder="1" applyAlignment="1">
      <alignment horizontal="center"/>
    </xf>
  </cellXfs>
  <cellStyles count="8">
    <cellStyle name="Comma" xfId="1" builtinId="3"/>
    <cellStyle name="Currency" xfId="2" builtinId="4"/>
    <cellStyle name="Normal" xfId="0" builtinId="0"/>
    <cellStyle name="Normal_June Options 97" xfId="3"/>
    <cellStyle name="Percent" xfId="4" builtinId="5"/>
    <cellStyle name="Unprot" xfId="5"/>
    <cellStyle name="Unprot$" xfId="6"/>
    <cellStyle name="Unprotec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Drop" dropLines="23" dropStyle="combo" dx="22" fmlaLink="'Power Curves'!$DS$18" fmlaRange="'Power Curves'!$DR$19:$DR$45" sel="1" val="0"/>
</file>

<file path=xl/ctrlProps/ctrlProp10.xml><?xml version="1.0" encoding="utf-8"?>
<formControlPr xmlns="http://schemas.microsoft.com/office/spreadsheetml/2009/9/main" objectType="Drop" dropStyle="combo" dx="22" fmlaLink="'Pricing Inputs'!$AT$3" fmlaRange="'Pricing Inputs'!$AU$4:$AU$6" noThreeD="1" sel="2" val="0"/>
</file>

<file path=xl/ctrlProps/ctrlProp11.xml><?xml version="1.0" encoding="utf-8"?>
<formControlPr xmlns="http://schemas.microsoft.com/office/spreadsheetml/2009/9/main" objectType="Drop" dropStyle="combo" dx="22" fmlaLink="'Pricing Inputs'!$AN$8" fmlaRange="'Pricing Inputs'!$AO$9:$AO$10" noThreeD="1" sel="1" val="0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Lines="15" dropStyle="combo" dx="22" fmlaLink="'Power Curves'!$DV$13" fmlaRange="'Power Curves'!$DU$14:$DU$28" sel="2" val="0"/>
</file>

<file path=xl/ctrlProps/ctrlProp3.xml><?xml version="1.0" encoding="utf-8"?>
<formControlPr xmlns="http://schemas.microsoft.com/office/spreadsheetml/2009/9/main" objectType="Drop" dropLines="10" dropStyle="combo" dx="22" fmlaLink="'Gas Curves'!$CO$2" fmlaRange="'Gas Curves'!$CL$3:$CL$14" sel="6" val="2"/>
</file>

<file path=xl/ctrlProps/ctrlProp4.xml><?xml version="1.0" encoding="utf-8"?>
<formControlPr xmlns="http://schemas.microsoft.com/office/spreadsheetml/2009/9/main" objectType="Drop" dropLines="10" dropStyle="combo" dx="22" fmlaLink="'Gas Curves'!$BX$1" fmlaRange="'Gas Curves'!$BQ$2:$BQ$409" sel="348" val="347"/>
</file>

<file path=xl/ctrlProps/ctrlProp5.xml><?xml version="1.0" encoding="utf-8"?>
<formControlPr xmlns="http://schemas.microsoft.com/office/spreadsheetml/2009/9/main" objectType="Drop" dropLines="10" dropStyle="combo" dx="22" fmlaLink="'Gas Curves'!$CH$1" fmlaRange="'Gas Curves'!$BQ$2:$BQ$415" sel="348" val="347"/>
</file>

<file path=xl/ctrlProps/ctrlProp6.xml><?xml version="1.0" encoding="utf-8"?>
<formControlPr xmlns="http://schemas.microsoft.com/office/spreadsheetml/2009/9/main" objectType="Drop" dropStyle="combo" dx="22" fmlaLink="'Pricing Inputs'!$AQ$3" fmlaRange="'Pricing Inputs'!$AR$4:$AR$12" noThreeD="1" sel="9"/>
</file>

<file path=xl/ctrlProps/ctrlProp7.xml><?xml version="1.0" encoding="utf-8"?>
<formControlPr xmlns="http://schemas.microsoft.com/office/spreadsheetml/2009/9/main" objectType="CheckBox" checked="Checked" fmlaLink="'Gas Curves'!$L$2" lockText="1" noThreeD="1"/>
</file>

<file path=xl/ctrlProps/ctrlProp8.xml><?xml version="1.0" encoding="utf-8"?>
<formControlPr xmlns="http://schemas.microsoft.com/office/spreadsheetml/2009/9/main" objectType="Drop" dropStyle="combo" dx="22" fmlaLink="'Pricing Inputs'!$AN$3" fmlaRange="'Pricing Inputs'!$AO$4:$AO$6" noThreeD="1" sel="1" val="0"/>
</file>

<file path=xl/ctrlProps/ctrlProp9.xml><?xml version="1.0" encoding="utf-8"?>
<formControlPr xmlns="http://schemas.microsoft.com/office/spreadsheetml/2009/9/main" objectType="Drop" dropStyle="combo" dx="22" fmlaLink="'Pricing Inputs'!$AW$3" fmlaRange="'Pricing Inputs'!$AX$4:$AX$5" noThreeD="1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0</xdr:rowOff>
        </xdr:from>
        <xdr:to>
          <xdr:col>3</xdr:col>
          <xdr:colOff>590550</xdr:colOff>
          <xdr:row>3</xdr:row>
          <xdr:rowOff>19050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EF94B6C5-A2D1-7306-9965-C6A74186F94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3</xdr:col>
          <xdr:colOff>590550</xdr:colOff>
          <xdr:row>4</xdr:row>
          <xdr:rowOff>19050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C3264254-048C-6B83-1EF0-82E241877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0</xdr:rowOff>
        </xdr:from>
        <xdr:to>
          <xdr:col>3</xdr:col>
          <xdr:colOff>581025</xdr:colOff>
          <xdr:row>6</xdr:row>
          <xdr:rowOff>0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EF9C4706-D3B7-E260-AC23-F12C31F0F1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3</xdr:col>
          <xdr:colOff>590550</xdr:colOff>
          <xdr:row>8</xdr:row>
          <xdr:rowOff>28575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4BC3EFEE-6486-1268-7CE3-9320B34AA8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19050</xdr:rowOff>
        </xdr:from>
        <xdr:to>
          <xdr:col>3</xdr:col>
          <xdr:colOff>590550</xdr:colOff>
          <xdr:row>9</xdr:row>
          <xdr:rowOff>38100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89E4148C-6F90-C926-721F-1F111FC21A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10</xdr:row>
          <xdr:rowOff>9525</xdr:rowOff>
        </xdr:from>
        <xdr:to>
          <xdr:col>10</xdr:col>
          <xdr:colOff>628650</xdr:colOff>
          <xdr:row>11</xdr:row>
          <xdr:rowOff>38100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F616B5BC-469C-49D4-81EF-8F7E5C4403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9</xdr:row>
          <xdr:rowOff>47625</xdr:rowOff>
        </xdr:from>
        <xdr:to>
          <xdr:col>3</xdr:col>
          <xdr:colOff>457200</xdr:colOff>
          <xdr:row>10</xdr:row>
          <xdr:rowOff>104775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E6778C11-BB84-FE38-130B-9E3DB0893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Gas Basis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13</xdr:row>
          <xdr:rowOff>0</xdr:rowOff>
        </xdr:from>
        <xdr:to>
          <xdr:col>10</xdr:col>
          <xdr:colOff>609600</xdr:colOff>
          <xdr:row>14</xdr:row>
          <xdr:rowOff>28575</xdr:rowOff>
        </xdr:to>
        <xdr:sp macro="" textlink="">
          <xdr:nvSpPr>
            <xdr:cNvPr id="4107" name="Drop Down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830D9544-DF81-8B35-1D3D-D2EBD10AE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16</xdr:row>
          <xdr:rowOff>9525</xdr:rowOff>
        </xdr:from>
        <xdr:to>
          <xdr:col>10</xdr:col>
          <xdr:colOff>600075</xdr:colOff>
          <xdr:row>17</xdr:row>
          <xdr:rowOff>47625</xdr:rowOff>
        </xdr:to>
        <xdr:sp macro="" textlink="">
          <xdr:nvSpPr>
            <xdr:cNvPr id="4108" name="Drop Down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1BDE628C-D5B4-651F-5839-BDACC9A3ED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19</xdr:row>
          <xdr:rowOff>9525</xdr:rowOff>
        </xdr:from>
        <xdr:to>
          <xdr:col>10</xdr:col>
          <xdr:colOff>619125</xdr:colOff>
          <xdr:row>20</xdr:row>
          <xdr:rowOff>47625</xdr:rowOff>
        </xdr:to>
        <xdr:sp macro="" textlink="">
          <xdr:nvSpPr>
            <xdr:cNvPr id="4110" name="Drop Down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44066C52-6B1B-BDA0-7C26-55FAACCAE72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22</xdr:row>
          <xdr:rowOff>0</xdr:rowOff>
        </xdr:from>
        <xdr:to>
          <xdr:col>10</xdr:col>
          <xdr:colOff>619125</xdr:colOff>
          <xdr:row>23</xdr:row>
          <xdr:rowOff>28575</xdr:rowOff>
        </xdr:to>
        <xdr:sp macro="" textlink="">
          <xdr:nvSpPr>
            <xdr:cNvPr id="4111" name="Drop Down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7DE3EB8-56FB-EE24-727E-CE829D527D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542925</xdr:colOff>
      <xdr:row>23</xdr:row>
      <xdr:rowOff>47625</xdr:rowOff>
    </xdr:from>
    <xdr:to>
      <xdr:col>9</xdr:col>
      <xdr:colOff>104775</xdr:colOff>
      <xdr:row>25</xdr:row>
      <xdr:rowOff>38100</xdr:rowOff>
    </xdr:to>
    <xdr:sp macro="" textlink="">
      <xdr:nvSpPr>
        <xdr:cNvPr id="4112" name="Line 16">
          <a:extLst>
            <a:ext uri="{FF2B5EF4-FFF2-40B4-BE49-F238E27FC236}">
              <a16:creationId xmlns:a16="http://schemas.microsoft.com/office/drawing/2014/main" id="{556182B8-666B-4A17-ADAE-252EBACB9256}"/>
            </a:ext>
          </a:extLst>
        </xdr:cNvPr>
        <xdr:cNvSpPr>
          <a:spLocks noChangeShapeType="1"/>
        </xdr:cNvSpPr>
      </xdr:nvSpPr>
      <xdr:spPr bwMode="auto">
        <a:xfrm flipV="1">
          <a:off x="6391275" y="4000500"/>
          <a:ext cx="22860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28575</xdr:rowOff>
        </xdr:from>
        <xdr:to>
          <xdr:col>1</xdr:col>
          <xdr:colOff>619125</xdr:colOff>
          <xdr:row>1</xdr:row>
          <xdr:rowOff>142875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A34E789-C3AC-62AF-E62E-40A08B566F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Power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1</xdr:row>
          <xdr:rowOff>161925</xdr:rowOff>
        </xdr:from>
        <xdr:to>
          <xdr:col>1</xdr:col>
          <xdr:colOff>619125</xdr:colOff>
          <xdr:row>2</xdr:row>
          <xdr:rowOff>266700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C3A523F2-E48C-74A4-ABEF-597BE61181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Power Basis 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3</xdr:row>
          <xdr:rowOff>0</xdr:rowOff>
        </xdr:from>
        <xdr:to>
          <xdr:col>1</xdr:col>
          <xdr:colOff>609600</xdr:colOff>
          <xdr:row>4</xdr:row>
          <xdr:rowOff>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9244C0FB-F39A-2B14-7D7A-07DB81FF2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Gas &amp; IR curve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571500</xdr:colOff>
          <xdr:row>4</xdr:row>
          <xdr:rowOff>114300</xdr:rowOff>
        </xdr:from>
        <xdr:to>
          <xdr:col>3</xdr:col>
          <xdr:colOff>723900</xdr:colOff>
          <xdr:row>6</xdr:row>
          <xdr:rowOff>123825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77CC7C0E-9E28-822F-C903-A2B397A5D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Load 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33</xdr:row>
      <xdr:rowOff>66675</xdr:rowOff>
    </xdr:from>
    <xdr:to>
      <xdr:col>10</xdr:col>
      <xdr:colOff>647700</xdr:colOff>
      <xdr:row>35</xdr:row>
      <xdr:rowOff>104775</xdr:rowOff>
    </xdr:to>
    <xdr:sp macro="" textlink="">
      <xdr:nvSpPr>
        <xdr:cNvPr id="6147" name="Freeform 3">
          <a:extLst>
            <a:ext uri="{FF2B5EF4-FFF2-40B4-BE49-F238E27FC236}">
              <a16:creationId xmlns:a16="http://schemas.microsoft.com/office/drawing/2014/main" id="{189D03B4-274A-F1B6-2260-A8E22C6DD317}"/>
            </a:ext>
          </a:extLst>
        </xdr:cNvPr>
        <xdr:cNvSpPr>
          <a:spLocks/>
        </xdr:cNvSpPr>
      </xdr:nvSpPr>
      <xdr:spPr bwMode="auto">
        <a:xfrm>
          <a:off x="6438900" y="5410200"/>
          <a:ext cx="447675" cy="361950"/>
        </a:xfrm>
        <a:custGeom>
          <a:avLst/>
          <a:gdLst>
            <a:gd name="T0" fmla="*/ 47 w 47"/>
            <a:gd name="T1" fmla="*/ 0 h 38"/>
            <a:gd name="T2" fmla="*/ 4 w 47"/>
            <a:gd name="T3" fmla="*/ 11 h 38"/>
            <a:gd name="T4" fmla="*/ 23 w 47"/>
            <a:gd name="T5" fmla="*/ 23 h 38"/>
            <a:gd name="T6" fmla="*/ 12 w 47"/>
            <a:gd name="T7" fmla="*/ 30 h 38"/>
            <a:gd name="T8" fmla="*/ 11 w 47"/>
            <a:gd name="T9" fmla="*/ 38 h 3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7" h="38">
              <a:moveTo>
                <a:pt x="47" y="0"/>
              </a:moveTo>
              <a:cubicBezTo>
                <a:pt x="27" y="3"/>
                <a:pt x="8" y="7"/>
                <a:pt x="4" y="11"/>
              </a:cubicBezTo>
              <a:cubicBezTo>
                <a:pt x="0" y="15"/>
                <a:pt x="22" y="20"/>
                <a:pt x="23" y="23"/>
              </a:cubicBezTo>
              <a:cubicBezTo>
                <a:pt x="24" y="26"/>
                <a:pt x="14" y="27"/>
                <a:pt x="12" y="30"/>
              </a:cubicBezTo>
              <a:cubicBezTo>
                <a:pt x="10" y="33"/>
                <a:pt x="11" y="37"/>
                <a:pt x="11" y="38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304800</xdr:colOff>
      <xdr:row>35</xdr:row>
      <xdr:rowOff>57150</xdr:rowOff>
    </xdr:from>
    <xdr:to>
      <xdr:col>10</xdr:col>
      <xdr:colOff>304800</xdr:colOff>
      <xdr:row>35</xdr:row>
      <xdr:rowOff>152400</xdr:rowOff>
    </xdr:to>
    <xdr:sp macro="" textlink="">
      <xdr:nvSpPr>
        <xdr:cNvPr id="6148" name="Line 4">
          <a:extLst>
            <a:ext uri="{FF2B5EF4-FFF2-40B4-BE49-F238E27FC236}">
              <a16:creationId xmlns:a16="http://schemas.microsoft.com/office/drawing/2014/main" id="{C3A36703-D4F0-17BC-2222-8D473B02E487}"/>
            </a:ext>
          </a:extLst>
        </xdr:cNvPr>
        <xdr:cNvSpPr>
          <a:spLocks noChangeShapeType="1"/>
        </xdr:cNvSpPr>
      </xdr:nvSpPr>
      <xdr:spPr bwMode="auto">
        <a:xfrm>
          <a:off x="6543675" y="5724525"/>
          <a:ext cx="0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0</xdr:colOff>
      <xdr:row>31</xdr:row>
      <xdr:rowOff>76200</xdr:rowOff>
    </xdr:from>
    <xdr:to>
      <xdr:col>13</xdr:col>
      <xdr:colOff>590550</xdr:colOff>
      <xdr:row>31</xdr:row>
      <xdr:rowOff>76200</xdr:rowOff>
    </xdr:to>
    <xdr:sp macro="" textlink="">
      <xdr:nvSpPr>
        <xdr:cNvPr id="6149" name="Line 5">
          <a:extLst>
            <a:ext uri="{FF2B5EF4-FFF2-40B4-BE49-F238E27FC236}">
              <a16:creationId xmlns:a16="http://schemas.microsoft.com/office/drawing/2014/main" id="{E161C3A3-0B48-C60E-021B-0533658A08D8}"/>
            </a:ext>
          </a:extLst>
        </xdr:cNvPr>
        <xdr:cNvSpPr>
          <a:spLocks noChangeShapeType="1"/>
        </xdr:cNvSpPr>
      </xdr:nvSpPr>
      <xdr:spPr bwMode="auto">
        <a:xfrm flipH="1">
          <a:off x="8115300" y="5095875"/>
          <a:ext cx="5905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POPSwap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controls sheet"/>
      <sheetName val="Inputs"/>
      <sheetName val="Nevada Assets Summary"/>
      <sheetName val="C1"/>
      <sheetName val="C2"/>
      <sheetName val="C3"/>
      <sheetName val="C4"/>
      <sheetName val="C5"/>
      <sheetName val="C6"/>
      <sheetName val="S1"/>
      <sheetName val="S2"/>
      <sheetName val="S3"/>
      <sheetName val="HA1"/>
      <sheetName val="Heat_Rate_Table"/>
      <sheetName val="CURVES"/>
      <sheetName val="CURVE_LOOKUP"/>
      <sheetName val="Gas_Basis"/>
      <sheetName val="POPSwap"/>
    </sheetNames>
    <definedNames>
      <definedName name="BasisCurveFetch"/>
    </defined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4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S39"/>
  <sheetViews>
    <sheetView tabSelected="1" workbookViewId="0">
      <selection activeCell="B28" sqref="B28"/>
    </sheetView>
  </sheetViews>
  <sheetFormatPr defaultRowHeight="12.75"/>
  <cols>
    <col min="1" max="1" width="15.5703125" customWidth="1"/>
    <col min="2" max="2" width="10.28515625" customWidth="1"/>
    <col min="3" max="3" width="8.28515625" customWidth="1"/>
    <col min="5" max="5" width="10" customWidth="1"/>
    <col min="6" max="6" width="12.140625" customWidth="1"/>
    <col min="7" max="7" width="9.85546875" customWidth="1"/>
    <col min="8" max="8" width="12.42578125" bestFit="1" customWidth="1"/>
    <col min="9" max="9" width="10" bestFit="1" customWidth="1"/>
    <col min="10" max="10" width="12.42578125" bestFit="1" customWidth="1"/>
    <col min="11" max="11" width="10.7109375" bestFit="1" customWidth="1"/>
  </cols>
  <sheetData>
    <row r="1" spans="1:19" ht="13.5" thickBot="1">
      <c r="A1" s="192" t="s">
        <v>0</v>
      </c>
      <c r="B1" s="193"/>
      <c r="C1" s="193"/>
      <c r="D1" s="194">
        <f ca="1">TODAY()</f>
        <v>36587</v>
      </c>
      <c r="G1" s="137" t="s">
        <v>170</v>
      </c>
      <c r="H1" s="1"/>
      <c r="K1" t="s">
        <v>1248</v>
      </c>
    </row>
    <row r="2" spans="1:19" ht="13.5" thickBot="1">
      <c r="A2" s="195" t="s">
        <v>1</v>
      </c>
      <c r="B2" s="179"/>
      <c r="C2" s="179"/>
      <c r="D2" s="196">
        <f ca="1">DateToday-1-IF(WEEKDAY(DateToday)&lt;3,WEEKDAY(DateToday),0)</f>
        <v>36586</v>
      </c>
      <c r="G2" s="1" t="s">
        <v>171</v>
      </c>
      <c r="H2" s="381">
        <v>6.5000000000000002E-2</v>
      </c>
      <c r="J2" s="292" t="s">
        <v>1249</v>
      </c>
      <c r="K2" s="380">
        <v>36892</v>
      </c>
    </row>
    <row r="3" spans="1:19" ht="15.75" customHeight="1" thickBot="1">
      <c r="A3" s="197" t="s">
        <v>2</v>
      </c>
      <c r="B3" s="180"/>
      <c r="C3" s="3"/>
      <c r="D3" s="198"/>
      <c r="G3" s="1" t="s">
        <v>172</v>
      </c>
      <c r="H3" s="382">
        <v>6.5000000000000002E-2</v>
      </c>
      <c r="J3" s="292" t="s">
        <v>1250</v>
      </c>
      <c r="K3" s="380">
        <v>40543</v>
      </c>
    </row>
    <row r="4" spans="1:19" ht="14.25" customHeight="1" thickBot="1">
      <c r="A4" s="199" t="s">
        <v>1237</v>
      </c>
      <c r="B4" s="26"/>
      <c r="C4" s="3"/>
      <c r="D4" s="198"/>
      <c r="K4" s="354"/>
    </row>
    <row r="5" spans="1:19" ht="13.5" thickBot="1">
      <c r="A5" s="195" t="s">
        <v>3</v>
      </c>
      <c r="B5" s="178"/>
      <c r="C5" s="179"/>
      <c r="D5" s="196">
        <f ca="1">CurveDate</f>
        <v>36586</v>
      </c>
      <c r="F5" s="209" t="s">
        <v>1253</v>
      </c>
      <c r="K5" s="376">
        <f>(K3-K2)/365</f>
        <v>10.002739726027396</v>
      </c>
    </row>
    <row r="6" spans="1:19" ht="15.75" customHeight="1">
      <c r="A6" s="200" t="s">
        <v>1238</v>
      </c>
      <c r="B6" s="178"/>
      <c r="C6" s="178"/>
      <c r="D6" s="201"/>
      <c r="F6" s="210">
        <v>2</v>
      </c>
      <c r="J6" s="399" t="s">
        <v>1405</v>
      </c>
      <c r="K6" s="398"/>
      <c r="L6" s="398"/>
      <c r="M6" s="398"/>
      <c r="N6" s="398"/>
      <c r="O6" s="398"/>
      <c r="P6" s="398"/>
      <c r="Q6" s="398"/>
      <c r="R6" s="398"/>
      <c r="S6" s="398"/>
    </row>
    <row r="7" spans="1:19">
      <c r="A7" s="202" t="s">
        <v>1213</v>
      </c>
      <c r="B7" s="179"/>
      <c r="C7" s="179"/>
      <c r="D7" s="196">
        <f ca="1">CurveDate</f>
        <v>36586</v>
      </c>
      <c r="J7" s="399" t="s">
        <v>1408</v>
      </c>
    </row>
    <row r="8" spans="1:19" ht="13.5" customHeight="1">
      <c r="A8" s="332" t="s">
        <v>1357</v>
      </c>
      <c r="B8" s="179"/>
      <c r="C8" s="179"/>
      <c r="D8" s="196"/>
      <c r="F8" s="354" t="s">
        <v>1387</v>
      </c>
      <c r="J8" s="398" t="s">
        <v>1406</v>
      </c>
    </row>
    <row r="9" spans="1:19" ht="14.25" customHeight="1">
      <c r="A9" s="333" t="s">
        <v>1358</v>
      </c>
      <c r="B9" s="179"/>
      <c r="C9" s="179"/>
      <c r="D9" s="196"/>
      <c r="F9" s="353">
        <v>0</v>
      </c>
      <c r="J9" s="399" t="s">
        <v>1407</v>
      </c>
    </row>
    <row r="10" spans="1:19">
      <c r="A10" s="203"/>
      <c r="B10" s="179"/>
      <c r="C10" s="179"/>
      <c r="D10" s="196"/>
      <c r="J10" s="229" t="s">
        <v>1279</v>
      </c>
    </row>
    <row r="11" spans="1:19" ht="13.5" thickBot="1">
      <c r="A11" s="204"/>
      <c r="B11" s="205"/>
      <c r="C11" s="205"/>
      <c r="D11" s="206"/>
      <c r="L11" s="399" t="s">
        <v>1413</v>
      </c>
    </row>
    <row r="12" spans="1:19" ht="13.5" thickBot="1">
      <c r="A12" s="189"/>
      <c r="B12" s="190"/>
      <c r="C12" s="190"/>
      <c r="D12" s="191"/>
      <c r="F12" s="126" t="s">
        <v>1280</v>
      </c>
    </row>
    <row r="13" spans="1:19" ht="13.5" thickBot="1">
      <c r="A13" s="214" t="s">
        <v>15</v>
      </c>
      <c r="B13" s="215" t="s">
        <v>1256</v>
      </c>
      <c r="E13" s="374" t="s">
        <v>171</v>
      </c>
      <c r="F13" s="377">
        <v>180</v>
      </c>
      <c r="J13" s="229" t="s">
        <v>1335</v>
      </c>
    </row>
    <row r="14" spans="1:19" ht="13.5" thickBot="1">
      <c r="A14" s="217">
        <v>1</v>
      </c>
      <c r="B14" s="216">
        <v>10500</v>
      </c>
      <c r="C14" s="213"/>
      <c r="D14" s="213"/>
      <c r="E14" s="375" t="s">
        <v>172</v>
      </c>
      <c r="F14" s="377">
        <v>180</v>
      </c>
      <c r="G14" s="213"/>
      <c r="H14" s="213"/>
      <c r="I14" s="213"/>
      <c r="J14" s="213"/>
      <c r="K14" s="213"/>
      <c r="L14" s="213"/>
      <c r="M14" s="213"/>
    </row>
    <row r="15" spans="1:19">
      <c r="A15" s="217">
        <v>2</v>
      </c>
      <c r="B15" s="216">
        <v>10500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9">
      <c r="A16" s="218">
        <v>3</v>
      </c>
      <c r="B16" s="216">
        <v>10500</v>
      </c>
      <c r="C16" s="190"/>
      <c r="D16" s="191"/>
      <c r="J16" s="229" t="s">
        <v>1337</v>
      </c>
    </row>
    <row r="17" spans="1:13">
      <c r="A17" s="218">
        <v>4</v>
      </c>
      <c r="B17" s="216">
        <v>10500</v>
      </c>
      <c r="C17" s="190"/>
      <c r="D17" s="191"/>
      <c r="F17" s="403" t="s">
        <v>1414</v>
      </c>
    </row>
    <row r="18" spans="1:13" ht="13.5" thickBot="1">
      <c r="A18" s="218">
        <v>5</v>
      </c>
      <c r="B18" s="216">
        <v>10500</v>
      </c>
      <c r="C18" s="190"/>
      <c r="D18" s="191"/>
      <c r="E18" s="386"/>
      <c r="F18" s="387" t="s">
        <v>1371</v>
      </c>
      <c r="G18" s="388"/>
    </row>
    <row r="19" spans="1:13" ht="13.5" thickBot="1">
      <c r="A19" s="218">
        <v>6</v>
      </c>
      <c r="B19" s="216">
        <v>10500</v>
      </c>
      <c r="C19" s="190"/>
      <c r="D19" s="191"/>
      <c r="E19" s="396" t="s">
        <v>1299</v>
      </c>
      <c r="F19" s="378">
        <v>1</v>
      </c>
      <c r="G19" s="389"/>
      <c r="H19" s="330"/>
      <c r="I19" s="340"/>
      <c r="J19" s="404" t="s">
        <v>1363</v>
      </c>
      <c r="K19" s="340"/>
      <c r="L19" s="342"/>
    </row>
    <row r="20" spans="1:13">
      <c r="A20" s="218">
        <v>7</v>
      </c>
      <c r="B20" s="216">
        <v>10500</v>
      </c>
      <c r="C20" s="190"/>
      <c r="D20" s="191"/>
      <c r="E20" s="390"/>
      <c r="F20" s="347" t="s">
        <v>1372</v>
      </c>
      <c r="G20" s="391"/>
      <c r="H20" s="50"/>
      <c r="I20" s="50"/>
      <c r="J20" s="50"/>
      <c r="K20" s="50"/>
      <c r="L20" s="342"/>
    </row>
    <row r="21" spans="1:13">
      <c r="A21" s="218">
        <v>8</v>
      </c>
      <c r="B21" s="216">
        <v>10500</v>
      </c>
      <c r="C21" s="190"/>
      <c r="D21" s="191"/>
      <c r="E21" s="390"/>
      <c r="F21" s="347" t="s">
        <v>1373</v>
      </c>
      <c r="G21" s="392"/>
      <c r="H21" s="50"/>
      <c r="I21" s="50"/>
      <c r="J21" s="50"/>
      <c r="K21" s="50"/>
      <c r="L21" s="342"/>
    </row>
    <row r="22" spans="1:13" ht="13.5" thickBot="1">
      <c r="A22" s="218">
        <v>9</v>
      </c>
      <c r="B22" s="216">
        <v>10500</v>
      </c>
      <c r="C22" s="4"/>
      <c r="D22" s="4"/>
      <c r="E22" s="393"/>
      <c r="F22" s="346" t="s">
        <v>1374</v>
      </c>
      <c r="G22" s="394"/>
      <c r="H22" s="133"/>
      <c r="I22" s="341"/>
      <c r="J22" s="404" t="s">
        <v>1396</v>
      </c>
      <c r="K22" s="341"/>
      <c r="L22" s="342"/>
    </row>
    <row r="23" spans="1:13" ht="13.5" thickBot="1">
      <c r="A23" s="218">
        <v>10</v>
      </c>
      <c r="B23" s="216">
        <v>10500</v>
      </c>
      <c r="C23" s="4"/>
      <c r="D23" s="4"/>
      <c r="E23" s="397" t="s">
        <v>16</v>
      </c>
      <c r="F23" s="385">
        <v>1</v>
      </c>
      <c r="G23" s="395"/>
    </row>
    <row r="24" spans="1:13">
      <c r="A24" s="218">
        <v>11</v>
      </c>
      <c r="B24" s="216">
        <v>10500</v>
      </c>
    </row>
    <row r="25" spans="1:13" ht="13.5" thickBot="1">
      <c r="A25" s="218">
        <v>12</v>
      </c>
      <c r="B25" s="216">
        <v>10500</v>
      </c>
      <c r="F25" s="126" t="s">
        <v>1394</v>
      </c>
    </row>
    <row r="26" spans="1:13" ht="13.5" thickBot="1">
      <c r="A26" s="212"/>
      <c r="B26" s="211"/>
      <c r="F26" s="379">
        <v>0.95</v>
      </c>
      <c r="I26" s="402" t="s">
        <v>1411</v>
      </c>
      <c r="J26" s="402"/>
      <c r="K26" s="402"/>
      <c r="L26" s="402"/>
    </row>
    <row r="27" spans="1:13">
      <c r="A27" s="214" t="s">
        <v>15</v>
      </c>
      <c r="B27" s="310" t="s">
        <v>1351</v>
      </c>
      <c r="I27" s="402" t="s">
        <v>1412</v>
      </c>
      <c r="J27" s="402"/>
      <c r="K27" s="402"/>
      <c r="L27" s="402"/>
    </row>
    <row r="28" spans="1:13">
      <c r="A28" s="217">
        <v>1</v>
      </c>
      <c r="B28" s="311">
        <v>1.1499999999999999</v>
      </c>
      <c r="C28" s="219"/>
      <c r="D28" s="221"/>
      <c r="E28" s="221"/>
      <c r="F28" s="221"/>
      <c r="G28" s="221"/>
      <c r="H28" s="221"/>
      <c r="I28" s="221"/>
      <c r="J28" s="221"/>
      <c r="K28" s="221"/>
      <c r="L28" s="221"/>
      <c r="M28" s="221"/>
    </row>
    <row r="29" spans="1:13">
      <c r="A29" s="217">
        <v>2</v>
      </c>
      <c r="B29" s="311">
        <v>1.1499999999999999</v>
      </c>
      <c r="C29" s="400" t="s">
        <v>1409</v>
      </c>
      <c r="D29" s="220"/>
      <c r="E29" s="220"/>
      <c r="F29" s="220"/>
      <c r="G29" s="220"/>
      <c r="H29" s="220"/>
      <c r="I29" s="220"/>
      <c r="J29" s="220"/>
      <c r="K29" s="220"/>
      <c r="L29" s="220"/>
      <c r="M29" s="220"/>
    </row>
    <row r="30" spans="1:13">
      <c r="A30" s="218">
        <v>3</v>
      </c>
      <c r="B30" s="311">
        <v>1.1499999999999999</v>
      </c>
    </row>
    <row r="31" spans="1:13">
      <c r="A31" s="218">
        <v>4</v>
      </c>
      <c r="B31" s="311">
        <v>1.1499999999999999</v>
      </c>
    </row>
    <row r="32" spans="1:13">
      <c r="A32" s="218">
        <v>5</v>
      </c>
      <c r="B32" s="311">
        <v>1.1499999999999999</v>
      </c>
    </row>
    <row r="33" spans="1:2">
      <c r="A33" s="218">
        <v>6</v>
      </c>
      <c r="B33" s="311">
        <v>1.1499999999999999</v>
      </c>
    </row>
    <row r="34" spans="1:2">
      <c r="A34" s="218">
        <v>7</v>
      </c>
      <c r="B34" s="311">
        <v>1.1499999999999999</v>
      </c>
    </row>
    <row r="35" spans="1:2">
      <c r="A35" s="218">
        <v>8</v>
      </c>
      <c r="B35" s="311">
        <v>1.1499999999999999</v>
      </c>
    </row>
    <row r="36" spans="1:2">
      <c r="A36" s="218">
        <v>9</v>
      </c>
      <c r="B36" s="311">
        <v>1.1499999999999999</v>
      </c>
    </row>
    <row r="37" spans="1:2">
      <c r="A37" s="218">
        <v>10</v>
      </c>
      <c r="B37" s="311">
        <v>1.1499999999999999</v>
      </c>
    </row>
    <row r="38" spans="1:2">
      <c r="A38" s="218">
        <v>11</v>
      </c>
      <c r="B38" s="311">
        <v>1.1499999999999999</v>
      </c>
    </row>
    <row r="39" spans="1:2">
      <c r="A39" s="218">
        <v>12</v>
      </c>
      <c r="B39" s="311">
        <v>1.1499999999999999</v>
      </c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Fill="0" autoLine="0" autoPict="0" macro="[0]!PriceCurveFetch">
                <anchor moveWithCells="1">
                  <from>
                    <xdr:col>1</xdr:col>
                    <xdr:colOff>9525</xdr:colOff>
                    <xdr:row>2</xdr:row>
                    <xdr:rowOff>0</xdr:rowOff>
                  </from>
                  <to>
                    <xdr:col>3</xdr:col>
                    <xdr:colOff>590550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Drop Down 2">
              <controlPr defaultSize="0" autoFill="0" autoLine="0" autoPict="0" macro="[1]!BasisCurveFetch">
                <anchor moveWithCells="1">
                  <from>
                    <xdr:col>1</xdr:col>
                    <xdr:colOff>9525</xdr:colOff>
                    <xdr:row>3</xdr:row>
                    <xdr:rowOff>0</xdr:rowOff>
                  </from>
                  <to>
                    <xdr:col>3</xdr:col>
                    <xdr:colOff>590550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Drop Down 4">
              <controlPr defaultSize="0" autoFill="0" autoLine="0" autoPict="0" macro="[0]!LoadInTheCurves">
                <anchor mov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3</xdr:col>
                    <xdr:colOff>581025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Drop Down 5">
              <controlPr defaultSize="0" autoLine="0" autoPict="0" macro="[0]!LoadInTheCurves">
                <anchor moveWithCells="1">
                  <from>
                    <xdr:col>1</xdr:col>
                    <xdr:colOff>0</xdr:colOff>
                    <xdr:row>7</xdr:row>
                    <xdr:rowOff>0</xdr:rowOff>
                  </from>
                  <to>
                    <xdr:col>3</xdr:col>
                    <xdr:colOff>590550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Drop Down 6">
              <controlPr defaultSize="0" autoLine="0" autoPict="0" macro="[0]!LoadInTheCurves">
                <anchor moveWithCells="1">
                  <from>
                    <xdr:col>1</xdr:col>
                    <xdr:colOff>0</xdr:colOff>
                    <xdr:row>8</xdr:row>
                    <xdr:rowOff>19050</xdr:rowOff>
                  </from>
                  <to>
                    <xdr:col>3</xdr:col>
                    <xdr:colOff>590550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9" name="Drop Down 8">
              <controlPr defaultSize="0" autoLine="0" autoPict="0">
                <anchor moveWithCells="1">
                  <from>
                    <xdr:col>9</xdr:col>
                    <xdr:colOff>38100</xdr:colOff>
                    <xdr:row>10</xdr:row>
                    <xdr:rowOff>9525</xdr:rowOff>
                  </from>
                  <to>
                    <xdr:col>10</xdr:col>
                    <xdr:colOff>628650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0" name="Check Box 9">
              <controlPr defaultSize="0" autoFill="0" autoLine="0" autoPict="0">
                <anchor moveWithCells="1">
                  <from>
                    <xdr:col>2</xdr:col>
                    <xdr:colOff>95250</xdr:colOff>
                    <xdr:row>9</xdr:row>
                    <xdr:rowOff>47625</xdr:rowOff>
                  </from>
                  <to>
                    <xdr:col>3</xdr:col>
                    <xdr:colOff>457200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1" name="Drop Down 11">
              <controlPr defaultSize="0" autoLine="0" autoPict="0">
                <anchor moveWithCells="1">
                  <from>
                    <xdr:col>9</xdr:col>
                    <xdr:colOff>38100</xdr:colOff>
                    <xdr:row>13</xdr:row>
                    <xdr:rowOff>0</xdr:rowOff>
                  </from>
                  <to>
                    <xdr:col>10</xdr:col>
                    <xdr:colOff>609600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2" name="Drop Down 12">
              <controlPr defaultSize="0" autoLine="0" autoPict="0">
                <anchor moveWithCells="1">
                  <from>
                    <xdr:col>9</xdr:col>
                    <xdr:colOff>38100</xdr:colOff>
                    <xdr:row>16</xdr:row>
                    <xdr:rowOff>9525</xdr:rowOff>
                  </from>
                  <to>
                    <xdr:col>10</xdr:col>
                    <xdr:colOff>600075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3" name="Drop Down 14">
              <controlPr defaultSize="0" autoLine="0" autoPict="0">
                <anchor moveWithCells="1">
                  <from>
                    <xdr:col>9</xdr:col>
                    <xdr:colOff>28575</xdr:colOff>
                    <xdr:row>19</xdr:row>
                    <xdr:rowOff>9525</xdr:rowOff>
                  </from>
                  <to>
                    <xdr:col>10</xdr:col>
                    <xdr:colOff>619125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4" name="Drop Down 15">
              <controlPr defaultSize="0" autoLine="0" autoPict="0">
                <anchor moveWithCells="1">
                  <from>
                    <xdr:col>9</xdr:col>
                    <xdr:colOff>28575</xdr:colOff>
                    <xdr:row>22</xdr:row>
                    <xdr:rowOff>0</xdr:rowOff>
                  </from>
                  <to>
                    <xdr:col>10</xdr:col>
                    <xdr:colOff>619125</xdr:colOff>
                    <xdr:row>23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ED519"/>
  <sheetViews>
    <sheetView showGridLines="0" topLeftCell="CV1" zoomScale="75" workbookViewId="0">
      <selection activeCell="DI19" sqref="DI19:DI402"/>
    </sheetView>
  </sheetViews>
  <sheetFormatPr defaultRowHeight="12.75"/>
  <cols>
    <col min="1" max="1" width="15.140625" style="2" customWidth="1"/>
    <col min="2" max="2" width="9.42578125" style="2" customWidth="1"/>
    <col min="3" max="3" width="6.7109375" style="3" customWidth="1"/>
    <col min="4" max="4" width="11" style="3" customWidth="1"/>
    <col min="5" max="5" width="8.5703125" style="1" customWidth="1"/>
    <col min="6" max="6" width="8.42578125" style="1" customWidth="1"/>
    <col min="7" max="7" width="9.140625" style="1" bestFit="1"/>
    <col min="8" max="9" width="7.85546875" style="1" customWidth="1"/>
    <col min="10" max="10" width="9.5703125" style="1" customWidth="1"/>
    <col min="11" max="12" width="7.85546875" style="1" customWidth="1"/>
    <col min="13" max="13" width="9.140625" style="1" bestFit="1"/>
    <col min="14" max="22" width="7.85546875" style="1" customWidth="1"/>
    <col min="23" max="23" width="9.140625" style="1"/>
    <col min="24" max="59" width="7.85546875" style="1" customWidth="1"/>
    <col min="60" max="60" width="9.140625" style="1" bestFit="1"/>
    <col min="61" max="77" width="7.85546875" style="1" customWidth="1"/>
    <col min="78" max="86" width="9.140625" style="1"/>
    <col min="87" max="87" width="15" style="1" customWidth="1"/>
    <col min="88" max="89" width="11.42578125" style="1" customWidth="1"/>
    <col min="90" max="90" width="9.140625" style="2"/>
    <col min="91" max="91" width="10.7109375" customWidth="1"/>
    <col min="93" max="93" width="9.140625" style="2"/>
    <col min="94" max="94" width="9.140625" style="3"/>
    <col min="95" max="95" width="19" style="3" customWidth="1"/>
    <col min="96" max="99" width="9.140625" style="3"/>
    <col min="100" max="100" width="13.5703125" customWidth="1"/>
    <col min="101" max="109" width="10.28515625" customWidth="1"/>
    <col min="110" max="110" width="10.85546875" customWidth="1"/>
    <col min="111" max="111" width="11.85546875" customWidth="1"/>
    <col min="112" max="113" width="11.7109375" customWidth="1"/>
    <col min="114" max="124" width="11" customWidth="1"/>
    <col min="125" max="125" width="16.42578125" customWidth="1"/>
    <col min="126" max="129" width="11" customWidth="1"/>
    <col min="130" max="134" width="10.28515625" customWidth="1"/>
  </cols>
  <sheetData>
    <row r="1" spans="1:134">
      <c r="H1" s="188"/>
      <c r="I1" s="186"/>
      <c r="J1" s="187"/>
      <c r="K1" s="188"/>
      <c r="CX1" s="303"/>
      <c r="CY1" s="26"/>
    </row>
    <row r="2" spans="1:134">
      <c r="CX2" s="26"/>
      <c r="CY2" s="26"/>
      <c r="DU2" s="4"/>
      <c r="DV2" s="4"/>
      <c r="DW2" s="4"/>
      <c r="DX2" s="4"/>
      <c r="DY2" s="4"/>
    </row>
    <row r="3" spans="1:134" ht="22.5" customHeight="1">
      <c r="CX3" s="26"/>
      <c r="CY3" s="26"/>
      <c r="DW3" s="4"/>
    </row>
    <row r="4" spans="1:134" ht="22.5" customHeight="1">
      <c r="DW4" s="4"/>
    </row>
    <row r="5" spans="1:134" ht="22.5" customHeight="1"/>
    <row r="7" spans="1:134" ht="18.75" customHeight="1"/>
    <row r="8" spans="1:134" ht="21.75" customHeight="1"/>
    <row r="11" spans="1:134" ht="24" thickBot="1">
      <c r="A11" s="5" t="s">
        <v>4</v>
      </c>
      <c r="C11" s="2"/>
      <c r="D11" s="5" t="s">
        <v>5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P11" s="5"/>
    </row>
    <row r="12" spans="1:134" ht="27" customHeight="1" thickBot="1">
      <c r="A12" s="2" t="s">
        <v>1261</v>
      </c>
      <c r="C12" s="8"/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  <c r="O12" s="6"/>
      <c r="P12" s="7"/>
      <c r="Q12" s="7"/>
      <c r="R12" s="7"/>
      <c r="S12" s="10" t="s">
        <v>6</v>
      </c>
      <c r="T12" s="11"/>
      <c r="U12" s="11"/>
      <c r="V12" s="12"/>
      <c r="W12" s="13">
        <f>MAX(Q20:Q39)</f>
        <v>0</v>
      </c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/>
      <c r="AX12"/>
      <c r="AY12" s="7"/>
      <c r="AZ12" s="7"/>
      <c r="BA12" s="7"/>
      <c r="BB12" s="7"/>
      <c r="BC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/>
      <c r="BZ12" s="7"/>
      <c r="CA12" s="7"/>
      <c r="CB12" s="7"/>
      <c r="CC12" s="7"/>
      <c r="CD12" s="7"/>
      <c r="CE12" s="7"/>
      <c r="CF12" s="7"/>
      <c r="CG12" s="7"/>
      <c r="CH12" s="7"/>
      <c r="CI12"/>
      <c r="CJ12" s="7"/>
      <c r="CK12" s="7"/>
      <c r="CM12" s="14" t="s">
        <v>7</v>
      </c>
      <c r="CN12" s="15"/>
      <c r="DJ12" s="16"/>
      <c r="DK12" s="16"/>
      <c r="DU12" s="17" t="s">
        <v>8</v>
      </c>
      <c r="DV12" s="18"/>
    </row>
    <row r="13" spans="1:134" ht="13.5" thickBot="1">
      <c r="A13" s="19">
        <f ca="1">IF(MONTH(CurveDate)=12,DATE(YEAR(CurveDate)+1,1,1),DATE(YEAR(CurveDate),MONTH(CurveDate)+1,1))</f>
        <v>36617</v>
      </c>
      <c r="B13" s="20">
        <f>'Gas Curves'!C17</f>
        <v>6.0711830429785001E-2</v>
      </c>
      <c r="C13" s="20"/>
      <c r="D13" s="21" t="s">
        <v>1418</v>
      </c>
      <c r="E13" s="22" t="s">
        <v>1419</v>
      </c>
      <c r="F13" s="23"/>
      <c r="G13" s="24">
        <v>36586</v>
      </c>
      <c r="H13" s="25"/>
      <c r="I13" s="26"/>
      <c r="J13" s="26"/>
      <c r="K13" s="26"/>
      <c r="L13" s="27"/>
      <c r="M13" s="28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8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I13"/>
      <c r="CJ13"/>
      <c r="CK13"/>
      <c r="CM13" s="29" t="s">
        <v>9</v>
      </c>
      <c r="CN13" s="30"/>
      <c r="DJ13" s="16"/>
      <c r="DK13" s="16"/>
      <c r="DU13" s="32" t="str">
        <f>INDEX(DU15:DU28,DV13)</f>
        <v>1  BUSBAR</v>
      </c>
      <c r="DV13" s="33">
        <v>2</v>
      </c>
      <c r="DZ13" s="2"/>
      <c r="EA13" s="2"/>
      <c r="EB13" s="2"/>
      <c r="EC13" s="2"/>
    </row>
    <row r="14" spans="1:134" ht="13.5" thickBot="1">
      <c r="A14" s="34">
        <f t="shared" ref="A14:A77" ca="1" si="0">EOMONTH(A13,0)+1</f>
        <v>36647</v>
      </c>
      <c r="B14" s="20">
        <f>'Gas Curves'!C18</f>
        <v>6.1493785480609998E-2</v>
      </c>
      <c r="C14" s="20"/>
      <c r="D14" s="35"/>
      <c r="E14" s="23"/>
      <c r="F14" s="23"/>
      <c r="G14" s="23"/>
      <c r="H14" s="27"/>
      <c r="I14" s="26"/>
      <c r="J14" s="26"/>
      <c r="K14" s="26"/>
      <c r="L14" s="27"/>
      <c r="M14" s="28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 t="s">
        <v>10</v>
      </c>
      <c r="AA14" s="26"/>
      <c r="AB14" s="26"/>
      <c r="AC14" s="26"/>
      <c r="AD14" s="26"/>
      <c r="AE14" s="26"/>
      <c r="AF14" s="26"/>
      <c r="AG14" s="26"/>
      <c r="AH14" s="26" t="s">
        <v>11</v>
      </c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8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I14" s="36" t="s">
        <v>12</v>
      </c>
      <c r="CJ14" s="37"/>
      <c r="CK14" s="38"/>
      <c r="CM14" s="39" t="s">
        <v>13</v>
      </c>
      <c r="CN14" s="40" t="s">
        <v>14</v>
      </c>
      <c r="CO14" s="41"/>
      <c r="CP14"/>
      <c r="CQ14"/>
      <c r="CR14"/>
      <c r="CS14"/>
      <c r="CT14"/>
      <c r="DJ14" s="16"/>
      <c r="DK14" s="16"/>
      <c r="DU14" s="42" t="s">
        <v>17</v>
      </c>
      <c r="DV14" s="43" t="s">
        <v>18</v>
      </c>
      <c r="DZ14" s="2"/>
      <c r="EA14" s="2"/>
      <c r="EB14" s="2"/>
      <c r="EC14" s="2"/>
    </row>
    <row r="15" spans="1:134">
      <c r="A15" s="34">
        <f t="shared" ca="1" si="0"/>
        <v>36678</v>
      </c>
      <c r="B15" s="20">
        <f>'Gas Curves'!C19</f>
        <v>6.2298357278762005E-2</v>
      </c>
      <c r="C15" s="20"/>
      <c r="D15" s="27"/>
      <c r="E15" s="27"/>
      <c r="F15" s="27" t="s">
        <v>19</v>
      </c>
      <c r="G15" s="27"/>
      <c r="H15" s="27"/>
      <c r="I15" s="27"/>
      <c r="J15" s="27" t="s">
        <v>20</v>
      </c>
      <c r="K15" s="27"/>
      <c r="L15" s="27"/>
      <c r="M15" s="28"/>
      <c r="N15" s="27"/>
      <c r="O15" s="27" t="s">
        <v>21</v>
      </c>
      <c r="P15" s="27"/>
      <c r="Q15" s="27"/>
      <c r="R15" s="27"/>
      <c r="S15" s="27" t="s">
        <v>22</v>
      </c>
      <c r="T15" s="27"/>
      <c r="U15" s="27"/>
      <c r="V15" s="27"/>
      <c r="W15" s="27" t="s">
        <v>23</v>
      </c>
      <c r="X15" s="27"/>
      <c r="Y15" s="26"/>
      <c r="Z15" s="27"/>
      <c r="AA15" s="27" t="s">
        <v>24</v>
      </c>
      <c r="AB15" s="27"/>
      <c r="AC15" s="26"/>
      <c r="AD15" s="27"/>
      <c r="AE15" s="27" t="s">
        <v>25</v>
      </c>
      <c r="AF15" s="27"/>
      <c r="AG15" s="26"/>
      <c r="AH15" s="27"/>
      <c r="AI15" s="27" t="s">
        <v>24</v>
      </c>
      <c r="AJ15" s="27"/>
      <c r="AK15" s="26"/>
      <c r="AL15" s="27"/>
      <c r="AM15" s="27" t="s">
        <v>25</v>
      </c>
      <c r="AN15" s="27"/>
      <c r="AO15" s="26"/>
      <c r="AP15" s="27" t="s">
        <v>26</v>
      </c>
      <c r="AQ15" s="27" t="s">
        <v>27</v>
      </c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8"/>
      <c r="BI15" s="27" t="s">
        <v>28</v>
      </c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I15" s="44" t="s">
        <v>29</v>
      </c>
      <c r="CJ15" s="31" t="s">
        <v>30</v>
      </c>
      <c r="CK15" s="45" t="s">
        <v>31</v>
      </c>
      <c r="CM15" s="46">
        <v>-5</v>
      </c>
      <c r="CN15" s="47">
        <v>3.5000000000000003E-2</v>
      </c>
      <c r="CO15" s="3"/>
      <c r="CP15"/>
      <c r="CQ15"/>
      <c r="CR15"/>
      <c r="CS15"/>
      <c r="CT15"/>
      <c r="DJ15" s="9"/>
      <c r="DK15" s="9"/>
      <c r="DU15" s="48" t="s">
        <v>33</v>
      </c>
      <c r="DV15" s="49"/>
      <c r="DY15" s="50"/>
      <c r="DZ15" s="9"/>
      <c r="EA15" s="9"/>
      <c r="EB15" s="9"/>
      <c r="EC15" s="9"/>
      <c r="ED15" s="9"/>
    </row>
    <row r="16" spans="1:134" ht="13.5" thickBot="1">
      <c r="A16" s="34">
        <f t="shared" ca="1" si="0"/>
        <v>36708</v>
      </c>
      <c r="B16" s="20">
        <f>'Gas Curves'!C20</f>
        <v>6.3186804789157003E-2</v>
      </c>
      <c r="C16" s="20"/>
      <c r="D16" s="51"/>
      <c r="E16" s="52" t="s">
        <v>30</v>
      </c>
      <c r="F16" s="52" t="s">
        <v>29</v>
      </c>
      <c r="G16" s="53" t="s">
        <v>31</v>
      </c>
      <c r="H16" s="54"/>
      <c r="I16" s="55" t="s">
        <v>30</v>
      </c>
      <c r="J16" s="55" t="s">
        <v>29</v>
      </c>
      <c r="K16" s="55" t="s">
        <v>31</v>
      </c>
      <c r="L16" s="27"/>
      <c r="M16" s="28"/>
      <c r="N16" s="52" t="s">
        <v>30</v>
      </c>
      <c r="O16" s="52" t="s">
        <v>29</v>
      </c>
      <c r="P16" s="56" t="s">
        <v>31</v>
      </c>
      <c r="Q16" s="53"/>
      <c r="R16" s="52" t="s">
        <v>30</v>
      </c>
      <c r="S16" s="52" t="s">
        <v>29</v>
      </c>
      <c r="T16" s="56" t="s">
        <v>31</v>
      </c>
      <c r="U16" s="53"/>
      <c r="V16" s="52" t="s">
        <v>30</v>
      </c>
      <c r="W16" s="52" t="s">
        <v>29</v>
      </c>
      <c r="X16" s="53" t="s">
        <v>31</v>
      </c>
      <c r="Y16" s="26"/>
      <c r="Z16" s="52" t="s">
        <v>30</v>
      </c>
      <c r="AA16" s="52" t="s">
        <v>29</v>
      </c>
      <c r="AB16" s="53" t="s">
        <v>31</v>
      </c>
      <c r="AC16" s="26"/>
      <c r="AD16" s="52" t="s">
        <v>30</v>
      </c>
      <c r="AE16" s="52" t="s">
        <v>29</v>
      </c>
      <c r="AF16" s="53" t="s">
        <v>31</v>
      </c>
      <c r="AG16" s="26"/>
      <c r="AH16" s="52" t="s">
        <v>30</v>
      </c>
      <c r="AI16" s="52" t="s">
        <v>29</v>
      </c>
      <c r="AJ16" s="53" t="s">
        <v>31</v>
      </c>
      <c r="AK16" s="26"/>
      <c r="AL16" s="52" t="s">
        <v>30</v>
      </c>
      <c r="AM16" s="52" t="s">
        <v>29</v>
      </c>
      <c r="AN16" s="53" t="s">
        <v>31</v>
      </c>
      <c r="AO16" s="26"/>
      <c r="AP16" s="27" t="s">
        <v>34</v>
      </c>
      <c r="AQ16" s="27" t="s">
        <v>35</v>
      </c>
      <c r="AR16" s="26"/>
      <c r="AS16" s="27"/>
      <c r="AT16" s="23" t="s">
        <v>36</v>
      </c>
      <c r="AU16" s="23" t="s">
        <v>37</v>
      </c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6"/>
      <c r="BH16" s="28"/>
      <c r="BI16" s="27" t="s">
        <v>38</v>
      </c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I16" s="57" t="s">
        <v>32</v>
      </c>
      <c r="CJ16" s="58" t="s">
        <v>32</v>
      </c>
      <c r="CK16" s="59" t="s">
        <v>32</v>
      </c>
      <c r="CM16" s="46">
        <v>-4.5</v>
      </c>
      <c r="CN16" s="47">
        <v>2.75E-2</v>
      </c>
      <c r="CO16" s="3"/>
      <c r="CP16"/>
      <c r="CQ16"/>
      <c r="CR16"/>
      <c r="CS16"/>
      <c r="CT16"/>
      <c r="DA16" s="236" t="s">
        <v>1367</v>
      </c>
      <c r="DD16" t="s">
        <v>1389</v>
      </c>
      <c r="DI16" s="129" t="s">
        <v>1389</v>
      </c>
      <c r="DJ16" s="63"/>
      <c r="DK16" s="63"/>
      <c r="DU16" s="64" t="s">
        <v>39</v>
      </c>
      <c r="DV16" s="65">
        <v>1</v>
      </c>
      <c r="DY16" s="66"/>
      <c r="DZ16" s="63"/>
      <c r="EA16" s="63"/>
      <c r="EB16" s="63"/>
      <c r="EC16" s="63"/>
      <c r="ED16" s="63"/>
    </row>
    <row r="17" spans="1:134" ht="13.5" thickBot="1">
      <c r="A17" s="34">
        <f t="shared" ca="1" si="0"/>
        <v>36739</v>
      </c>
      <c r="B17" s="20">
        <f>'Gas Curves'!C21</f>
        <v>6.3800434036869011E-2</v>
      </c>
      <c r="C17" s="20"/>
      <c r="D17" s="27"/>
      <c r="E17" s="27" t="s">
        <v>40</v>
      </c>
      <c r="F17" s="27" t="s">
        <v>40</v>
      </c>
      <c r="G17" s="27" t="s">
        <v>40</v>
      </c>
      <c r="H17" s="54"/>
      <c r="I17" s="54" t="s">
        <v>40</v>
      </c>
      <c r="J17" s="54" t="s">
        <v>40</v>
      </c>
      <c r="K17" s="54" t="s">
        <v>40</v>
      </c>
      <c r="L17" s="27"/>
      <c r="M17" s="28"/>
      <c r="N17" s="27" t="s">
        <v>40</v>
      </c>
      <c r="O17" s="27" t="s">
        <v>40</v>
      </c>
      <c r="P17" s="27" t="s">
        <v>40</v>
      </c>
      <c r="Q17" s="27"/>
      <c r="R17" s="27" t="s">
        <v>40</v>
      </c>
      <c r="S17" s="27" t="s">
        <v>40</v>
      </c>
      <c r="T17" s="27" t="s">
        <v>40</v>
      </c>
      <c r="U17" s="27"/>
      <c r="V17" s="27" t="s">
        <v>40</v>
      </c>
      <c r="W17" s="27" t="s">
        <v>40</v>
      </c>
      <c r="X17" s="27" t="s">
        <v>40</v>
      </c>
      <c r="Y17" s="26"/>
      <c r="Z17" s="27"/>
      <c r="AA17" s="27"/>
      <c r="AB17" s="27"/>
      <c r="AC17" s="26"/>
      <c r="AD17" s="27"/>
      <c r="AE17" s="27"/>
      <c r="AF17" s="27"/>
      <c r="AG17" s="26"/>
      <c r="AH17" s="27"/>
      <c r="AI17" s="27"/>
      <c r="AJ17" s="27"/>
      <c r="AK17" s="26"/>
      <c r="AL17" s="27"/>
      <c r="AM17" s="27"/>
      <c r="AN17" s="27"/>
      <c r="AO17" s="26"/>
      <c r="AP17" s="26"/>
      <c r="AQ17" s="26"/>
      <c r="AR17" s="26"/>
      <c r="AS17" s="56" t="s">
        <v>24</v>
      </c>
      <c r="AT17" s="67">
        <v>800</v>
      </c>
      <c r="AU17" s="67">
        <v>2300</v>
      </c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6"/>
      <c r="BH17" s="28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I17" s="68">
        <f t="shared" ref="CI17:CI28" si="1">BG17</f>
        <v>0</v>
      </c>
      <c r="CJ17" s="68">
        <f t="shared" ref="CJ17:CJ28" si="2">+BG17+BE17</f>
        <v>0</v>
      </c>
      <c r="CK17" s="68">
        <f t="shared" ref="CK17:CK28" si="3">+BG17+BF17</f>
        <v>0</v>
      </c>
      <c r="CM17" s="46">
        <v>-4</v>
      </c>
      <c r="CN17" s="47">
        <v>0.02</v>
      </c>
      <c r="CO17" s="69"/>
      <c r="CP17"/>
      <c r="CQ17"/>
      <c r="CR17"/>
      <c r="CS17"/>
      <c r="CT17"/>
      <c r="CZ17" s="410" t="s">
        <v>1366</v>
      </c>
      <c r="DA17" s="410"/>
      <c r="DB17" s="410"/>
      <c r="DE17" t="s">
        <v>1390</v>
      </c>
      <c r="DI17" s="129" t="s">
        <v>28</v>
      </c>
      <c r="DJ17" s="3"/>
      <c r="DK17" s="3"/>
      <c r="DU17" s="64" t="s">
        <v>41</v>
      </c>
      <c r="DV17" s="65">
        <v>2</v>
      </c>
      <c r="DY17" s="66"/>
      <c r="DZ17" s="3"/>
      <c r="EA17" s="3"/>
      <c r="EB17" s="3"/>
      <c r="EC17" s="3"/>
      <c r="ED17" s="3"/>
    </row>
    <row r="18" spans="1:134" ht="13.5" thickBot="1">
      <c r="A18" s="34">
        <f t="shared" ca="1" si="0"/>
        <v>36770</v>
      </c>
      <c r="B18" s="20">
        <f>'Gas Curves'!C22</f>
        <v>6.4414063409461E-2</v>
      </c>
      <c r="C18" s="20"/>
      <c r="D18" s="23" t="s">
        <v>15</v>
      </c>
      <c r="E18" s="23"/>
      <c r="F18" s="23"/>
      <c r="G18" s="23"/>
      <c r="H18" s="56"/>
      <c r="I18" s="23"/>
      <c r="J18" s="56"/>
      <c r="K18" s="56"/>
      <c r="L18" s="27"/>
      <c r="M18" s="28" t="s">
        <v>15</v>
      </c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70" t="s">
        <v>42</v>
      </c>
      <c r="AT18" s="71"/>
      <c r="AU18" s="71"/>
      <c r="AV18" s="71"/>
      <c r="AW18" s="71"/>
      <c r="AX18" s="55"/>
      <c r="AY18" s="55"/>
      <c r="AZ18" s="71"/>
      <c r="BA18" s="71"/>
      <c r="BB18" s="71"/>
      <c r="BC18" s="71"/>
      <c r="BD18" s="71"/>
      <c r="BE18" s="71"/>
      <c r="BF18" s="71"/>
      <c r="BG18" s="26"/>
      <c r="BH18" s="28" t="s">
        <v>15</v>
      </c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I18" s="68">
        <f t="shared" si="1"/>
        <v>0</v>
      </c>
      <c r="CJ18" s="68">
        <f t="shared" si="2"/>
        <v>0</v>
      </c>
      <c r="CK18" s="68">
        <f t="shared" si="3"/>
        <v>0</v>
      </c>
      <c r="CM18" s="46">
        <v>-3.5</v>
      </c>
      <c r="CN18" s="47">
        <v>1.4999999999999999E-2</v>
      </c>
      <c r="CO18" s="69"/>
      <c r="CP18"/>
      <c r="CQ18"/>
      <c r="CR18"/>
      <c r="CS18"/>
      <c r="CT18"/>
      <c r="CZ18" s="129" t="s">
        <v>30</v>
      </c>
      <c r="DA18" s="129" t="s">
        <v>29</v>
      </c>
      <c r="DB18" s="129" t="s">
        <v>31</v>
      </c>
      <c r="DD18" s="129" t="s">
        <v>30</v>
      </c>
      <c r="DE18" s="129" t="s">
        <v>29</v>
      </c>
      <c r="DF18" s="129" t="s">
        <v>31</v>
      </c>
      <c r="DJ18" s="3"/>
      <c r="DK18" s="3"/>
      <c r="DQ18" s="72" t="s">
        <v>43</v>
      </c>
      <c r="DR18" s="73" t="s">
        <v>17</v>
      </c>
      <c r="DS18" s="74">
        <v>1</v>
      </c>
      <c r="DT18" s="26"/>
      <c r="DU18" s="64" t="s">
        <v>44</v>
      </c>
      <c r="DV18" s="65">
        <v>3</v>
      </c>
      <c r="DY18" s="66"/>
      <c r="DZ18" s="3"/>
      <c r="EA18" s="3"/>
      <c r="EB18" s="3"/>
      <c r="EC18" s="3"/>
      <c r="ED18" s="3"/>
    </row>
    <row r="19" spans="1:134" ht="13.5" thickBot="1">
      <c r="A19" s="34">
        <f t="shared" ca="1" si="0"/>
        <v>36800</v>
      </c>
      <c r="B19" s="20">
        <f>'Gas Curves'!C23</f>
        <v>6.4972245960336003E-2</v>
      </c>
      <c r="C19" s="20"/>
      <c r="D19" s="75">
        <v>36587</v>
      </c>
      <c r="E19" s="76">
        <v>28.445001983642577</v>
      </c>
      <c r="F19" s="76">
        <v>28.795001983642578</v>
      </c>
      <c r="G19" s="76">
        <v>29.14500198364258</v>
      </c>
      <c r="H19" s="56"/>
      <c r="I19" s="76">
        <v>19.824999999999999</v>
      </c>
      <c r="J19" s="76">
        <v>20</v>
      </c>
      <c r="K19" s="76">
        <v>20.175000000000001</v>
      </c>
      <c r="L19" s="27"/>
      <c r="M19" s="28">
        <v>36557</v>
      </c>
      <c r="N19" s="77">
        <v>0</v>
      </c>
      <c r="O19" s="77">
        <v>0</v>
      </c>
      <c r="P19" s="77">
        <v>0</v>
      </c>
      <c r="Q19" s="26"/>
      <c r="R19" s="77">
        <v>0</v>
      </c>
      <c r="S19" s="77">
        <v>0</v>
      </c>
      <c r="T19" s="77">
        <v>0</v>
      </c>
      <c r="U19" s="26"/>
      <c r="V19" s="77">
        <v>0.69999998807907104</v>
      </c>
      <c r="W19" s="77">
        <v>0.69999998807907104</v>
      </c>
      <c r="X19" s="77">
        <v>0.69999998807907104</v>
      </c>
      <c r="Y19" s="26"/>
      <c r="Z19" s="77">
        <v>0.19950000000000001</v>
      </c>
      <c r="AA19" s="77">
        <v>0.39900000000000002</v>
      </c>
      <c r="AB19" s="77">
        <v>0.59850000000000003</v>
      </c>
      <c r="AC19" s="26"/>
      <c r="AD19" s="77">
        <v>3.5000000000000003E-2</v>
      </c>
      <c r="AE19" s="77">
        <v>7.0000000000000007E-2</v>
      </c>
      <c r="AF19" s="77">
        <v>0.105</v>
      </c>
      <c r="AG19" s="26"/>
      <c r="AH19" s="77">
        <v>-0.75</v>
      </c>
      <c r="AI19" s="77">
        <v>1.9</v>
      </c>
      <c r="AJ19" s="77">
        <v>0.75</v>
      </c>
      <c r="AK19" s="26"/>
      <c r="AL19" s="77">
        <v>-0.15</v>
      </c>
      <c r="AM19" s="77">
        <v>0.5</v>
      </c>
      <c r="AN19" s="77">
        <v>0.2</v>
      </c>
      <c r="AO19" s="26"/>
      <c r="AP19" s="27">
        <v>1</v>
      </c>
      <c r="AQ19" s="78">
        <v>0</v>
      </c>
      <c r="AR19" s="26"/>
      <c r="AS19" s="79"/>
      <c r="AT19" s="79" t="s">
        <v>45</v>
      </c>
      <c r="AU19" s="79" t="s">
        <v>46</v>
      </c>
      <c r="AV19" s="79" t="s">
        <v>47</v>
      </c>
      <c r="AW19" s="79" t="s">
        <v>48</v>
      </c>
      <c r="AX19" s="79" t="s">
        <v>49</v>
      </c>
      <c r="AY19" s="79" t="s">
        <v>50</v>
      </c>
      <c r="AZ19" s="79" t="s">
        <v>51</v>
      </c>
      <c r="BA19" s="79" t="s">
        <v>52</v>
      </c>
      <c r="BB19" s="79" t="s">
        <v>53</v>
      </c>
      <c r="BC19" s="79" t="s">
        <v>54</v>
      </c>
      <c r="BD19" s="79" t="s">
        <v>55</v>
      </c>
      <c r="BE19" s="79" t="s">
        <v>56</v>
      </c>
      <c r="BF19" s="79"/>
      <c r="BG19" s="26"/>
      <c r="BH19" s="28">
        <v>36557</v>
      </c>
      <c r="BI19" s="80">
        <v>0.9</v>
      </c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I19" s="68">
        <f t="shared" si="1"/>
        <v>0</v>
      </c>
      <c r="CJ19" s="68" t="e">
        <f t="shared" si="2"/>
        <v>#VALUE!</v>
      </c>
      <c r="CK19" s="68">
        <f t="shared" si="3"/>
        <v>0</v>
      </c>
      <c r="CM19" s="46">
        <v>-3</v>
      </c>
      <c r="CN19" s="47">
        <v>1.2500000000000001E-2</v>
      </c>
      <c r="CO19" s="81"/>
      <c r="CP19"/>
      <c r="CQ19"/>
      <c r="CR19"/>
      <c r="CS19"/>
      <c r="CT19"/>
      <c r="CY19" s="338">
        <f>M19</f>
        <v>36557</v>
      </c>
      <c r="CZ19" s="337">
        <f>AI19+AH19</f>
        <v>1.1499999999999999</v>
      </c>
      <c r="DA19" s="337">
        <f>AI19</f>
        <v>1.9</v>
      </c>
      <c r="DB19" s="337">
        <f>AI19+AJ19</f>
        <v>2.65</v>
      </c>
      <c r="DD19" s="337">
        <f>Z19</f>
        <v>0.19950000000000001</v>
      </c>
      <c r="DE19" s="337">
        <f>AA19</f>
        <v>0.39900000000000002</v>
      </c>
      <c r="DF19" s="337">
        <f>AB19</f>
        <v>0.59850000000000003</v>
      </c>
      <c r="DH19" s="338">
        <f>BH19</f>
        <v>36557</v>
      </c>
      <c r="DI19" s="20">
        <v>0.9</v>
      </c>
      <c r="DJ19" s="3"/>
      <c r="DK19" s="3"/>
      <c r="DP19">
        <v>1</v>
      </c>
      <c r="DQ19" s="82" t="s">
        <v>57</v>
      </c>
      <c r="DR19" s="181" t="s">
        <v>58</v>
      </c>
      <c r="DS19" s="83" t="s">
        <v>59</v>
      </c>
      <c r="DT19" s="84"/>
      <c r="DU19" s="64" t="s">
        <v>60</v>
      </c>
      <c r="DV19" s="65">
        <v>4</v>
      </c>
      <c r="DY19" s="66"/>
      <c r="DZ19" s="3"/>
      <c r="EA19" s="3"/>
      <c r="EB19" s="3"/>
      <c r="EC19" s="3"/>
      <c r="ED19" s="3"/>
    </row>
    <row r="20" spans="1:134" ht="13.5" thickBot="1">
      <c r="A20" s="34">
        <f t="shared" ca="1" si="0"/>
        <v>36831</v>
      </c>
      <c r="B20" s="20">
        <f>'Gas Curves'!C24</f>
        <v>6.5482946055964997E-2</v>
      </c>
      <c r="C20" s="20"/>
      <c r="D20" s="75">
        <v>36588</v>
      </c>
      <c r="E20" s="76">
        <v>28.445001983642577</v>
      </c>
      <c r="F20" s="76">
        <v>28.795001983642578</v>
      </c>
      <c r="G20" s="76">
        <v>29.14500198364258</v>
      </c>
      <c r="H20" s="56"/>
      <c r="I20" s="76">
        <v>19.824999999999999</v>
      </c>
      <c r="J20" s="76">
        <v>20</v>
      </c>
      <c r="K20" s="76">
        <v>20.175000000000001</v>
      </c>
      <c r="L20" s="27"/>
      <c r="M20" s="28">
        <v>36586</v>
      </c>
      <c r="N20" s="77">
        <v>0</v>
      </c>
      <c r="O20" s="77">
        <v>0</v>
      </c>
      <c r="P20" s="77">
        <v>0</v>
      </c>
      <c r="Q20" s="26"/>
      <c r="R20" s="77">
        <v>0</v>
      </c>
      <c r="S20" s="77">
        <v>0</v>
      </c>
      <c r="T20" s="77">
        <v>0</v>
      </c>
      <c r="U20" s="26"/>
      <c r="V20" s="77">
        <v>0.69999998807907104</v>
      </c>
      <c r="W20" s="77">
        <v>0.69999998807907104</v>
      </c>
      <c r="X20" s="77">
        <v>0.69999998807907104</v>
      </c>
      <c r="Y20" s="26"/>
      <c r="Z20" s="77">
        <v>0.14837500000000001</v>
      </c>
      <c r="AA20" s="77">
        <v>0.29675000000000001</v>
      </c>
      <c r="AB20" s="77">
        <v>0.44512499999999999</v>
      </c>
      <c r="AC20" s="26"/>
      <c r="AD20" s="77">
        <v>0.03</v>
      </c>
      <c r="AE20" s="77">
        <v>0.06</v>
      </c>
      <c r="AF20" s="77">
        <v>0.09</v>
      </c>
      <c r="AG20" s="26"/>
      <c r="AH20" s="77">
        <v>-0.25</v>
      </c>
      <c r="AI20" s="77">
        <v>1.3</v>
      </c>
      <c r="AJ20" s="77">
        <v>0.3</v>
      </c>
      <c r="AK20" s="26"/>
      <c r="AL20" s="77">
        <v>-0.15</v>
      </c>
      <c r="AM20" s="77">
        <v>0.35</v>
      </c>
      <c r="AN20" s="77">
        <v>0.2</v>
      </c>
      <c r="AO20" s="26"/>
      <c r="AP20" s="27">
        <v>1</v>
      </c>
      <c r="AQ20" s="78">
        <v>0</v>
      </c>
      <c r="AR20" s="26"/>
      <c r="AS20" s="56" t="s">
        <v>61</v>
      </c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 t="s">
        <v>62</v>
      </c>
      <c r="BG20" s="26"/>
      <c r="BH20" s="28">
        <v>36586</v>
      </c>
      <c r="BI20" s="80">
        <v>0.9</v>
      </c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85"/>
      <c r="CI20" s="68">
        <f t="shared" si="1"/>
        <v>0</v>
      </c>
      <c r="CJ20" s="68">
        <f t="shared" si="2"/>
        <v>0</v>
      </c>
      <c r="CK20" s="68" t="e">
        <f t="shared" si="3"/>
        <v>#VALUE!</v>
      </c>
      <c r="CM20" s="46">
        <v>-2.5</v>
      </c>
      <c r="CN20" s="47">
        <v>0.01</v>
      </c>
      <c r="CO20" s="81"/>
      <c r="CP20"/>
      <c r="CQ20"/>
      <c r="CR20"/>
      <c r="CS20"/>
      <c r="CT20"/>
      <c r="CY20" s="338">
        <f t="shared" ref="CY20:CY83" si="4">M20</f>
        <v>36586</v>
      </c>
      <c r="CZ20" s="337">
        <f t="shared" ref="CZ20:CZ83" si="5">AI20+AH20</f>
        <v>1.05</v>
      </c>
      <c r="DA20" s="337">
        <f t="shared" ref="DA20:DA83" si="6">AI20</f>
        <v>1.3</v>
      </c>
      <c r="DB20" s="337">
        <f t="shared" ref="DB20:DB83" si="7">AI20+AJ20</f>
        <v>1.6</v>
      </c>
      <c r="DD20" s="337">
        <f t="shared" ref="DD20:DD83" si="8">Z20</f>
        <v>0.14837500000000001</v>
      </c>
      <c r="DE20" s="337">
        <f t="shared" ref="DE20:DE83" si="9">AA20</f>
        <v>0.29675000000000001</v>
      </c>
      <c r="DF20" s="337">
        <f t="shared" ref="DF20:DF83" si="10">AB20</f>
        <v>0.44512499999999999</v>
      </c>
      <c r="DH20" s="338">
        <f t="shared" ref="DH20:DH83" si="11">BH20</f>
        <v>36586</v>
      </c>
      <c r="DI20" s="20">
        <v>0.9</v>
      </c>
      <c r="DJ20" s="63"/>
      <c r="DK20" s="63"/>
      <c r="DP20">
        <v>2</v>
      </c>
      <c r="DQ20" s="86" t="s">
        <v>63</v>
      </c>
      <c r="DR20" s="182" t="s">
        <v>64</v>
      </c>
      <c r="DS20" s="87" t="s">
        <v>65</v>
      </c>
      <c r="DT20" s="4"/>
      <c r="DU20" s="64" t="s">
        <v>66</v>
      </c>
      <c r="DV20" s="65">
        <v>5</v>
      </c>
      <c r="DY20" s="66"/>
      <c r="DZ20" s="63"/>
      <c r="EA20" s="63"/>
      <c r="EB20" s="63"/>
      <c r="EC20" s="63"/>
      <c r="ED20" s="63"/>
    </row>
    <row r="21" spans="1:134" ht="13.5" thickBot="1">
      <c r="A21" s="34">
        <f t="shared" ca="1" si="0"/>
        <v>36861</v>
      </c>
      <c r="B21" s="20">
        <f>'Gas Curves'!C25</f>
        <v>6.5977172037254006E-2</v>
      </c>
      <c r="C21" s="20"/>
      <c r="D21" s="75">
        <v>36589</v>
      </c>
      <c r="E21" s="76">
        <v>28.445001983642577</v>
      </c>
      <c r="F21" s="76">
        <v>28.795001983642578</v>
      </c>
      <c r="G21" s="76">
        <v>29.14500198364258</v>
      </c>
      <c r="H21" s="56"/>
      <c r="I21" s="76">
        <v>19.824999999999999</v>
      </c>
      <c r="J21" s="76">
        <v>20</v>
      </c>
      <c r="K21" s="76">
        <v>20.175000000000001</v>
      </c>
      <c r="L21" s="27"/>
      <c r="M21" s="28">
        <v>36617</v>
      </c>
      <c r="N21" s="77">
        <v>22.604999160766603</v>
      </c>
      <c r="O21" s="77">
        <v>22.754999160766602</v>
      </c>
      <c r="P21" s="77">
        <v>22.9049991607666</v>
      </c>
      <c r="Q21" s="26"/>
      <c r="R21" s="77">
        <v>17.753749847412109</v>
      </c>
      <c r="S21" s="77">
        <v>20.253749847412109</v>
      </c>
      <c r="T21" s="77">
        <v>22.753749847412109</v>
      </c>
      <c r="U21" s="26"/>
      <c r="V21" s="77">
        <v>0.69999998807907104</v>
      </c>
      <c r="W21" s="77">
        <v>0.69999998807907104</v>
      </c>
      <c r="X21" s="77">
        <v>0.69999998807907104</v>
      </c>
      <c r="Y21" s="26"/>
      <c r="Z21" s="77">
        <v>0.13225000000000001</v>
      </c>
      <c r="AA21" s="77">
        <v>0.26450000000000001</v>
      </c>
      <c r="AB21" s="77">
        <v>0.39675000000000005</v>
      </c>
      <c r="AC21" s="26"/>
      <c r="AD21" s="77">
        <v>0.03</v>
      </c>
      <c r="AE21" s="77">
        <v>0.06</v>
      </c>
      <c r="AF21" s="77">
        <v>0.09</v>
      </c>
      <c r="AG21" s="26"/>
      <c r="AH21" s="77">
        <v>-0.25</v>
      </c>
      <c r="AI21" s="77">
        <v>1.1000000000000001</v>
      </c>
      <c r="AJ21" s="77">
        <v>0.3</v>
      </c>
      <c r="AK21" s="26"/>
      <c r="AL21" s="77">
        <v>-0.15</v>
      </c>
      <c r="AM21" s="77">
        <v>0.35</v>
      </c>
      <c r="AN21" s="77">
        <v>0.2</v>
      </c>
      <c r="AO21" s="26"/>
      <c r="AP21" s="27">
        <v>1</v>
      </c>
      <c r="AQ21" s="78">
        <v>0</v>
      </c>
      <c r="AR21" s="26"/>
      <c r="AS21" s="27">
        <v>100</v>
      </c>
      <c r="AT21" s="88">
        <v>0.92009140360859498</v>
      </c>
      <c r="AU21" s="88">
        <v>0.92009140360859498</v>
      </c>
      <c r="AV21" s="88">
        <v>0.88009140360859495</v>
      </c>
      <c r="AW21" s="88">
        <v>0.93009140360859499</v>
      </c>
      <c r="AX21" s="88">
        <v>0.99487413888798193</v>
      </c>
      <c r="AY21" s="88">
        <v>1.1566015393724096</v>
      </c>
      <c r="AZ21" s="88">
        <v>1.1151212088270464</v>
      </c>
      <c r="BA21" s="88">
        <v>1.091611616602268</v>
      </c>
      <c r="BB21" s="88">
        <v>0.99664578191253639</v>
      </c>
      <c r="BC21" s="88">
        <v>0.94950000000000001</v>
      </c>
      <c r="BD21" s="88">
        <v>0.92949999999999999</v>
      </c>
      <c r="BE21" s="88">
        <v>0.92949999999999999</v>
      </c>
      <c r="BF21" s="27" t="s">
        <v>67</v>
      </c>
      <c r="BG21" s="26"/>
      <c r="BH21" s="28">
        <v>36617</v>
      </c>
      <c r="BI21" s="80">
        <v>0.9</v>
      </c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89"/>
      <c r="CI21" s="68">
        <f t="shared" si="1"/>
        <v>0</v>
      </c>
      <c r="CJ21" s="68">
        <f t="shared" si="2"/>
        <v>0.92949999999999999</v>
      </c>
      <c r="CK21" s="68">
        <f t="shared" si="3"/>
        <v>2</v>
      </c>
      <c r="CM21" s="46">
        <v>-2</v>
      </c>
      <c r="CN21" s="47">
        <v>7.4999999999999997E-3</v>
      </c>
      <c r="CO21" s="81"/>
      <c r="CP21"/>
      <c r="CQ21"/>
      <c r="CR21"/>
      <c r="CS21"/>
      <c r="CT21"/>
      <c r="CY21" s="338">
        <f t="shared" si="4"/>
        <v>36617</v>
      </c>
      <c r="CZ21" s="337">
        <f t="shared" si="5"/>
        <v>0.85000000000000009</v>
      </c>
      <c r="DA21" s="337">
        <f t="shared" si="6"/>
        <v>1.1000000000000001</v>
      </c>
      <c r="DB21" s="337">
        <f t="shared" si="7"/>
        <v>1.4000000000000001</v>
      </c>
      <c r="DD21" s="337">
        <f t="shared" si="8"/>
        <v>0.13225000000000001</v>
      </c>
      <c r="DE21" s="337">
        <f t="shared" si="9"/>
        <v>0.26450000000000001</v>
      </c>
      <c r="DF21" s="337">
        <f t="shared" si="10"/>
        <v>0.39675000000000005</v>
      </c>
      <c r="DH21" s="338">
        <f t="shared" si="11"/>
        <v>36617</v>
      </c>
      <c r="DI21" s="20">
        <v>0.9</v>
      </c>
      <c r="DJ21" s="3"/>
      <c r="DK21" s="3"/>
      <c r="DP21">
        <v>3</v>
      </c>
      <c r="DQ21" s="86" t="s">
        <v>68</v>
      </c>
      <c r="DR21" s="182" t="s">
        <v>69</v>
      </c>
      <c r="DS21" s="87" t="s">
        <v>70</v>
      </c>
      <c r="DT21" s="4"/>
      <c r="DU21" s="64" t="s">
        <v>71</v>
      </c>
      <c r="DV21" s="65">
        <v>6</v>
      </c>
      <c r="DY21" s="66"/>
      <c r="DZ21" s="3"/>
      <c r="EA21" s="3"/>
      <c r="EB21" s="3"/>
      <c r="EC21" s="3"/>
      <c r="ED21" s="3"/>
    </row>
    <row r="22" spans="1:134" ht="13.5" thickBot="1">
      <c r="A22" s="34">
        <f t="shared" ca="1" si="0"/>
        <v>36892</v>
      </c>
      <c r="B22" s="20">
        <f>'Gas Curves'!C26</f>
        <v>6.6467823306128992E-2</v>
      </c>
      <c r="C22" s="20"/>
      <c r="D22" s="75">
        <v>36590</v>
      </c>
      <c r="E22" s="76">
        <v>28.445001983642577</v>
      </c>
      <c r="F22" s="76">
        <v>28.795001983642578</v>
      </c>
      <c r="G22" s="76">
        <v>29.14500198364258</v>
      </c>
      <c r="H22" s="56"/>
      <c r="I22" s="76">
        <v>19.824999999999999</v>
      </c>
      <c r="J22" s="76">
        <v>20</v>
      </c>
      <c r="K22" s="76">
        <v>20.175000000000001</v>
      </c>
      <c r="L22" s="27"/>
      <c r="M22" s="28">
        <v>36647</v>
      </c>
      <c r="N22" s="77">
        <v>26.375</v>
      </c>
      <c r="O22" s="77">
        <v>26.75</v>
      </c>
      <c r="P22" s="77">
        <v>27.125</v>
      </c>
      <c r="Q22" s="26"/>
      <c r="R22" s="77">
        <v>22.25</v>
      </c>
      <c r="S22" s="77">
        <v>24.75</v>
      </c>
      <c r="T22" s="77">
        <v>27.25</v>
      </c>
      <c r="U22" s="26"/>
      <c r="V22" s="77">
        <v>0.7</v>
      </c>
      <c r="W22" s="77">
        <v>0.7</v>
      </c>
      <c r="X22" s="77">
        <v>0.7</v>
      </c>
      <c r="Y22" s="26"/>
      <c r="Z22" s="77">
        <v>0.15225</v>
      </c>
      <c r="AA22" s="77">
        <v>0.30449999999999999</v>
      </c>
      <c r="AB22" s="77">
        <v>0.45674999999999999</v>
      </c>
      <c r="AC22" s="26"/>
      <c r="AD22" s="77">
        <v>3.5000000000000003E-2</v>
      </c>
      <c r="AE22" s="77">
        <v>7.0000000000000007E-2</v>
      </c>
      <c r="AF22" s="77">
        <v>0.105</v>
      </c>
      <c r="AG22" s="26"/>
      <c r="AH22" s="77">
        <v>-0.25</v>
      </c>
      <c r="AI22" s="77">
        <v>1.1000000000000001</v>
      </c>
      <c r="AJ22" s="77">
        <v>0.3</v>
      </c>
      <c r="AK22" s="26"/>
      <c r="AL22" s="77">
        <v>-0.15</v>
      </c>
      <c r="AM22" s="77">
        <v>0.5</v>
      </c>
      <c r="AN22" s="77">
        <v>0.2</v>
      </c>
      <c r="AO22" s="26"/>
      <c r="AP22" s="27">
        <v>2</v>
      </c>
      <c r="AQ22" s="78">
        <v>0</v>
      </c>
      <c r="AR22" s="26"/>
      <c r="AS22" s="27">
        <v>200</v>
      </c>
      <c r="AT22" s="88">
        <v>0.90216545967600503</v>
      </c>
      <c r="AU22" s="88">
        <v>0.90216545967600503</v>
      </c>
      <c r="AV22" s="88">
        <v>0.83216545967600497</v>
      </c>
      <c r="AW22" s="88">
        <v>0.88216545967600501</v>
      </c>
      <c r="AX22" s="88">
        <v>0.89614417708707417</v>
      </c>
      <c r="AY22" s="88">
        <v>0.95825932504440481</v>
      </c>
      <c r="AZ22" s="88">
        <v>1.0185889770627239</v>
      </c>
      <c r="BA22" s="88">
        <v>0.98541692633678146</v>
      </c>
      <c r="BB22" s="88">
        <v>0.87437503955445783</v>
      </c>
      <c r="BC22" s="88">
        <v>0.9012</v>
      </c>
      <c r="BD22" s="88">
        <v>0.88119999999999998</v>
      </c>
      <c r="BE22" s="88">
        <v>0.88119999999999998</v>
      </c>
      <c r="BF22" s="27" t="s">
        <v>67</v>
      </c>
      <c r="BG22" s="26"/>
      <c r="BH22" s="28">
        <v>36647</v>
      </c>
      <c r="BI22" s="80">
        <v>0.9</v>
      </c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89"/>
      <c r="CI22" s="68">
        <f t="shared" si="1"/>
        <v>0</v>
      </c>
      <c r="CJ22" s="68">
        <f t="shared" si="2"/>
        <v>0.88119999999999998</v>
      </c>
      <c r="CK22" s="68">
        <f t="shared" si="3"/>
        <v>2</v>
      </c>
      <c r="CM22" s="46">
        <v>-1.5</v>
      </c>
      <c r="CN22" s="47">
        <v>5.0000000000000001E-3</v>
      </c>
      <c r="CO22" s="81"/>
      <c r="CP22"/>
      <c r="CQ22"/>
      <c r="CR22"/>
      <c r="CS22"/>
      <c r="CT22"/>
      <c r="CY22" s="338">
        <f t="shared" si="4"/>
        <v>36647</v>
      </c>
      <c r="CZ22" s="337">
        <f t="shared" si="5"/>
        <v>0.85000000000000009</v>
      </c>
      <c r="DA22" s="337">
        <f t="shared" si="6"/>
        <v>1.1000000000000001</v>
      </c>
      <c r="DB22" s="337">
        <f t="shared" si="7"/>
        <v>1.4000000000000001</v>
      </c>
      <c r="DD22" s="337">
        <f t="shared" si="8"/>
        <v>0.15225</v>
      </c>
      <c r="DE22" s="337">
        <f t="shared" si="9"/>
        <v>0.30449999999999999</v>
      </c>
      <c r="DF22" s="337">
        <f t="shared" si="10"/>
        <v>0.45674999999999999</v>
      </c>
      <c r="DH22" s="338">
        <f t="shared" si="11"/>
        <v>36647</v>
      </c>
      <c r="DI22" s="20">
        <v>0.9</v>
      </c>
      <c r="DJ22" s="63"/>
      <c r="DK22" s="63"/>
      <c r="DP22">
        <v>4</v>
      </c>
      <c r="DQ22" s="86" t="s">
        <v>72</v>
      </c>
      <c r="DR22" s="182" t="s">
        <v>73</v>
      </c>
      <c r="DS22" s="87" t="s">
        <v>74</v>
      </c>
      <c r="DT22" s="4"/>
      <c r="DU22" s="64" t="s">
        <v>75</v>
      </c>
      <c r="DV22" s="65">
        <v>7</v>
      </c>
      <c r="DY22" s="66"/>
      <c r="DZ22" s="63"/>
      <c r="EA22" s="63"/>
      <c r="EB22" s="63"/>
      <c r="EC22" s="63"/>
      <c r="ED22" s="63"/>
    </row>
    <row r="23" spans="1:134" ht="13.5" thickBot="1">
      <c r="A23" s="34">
        <f t="shared" ca="1" si="0"/>
        <v>36923</v>
      </c>
      <c r="B23" s="20">
        <f>'Gas Curves'!C27</f>
        <v>6.6926730404914009E-2</v>
      </c>
      <c r="C23" s="20"/>
      <c r="D23" s="75">
        <v>36591</v>
      </c>
      <c r="E23" s="76">
        <v>32.9</v>
      </c>
      <c r="F23" s="76">
        <v>33.25</v>
      </c>
      <c r="G23" s="76">
        <v>33.6</v>
      </c>
      <c r="H23" s="56"/>
      <c r="I23" s="76">
        <v>20.324999999999999</v>
      </c>
      <c r="J23" s="76">
        <v>20.5</v>
      </c>
      <c r="K23" s="76">
        <v>20.675000000000001</v>
      </c>
      <c r="L23" s="27"/>
      <c r="M23" s="28">
        <v>36678</v>
      </c>
      <c r="N23" s="77">
        <v>26.625</v>
      </c>
      <c r="O23" s="77">
        <v>27.75</v>
      </c>
      <c r="P23" s="77">
        <v>28.875</v>
      </c>
      <c r="Q23" s="26"/>
      <c r="R23" s="77">
        <v>20.25</v>
      </c>
      <c r="S23" s="77">
        <v>22.75</v>
      </c>
      <c r="T23" s="77">
        <v>25.25</v>
      </c>
      <c r="U23" s="26"/>
      <c r="V23" s="77">
        <v>0.7</v>
      </c>
      <c r="W23" s="77">
        <v>0.7</v>
      </c>
      <c r="X23" s="77">
        <v>0.7</v>
      </c>
      <c r="Y23" s="26"/>
      <c r="Z23" s="77">
        <v>0.19087500000000002</v>
      </c>
      <c r="AA23" s="77">
        <v>0.38175000000000003</v>
      </c>
      <c r="AB23" s="77">
        <v>0.57262500000000005</v>
      </c>
      <c r="AC23" s="26"/>
      <c r="AD23" s="77">
        <v>4.4999999999999998E-2</v>
      </c>
      <c r="AE23" s="77">
        <v>0.09</v>
      </c>
      <c r="AF23" s="77">
        <v>0.13500000000000001</v>
      </c>
      <c r="AG23" s="26"/>
      <c r="AH23" s="77">
        <v>-1</v>
      </c>
      <c r="AI23" s="77">
        <v>3.75</v>
      </c>
      <c r="AJ23" s="77">
        <v>1</v>
      </c>
      <c r="AK23" s="26"/>
      <c r="AL23" s="77">
        <v>-0.15</v>
      </c>
      <c r="AM23" s="77">
        <v>0.65</v>
      </c>
      <c r="AN23" s="77">
        <v>0.2</v>
      </c>
      <c r="AO23" s="26"/>
      <c r="AP23" s="27">
        <v>2</v>
      </c>
      <c r="AQ23" s="78">
        <v>0</v>
      </c>
      <c r="AR23" s="26"/>
      <c r="AS23" s="27">
        <v>300</v>
      </c>
      <c r="AT23" s="88">
        <v>0.82669983553583493</v>
      </c>
      <c r="AU23" s="88">
        <v>0.82669983553583493</v>
      </c>
      <c r="AV23" s="88">
        <v>0.7966998355358349</v>
      </c>
      <c r="AW23" s="88">
        <v>0.84669983553583494</v>
      </c>
      <c r="AX23" s="88">
        <v>0.84808514806229396</v>
      </c>
      <c r="AY23" s="88">
        <v>0.80550621669626976</v>
      </c>
      <c r="AZ23" s="88">
        <v>0.97054027611696914</v>
      </c>
      <c r="BA23" s="88">
        <v>0.88495575221238931</v>
      </c>
      <c r="BB23" s="88">
        <v>0.81994810455034439</v>
      </c>
      <c r="BC23" s="88">
        <v>0.86570000000000003</v>
      </c>
      <c r="BD23" s="88">
        <v>0.84570000000000001</v>
      </c>
      <c r="BE23" s="88">
        <v>0.84570000000000001</v>
      </c>
      <c r="BF23" s="27" t="s">
        <v>67</v>
      </c>
      <c r="BG23" s="26"/>
      <c r="BH23" s="28">
        <v>36678</v>
      </c>
      <c r="BI23" s="80">
        <v>0.9</v>
      </c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89"/>
      <c r="CI23" s="68">
        <f t="shared" si="1"/>
        <v>0</v>
      </c>
      <c r="CJ23" s="68">
        <f t="shared" si="2"/>
        <v>0.84570000000000001</v>
      </c>
      <c r="CK23" s="68">
        <f t="shared" si="3"/>
        <v>2</v>
      </c>
      <c r="CM23" s="46">
        <v>-1</v>
      </c>
      <c r="CN23" s="47">
        <v>3.3E-3</v>
      </c>
      <c r="CO23" s="81"/>
      <c r="CP23"/>
      <c r="CQ23"/>
      <c r="CR23"/>
      <c r="CS23"/>
      <c r="CT23"/>
      <c r="CY23" s="338">
        <f t="shared" si="4"/>
        <v>36678</v>
      </c>
      <c r="CZ23" s="337">
        <f t="shared" si="5"/>
        <v>2.75</v>
      </c>
      <c r="DA23" s="337">
        <f t="shared" si="6"/>
        <v>3.75</v>
      </c>
      <c r="DB23" s="337">
        <f t="shared" si="7"/>
        <v>4.75</v>
      </c>
      <c r="DD23" s="337">
        <f t="shared" si="8"/>
        <v>0.19087500000000002</v>
      </c>
      <c r="DE23" s="337">
        <f t="shared" si="9"/>
        <v>0.38175000000000003</v>
      </c>
      <c r="DF23" s="337">
        <f t="shared" si="10"/>
        <v>0.57262500000000005</v>
      </c>
      <c r="DH23" s="338">
        <f t="shared" si="11"/>
        <v>36678</v>
      </c>
      <c r="DI23" s="20">
        <v>0.9</v>
      </c>
      <c r="DJ23" s="3"/>
      <c r="DK23" s="3"/>
      <c r="DP23">
        <v>5</v>
      </c>
      <c r="DQ23" s="86"/>
      <c r="DR23" s="182" t="s">
        <v>76</v>
      </c>
      <c r="DS23" s="87" t="s">
        <v>77</v>
      </c>
      <c r="DT23" s="4"/>
      <c r="DU23" s="64" t="s">
        <v>78</v>
      </c>
      <c r="DV23" s="65">
        <v>8</v>
      </c>
      <c r="DY23" s="66"/>
      <c r="DZ23" s="3"/>
      <c r="EA23" s="3"/>
      <c r="EB23" s="3"/>
      <c r="EC23" s="3"/>
      <c r="ED23" s="3"/>
    </row>
    <row r="24" spans="1:134" ht="13.5" thickBot="1">
      <c r="A24" s="34">
        <f t="shared" ca="1" si="0"/>
        <v>36951</v>
      </c>
      <c r="B24" s="20">
        <f>'Gas Curves'!C28</f>
        <v>6.7341227199243001E-2</v>
      </c>
      <c r="C24" s="20"/>
      <c r="D24" s="75">
        <v>36592</v>
      </c>
      <c r="E24" s="76">
        <v>32.9</v>
      </c>
      <c r="F24" s="76">
        <v>33.25</v>
      </c>
      <c r="G24" s="76">
        <v>33.6</v>
      </c>
      <c r="H24" s="56"/>
      <c r="I24" s="76">
        <v>20.324999999999999</v>
      </c>
      <c r="J24" s="76">
        <v>20.5</v>
      </c>
      <c r="K24" s="76">
        <v>20.675000000000001</v>
      </c>
      <c r="L24" s="27"/>
      <c r="M24" s="28">
        <v>36708</v>
      </c>
      <c r="N24" s="77">
        <v>30.872501373291016</v>
      </c>
      <c r="O24" s="77">
        <v>32.747501373291016</v>
      </c>
      <c r="P24" s="77">
        <v>34.622501373291016</v>
      </c>
      <c r="Q24" s="26"/>
      <c r="R24" s="77">
        <v>24.252498626708984</v>
      </c>
      <c r="S24" s="77">
        <v>26.752498626708984</v>
      </c>
      <c r="T24" s="77">
        <v>29.252498626708984</v>
      </c>
      <c r="U24" s="26"/>
      <c r="V24" s="77">
        <v>0.7</v>
      </c>
      <c r="W24" s="77">
        <v>0.7</v>
      </c>
      <c r="X24" s="77">
        <v>0.7</v>
      </c>
      <c r="Y24" s="26"/>
      <c r="Z24" s="77">
        <v>0.22587499999999999</v>
      </c>
      <c r="AA24" s="77">
        <v>0.45174999999999998</v>
      </c>
      <c r="AB24" s="77">
        <v>0.67762499999999992</v>
      </c>
      <c r="AC24" s="26"/>
      <c r="AD24" s="77">
        <v>0.06</v>
      </c>
      <c r="AE24" s="77">
        <v>0.12</v>
      </c>
      <c r="AF24" s="77">
        <v>0.18</v>
      </c>
      <c r="AG24" s="26"/>
      <c r="AH24" s="77">
        <v>-1.5</v>
      </c>
      <c r="AI24" s="77">
        <v>4.25</v>
      </c>
      <c r="AJ24" s="77">
        <v>1.5</v>
      </c>
      <c r="AK24" s="26"/>
      <c r="AL24" s="77">
        <v>-0.15</v>
      </c>
      <c r="AM24" s="77">
        <v>0.75</v>
      </c>
      <c r="AN24" s="77">
        <v>0.2</v>
      </c>
      <c r="AO24" s="26"/>
      <c r="AP24" s="27">
        <v>2</v>
      </c>
      <c r="AQ24" s="78">
        <v>0</v>
      </c>
      <c r="AR24" s="26"/>
      <c r="AS24" s="27">
        <v>400</v>
      </c>
      <c r="AT24" s="88">
        <v>0.82620000000000005</v>
      </c>
      <c r="AU24" s="88">
        <v>0.82620000000000005</v>
      </c>
      <c r="AV24" s="88">
        <v>0.79719995084774298</v>
      </c>
      <c r="AW24" s="88">
        <v>0.84719995084774302</v>
      </c>
      <c r="AX24" s="88">
        <v>0.82222730092396068</v>
      </c>
      <c r="AY24" s="88">
        <v>0.74777975133214913</v>
      </c>
      <c r="AZ24" s="88">
        <v>0.87400804435264667</v>
      </c>
      <c r="BA24" s="88">
        <v>0.83260625701109281</v>
      </c>
      <c r="BB24" s="88">
        <v>0.83209923422568155</v>
      </c>
      <c r="BC24" s="88">
        <v>0.86619999999999997</v>
      </c>
      <c r="BD24" s="88">
        <v>0.84619999999999995</v>
      </c>
      <c r="BE24" s="88">
        <v>0.84619999999999995</v>
      </c>
      <c r="BF24" s="27" t="s">
        <v>67</v>
      </c>
      <c r="BG24" s="26"/>
      <c r="BH24" s="28">
        <v>36708</v>
      </c>
      <c r="BI24" s="80">
        <v>0.9</v>
      </c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89"/>
      <c r="CI24" s="68">
        <f t="shared" si="1"/>
        <v>0</v>
      </c>
      <c r="CJ24" s="68">
        <f t="shared" si="2"/>
        <v>0.84619999999999995</v>
      </c>
      <c r="CK24" s="68">
        <f t="shared" si="3"/>
        <v>2</v>
      </c>
      <c r="CM24" s="46">
        <v>-0.5</v>
      </c>
      <c r="CN24" s="47">
        <v>2.5000000000000001E-3</v>
      </c>
      <c r="CO24" s="81"/>
      <c r="CP24"/>
      <c r="CQ24"/>
      <c r="CR24"/>
      <c r="CS24"/>
      <c r="CT24"/>
      <c r="CY24" s="338">
        <f t="shared" si="4"/>
        <v>36708</v>
      </c>
      <c r="CZ24" s="337">
        <f t="shared" si="5"/>
        <v>2.75</v>
      </c>
      <c r="DA24" s="337">
        <f t="shared" si="6"/>
        <v>4.25</v>
      </c>
      <c r="DB24" s="337">
        <f t="shared" si="7"/>
        <v>5.75</v>
      </c>
      <c r="DD24" s="337">
        <f t="shared" si="8"/>
        <v>0.22587499999999999</v>
      </c>
      <c r="DE24" s="337">
        <f t="shared" si="9"/>
        <v>0.45174999999999998</v>
      </c>
      <c r="DF24" s="337">
        <f t="shared" si="10"/>
        <v>0.67762499999999992</v>
      </c>
      <c r="DH24" s="338">
        <f t="shared" si="11"/>
        <v>36708</v>
      </c>
      <c r="DI24" s="20">
        <v>0.9</v>
      </c>
      <c r="DJ24" s="63"/>
      <c r="DK24" s="63"/>
      <c r="DP24">
        <v>6</v>
      </c>
      <c r="DQ24" s="86"/>
      <c r="DR24" s="182" t="s">
        <v>79</v>
      </c>
      <c r="DS24" s="87" t="s">
        <v>80</v>
      </c>
      <c r="DU24" s="64" t="s">
        <v>81</v>
      </c>
      <c r="DV24" s="65">
        <v>10</v>
      </c>
      <c r="DY24" s="66"/>
      <c r="DZ24" s="63"/>
      <c r="EA24" s="63"/>
      <c r="EB24" s="63"/>
      <c r="EC24" s="63"/>
      <c r="ED24" s="63"/>
    </row>
    <row r="25" spans="1:134" ht="13.5" thickBot="1">
      <c r="A25" s="34">
        <f t="shared" ca="1" si="0"/>
        <v>36982</v>
      </c>
      <c r="B25" s="20">
        <f>'Gas Curves'!C29</f>
        <v>6.7760452095970994E-2</v>
      </c>
      <c r="C25" s="20"/>
      <c r="D25" s="75">
        <v>36593</v>
      </c>
      <c r="E25" s="76">
        <v>32.9</v>
      </c>
      <c r="F25" s="76">
        <v>33.25</v>
      </c>
      <c r="G25" s="76">
        <v>33.6</v>
      </c>
      <c r="H25" s="56"/>
      <c r="I25" s="76">
        <v>20.324999999999999</v>
      </c>
      <c r="J25" s="76">
        <v>20.5</v>
      </c>
      <c r="K25" s="76">
        <v>20.675000000000001</v>
      </c>
      <c r="L25" s="27"/>
      <c r="M25" s="28">
        <v>36739</v>
      </c>
      <c r="N25" s="77">
        <v>30.872501373291016</v>
      </c>
      <c r="O25" s="77">
        <v>32.747501373291016</v>
      </c>
      <c r="P25" s="77">
        <v>34.622501373291016</v>
      </c>
      <c r="Q25" s="26"/>
      <c r="R25" s="77">
        <v>24.25</v>
      </c>
      <c r="S25" s="77">
        <v>26.75</v>
      </c>
      <c r="T25" s="77">
        <v>29.25</v>
      </c>
      <c r="U25" s="26"/>
      <c r="V25" s="77">
        <v>0.7</v>
      </c>
      <c r="W25" s="77">
        <v>0.7</v>
      </c>
      <c r="X25" s="77">
        <v>0.7</v>
      </c>
      <c r="Y25" s="26"/>
      <c r="Z25" s="77">
        <v>0.22225</v>
      </c>
      <c r="AA25" s="77">
        <v>0.44450000000000001</v>
      </c>
      <c r="AB25" s="77">
        <v>0.66674999999999995</v>
      </c>
      <c r="AC25" s="26"/>
      <c r="AD25" s="77">
        <v>0.06</v>
      </c>
      <c r="AE25" s="77">
        <v>0.12</v>
      </c>
      <c r="AF25" s="77">
        <v>0.18</v>
      </c>
      <c r="AG25" s="26"/>
      <c r="AH25" s="77">
        <v>-1.5</v>
      </c>
      <c r="AI25" s="77">
        <v>4.25</v>
      </c>
      <c r="AJ25" s="77">
        <v>1.5</v>
      </c>
      <c r="AK25" s="26"/>
      <c r="AL25" s="77">
        <v>-0.15</v>
      </c>
      <c r="AM25" s="77">
        <v>0.75</v>
      </c>
      <c r="AN25" s="77">
        <v>0.2</v>
      </c>
      <c r="AO25" s="26"/>
      <c r="AP25" s="27">
        <v>3</v>
      </c>
      <c r="AQ25" s="78">
        <v>0.15</v>
      </c>
      <c r="AR25" s="26"/>
      <c r="AS25" s="27">
        <v>500</v>
      </c>
      <c r="AT25" s="88">
        <v>0.84650000000000003</v>
      </c>
      <c r="AU25" s="88">
        <v>0.84650000000000003</v>
      </c>
      <c r="AV25" s="88">
        <v>0.85749044781089889</v>
      </c>
      <c r="AW25" s="88">
        <v>0.90749044781089894</v>
      </c>
      <c r="AX25" s="88">
        <v>0.89013679845897664</v>
      </c>
      <c r="AY25" s="88">
        <v>0.81113084665482538</v>
      </c>
      <c r="AZ25" s="88">
        <v>0.8296553973257963</v>
      </c>
      <c r="BA25" s="88">
        <v>0.86426523744235273</v>
      </c>
      <c r="BB25" s="88">
        <v>0.89842415037022905</v>
      </c>
      <c r="BC25" s="88">
        <v>0.92649999999999999</v>
      </c>
      <c r="BD25" s="88">
        <v>0.90649999999999997</v>
      </c>
      <c r="BE25" s="88">
        <v>0.90649999999999997</v>
      </c>
      <c r="BF25" s="27" t="s">
        <v>67</v>
      </c>
      <c r="BG25" s="26"/>
      <c r="BH25" s="28">
        <v>36739</v>
      </c>
      <c r="BI25" s="80">
        <v>0.9</v>
      </c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89"/>
      <c r="CI25" s="68">
        <f t="shared" si="1"/>
        <v>0</v>
      </c>
      <c r="CJ25" s="68">
        <f t="shared" si="2"/>
        <v>0.90649999999999997</v>
      </c>
      <c r="CK25" s="68">
        <f t="shared" si="3"/>
        <v>2</v>
      </c>
      <c r="CM25" s="46">
        <v>0</v>
      </c>
      <c r="CN25" s="47">
        <v>0</v>
      </c>
      <c r="CO25" s="81"/>
      <c r="CP25"/>
      <c r="CQ25"/>
      <c r="CR25"/>
      <c r="CS25"/>
      <c r="CT25"/>
      <c r="CY25" s="338">
        <f t="shared" si="4"/>
        <v>36739</v>
      </c>
      <c r="CZ25" s="337">
        <f t="shared" si="5"/>
        <v>2.75</v>
      </c>
      <c r="DA25" s="337">
        <f t="shared" si="6"/>
        <v>4.25</v>
      </c>
      <c r="DB25" s="337">
        <f t="shared" si="7"/>
        <v>5.75</v>
      </c>
      <c r="DD25" s="337">
        <f t="shared" si="8"/>
        <v>0.22225</v>
      </c>
      <c r="DE25" s="337">
        <f t="shared" si="9"/>
        <v>0.44450000000000001</v>
      </c>
      <c r="DF25" s="337">
        <f t="shared" si="10"/>
        <v>0.66674999999999995</v>
      </c>
      <c r="DH25" s="338">
        <f t="shared" si="11"/>
        <v>36739</v>
      </c>
      <c r="DI25" s="20">
        <v>0.9</v>
      </c>
      <c r="DJ25" s="3"/>
      <c r="DK25" s="3"/>
      <c r="DP25">
        <v>7</v>
      </c>
      <c r="DQ25" s="86"/>
      <c r="DR25" s="182" t="s">
        <v>82</v>
      </c>
      <c r="DS25" s="87" t="s">
        <v>83</v>
      </c>
      <c r="DU25" s="64" t="s">
        <v>84</v>
      </c>
      <c r="DV25" s="65">
        <v>11</v>
      </c>
      <c r="DY25" s="66"/>
      <c r="DZ25" s="3"/>
      <c r="EA25" s="3"/>
      <c r="EB25" s="3"/>
      <c r="EC25" s="3"/>
      <c r="ED25" s="3"/>
    </row>
    <row r="26" spans="1:134" ht="13.5" thickBot="1">
      <c r="A26" s="34">
        <f t="shared" ca="1" si="0"/>
        <v>37012</v>
      </c>
      <c r="B26" s="20">
        <f>'Gas Curves'!C30</f>
        <v>6.8094409945583995E-2</v>
      </c>
      <c r="C26" s="20"/>
      <c r="D26" s="75">
        <v>36594</v>
      </c>
      <c r="E26" s="76">
        <v>32.9</v>
      </c>
      <c r="F26" s="76">
        <v>33.25</v>
      </c>
      <c r="G26" s="76">
        <v>33.6</v>
      </c>
      <c r="H26" s="56"/>
      <c r="I26" s="76">
        <v>20.324999999999999</v>
      </c>
      <c r="J26" s="76">
        <v>20.5</v>
      </c>
      <c r="K26" s="76">
        <v>20.675000000000001</v>
      </c>
      <c r="L26" s="27"/>
      <c r="M26" s="28">
        <v>36770</v>
      </c>
      <c r="N26" s="77">
        <v>22.804999160766602</v>
      </c>
      <c r="O26" s="77">
        <v>23.254999160766602</v>
      </c>
      <c r="P26" s="77">
        <v>23.704999160766601</v>
      </c>
      <c r="Q26" s="26"/>
      <c r="R26" s="77">
        <v>21.25</v>
      </c>
      <c r="S26" s="77">
        <v>23.75</v>
      </c>
      <c r="T26" s="77">
        <v>26.25</v>
      </c>
      <c r="U26" s="26"/>
      <c r="V26" s="77">
        <v>1.2</v>
      </c>
      <c r="W26" s="77">
        <v>1.2</v>
      </c>
      <c r="X26" s="77">
        <v>1.2</v>
      </c>
      <c r="Y26" s="26"/>
      <c r="Z26" s="77">
        <v>0.14724999999999999</v>
      </c>
      <c r="AA26" s="77">
        <v>0.29449999999999998</v>
      </c>
      <c r="AB26" s="77">
        <v>0.44174999999999998</v>
      </c>
      <c r="AC26" s="26"/>
      <c r="AD26" s="77">
        <v>0.04</v>
      </c>
      <c r="AE26" s="77">
        <v>0.08</v>
      </c>
      <c r="AF26" s="77">
        <v>0.12</v>
      </c>
      <c r="AG26" s="26"/>
      <c r="AH26" s="77">
        <v>-0.5</v>
      </c>
      <c r="AI26" s="77">
        <v>2.25</v>
      </c>
      <c r="AJ26" s="77">
        <v>0.5</v>
      </c>
      <c r="AK26" s="26"/>
      <c r="AL26" s="77">
        <v>-0.15</v>
      </c>
      <c r="AM26" s="77">
        <v>0.4</v>
      </c>
      <c r="AN26" s="77">
        <v>0.2</v>
      </c>
      <c r="AO26" s="26"/>
      <c r="AP26" s="27">
        <v>3</v>
      </c>
      <c r="AQ26" s="78">
        <v>0.15</v>
      </c>
      <c r="AR26" s="26"/>
      <c r="AS26" s="27">
        <v>600</v>
      </c>
      <c r="AT26" s="88">
        <v>0.90339999999999998</v>
      </c>
      <c r="AU26" s="88">
        <v>0.90339999999999998</v>
      </c>
      <c r="AV26" s="88">
        <v>0.99535202187631988</v>
      </c>
      <c r="AW26" s="88">
        <v>1.0453520218763199</v>
      </c>
      <c r="AX26" s="88">
        <v>1.079238630056482</v>
      </c>
      <c r="AY26" s="88">
        <v>0.98963883955002951</v>
      </c>
      <c r="AZ26" s="88">
        <v>0.91466463746059334</v>
      </c>
      <c r="BA26" s="88">
        <v>0.960239311978063</v>
      </c>
      <c r="BB26" s="88">
        <v>1.0396810328460215</v>
      </c>
      <c r="BC26" s="88">
        <v>1.0644</v>
      </c>
      <c r="BD26" s="88">
        <v>1.0444</v>
      </c>
      <c r="BE26" s="88">
        <v>1.0444</v>
      </c>
      <c r="BF26" s="27" t="s">
        <v>67</v>
      </c>
      <c r="BG26" s="26"/>
      <c r="BH26" s="28">
        <v>36770</v>
      </c>
      <c r="BI26" s="80">
        <v>0.9</v>
      </c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89"/>
      <c r="CI26" s="68">
        <f t="shared" si="1"/>
        <v>0</v>
      </c>
      <c r="CJ26" s="68">
        <f t="shared" si="2"/>
        <v>1.0444</v>
      </c>
      <c r="CK26" s="68">
        <f t="shared" si="3"/>
        <v>2</v>
      </c>
      <c r="CM26" s="90">
        <v>1</v>
      </c>
      <c r="CN26" s="47">
        <v>5.0000000000000001E-3</v>
      </c>
      <c r="CO26" s="81"/>
      <c r="CP26"/>
      <c r="CQ26"/>
      <c r="CR26"/>
      <c r="CS26"/>
      <c r="CT26"/>
      <c r="CY26" s="338">
        <f t="shared" si="4"/>
        <v>36770</v>
      </c>
      <c r="CZ26" s="337">
        <f t="shared" si="5"/>
        <v>1.75</v>
      </c>
      <c r="DA26" s="337">
        <f t="shared" si="6"/>
        <v>2.25</v>
      </c>
      <c r="DB26" s="337">
        <f t="shared" si="7"/>
        <v>2.75</v>
      </c>
      <c r="DD26" s="337">
        <f t="shared" si="8"/>
        <v>0.14724999999999999</v>
      </c>
      <c r="DE26" s="337">
        <f t="shared" si="9"/>
        <v>0.29449999999999998</v>
      </c>
      <c r="DF26" s="337">
        <f t="shared" si="10"/>
        <v>0.44174999999999998</v>
      </c>
      <c r="DH26" s="338">
        <f t="shared" si="11"/>
        <v>36770</v>
      </c>
      <c r="DI26" s="20">
        <v>0.9</v>
      </c>
      <c r="DJ26" s="63"/>
      <c r="DK26" s="63"/>
      <c r="DP26">
        <v>8</v>
      </c>
      <c r="DQ26" s="86"/>
      <c r="DR26" s="182" t="s">
        <v>85</v>
      </c>
      <c r="DS26" s="87" t="s">
        <v>86</v>
      </c>
      <c r="DT26" s="27"/>
      <c r="DU26" s="64" t="s">
        <v>87</v>
      </c>
      <c r="DV26" s="65">
        <v>12</v>
      </c>
      <c r="DY26" s="66"/>
      <c r="DZ26" s="63"/>
      <c r="EA26" s="63"/>
      <c r="EB26" s="63"/>
      <c r="EC26" s="63"/>
      <c r="ED26" s="63"/>
    </row>
    <row r="27" spans="1:134" ht="13.5" thickBot="1">
      <c r="A27" s="34">
        <f t="shared" ca="1" si="0"/>
        <v>37043</v>
      </c>
      <c r="B27" s="20">
        <f>'Gas Curves'!C31</f>
        <v>6.8439499762296005E-2</v>
      </c>
      <c r="C27" s="20"/>
      <c r="D27" s="75">
        <v>36595</v>
      </c>
      <c r="E27" s="76">
        <v>32.9</v>
      </c>
      <c r="F27" s="76">
        <v>33.25</v>
      </c>
      <c r="G27" s="76">
        <v>33.6</v>
      </c>
      <c r="H27" s="56"/>
      <c r="I27" s="76">
        <v>20.324999999999999</v>
      </c>
      <c r="J27" s="76">
        <v>20.5</v>
      </c>
      <c r="K27" s="76">
        <v>20.675000000000001</v>
      </c>
      <c r="L27" s="27"/>
      <c r="M27" s="28">
        <v>36800</v>
      </c>
      <c r="N27" s="77">
        <v>22.412999725341798</v>
      </c>
      <c r="O27" s="77">
        <v>22.750499725341797</v>
      </c>
      <c r="P27" s="77">
        <v>23.087999725341795</v>
      </c>
      <c r="Q27" s="26"/>
      <c r="R27" s="77">
        <v>18.250999450683594</v>
      </c>
      <c r="S27" s="77">
        <v>20.750999450683594</v>
      </c>
      <c r="T27" s="77">
        <v>23.250999450683594</v>
      </c>
      <c r="U27" s="26"/>
      <c r="V27" s="77">
        <v>1.2</v>
      </c>
      <c r="W27" s="77">
        <v>1.2</v>
      </c>
      <c r="X27" s="77">
        <v>1.2</v>
      </c>
      <c r="Y27" s="26"/>
      <c r="Z27" s="77">
        <v>0.13450000000000001</v>
      </c>
      <c r="AA27" s="77">
        <v>0.26900000000000002</v>
      </c>
      <c r="AB27" s="77">
        <v>0.40350000000000003</v>
      </c>
      <c r="AC27" s="26"/>
      <c r="AD27" s="77">
        <v>0.03</v>
      </c>
      <c r="AE27" s="77">
        <v>0.06</v>
      </c>
      <c r="AF27" s="77">
        <v>0.09</v>
      </c>
      <c r="AG27" s="26"/>
      <c r="AH27" s="77">
        <v>-0.25</v>
      </c>
      <c r="AI27" s="77">
        <v>1.1000000000000001</v>
      </c>
      <c r="AJ27" s="77">
        <v>0.3</v>
      </c>
      <c r="AK27" s="26"/>
      <c r="AL27" s="77">
        <v>-0.15</v>
      </c>
      <c r="AM27" s="77">
        <v>0.35</v>
      </c>
      <c r="AN27" s="77">
        <v>0.2</v>
      </c>
      <c r="AO27" s="26"/>
      <c r="AP27" s="27">
        <v>3</v>
      </c>
      <c r="AQ27" s="78">
        <v>0.15</v>
      </c>
      <c r="AR27" s="26"/>
      <c r="AS27" s="27">
        <v>700</v>
      </c>
      <c r="AT27" s="88">
        <v>1.73</v>
      </c>
      <c r="AU27" s="88">
        <v>1.73</v>
      </c>
      <c r="AV27" s="88">
        <v>1.7959999999999998</v>
      </c>
      <c r="AW27" s="88">
        <v>1.4909756812084298</v>
      </c>
      <c r="AX27" s="88">
        <v>1.2913252146658396</v>
      </c>
      <c r="AY27" s="88">
        <v>1.134695085849615</v>
      </c>
      <c r="AZ27" s="88">
        <v>1.0157625828894443</v>
      </c>
      <c r="BA27" s="88">
        <v>1.1172877975819515</v>
      </c>
      <c r="BB27" s="88">
        <v>1.4138345674324397</v>
      </c>
      <c r="BC27" s="88">
        <v>1.3759999999999999</v>
      </c>
      <c r="BD27" s="88">
        <v>1.496</v>
      </c>
      <c r="BE27" s="88">
        <v>1.496</v>
      </c>
      <c r="BF27" s="27" t="s">
        <v>67</v>
      </c>
      <c r="BG27" s="26"/>
      <c r="BH27" s="28">
        <v>36800</v>
      </c>
      <c r="BI27" s="80">
        <v>0.9</v>
      </c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89"/>
      <c r="CI27" s="68">
        <f t="shared" si="1"/>
        <v>0</v>
      </c>
      <c r="CJ27" s="68">
        <f t="shared" si="2"/>
        <v>1.496</v>
      </c>
      <c r="CK27" s="68">
        <f t="shared" si="3"/>
        <v>2</v>
      </c>
      <c r="CM27" s="90">
        <v>2</v>
      </c>
      <c r="CN27" s="47">
        <v>0.01</v>
      </c>
      <c r="CO27" s="81"/>
      <c r="CP27"/>
      <c r="CQ27"/>
      <c r="CR27"/>
      <c r="CS27"/>
      <c r="CT27"/>
      <c r="CY27" s="338">
        <f t="shared" si="4"/>
        <v>36800</v>
      </c>
      <c r="CZ27" s="337">
        <f t="shared" si="5"/>
        <v>0.85000000000000009</v>
      </c>
      <c r="DA27" s="337">
        <f t="shared" si="6"/>
        <v>1.1000000000000001</v>
      </c>
      <c r="DB27" s="337">
        <f t="shared" si="7"/>
        <v>1.4000000000000001</v>
      </c>
      <c r="DD27" s="337">
        <f t="shared" si="8"/>
        <v>0.13450000000000001</v>
      </c>
      <c r="DE27" s="337">
        <f t="shared" si="9"/>
        <v>0.26900000000000002</v>
      </c>
      <c r="DF27" s="337">
        <f t="shared" si="10"/>
        <v>0.40350000000000003</v>
      </c>
      <c r="DH27" s="338">
        <f t="shared" si="11"/>
        <v>36800</v>
      </c>
      <c r="DI27" s="20">
        <v>0.9</v>
      </c>
      <c r="DJ27" s="63"/>
      <c r="DK27" s="63"/>
      <c r="DP27">
        <v>9</v>
      </c>
      <c r="DQ27" s="86" t="s">
        <v>88</v>
      </c>
      <c r="DR27" s="182" t="s">
        <v>89</v>
      </c>
      <c r="DS27" s="87" t="s">
        <v>67</v>
      </c>
      <c r="DT27" s="27"/>
      <c r="DU27" s="64" t="s">
        <v>90</v>
      </c>
      <c r="DV27" s="65">
        <v>14</v>
      </c>
      <c r="DY27" s="66"/>
      <c r="DZ27" s="63"/>
      <c r="EA27" s="63"/>
      <c r="EB27" s="63"/>
      <c r="EC27" s="63"/>
      <c r="ED27" s="63"/>
    </row>
    <row r="28" spans="1:134" ht="13.5" thickBot="1">
      <c r="A28" s="34">
        <f t="shared" ca="1" si="0"/>
        <v>37073</v>
      </c>
      <c r="B28" s="20">
        <f>'Gas Curves'!C32</f>
        <v>6.8753696866555011E-2</v>
      </c>
      <c r="C28" s="20"/>
      <c r="D28" s="75">
        <v>36596</v>
      </c>
      <c r="E28" s="76">
        <v>32.9</v>
      </c>
      <c r="F28" s="76">
        <v>33.25</v>
      </c>
      <c r="G28" s="76">
        <v>33.6</v>
      </c>
      <c r="H28" s="56"/>
      <c r="I28" s="76">
        <v>20.324999999999999</v>
      </c>
      <c r="J28" s="76">
        <v>20.5</v>
      </c>
      <c r="K28" s="76">
        <v>20.675000000000001</v>
      </c>
      <c r="L28" s="27"/>
      <c r="M28" s="28">
        <v>36831</v>
      </c>
      <c r="N28" s="77">
        <v>23.417251205444337</v>
      </c>
      <c r="O28" s="77">
        <v>23.754751205444336</v>
      </c>
      <c r="P28" s="77">
        <v>24.092251205444335</v>
      </c>
      <c r="Q28" s="26"/>
      <c r="R28" s="77">
        <v>19.254499435424805</v>
      </c>
      <c r="S28" s="77">
        <v>21.754499435424805</v>
      </c>
      <c r="T28" s="77">
        <v>24.254499435424805</v>
      </c>
      <c r="U28" s="26"/>
      <c r="V28" s="77">
        <v>1.2</v>
      </c>
      <c r="W28" s="77">
        <v>1.2</v>
      </c>
      <c r="X28" s="77">
        <v>1.2</v>
      </c>
      <c r="Y28" s="26"/>
      <c r="Z28" s="77">
        <v>0.13450000000000001</v>
      </c>
      <c r="AA28" s="77">
        <v>0.26900000000000002</v>
      </c>
      <c r="AB28" s="77">
        <v>0.40350000000000003</v>
      </c>
      <c r="AC28" s="26"/>
      <c r="AD28" s="77">
        <v>0.03</v>
      </c>
      <c r="AE28" s="77">
        <v>0.06</v>
      </c>
      <c r="AF28" s="77">
        <v>0.09</v>
      </c>
      <c r="AG28" s="26"/>
      <c r="AH28" s="77">
        <v>-0.25</v>
      </c>
      <c r="AI28" s="77">
        <v>1.25</v>
      </c>
      <c r="AJ28" s="77">
        <v>0.3</v>
      </c>
      <c r="AK28" s="26"/>
      <c r="AL28" s="77">
        <v>-0.15</v>
      </c>
      <c r="AM28" s="77">
        <v>0.3</v>
      </c>
      <c r="AN28" s="77">
        <v>0.2</v>
      </c>
      <c r="AO28" s="26"/>
      <c r="AP28" s="27">
        <v>4</v>
      </c>
      <c r="AQ28" s="78">
        <v>0.15</v>
      </c>
      <c r="AR28" s="26"/>
      <c r="AS28" s="27">
        <v>800</v>
      </c>
      <c r="AT28" s="88">
        <v>1.1458848137090256</v>
      </c>
      <c r="AU28" s="88">
        <v>1.1458848137090256</v>
      </c>
      <c r="AV28" s="88">
        <v>1.1358999999999999</v>
      </c>
      <c r="AW28" s="88">
        <v>1.1232726508202047</v>
      </c>
      <c r="AX28" s="88">
        <v>0.95286212503963064</v>
      </c>
      <c r="AY28" s="88">
        <v>0.65105901103049102</v>
      </c>
      <c r="AZ28" s="88">
        <v>0.58625176867694417</v>
      </c>
      <c r="BA28" s="88">
        <v>0.66493857390129607</v>
      </c>
      <c r="BB28" s="88">
        <v>0.77710435244355791</v>
      </c>
      <c r="BC28" s="88">
        <v>1.0615000000000001</v>
      </c>
      <c r="BD28" s="88">
        <v>1.0714999999999999</v>
      </c>
      <c r="BE28" s="88">
        <v>1.0874999999999999</v>
      </c>
      <c r="BF28" s="27" t="s">
        <v>59</v>
      </c>
      <c r="BG28" s="26"/>
      <c r="BH28" s="28">
        <v>36831</v>
      </c>
      <c r="BI28" s="80">
        <v>0.9</v>
      </c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89"/>
      <c r="CI28" s="68">
        <f t="shared" si="1"/>
        <v>0</v>
      </c>
      <c r="CJ28" s="68">
        <f t="shared" si="2"/>
        <v>1.0874999999999999</v>
      </c>
      <c r="CK28" s="68">
        <f t="shared" si="3"/>
        <v>1</v>
      </c>
      <c r="CM28" s="90">
        <v>3</v>
      </c>
      <c r="CN28" s="47">
        <v>0.02</v>
      </c>
      <c r="CO28" s="81"/>
      <c r="CP28"/>
      <c r="CQ28"/>
      <c r="CR28"/>
      <c r="CS28"/>
      <c r="CT28"/>
      <c r="CY28" s="338">
        <f t="shared" si="4"/>
        <v>36831</v>
      </c>
      <c r="CZ28" s="337">
        <f t="shared" si="5"/>
        <v>1</v>
      </c>
      <c r="DA28" s="337">
        <f t="shared" si="6"/>
        <v>1.25</v>
      </c>
      <c r="DB28" s="337">
        <f t="shared" si="7"/>
        <v>1.55</v>
      </c>
      <c r="DD28" s="337">
        <f t="shared" si="8"/>
        <v>0.13450000000000001</v>
      </c>
      <c r="DE28" s="337">
        <f t="shared" si="9"/>
        <v>0.26900000000000002</v>
      </c>
      <c r="DF28" s="337">
        <f t="shared" si="10"/>
        <v>0.40350000000000003</v>
      </c>
      <c r="DH28" s="338">
        <f t="shared" si="11"/>
        <v>36831</v>
      </c>
      <c r="DI28" s="20">
        <v>0.9</v>
      </c>
      <c r="DP28">
        <v>10</v>
      </c>
      <c r="DQ28" s="86" t="s">
        <v>91</v>
      </c>
      <c r="DR28" s="182" t="s">
        <v>92</v>
      </c>
      <c r="DS28" s="87" t="s">
        <v>93</v>
      </c>
      <c r="DT28" s="27"/>
      <c r="DU28" s="91" t="s">
        <v>94</v>
      </c>
      <c r="DV28" s="92">
        <v>15</v>
      </c>
      <c r="DY28" s="66"/>
    </row>
    <row r="29" spans="1:134" ht="13.5" thickBot="1">
      <c r="A29" s="34">
        <f t="shared" ca="1" si="0"/>
        <v>37104</v>
      </c>
      <c r="B29" s="20">
        <f>'Gas Curves'!C33</f>
        <v>6.9040994820187995E-2</v>
      </c>
      <c r="C29" s="20"/>
      <c r="D29" s="75">
        <v>36597</v>
      </c>
      <c r="E29" s="76">
        <v>32.9</v>
      </c>
      <c r="F29" s="76">
        <v>33.25</v>
      </c>
      <c r="G29" s="76">
        <v>33.6</v>
      </c>
      <c r="H29" s="56"/>
      <c r="I29" s="76">
        <v>20.324999999999999</v>
      </c>
      <c r="J29" s="76">
        <v>20.5</v>
      </c>
      <c r="K29" s="76">
        <v>20.675000000000001</v>
      </c>
      <c r="L29" s="27"/>
      <c r="M29" s="28">
        <v>36861</v>
      </c>
      <c r="N29" s="77">
        <v>24.917499160766603</v>
      </c>
      <c r="O29" s="77">
        <v>25.254999160766602</v>
      </c>
      <c r="P29" s="77">
        <v>25.5924991607666</v>
      </c>
      <c r="Q29" s="26"/>
      <c r="R29" s="77">
        <v>19.25</v>
      </c>
      <c r="S29" s="77">
        <v>21.75</v>
      </c>
      <c r="T29" s="77">
        <v>24.25</v>
      </c>
      <c r="U29" s="26"/>
      <c r="V29" s="77">
        <v>1.2</v>
      </c>
      <c r="W29" s="77">
        <v>1.2</v>
      </c>
      <c r="X29" s="77">
        <v>1.2</v>
      </c>
      <c r="Y29" s="26"/>
      <c r="Z29" s="77">
        <v>0.13930000000000001</v>
      </c>
      <c r="AA29" s="77">
        <v>0.27860000000000001</v>
      </c>
      <c r="AB29" s="77">
        <v>0.41790000000000005</v>
      </c>
      <c r="AC29" s="26"/>
      <c r="AD29" s="77">
        <v>0.03</v>
      </c>
      <c r="AE29" s="77">
        <v>0.06</v>
      </c>
      <c r="AF29" s="77">
        <v>0.09</v>
      </c>
      <c r="AG29" s="26"/>
      <c r="AH29" s="77">
        <v>-0.25</v>
      </c>
      <c r="AI29" s="77">
        <v>1.25</v>
      </c>
      <c r="AJ29" s="77">
        <v>0.35</v>
      </c>
      <c r="AK29" s="26"/>
      <c r="AL29" s="77">
        <v>-0.15</v>
      </c>
      <c r="AM29" s="77">
        <v>0.3</v>
      </c>
      <c r="AN29" s="77">
        <v>0.2</v>
      </c>
      <c r="AO29" s="26"/>
      <c r="AP29" s="27">
        <v>4</v>
      </c>
      <c r="AQ29" s="78">
        <v>0.15</v>
      </c>
      <c r="AR29" s="26"/>
      <c r="AS29" s="27">
        <v>900</v>
      </c>
      <c r="AT29" s="88">
        <v>1.1998117566192825</v>
      </c>
      <c r="AU29" s="88">
        <v>1.1998117566192825</v>
      </c>
      <c r="AV29" s="88">
        <v>1.1898</v>
      </c>
      <c r="AW29" s="88">
        <v>1.1413154461256174</v>
      </c>
      <c r="AX29" s="88">
        <v>1.0425355656238169</v>
      </c>
      <c r="AY29" s="88">
        <v>0.7656754603028143</v>
      </c>
      <c r="AZ29" s="88">
        <v>0.64707720807596325</v>
      </c>
      <c r="BA29" s="88">
        <v>0.72465065225651215</v>
      </c>
      <c r="BB29" s="88">
        <v>0.75981909069269282</v>
      </c>
      <c r="BC29" s="88">
        <v>1.1326000000000001</v>
      </c>
      <c r="BD29" s="88">
        <v>1.1426000000000001</v>
      </c>
      <c r="BE29" s="88">
        <v>1.1637999999999999</v>
      </c>
      <c r="BF29" s="27" t="s">
        <v>59</v>
      </c>
      <c r="BG29" s="26"/>
      <c r="BH29" s="28">
        <v>36861</v>
      </c>
      <c r="BI29" s="80">
        <v>0.9</v>
      </c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89"/>
      <c r="CM29" s="90">
        <v>4</v>
      </c>
      <c r="CN29" s="47">
        <v>0.04</v>
      </c>
      <c r="CO29" s="81"/>
      <c r="CP29"/>
      <c r="CQ29"/>
      <c r="CR29"/>
      <c r="CS29"/>
      <c r="CT29"/>
      <c r="CY29" s="338">
        <f t="shared" si="4"/>
        <v>36861</v>
      </c>
      <c r="CZ29" s="337">
        <f t="shared" si="5"/>
        <v>1</v>
      </c>
      <c r="DA29" s="337">
        <f t="shared" si="6"/>
        <v>1.25</v>
      </c>
      <c r="DB29" s="337">
        <f t="shared" si="7"/>
        <v>1.6</v>
      </c>
      <c r="DD29" s="337">
        <f t="shared" si="8"/>
        <v>0.13930000000000001</v>
      </c>
      <c r="DE29" s="337">
        <f t="shared" si="9"/>
        <v>0.27860000000000001</v>
      </c>
      <c r="DF29" s="337">
        <f t="shared" si="10"/>
        <v>0.41790000000000005</v>
      </c>
      <c r="DH29" s="338">
        <f t="shared" si="11"/>
        <v>36861</v>
      </c>
      <c r="DI29" s="20">
        <v>0.9</v>
      </c>
      <c r="DP29">
        <v>11</v>
      </c>
      <c r="DQ29" s="86" t="s">
        <v>95</v>
      </c>
      <c r="DR29" s="182" t="s">
        <v>96</v>
      </c>
      <c r="DS29" s="87" t="s">
        <v>97</v>
      </c>
      <c r="DT29" s="27"/>
      <c r="DU29" s="93" t="s">
        <v>98</v>
      </c>
      <c r="DY29" s="66"/>
    </row>
    <row r="30" spans="1:134">
      <c r="A30" s="34">
        <f t="shared" ca="1" si="0"/>
        <v>37135</v>
      </c>
      <c r="B30" s="20">
        <f>'Gas Curves'!C34</f>
        <v>6.9328292801126998E-2</v>
      </c>
      <c r="C30" s="20"/>
      <c r="D30" s="75">
        <v>36598</v>
      </c>
      <c r="E30" s="76">
        <v>32.9</v>
      </c>
      <c r="F30" s="76">
        <v>33.25</v>
      </c>
      <c r="G30" s="76">
        <v>33.6</v>
      </c>
      <c r="H30" s="56"/>
      <c r="I30" s="76">
        <v>20.324999999999999</v>
      </c>
      <c r="J30" s="76">
        <v>20.5</v>
      </c>
      <c r="K30" s="76">
        <v>20.675000000000001</v>
      </c>
      <c r="L30" s="27"/>
      <c r="M30" s="28">
        <v>36892</v>
      </c>
      <c r="N30" s="77">
        <v>28.298748779296876</v>
      </c>
      <c r="O30" s="77">
        <v>28.748748779296875</v>
      </c>
      <c r="P30" s="77">
        <v>29.198748779296874</v>
      </c>
      <c r="Q30" s="26"/>
      <c r="R30" s="77">
        <v>24.752500534057617</v>
      </c>
      <c r="S30" s="77">
        <v>27.252500534057617</v>
      </c>
      <c r="T30" s="77">
        <v>29.752500534057617</v>
      </c>
      <c r="U30" s="26"/>
      <c r="V30" s="77">
        <v>1.2</v>
      </c>
      <c r="W30" s="77">
        <v>1.2</v>
      </c>
      <c r="X30" s="77">
        <v>1.2</v>
      </c>
      <c r="Y30" s="26"/>
      <c r="Z30" s="77">
        <v>0.14200000000000002</v>
      </c>
      <c r="AA30" s="77">
        <v>0.28400000000000003</v>
      </c>
      <c r="AB30" s="77">
        <v>0.42600000000000005</v>
      </c>
      <c r="AC30" s="26"/>
      <c r="AD30" s="77">
        <v>3.4300000000000004E-2</v>
      </c>
      <c r="AE30" s="77">
        <v>6.8600000000000008E-2</v>
      </c>
      <c r="AF30" s="77">
        <v>0.10290000000000002</v>
      </c>
      <c r="AG30" s="26"/>
      <c r="AH30" s="77">
        <v>-0.75</v>
      </c>
      <c r="AI30" s="77">
        <v>2</v>
      </c>
      <c r="AJ30" s="77">
        <v>0.75</v>
      </c>
      <c r="AK30" s="26"/>
      <c r="AL30" s="77">
        <v>-0.15</v>
      </c>
      <c r="AM30" s="77">
        <v>0.5</v>
      </c>
      <c r="AN30" s="77">
        <v>0.2</v>
      </c>
      <c r="AO30" s="26"/>
      <c r="AP30" s="27">
        <v>4</v>
      </c>
      <c r="AQ30" s="78">
        <v>0.15</v>
      </c>
      <c r="AR30" s="26"/>
      <c r="AS30" s="27">
        <v>1000</v>
      </c>
      <c r="AT30" s="88">
        <v>1.1961600115620716</v>
      </c>
      <c r="AU30" s="88">
        <v>1.1961600115620716</v>
      </c>
      <c r="AV30" s="88">
        <v>1.1861999999999999</v>
      </c>
      <c r="AW30" s="88">
        <v>1.0937861200445436</v>
      </c>
      <c r="AX30" s="88">
        <v>1.0610266218026732</v>
      </c>
      <c r="AY30" s="88">
        <v>0.85640229836849369</v>
      </c>
      <c r="AZ30" s="88">
        <v>0.77472880286852364</v>
      </c>
      <c r="BA30" s="88">
        <v>0.92931988010301025</v>
      </c>
      <c r="BB30" s="88">
        <v>0.94849211726145832</v>
      </c>
      <c r="BC30" s="88">
        <v>1.1291</v>
      </c>
      <c r="BD30" s="88">
        <v>1.1352</v>
      </c>
      <c r="BE30" s="88">
        <v>1.1578999999999999</v>
      </c>
      <c r="BF30" s="27" t="s">
        <v>59</v>
      </c>
      <c r="BG30" s="26"/>
      <c r="BH30" s="28">
        <v>36892</v>
      </c>
      <c r="BI30" s="80">
        <v>0.9</v>
      </c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89"/>
      <c r="CM30" s="90">
        <v>5</v>
      </c>
      <c r="CN30" s="47">
        <v>0.06</v>
      </c>
      <c r="CO30" s="81"/>
      <c r="CP30"/>
      <c r="CQ30"/>
      <c r="CR30"/>
      <c r="CS30"/>
      <c r="CT30"/>
      <c r="CY30" s="338">
        <f t="shared" si="4"/>
        <v>36892</v>
      </c>
      <c r="CZ30" s="337">
        <f t="shared" si="5"/>
        <v>1.25</v>
      </c>
      <c r="DA30" s="337">
        <f t="shared" si="6"/>
        <v>2</v>
      </c>
      <c r="DB30" s="337">
        <f t="shared" si="7"/>
        <v>2.75</v>
      </c>
      <c r="DD30" s="337">
        <f t="shared" si="8"/>
        <v>0.14200000000000002</v>
      </c>
      <c r="DE30" s="337">
        <f t="shared" si="9"/>
        <v>0.28400000000000003</v>
      </c>
      <c r="DF30" s="337">
        <f t="shared" si="10"/>
        <v>0.42600000000000005</v>
      </c>
      <c r="DH30" s="338">
        <f t="shared" si="11"/>
        <v>36892</v>
      </c>
      <c r="DI30" s="20">
        <v>0.9</v>
      </c>
      <c r="DP30">
        <v>12</v>
      </c>
      <c r="DQ30" s="86" t="s">
        <v>99</v>
      </c>
      <c r="DR30" s="182" t="s">
        <v>100</v>
      </c>
      <c r="DS30" s="87" t="s">
        <v>101</v>
      </c>
      <c r="DT30" s="27"/>
      <c r="DY30" s="66"/>
    </row>
    <row r="31" spans="1:134">
      <c r="A31" s="34">
        <f t="shared" ca="1" si="0"/>
        <v>37165</v>
      </c>
      <c r="B31" s="20">
        <f>'Gas Curves'!C35</f>
        <v>6.9584614191969998E-2</v>
      </c>
      <c r="C31" s="20"/>
      <c r="D31" s="75">
        <v>36599</v>
      </c>
      <c r="E31" s="76">
        <v>32.9</v>
      </c>
      <c r="F31" s="76">
        <v>33.25</v>
      </c>
      <c r="G31" s="76">
        <v>33.6</v>
      </c>
      <c r="H31" s="56"/>
      <c r="I31" s="76">
        <v>20.324999999999999</v>
      </c>
      <c r="J31" s="76">
        <v>20.5</v>
      </c>
      <c r="K31" s="76">
        <v>20.675000000000001</v>
      </c>
      <c r="L31" s="27"/>
      <c r="M31" s="28">
        <v>36923</v>
      </c>
      <c r="N31" s="77">
        <v>27.296250152587891</v>
      </c>
      <c r="O31" s="77">
        <v>27.746250152587891</v>
      </c>
      <c r="P31" s="77">
        <v>28.19625015258789</v>
      </c>
      <c r="Q31" s="26"/>
      <c r="R31" s="77">
        <v>22.747499465942383</v>
      </c>
      <c r="S31" s="77">
        <v>25.247499465942383</v>
      </c>
      <c r="T31" s="77">
        <v>27.747499465942383</v>
      </c>
      <c r="U31" s="26"/>
      <c r="V31" s="77">
        <v>1.2</v>
      </c>
      <c r="W31" s="77">
        <v>1.2</v>
      </c>
      <c r="X31" s="77">
        <v>1.2</v>
      </c>
      <c r="Y31" s="26"/>
      <c r="Z31" s="77">
        <v>0.13700000000000001</v>
      </c>
      <c r="AA31" s="77">
        <v>0.27400000000000002</v>
      </c>
      <c r="AB31" s="77">
        <v>0.41100000000000003</v>
      </c>
      <c r="AC31" s="26"/>
      <c r="AD31" s="77">
        <v>3.4300000000000004E-2</v>
      </c>
      <c r="AE31" s="77">
        <v>6.8600000000000008E-2</v>
      </c>
      <c r="AF31" s="77">
        <v>0.10290000000000002</v>
      </c>
      <c r="AG31" s="26"/>
      <c r="AH31" s="77">
        <v>-0.75</v>
      </c>
      <c r="AI31" s="77">
        <v>2</v>
      </c>
      <c r="AJ31" s="77">
        <v>0.75</v>
      </c>
      <c r="AK31" s="26"/>
      <c r="AL31" s="77">
        <v>-0.15</v>
      </c>
      <c r="AM31" s="77">
        <v>0.5</v>
      </c>
      <c r="AN31" s="77">
        <v>0.2</v>
      </c>
      <c r="AO31" s="26"/>
      <c r="AP31" s="27">
        <v>5</v>
      </c>
      <c r="AQ31" s="78">
        <v>0.15</v>
      </c>
      <c r="AR31" s="26"/>
      <c r="AS31" s="27">
        <v>1100</v>
      </c>
      <c r="AT31" s="88">
        <v>1.1752854504703492</v>
      </c>
      <c r="AU31" s="88">
        <v>1.1752854504703492</v>
      </c>
      <c r="AV31" s="88">
        <v>1.1653</v>
      </c>
      <c r="AW31" s="88">
        <v>1.1163355903593366</v>
      </c>
      <c r="AX31" s="88">
        <v>1.1254998619307197</v>
      </c>
      <c r="AY31" s="88">
        <v>0.98511093402675809</v>
      </c>
      <c r="AZ31" s="88">
        <v>0.88155973155887868</v>
      </c>
      <c r="BA31" s="88">
        <v>1.0488791320133406</v>
      </c>
      <c r="BB31" s="88">
        <v>1.012945635654515</v>
      </c>
      <c r="BC31" s="88">
        <v>1.1227</v>
      </c>
      <c r="BD31" s="88">
        <v>1.1133</v>
      </c>
      <c r="BE31" s="88">
        <v>1.1327</v>
      </c>
      <c r="BF31" s="27" t="s">
        <v>59</v>
      </c>
      <c r="BG31" s="26"/>
      <c r="BH31" s="28">
        <v>36923</v>
      </c>
      <c r="BI31" s="80">
        <v>0.9</v>
      </c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89"/>
      <c r="CM31" s="90">
        <v>6</v>
      </c>
      <c r="CN31" s="47">
        <v>0.08</v>
      </c>
      <c r="CO31" s="81"/>
      <c r="CP31"/>
      <c r="CQ31"/>
      <c r="CR31"/>
      <c r="CS31"/>
      <c r="CT31"/>
      <c r="CY31" s="338">
        <f t="shared" si="4"/>
        <v>36923</v>
      </c>
      <c r="CZ31" s="337">
        <f t="shared" si="5"/>
        <v>1.25</v>
      </c>
      <c r="DA31" s="337">
        <f t="shared" si="6"/>
        <v>2</v>
      </c>
      <c r="DB31" s="337">
        <f t="shared" si="7"/>
        <v>2.75</v>
      </c>
      <c r="DD31" s="337">
        <f t="shared" si="8"/>
        <v>0.13700000000000001</v>
      </c>
      <c r="DE31" s="337">
        <f t="shared" si="9"/>
        <v>0.27400000000000002</v>
      </c>
      <c r="DF31" s="337">
        <f t="shared" si="10"/>
        <v>0.41100000000000003</v>
      </c>
      <c r="DH31" s="338">
        <f t="shared" si="11"/>
        <v>36923</v>
      </c>
      <c r="DI31" s="20">
        <v>0.9</v>
      </c>
      <c r="DP31">
        <v>13</v>
      </c>
      <c r="DQ31" s="86" t="s">
        <v>102</v>
      </c>
      <c r="DR31" s="182" t="s">
        <v>103</v>
      </c>
      <c r="DS31" s="87" t="s">
        <v>104</v>
      </c>
      <c r="DT31" s="27"/>
      <c r="DU31" s="174"/>
      <c r="DV31" s="175"/>
      <c r="DW31" s="176"/>
      <c r="DX31" s="176"/>
      <c r="DY31" s="66"/>
    </row>
    <row r="32" spans="1:134">
      <c r="A32" s="34">
        <f t="shared" ca="1" si="0"/>
        <v>37196</v>
      </c>
      <c r="B32" s="20">
        <f>'Gas Curves'!C36</f>
        <v>6.9813795169925003E-2</v>
      </c>
      <c r="C32" s="20"/>
      <c r="D32" s="75">
        <v>36600</v>
      </c>
      <c r="E32" s="76">
        <v>32.9</v>
      </c>
      <c r="F32" s="76">
        <v>33.25</v>
      </c>
      <c r="G32" s="76">
        <v>33.6</v>
      </c>
      <c r="H32" s="56"/>
      <c r="I32" s="76">
        <v>20.324999999999999</v>
      </c>
      <c r="J32" s="76">
        <v>20.5</v>
      </c>
      <c r="K32" s="76">
        <v>20.675000000000001</v>
      </c>
      <c r="L32" s="27"/>
      <c r="M32" s="28">
        <v>36951</v>
      </c>
      <c r="N32" s="77">
        <v>20.634749603271484</v>
      </c>
      <c r="O32" s="77">
        <v>20.934749603271484</v>
      </c>
      <c r="P32" s="77">
        <v>21.234749603271485</v>
      </c>
      <c r="Q32" s="26"/>
      <c r="R32" s="77">
        <v>18.064498901367188</v>
      </c>
      <c r="S32" s="77">
        <v>20.564498901367188</v>
      </c>
      <c r="T32" s="77">
        <v>23.064498901367188</v>
      </c>
      <c r="U32" s="26"/>
      <c r="V32" s="77">
        <v>0.7</v>
      </c>
      <c r="W32" s="77">
        <v>0.7</v>
      </c>
      <c r="X32" s="77">
        <v>0.7</v>
      </c>
      <c r="Y32" s="26"/>
      <c r="Z32" s="77">
        <v>0.1335375</v>
      </c>
      <c r="AA32" s="77">
        <v>0.26707500000000001</v>
      </c>
      <c r="AB32" s="77">
        <v>0.40061250000000004</v>
      </c>
      <c r="AC32" s="26"/>
      <c r="AD32" s="77">
        <v>2.9399999999999999E-2</v>
      </c>
      <c r="AE32" s="77">
        <v>5.8799999999999998E-2</v>
      </c>
      <c r="AF32" s="77">
        <v>8.8200000000000001E-2</v>
      </c>
      <c r="AG32" s="26"/>
      <c r="AH32" s="77">
        <v>-0.25</v>
      </c>
      <c r="AI32" s="77">
        <v>1.3</v>
      </c>
      <c r="AJ32" s="77">
        <v>0.3</v>
      </c>
      <c r="AK32" s="26"/>
      <c r="AL32" s="77">
        <v>-0.15</v>
      </c>
      <c r="AM32" s="77">
        <v>0.35</v>
      </c>
      <c r="AN32" s="77">
        <v>0.2</v>
      </c>
      <c r="AO32" s="26"/>
      <c r="AP32" s="27">
        <v>5</v>
      </c>
      <c r="AQ32" s="78">
        <v>0.15</v>
      </c>
      <c r="AR32" s="26"/>
      <c r="AS32" s="27">
        <v>1200</v>
      </c>
      <c r="AT32" s="88">
        <v>0.88039999999999996</v>
      </c>
      <c r="AU32" s="88">
        <v>0.88039999999999996</v>
      </c>
      <c r="AV32" s="88">
        <v>0.89039999999999997</v>
      </c>
      <c r="AW32" s="88">
        <v>1.1185245467924647</v>
      </c>
      <c r="AX32" s="88">
        <v>1.1169907033351396</v>
      </c>
      <c r="AY32" s="88">
        <v>1.0624166422010652</v>
      </c>
      <c r="AZ32" s="88">
        <v>1.0539439364924221</v>
      </c>
      <c r="BA32" s="88">
        <v>1.0933254527800058</v>
      </c>
      <c r="BB32" s="88">
        <v>1.0793034625455484</v>
      </c>
      <c r="BC32" s="88">
        <v>0.94740000000000002</v>
      </c>
      <c r="BD32" s="88">
        <v>0.93740000000000001</v>
      </c>
      <c r="BE32" s="88">
        <v>0.9204</v>
      </c>
      <c r="BF32" s="27" t="s">
        <v>59</v>
      </c>
      <c r="BG32" s="26"/>
      <c r="BH32" s="28">
        <v>36951</v>
      </c>
      <c r="BI32" s="80">
        <v>0.9</v>
      </c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89"/>
      <c r="CM32" s="90">
        <v>7</v>
      </c>
      <c r="CN32" s="47">
        <v>0.1</v>
      </c>
      <c r="CO32" s="81"/>
      <c r="CP32"/>
      <c r="CQ32"/>
      <c r="CR32"/>
      <c r="CS32"/>
      <c r="CT32"/>
      <c r="CY32" s="338">
        <f t="shared" si="4"/>
        <v>36951</v>
      </c>
      <c r="CZ32" s="337">
        <f t="shared" si="5"/>
        <v>1.05</v>
      </c>
      <c r="DA32" s="337">
        <f t="shared" si="6"/>
        <v>1.3</v>
      </c>
      <c r="DB32" s="337">
        <f t="shared" si="7"/>
        <v>1.6</v>
      </c>
      <c r="DD32" s="337">
        <f t="shared" si="8"/>
        <v>0.1335375</v>
      </c>
      <c r="DE32" s="337">
        <f t="shared" si="9"/>
        <v>0.26707500000000001</v>
      </c>
      <c r="DF32" s="337">
        <f t="shared" si="10"/>
        <v>0.40061250000000004</v>
      </c>
      <c r="DH32" s="338">
        <f t="shared" si="11"/>
        <v>36951</v>
      </c>
      <c r="DI32" s="20">
        <v>0.9</v>
      </c>
      <c r="DP32">
        <v>14</v>
      </c>
      <c r="DQ32" s="86" t="s">
        <v>107</v>
      </c>
      <c r="DR32" s="182" t="s">
        <v>108</v>
      </c>
      <c r="DS32" s="87" t="s">
        <v>109</v>
      </c>
      <c r="DT32" s="27"/>
      <c r="DU32" s="116"/>
      <c r="DV32" s="117"/>
      <c r="DW32" s="2"/>
      <c r="DX32" s="26"/>
      <c r="DY32" s="66"/>
    </row>
    <row r="33" spans="1:129" ht="13.5" thickBot="1">
      <c r="A33" s="34">
        <f t="shared" ca="1" si="0"/>
        <v>37226</v>
      </c>
      <c r="B33" s="20">
        <f>'Gas Curves'!C37</f>
        <v>7.0035583229644996E-2</v>
      </c>
      <c r="C33" s="20"/>
      <c r="D33" s="75">
        <v>36601</v>
      </c>
      <c r="E33" s="76">
        <v>32.9</v>
      </c>
      <c r="F33" s="76">
        <v>33.25</v>
      </c>
      <c r="G33" s="76">
        <v>33.6</v>
      </c>
      <c r="H33" s="56"/>
      <c r="I33" s="76">
        <v>20.324999999999999</v>
      </c>
      <c r="J33" s="76">
        <v>20.5</v>
      </c>
      <c r="K33" s="76">
        <v>20.675000000000001</v>
      </c>
      <c r="L33" s="27"/>
      <c r="M33" s="28">
        <v>36982</v>
      </c>
      <c r="N33" s="77">
        <v>21.430000305175781</v>
      </c>
      <c r="O33" s="77">
        <v>21.617500305175781</v>
      </c>
      <c r="P33" s="77">
        <v>21.805000305175781</v>
      </c>
      <c r="Q33" s="26"/>
      <c r="R33" s="77">
        <v>17.834999084472656</v>
      </c>
      <c r="S33" s="77">
        <v>20.334999084472656</v>
      </c>
      <c r="T33" s="77">
        <v>22.834999084472656</v>
      </c>
      <c r="U33" s="26"/>
      <c r="V33" s="77">
        <v>0.7</v>
      </c>
      <c r="W33" s="77">
        <v>0.7</v>
      </c>
      <c r="X33" s="77">
        <v>0.7</v>
      </c>
      <c r="Y33" s="26"/>
      <c r="Z33" s="77">
        <v>0.11902500000000001</v>
      </c>
      <c r="AA33" s="77">
        <v>0.23805000000000001</v>
      </c>
      <c r="AB33" s="77">
        <v>0.35707500000000003</v>
      </c>
      <c r="AC33" s="26"/>
      <c r="AD33" s="77">
        <v>2.9399999999999999E-2</v>
      </c>
      <c r="AE33" s="77">
        <v>5.8799999999999998E-2</v>
      </c>
      <c r="AF33" s="77">
        <v>8.8200000000000001E-2</v>
      </c>
      <c r="AG33" s="26"/>
      <c r="AH33" s="77">
        <v>-0.25</v>
      </c>
      <c r="AI33" s="77">
        <v>1.1000000000000001</v>
      </c>
      <c r="AJ33" s="77">
        <v>0.3</v>
      </c>
      <c r="AK33" s="26"/>
      <c r="AL33" s="77">
        <v>-0.15</v>
      </c>
      <c r="AM33" s="77">
        <v>0.35</v>
      </c>
      <c r="AN33" s="77">
        <v>0.2</v>
      </c>
      <c r="AO33" s="26"/>
      <c r="AP33" s="27">
        <v>5</v>
      </c>
      <c r="AQ33" s="78">
        <v>0.15</v>
      </c>
      <c r="AR33" s="26"/>
      <c r="AS33" s="27">
        <v>1300</v>
      </c>
      <c r="AT33" s="88">
        <v>0.8548</v>
      </c>
      <c r="AU33" s="88">
        <v>0.8548</v>
      </c>
      <c r="AV33" s="88">
        <v>0.86480000000000001</v>
      </c>
      <c r="AW33" s="88">
        <v>1.0164322625621052</v>
      </c>
      <c r="AX33" s="88">
        <v>1.0525174632070931</v>
      </c>
      <c r="AY33" s="88">
        <v>1.1040221448643206</v>
      </c>
      <c r="AZ33" s="88">
        <v>1.1615931446365755</v>
      </c>
      <c r="BA33" s="88">
        <v>1.0846793599864903</v>
      </c>
      <c r="BB33" s="88">
        <v>1.0205628696464217</v>
      </c>
      <c r="BC33" s="88">
        <v>0.88990000000000002</v>
      </c>
      <c r="BD33" s="88">
        <v>0.88290000000000002</v>
      </c>
      <c r="BE33" s="88">
        <v>0.87490000000000001</v>
      </c>
      <c r="BF33" s="27" t="s">
        <v>59</v>
      </c>
      <c r="BG33" s="26"/>
      <c r="BH33" s="28">
        <v>36982</v>
      </c>
      <c r="BI33" s="80">
        <v>0.9</v>
      </c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I33"/>
      <c r="CJ33"/>
      <c r="CK33"/>
      <c r="CM33" s="90">
        <v>8</v>
      </c>
      <c r="CN33" s="47">
        <v>0.12</v>
      </c>
      <c r="CO33" s="81"/>
      <c r="CP33"/>
      <c r="CQ33"/>
      <c r="CR33"/>
      <c r="CS33"/>
      <c r="CT33"/>
      <c r="CY33" s="338">
        <f t="shared" si="4"/>
        <v>36982</v>
      </c>
      <c r="CZ33" s="337">
        <f t="shared" si="5"/>
        <v>0.85000000000000009</v>
      </c>
      <c r="DA33" s="337">
        <f t="shared" si="6"/>
        <v>1.1000000000000001</v>
      </c>
      <c r="DB33" s="337">
        <f t="shared" si="7"/>
        <v>1.4000000000000001</v>
      </c>
      <c r="DD33" s="337">
        <f t="shared" si="8"/>
        <v>0.11902500000000001</v>
      </c>
      <c r="DE33" s="337">
        <f t="shared" si="9"/>
        <v>0.23805000000000001</v>
      </c>
      <c r="DF33" s="337">
        <f t="shared" si="10"/>
        <v>0.35707500000000003</v>
      </c>
      <c r="DH33" s="338">
        <f t="shared" si="11"/>
        <v>36982</v>
      </c>
      <c r="DI33" s="20">
        <v>0.9</v>
      </c>
      <c r="DP33">
        <v>15</v>
      </c>
      <c r="DQ33" s="86" t="s">
        <v>112</v>
      </c>
      <c r="DR33" s="182" t="s">
        <v>113</v>
      </c>
      <c r="DS33" s="87" t="s">
        <v>114</v>
      </c>
      <c r="DT33" s="27"/>
      <c r="DU33" s="116"/>
      <c r="DV33" s="117"/>
      <c r="DW33" s="2"/>
      <c r="DX33" s="26"/>
      <c r="DY33" s="66"/>
    </row>
    <row r="34" spans="1:129" ht="13.5" thickBot="1">
      <c r="A34" s="34">
        <f t="shared" ca="1" si="0"/>
        <v>37257</v>
      </c>
      <c r="B34" s="20">
        <f>'Gas Curves'!C38</f>
        <v>7.0252861138366998E-2</v>
      </c>
      <c r="C34" s="20"/>
      <c r="D34" s="75">
        <v>36602</v>
      </c>
      <c r="E34" s="76">
        <v>32.9</v>
      </c>
      <c r="F34" s="76">
        <v>33.25</v>
      </c>
      <c r="G34" s="76">
        <v>33.6</v>
      </c>
      <c r="H34" s="56"/>
      <c r="I34" s="76">
        <v>20.324999999999999</v>
      </c>
      <c r="J34" s="76">
        <v>20.5</v>
      </c>
      <c r="K34" s="76">
        <v>20.675000000000001</v>
      </c>
      <c r="L34" s="27"/>
      <c r="M34" s="28">
        <v>37012</v>
      </c>
      <c r="N34" s="77">
        <v>21.132500076293944</v>
      </c>
      <c r="O34" s="77">
        <v>21.732500076293945</v>
      </c>
      <c r="P34" s="77">
        <v>22.332500076293947</v>
      </c>
      <c r="Q34" s="26"/>
      <c r="R34" s="77">
        <v>18.364999771118164</v>
      </c>
      <c r="S34" s="77">
        <v>20.864999771118164</v>
      </c>
      <c r="T34" s="77">
        <v>23.364999771118164</v>
      </c>
      <c r="U34" s="26"/>
      <c r="V34" s="77">
        <v>0.7</v>
      </c>
      <c r="W34" s="77">
        <v>0.7</v>
      </c>
      <c r="X34" s="77">
        <v>0.7</v>
      </c>
      <c r="Y34" s="26"/>
      <c r="Z34" s="77">
        <v>0.13702500000000001</v>
      </c>
      <c r="AA34" s="77">
        <v>0.27405000000000002</v>
      </c>
      <c r="AB34" s="77">
        <v>0.41107500000000002</v>
      </c>
      <c r="AC34" s="26"/>
      <c r="AD34" s="77">
        <v>3.4300000000000004E-2</v>
      </c>
      <c r="AE34" s="77">
        <v>6.8600000000000008E-2</v>
      </c>
      <c r="AF34" s="77">
        <v>0.10290000000000002</v>
      </c>
      <c r="AG34" s="26"/>
      <c r="AH34" s="77">
        <v>-0.25</v>
      </c>
      <c r="AI34" s="77">
        <v>1.1000000000000001</v>
      </c>
      <c r="AJ34" s="77">
        <v>0.3</v>
      </c>
      <c r="AK34" s="26"/>
      <c r="AL34" s="77">
        <v>-0.15</v>
      </c>
      <c r="AM34" s="77">
        <v>0.5</v>
      </c>
      <c r="AN34" s="77">
        <v>0.2</v>
      </c>
      <c r="AO34" s="26"/>
      <c r="AP34" s="27">
        <v>6</v>
      </c>
      <c r="AQ34" s="78">
        <v>0.15</v>
      </c>
      <c r="AR34" s="26"/>
      <c r="AS34" s="27">
        <v>1400</v>
      </c>
      <c r="AT34" s="88">
        <v>0.82720000000000005</v>
      </c>
      <c r="AU34" s="88">
        <v>0.82720000000000005</v>
      </c>
      <c r="AV34" s="88">
        <v>0.83720000000000006</v>
      </c>
      <c r="AW34" s="88">
        <v>1.0175267407786688</v>
      </c>
      <c r="AX34" s="88">
        <v>1.0575902308313812</v>
      </c>
      <c r="AY34" s="88">
        <v>1.2209201862181771</v>
      </c>
      <c r="AZ34" s="88">
        <v>1.2006887185402797</v>
      </c>
      <c r="BA34" s="88">
        <v>1.1907290919069531</v>
      </c>
      <c r="BB34" s="88">
        <v>1.1047918993646206</v>
      </c>
      <c r="BC34" s="88">
        <v>0.86519999999999997</v>
      </c>
      <c r="BD34" s="88">
        <v>0.85919999999999996</v>
      </c>
      <c r="BE34" s="88">
        <v>0.83720000000000006</v>
      </c>
      <c r="BF34" s="27" t="s">
        <v>59</v>
      </c>
      <c r="BG34" s="26"/>
      <c r="BH34" s="28">
        <v>37012</v>
      </c>
      <c r="BI34" s="80">
        <v>0.9</v>
      </c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I34" s="103" t="s">
        <v>117</v>
      </c>
      <c r="CJ34" s="37"/>
      <c r="CK34" s="38"/>
      <c r="CM34" s="90">
        <v>9</v>
      </c>
      <c r="CN34" s="47">
        <v>0.14000000000000001</v>
      </c>
      <c r="CO34" s="81"/>
      <c r="CP34"/>
      <c r="CQ34"/>
      <c r="CR34"/>
      <c r="CS34"/>
      <c r="CT34"/>
      <c r="CY34" s="338">
        <f t="shared" si="4"/>
        <v>37012</v>
      </c>
      <c r="CZ34" s="337">
        <f t="shared" si="5"/>
        <v>0.85000000000000009</v>
      </c>
      <c r="DA34" s="337">
        <f t="shared" si="6"/>
        <v>1.1000000000000001</v>
      </c>
      <c r="DB34" s="337">
        <f t="shared" si="7"/>
        <v>1.4000000000000001</v>
      </c>
      <c r="DD34" s="337">
        <f t="shared" si="8"/>
        <v>0.13702500000000001</v>
      </c>
      <c r="DE34" s="337">
        <f t="shared" si="9"/>
        <v>0.27405000000000002</v>
      </c>
      <c r="DF34" s="337">
        <f t="shared" si="10"/>
        <v>0.41107500000000002</v>
      </c>
      <c r="DH34" s="338">
        <f t="shared" si="11"/>
        <v>37012</v>
      </c>
      <c r="DI34" s="20">
        <v>0.9</v>
      </c>
      <c r="DP34">
        <v>16</v>
      </c>
      <c r="DQ34" s="86" t="s">
        <v>118</v>
      </c>
      <c r="DR34" s="182" t="s">
        <v>119</v>
      </c>
      <c r="DS34" s="87" t="s">
        <v>120</v>
      </c>
      <c r="DT34" s="27"/>
      <c r="DU34" s="116"/>
      <c r="DV34" s="117"/>
      <c r="DW34" s="2"/>
      <c r="DX34" s="26"/>
      <c r="DY34" s="66"/>
    </row>
    <row r="35" spans="1:129" ht="13.5" thickBot="1">
      <c r="A35" s="34">
        <f t="shared" ca="1" si="0"/>
        <v>37288</v>
      </c>
      <c r="B35" s="20">
        <f>'Gas Curves'!C39</f>
        <v>7.0453657841486009E-2</v>
      </c>
      <c r="C35" s="20"/>
      <c r="D35" s="75">
        <v>36603</v>
      </c>
      <c r="E35" s="76">
        <v>32.9</v>
      </c>
      <c r="F35" s="76">
        <v>33.25</v>
      </c>
      <c r="G35" s="76">
        <v>33.6</v>
      </c>
      <c r="H35" s="56"/>
      <c r="I35" s="76">
        <v>20.324999999999999</v>
      </c>
      <c r="J35" s="76">
        <v>20.5</v>
      </c>
      <c r="K35" s="76">
        <v>20.675000000000001</v>
      </c>
      <c r="L35" s="27"/>
      <c r="M35" s="28">
        <v>37043</v>
      </c>
      <c r="N35" s="77">
        <v>24.583750152587889</v>
      </c>
      <c r="O35" s="77">
        <v>26.308750152587891</v>
      </c>
      <c r="P35" s="77">
        <v>28.033750152587892</v>
      </c>
      <c r="Q35" s="26"/>
      <c r="R35" s="77">
        <v>17.292499542236328</v>
      </c>
      <c r="S35" s="77">
        <v>19.792499542236328</v>
      </c>
      <c r="T35" s="77">
        <v>22.292499542236328</v>
      </c>
      <c r="U35" s="26"/>
      <c r="V35" s="77">
        <v>0.7</v>
      </c>
      <c r="W35" s="77">
        <v>0.7</v>
      </c>
      <c r="X35" s="77">
        <v>0.7</v>
      </c>
      <c r="Y35" s="26"/>
      <c r="Z35" s="77">
        <v>0.17178750000000001</v>
      </c>
      <c r="AA35" s="77">
        <v>0.34357500000000002</v>
      </c>
      <c r="AB35" s="77">
        <v>0.51536250000000006</v>
      </c>
      <c r="AC35" s="26"/>
      <c r="AD35" s="77">
        <v>4.41E-2</v>
      </c>
      <c r="AE35" s="77">
        <v>8.8200000000000001E-2</v>
      </c>
      <c r="AF35" s="77">
        <v>0.1323</v>
      </c>
      <c r="AG35" s="26"/>
      <c r="AH35" s="77">
        <v>-0.35</v>
      </c>
      <c r="AI35" s="77">
        <v>2.25</v>
      </c>
      <c r="AJ35" s="77">
        <v>0.3</v>
      </c>
      <c r="AK35" s="26"/>
      <c r="AL35" s="77">
        <v>-0.15</v>
      </c>
      <c r="AM35" s="77">
        <v>0.65</v>
      </c>
      <c r="AN35" s="77">
        <v>0.2</v>
      </c>
      <c r="AO35" s="26"/>
      <c r="AP35" s="27">
        <v>6</v>
      </c>
      <c r="AQ35" s="78">
        <v>0.15</v>
      </c>
      <c r="AR35" s="26"/>
      <c r="AS35" s="27">
        <v>1500</v>
      </c>
      <c r="AT35" s="88">
        <v>0.78510000000000002</v>
      </c>
      <c r="AU35" s="88">
        <v>0.78510000000000002</v>
      </c>
      <c r="AV35" s="88">
        <v>0.79510000000000003</v>
      </c>
      <c r="AW35" s="88">
        <v>0.95436890957577869</v>
      </c>
      <c r="AX35" s="88">
        <v>1.0258445237632567</v>
      </c>
      <c r="AY35" s="88">
        <v>1.2303149771421382</v>
      </c>
      <c r="AZ35" s="88">
        <v>1.2506946851612968</v>
      </c>
      <c r="BA35" s="88">
        <v>1.26057331025457</v>
      </c>
      <c r="BB35" s="88">
        <v>1.087360152344681</v>
      </c>
      <c r="BC35" s="88">
        <v>0.84509999999999996</v>
      </c>
      <c r="BD35" s="88">
        <v>0.83909999999999996</v>
      </c>
      <c r="BE35" s="88">
        <v>0.79510000000000003</v>
      </c>
      <c r="BF35" s="27" t="s">
        <v>59</v>
      </c>
      <c r="BG35" s="26"/>
      <c r="BH35" s="28">
        <v>37043</v>
      </c>
      <c r="BI35" s="80">
        <v>0.9</v>
      </c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I35" s="44" t="s">
        <v>29</v>
      </c>
      <c r="CJ35" s="31" t="s">
        <v>30</v>
      </c>
      <c r="CK35" s="45" t="s">
        <v>31</v>
      </c>
      <c r="CM35" s="104">
        <v>10</v>
      </c>
      <c r="CN35" s="105">
        <v>0.16</v>
      </c>
      <c r="CO35" s="81"/>
      <c r="CP35"/>
      <c r="CQ35"/>
      <c r="CR35"/>
      <c r="CS35"/>
      <c r="CT35"/>
      <c r="CY35" s="338">
        <f t="shared" si="4"/>
        <v>37043</v>
      </c>
      <c r="CZ35" s="337">
        <f t="shared" si="5"/>
        <v>1.9</v>
      </c>
      <c r="DA35" s="337">
        <f t="shared" si="6"/>
        <v>2.25</v>
      </c>
      <c r="DB35" s="337">
        <f t="shared" si="7"/>
        <v>2.5499999999999998</v>
      </c>
      <c r="DD35" s="337">
        <f t="shared" si="8"/>
        <v>0.17178750000000001</v>
      </c>
      <c r="DE35" s="337">
        <f t="shared" si="9"/>
        <v>0.34357500000000002</v>
      </c>
      <c r="DF35" s="337">
        <f t="shared" si="10"/>
        <v>0.51536250000000006</v>
      </c>
      <c r="DH35" s="338">
        <f t="shared" si="11"/>
        <v>37043</v>
      </c>
      <c r="DI35" s="20">
        <v>0.9</v>
      </c>
      <c r="DP35">
        <v>17</v>
      </c>
      <c r="DQ35" s="86" t="s">
        <v>123</v>
      </c>
      <c r="DR35" s="182" t="s">
        <v>124</v>
      </c>
      <c r="DS35" s="87" t="s">
        <v>125</v>
      </c>
      <c r="DT35" s="27"/>
      <c r="DU35" s="116"/>
      <c r="DV35" s="117"/>
      <c r="DW35" s="2"/>
      <c r="DX35" s="26"/>
      <c r="DY35" s="66"/>
    </row>
    <row r="36" spans="1:129" ht="13.5" thickBot="1">
      <c r="A36" s="34">
        <f t="shared" ca="1" si="0"/>
        <v>37316</v>
      </c>
      <c r="B36" s="20">
        <f>'Gas Curves'!C40</f>
        <v>7.0635022617049001E-2</v>
      </c>
      <c r="C36" s="20"/>
      <c r="D36" s="75">
        <v>36604</v>
      </c>
      <c r="E36" s="76">
        <v>32.9</v>
      </c>
      <c r="F36" s="76">
        <v>33.25</v>
      </c>
      <c r="G36" s="76">
        <v>33.6</v>
      </c>
      <c r="H36" s="56"/>
      <c r="I36" s="76">
        <v>20.324999999999999</v>
      </c>
      <c r="J36" s="76">
        <v>20.5</v>
      </c>
      <c r="K36" s="76">
        <v>20.675000000000001</v>
      </c>
      <c r="L36" s="27"/>
      <c r="M36" s="28">
        <v>37073</v>
      </c>
      <c r="N36" s="77">
        <v>38.511249542236328</v>
      </c>
      <c r="O36" s="77">
        <v>40.761249542236328</v>
      </c>
      <c r="P36" s="77">
        <v>43.011249542236328</v>
      </c>
      <c r="Q36" s="26"/>
      <c r="R36" s="77">
        <v>27.747499465942383</v>
      </c>
      <c r="S36" s="77">
        <v>30.247499465942383</v>
      </c>
      <c r="T36" s="77">
        <v>32.747499465942383</v>
      </c>
      <c r="U36" s="26"/>
      <c r="V36" s="77">
        <v>0.7</v>
      </c>
      <c r="W36" s="77">
        <v>0.7</v>
      </c>
      <c r="X36" s="77">
        <v>0.7</v>
      </c>
      <c r="Y36" s="26"/>
      <c r="Z36" s="77">
        <v>0.20328750000000001</v>
      </c>
      <c r="AA36" s="77">
        <v>0.40657500000000002</v>
      </c>
      <c r="AB36" s="77">
        <v>0.60986249999999997</v>
      </c>
      <c r="AC36" s="26"/>
      <c r="AD36" s="77">
        <v>5.8799999999999998E-2</v>
      </c>
      <c r="AE36" s="77">
        <v>0.1176</v>
      </c>
      <c r="AF36" s="77">
        <v>0.1764</v>
      </c>
      <c r="AG36" s="26"/>
      <c r="AH36" s="77">
        <v>-0.35</v>
      </c>
      <c r="AI36" s="77">
        <v>3.75</v>
      </c>
      <c r="AJ36" s="77">
        <v>0.5</v>
      </c>
      <c r="AK36" s="26"/>
      <c r="AL36" s="77">
        <v>-0.15</v>
      </c>
      <c r="AM36" s="77">
        <v>0.75</v>
      </c>
      <c r="AN36" s="77">
        <v>0.2</v>
      </c>
      <c r="AO36" s="26"/>
      <c r="AP36" s="27">
        <v>6</v>
      </c>
      <c r="AQ36" s="78">
        <v>0.15</v>
      </c>
      <c r="AR36" s="26"/>
      <c r="AS36" s="27">
        <v>1600</v>
      </c>
      <c r="AT36" s="88">
        <v>0.76929999999999998</v>
      </c>
      <c r="AU36" s="88">
        <v>0.76929999999999998</v>
      </c>
      <c r="AV36" s="88">
        <v>0.77929999999999999</v>
      </c>
      <c r="AW36" s="88">
        <v>0.89196755596374933</v>
      </c>
      <c r="AX36" s="88">
        <v>0.98591693343015174</v>
      </c>
      <c r="AY36" s="88">
        <v>1.2323281466258438</v>
      </c>
      <c r="AZ36" s="88">
        <v>1.3273401940004199</v>
      </c>
      <c r="BA36" s="88">
        <v>1.2430109342677418</v>
      </c>
      <c r="BB36" s="88">
        <v>1.0533755699192509</v>
      </c>
      <c r="BC36" s="88">
        <v>0.83930000000000005</v>
      </c>
      <c r="BD36" s="88">
        <v>0.82530000000000003</v>
      </c>
      <c r="BE36" s="88">
        <v>0.78129999999999999</v>
      </c>
      <c r="BF36" s="27" t="s">
        <v>59</v>
      </c>
      <c r="BG36" s="26"/>
      <c r="BH36" s="28">
        <v>37073</v>
      </c>
      <c r="BI36" s="80">
        <v>0.9</v>
      </c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I36" s="57" t="s">
        <v>32</v>
      </c>
      <c r="CJ36" s="58" t="s">
        <v>32</v>
      </c>
      <c r="CK36" s="59" t="s">
        <v>32</v>
      </c>
      <c r="CM36" s="106"/>
      <c r="CN36" s="106"/>
      <c r="CO36" s="81"/>
      <c r="CP36"/>
      <c r="CQ36"/>
      <c r="CR36"/>
      <c r="CS36"/>
      <c r="CT36"/>
      <c r="CY36" s="338">
        <f t="shared" si="4"/>
        <v>37073</v>
      </c>
      <c r="CZ36" s="337">
        <f t="shared" si="5"/>
        <v>3.4</v>
      </c>
      <c r="DA36" s="337">
        <f t="shared" si="6"/>
        <v>3.75</v>
      </c>
      <c r="DB36" s="337">
        <f t="shared" si="7"/>
        <v>4.25</v>
      </c>
      <c r="DD36" s="337">
        <f t="shared" si="8"/>
        <v>0.20328750000000001</v>
      </c>
      <c r="DE36" s="337">
        <f t="shared" si="9"/>
        <v>0.40657500000000002</v>
      </c>
      <c r="DF36" s="337">
        <f t="shared" si="10"/>
        <v>0.60986249999999997</v>
      </c>
      <c r="DH36" s="338">
        <f t="shared" si="11"/>
        <v>37073</v>
      </c>
      <c r="DI36" s="20">
        <v>0.9</v>
      </c>
      <c r="DP36">
        <v>18</v>
      </c>
      <c r="DQ36" s="86" t="s">
        <v>128</v>
      </c>
      <c r="DR36" s="182" t="s">
        <v>129</v>
      </c>
      <c r="DS36" s="87" t="s">
        <v>130</v>
      </c>
      <c r="DT36" s="27"/>
      <c r="DU36" s="116"/>
      <c r="DV36" s="117"/>
      <c r="DW36" s="2"/>
      <c r="DX36" s="26"/>
      <c r="DY36" s="66"/>
    </row>
    <row r="37" spans="1:129" ht="13.5" thickBot="1">
      <c r="A37" s="34">
        <f t="shared" ca="1" si="0"/>
        <v>37347</v>
      </c>
      <c r="B37" s="20">
        <f>'Gas Curves'!C41</f>
        <v>7.0812521572685999E-2</v>
      </c>
      <c r="C37" s="20"/>
      <c r="D37" s="75">
        <v>36605</v>
      </c>
      <c r="E37" s="76">
        <v>32.9</v>
      </c>
      <c r="F37" s="76">
        <v>33.25</v>
      </c>
      <c r="G37" s="76">
        <v>33.6</v>
      </c>
      <c r="H37" s="56"/>
      <c r="I37" s="76">
        <v>20.324999999999999</v>
      </c>
      <c r="J37" s="76">
        <v>20.5</v>
      </c>
      <c r="K37" s="76">
        <v>20.675000000000001</v>
      </c>
      <c r="L37" s="27"/>
      <c r="M37" s="28">
        <v>37104</v>
      </c>
      <c r="N37" s="77">
        <v>40.772499084472656</v>
      </c>
      <c r="O37" s="77">
        <v>43.022499084472656</v>
      </c>
      <c r="P37" s="77">
        <v>45.272499084472656</v>
      </c>
      <c r="Q37" s="26"/>
      <c r="R37" s="77">
        <v>29.245000839233398</v>
      </c>
      <c r="S37" s="77">
        <v>31.745000839233398</v>
      </c>
      <c r="T37" s="77">
        <v>34.245000839233398</v>
      </c>
      <c r="U37" s="26"/>
      <c r="V37" s="77">
        <v>0.7</v>
      </c>
      <c r="W37" s="77">
        <v>0.7</v>
      </c>
      <c r="X37" s="77">
        <v>0.7</v>
      </c>
      <c r="Y37" s="26"/>
      <c r="Z37" s="77">
        <v>0.20002500000000001</v>
      </c>
      <c r="AA37" s="77">
        <v>0.40005000000000002</v>
      </c>
      <c r="AB37" s="77">
        <v>0.60007500000000003</v>
      </c>
      <c r="AC37" s="26"/>
      <c r="AD37" s="77">
        <v>5.8799999999999998E-2</v>
      </c>
      <c r="AE37" s="77">
        <v>0.1176</v>
      </c>
      <c r="AF37" s="77">
        <v>0.1764</v>
      </c>
      <c r="AG37" s="26"/>
      <c r="AH37" s="77">
        <v>-0.35</v>
      </c>
      <c r="AI37" s="77">
        <v>3.75</v>
      </c>
      <c r="AJ37" s="77">
        <v>0.5</v>
      </c>
      <c r="AK37" s="26"/>
      <c r="AL37" s="77">
        <v>-0.15</v>
      </c>
      <c r="AM37" s="77">
        <v>0.75</v>
      </c>
      <c r="AN37" s="77">
        <v>0.2</v>
      </c>
      <c r="AO37" s="26"/>
      <c r="AP37" s="27">
        <v>7</v>
      </c>
      <c r="AQ37" s="78">
        <v>0.2</v>
      </c>
      <c r="AR37" s="26"/>
      <c r="AS37" s="27">
        <v>1700</v>
      </c>
      <c r="AT37" s="88">
        <v>0.83960000000000001</v>
      </c>
      <c r="AU37" s="88">
        <v>0.83960000000000001</v>
      </c>
      <c r="AV37" s="88">
        <v>0.84960000000000002</v>
      </c>
      <c r="AW37" s="88">
        <v>0.87001361056090987</v>
      </c>
      <c r="AX37" s="88">
        <v>0.9993352219847198</v>
      </c>
      <c r="AY37" s="88">
        <v>1.2523256301639896</v>
      </c>
      <c r="AZ37" s="88">
        <v>1.3538888162792144</v>
      </c>
      <c r="BA37" s="88">
        <v>1.2150462278887151</v>
      </c>
      <c r="BB37" s="88">
        <v>1.1345284089868721</v>
      </c>
      <c r="BC37" s="88">
        <v>0.88959999999999995</v>
      </c>
      <c r="BD37" s="88">
        <v>0.88660000000000005</v>
      </c>
      <c r="BE37" s="88">
        <v>0.87960000000000005</v>
      </c>
      <c r="BF37" s="27" t="s">
        <v>59</v>
      </c>
      <c r="BG37" s="26"/>
      <c r="BH37" s="28">
        <v>37104</v>
      </c>
      <c r="BI37" s="80">
        <v>0.9</v>
      </c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I37" s="68">
        <f t="shared" ref="CI37:CI48" si="12">BG37</f>
        <v>0</v>
      </c>
      <c r="CJ37" s="107">
        <f t="shared" ref="CJ37:CJ48" si="13">CI37+BE37</f>
        <v>0.87960000000000005</v>
      </c>
      <c r="CK37" s="108">
        <f t="shared" ref="CK37:CK48" si="14">CI37+BF37</f>
        <v>1</v>
      </c>
      <c r="CM37" s="106"/>
      <c r="CN37" s="106"/>
      <c r="CO37" s="81"/>
      <c r="CP37"/>
      <c r="CQ37"/>
      <c r="CR37"/>
      <c r="CS37"/>
      <c r="CT37"/>
      <c r="CY37" s="338">
        <f t="shared" si="4"/>
        <v>37104</v>
      </c>
      <c r="CZ37" s="337">
        <f t="shared" si="5"/>
        <v>3.4</v>
      </c>
      <c r="DA37" s="337">
        <f t="shared" si="6"/>
        <v>3.75</v>
      </c>
      <c r="DB37" s="337">
        <f t="shared" si="7"/>
        <v>4.25</v>
      </c>
      <c r="DD37" s="337">
        <f t="shared" si="8"/>
        <v>0.20002500000000001</v>
      </c>
      <c r="DE37" s="337">
        <f t="shared" si="9"/>
        <v>0.40005000000000002</v>
      </c>
      <c r="DF37" s="337">
        <f t="shared" si="10"/>
        <v>0.60007500000000003</v>
      </c>
      <c r="DH37" s="338">
        <f t="shared" si="11"/>
        <v>37104</v>
      </c>
      <c r="DI37" s="20">
        <v>0.9</v>
      </c>
      <c r="DP37">
        <v>19</v>
      </c>
      <c r="DQ37" s="86" t="s">
        <v>133</v>
      </c>
      <c r="DR37" s="182" t="s">
        <v>134</v>
      </c>
      <c r="DS37" s="87" t="s">
        <v>135</v>
      </c>
      <c r="DT37" s="27"/>
      <c r="DU37" s="116"/>
      <c r="DV37" s="117"/>
      <c r="DW37" s="2"/>
      <c r="DX37" s="26"/>
      <c r="DY37" s="66"/>
    </row>
    <row r="38" spans="1:129" ht="13.5" thickBot="1">
      <c r="A38" s="34">
        <f t="shared" ca="1" si="0"/>
        <v>37377</v>
      </c>
      <c r="B38" s="20">
        <f>'Gas Curves'!C42</f>
        <v>7.0949656842764997E-2</v>
      </c>
      <c r="C38" s="20"/>
      <c r="D38" s="75">
        <v>36606</v>
      </c>
      <c r="E38" s="76">
        <v>32.9</v>
      </c>
      <c r="F38" s="76">
        <v>33.25</v>
      </c>
      <c r="G38" s="76">
        <v>33.6</v>
      </c>
      <c r="H38" s="56"/>
      <c r="I38" s="76">
        <v>20.324999999999999</v>
      </c>
      <c r="J38" s="76">
        <v>20.5</v>
      </c>
      <c r="K38" s="76">
        <v>20.675000000000001</v>
      </c>
      <c r="L38" s="27"/>
      <c r="M38" s="28">
        <v>37135</v>
      </c>
      <c r="N38" s="77">
        <v>22.479999160766603</v>
      </c>
      <c r="O38" s="77">
        <v>23.004999160766602</v>
      </c>
      <c r="P38" s="77">
        <v>23.5299991607666</v>
      </c>
      <c r="Q38" s="26"/>
      <c r="R38" s="77">
        <v>21</v>
      </c>
      <c r="S38" s="77">
        <v>23.5</v>
      </c>
      <c r="T38" s="77">
        <v>26</v>
      </c>
      <c r="U38" s="26"/>
      <c r="V38" s="77">
        <v>1.2</v>
      </c>
      <c r="W38" s="77">
        <v>1.2</v>
      </c>
      <c r="X38" s="77">
        <v>1.2</v>
      </c>
      <c r="Y38" s="26"/>
      <c r="Z38" s="77">
        <v>0.132525</v>
      </c>
      <c r="AA38" s="77">
        <v>0.26505000000000001</v>
      </c>
      <c r="AB38" s="77">
        <v>0.39757500000000001</v>
      </c>
      <c r="AC38" s="26"/>
      <c r="AD38" s="77">
        <v>3.9199999999999999E-2</v>
      </c>
      <c r="AE38" s="77">
        <v>7.8399999999999997E-2</v>
      </c>
      <c r="AF38" s="77">
        <v>0.1176</v>
      </c>
      <c r="AG38" s="26"/>
      <c r="AH38" s="77">
        <v>-0.35</v>
      </c>
      <c r="AI38" s="77">
        <v>1.5</v>
      </c>
      <c r="AJ38" s="77">
        <v>0.3</v>
      </c>
      <c r="AK38" s="26"/>
      <c r="AL38" s="77">
        <v>-0.15</v>
      </c>
      <c r="AM38" s="77">
        <v>0.4</v>
      </c>
      <c r="AN38" s="77">
        <v>0.2</v>
      </c>
      <c r="AO38" s="26"/>
      <c r="AP38" s="27">
        <v>7</v>
      </c>
      <c r="AQ38" s="78">
        <v>0.2</v>
      </c>
      <c r="AR38" s="26"/>
      <c r="AS38" s="27">
        <v>1800</v>
      </c>
      <c r="AT38" s="88">
        <v>1.1682669241080017</v>
      </c>
      <c r="AU38" s="88">
        <v>1.1682669241080017</v>
      </c>
      <c r="AV38" s="88">
        <v>1.1583000000000001</v>
      </c>
      <c r="AW38" s="88">
        <v>0.8586986372337867</v>
      </c>
      <c r="AX38" s="88">
        <v>0.96038945764341233</v>
      </c>
      <c r="AY38" s="88">
        <v>1.2151491003648869</v>
      </c>
      <c r="AZ38" s="88">
        <v>1.3203393586734773</v>
      </c>
      <c r="BA38" s="88">
        <v>1.125207919956094</v>
      </c>
      <c r="BB38" s="88">
        <v>1.1066962078625975</v>
      </c>
      <c r="BC38" s="88">
        <v>1.2000999999999999</v>
      </c>
      <c r="BD38" s="88">
        <v>1.2171000000000001</v>
      </c>
      <c r="BE38" s="88">
        <v>1.2396592528631896</v>
      </c>
      <c r="BF38" s="27" t="s">
        <v>59</v>
      </c>
      <c r="BG38" s="26"/>
      <c r="BH38" s="28">
        <v>37135</v>
      </c>
      <c r="BI38" s="80">
        <v>0.9</v>
      </c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I38" s="68">
        <f t="shared" si="12"/>
        <v>0</v>
      </c>
      <c r="CJ38" s="107">
        <f t="shared" si="13"/>
        <v>1.2396592528631896</v>
      </c>
      <c r="CK38" s="108">
        <f t="shared" si="14"/>
        <v>1</v>
      </c>
      <c r="CM38" s="106"/>
      <c r="CN38" s="106"/>
      <c r="CO38" s="81"/>
      <c r="CP38"/>
      <c r="CQ38"/>
      <c r="CR38"/>
      <c r="CS38"/>
      <c r="CT38"/>
      <c r="CY38" s="338">
        <f t="shared" si="4"/>
        <v>37135</v>
      </c>
      <c r="CZ38" s="337">
        <f t="shared" si="5"/>
        <v>1.1499999999999999</v>
      </c>
      <c r="DA38" s="337">
        <f t="shared" si="6"/>
        <v>1.5</v>
      </c>
      <c r="DB38" s="337">
        <f t="shared" si="7"/>
        <v>1.8</v>
      </c>
      <c r="DD38" s="337">
        <f t="shared" si="8"/>
        <v>0.132525</v>
      </c>
      <c r="DE38" s="337">
        <f t="shared" si="9"/>
        <v>0.26505000000000001</v>
      </c>
      <c r="DF38" s="337">
        <f t="shared" si="10"/>
        <v>0.39757500000000001</v>
      </c>
      <c r="DH38" s="338">
        <f t="shared" si="11"/>
        <v>37135</v>
      </c>
      <c r="DI38" s="20">
        <v>0.9</v>
      </c>
      <c r="DP38">
        <v>20</v>
      </c>
      <c r="DQ38" s="86" t="s">
        <v>138</v>
      </c>
      <c r="DR38" s="182" t="s">
        <v>139</v>
      </c>
      <c r="DS38" s="87" t="s">
        <v>140</v>
      </c>
      <c r="DT38" s="27"/>
      <c r="DU38" s="116"/>
      <c r="DV38" s="117"/>
      <c r="DW38" s="2"/>
      <c r="DX38" s="26"/>
      <c r="DY38" s="66"/>
    </row>
    <row r="39" spans="1:129" ht="13.5" thickBot="1">
      <c r="A39" s="34">
        <f t="shared" ca="1" si="0"/>
        <v>37408</v>
      </c>
      <c r="B39" s="20">
        <f>'Gas Curves'!C43</f>
        <v>7.1091363295042009E-2</v>
      </c>
      <c r="C39" s="20"/>
      <c r="D39" s="75">
        <v>36607</v>
      </c>
      <c r="E39" s="76">
        <v>32.9</v>
      </c>
      <c r="F39" s="76">
        <v>33.25</v>
      </c>
      <c r="G39" s="76">
        <v>33.6</v>
      </c>
      <c r="H39" s="56"/>
      <c r="I39" s="76">
        <v>20.324999999999999</v>
      </c>
      <c r="J39" s="76">
        <v>20.5</v>
      </c>
      <c r="K39" s="76">
        <v>20.675000000000001</v>
      </c>
      <c r="L39" s="27"/>
      <c r="M39" s="28">
        <v>37165</v>
      </c>
      <c r="N39" s="77">
        <v>22.688000106811522</v>
      </c>
      <c r="O39" s="77">
        <v>23.100500106811523</v>
      </c>
      <c r="P39" s="77">
        <v>23.513000106811525</v>
      </c>
      <c r="Q39" s="26"/>
      <c r="R39" s="77">
        <v>18.60099983215332</v>
      </c>
      <c r="S39" s="77">
        <v>21.10099983215332</v>
      </c>
      <c r="T39" s="77">
        <v>23.60099983215332</v>
      </c>
      <c r="U39" s="26"/>
      <c r="V39" s="77">
        <v>1.2</v>
      </c>
      <c r="W39" s="77">
        <v>1.2</v>
      </c>
      <c r="X39" s="77">
        <v>1.2</v>
      </c>
      <c r="Y39" s="26"/>
      <c r="Z39" s="77">
        <v>0.12105</v>
      </c>
      <c r="AA39" s="77">
        <v>0.24210000000000001</v>
      </c>
      <c r="AB39" s="77">
        <v>0.36315000000000003</v>
      </c>
      <c r="AC39" s="26"/>
      <c r="AD39" s="77">
        <v>2.9399999999999999E-2</v>
      </c>
      <c r="AE39" s="77">
        <v>5.8799999999999998E-2</v>
      </c>
      <c r="AF39" s="77">
        <v>8.8200000000000001E-2</v>
      </c>
      <c r="AG39" s="26"/>
      <c r="AH39" s="77">
        <v>-0.25</v>
      </c>
      <c r="AI39" s="77">
        <v>1.1000000000000001</v>
      </c>
      <c r="AJ39" s="77">
        <v>0.3</v>
      </c>
      <c r="AK39" s="26"/>
      <c r="AL39" s="77">
        <v>-0.15</v>
      </c>
      <c r="AM39" s="77">
        <v>0.35</v>
      </c>
      <c r="AN39" s="77">
        <v>0.2</v>
      </c>
      <c r="AO39" s="26"/>
      <c r="AP39" s="27">
        <v>7</v>
      </c>
      <c r="AQ39" s="78">
        <v>0.2</v>
      </c>
      <c r="AR39" s="26"/>
      <c r="AS39" s="27">
        <v>1900</v>
      </c>
      <c r="AT39" s="88">
        <v>1.2818992289435116</v>
      </c>
      <c r="AU39" s="88">
        <v>1.2818992289435116</v>
      </c>
      <c r="AV39" s="88">
        <v>1.2719</v>
      </c>
      <c r="AW39" s="88">
        <v>0.85409539061706241</v>
      </c>
      <c r="AX39" s="88">
        <v>0.832097528048518</v>
      </c>
      <c r="AY39" s="88">
        <v>1.0375875519020257</v>
      </c>
      <c r="AZ39" s="88">
        <v>1.1027679439023967</v>
      </c>
      <c r="BA39" s="88">
        <v>0.91716131211212903</v>
      </c>
      <c r="BB39" s="88">
        <v>0.90645084503689632</v>
      </c>
      <c r="BC39" s="88">
        <v>1.2095</v>
      </c>
      <c r="BD39" s="88">
        <v>1.2269000000000001</v>
      </c>
      <c r="BE39" s="88">
        <v>1.2314000000000001</v>
      </c>
      <c r="BF39" s="27" t="s">
        <v>59</v>
      </c>
      <c r="BG39" s="26"/>
      <c r="BH39" s="28">
        <v>37165</v>
      </c>
      <c r="BI39" s="80">
        <v>0.9</v>
      </c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I39" s="68">
        <f t="shared" si="12"/>
        <v>0</v>
      </c>
      <c r="CJ39" s="107">
        <f t="shared" si="13"/>
        <v>1.2314000000000001</v>
      </c>
      <c r="CK39" s="108">
        <f t="shared" si="14"/>
        <v>1</v>
      </c>
      <c r="CM39" s="106"/>
      <c r="CN39" s="106"/>
      <c r="CO39" s="81"/>
      <c r="CP39"/>
      <c r="CQ39"/>
      <c r="CR39"/>
      <c r="CS39"/>
      <c r="CT39"/>
      <c r="CY39" s="338">
        <f t="shared" si="4"/>
        <v>37165</v>
      </c>
      <c r="CZ39" s="337">
        <f t="shared" si="5"/>
        <v>0.85000000000000009</v>
      </c>
      <c r="DA39" s="337">
        <f t="shared" si="6"/>
        <v>1.1000000000000001</v>
      </c>
      <c r="DB39" s="337">
        <f t="shared" si="7"/>
        <v>1.4000000000000001</v>
      </c>
      <c r="DD39" s="337">
        <f t="shared" si="8"/>
        <v>0.12105</v>
      </c>
      <c r="DE39" s="337">
        <f t="shared" si="9"/>
        <v>0.24210000000000001</v>
      </c>
      <c r="DF39" s="337">
        <f t="shared" si="10"/>
        <v>0.36315000000000003</v>
      </c>
      <c r="DH39" s="338">
        <f t="shared" si="11"/>
        <v>37165</v>
      </c>
      <c r="DI39" s="20">
        <v>0.9</v>
      </c>
      <c r="DP39">
        <v>21</v>
      </c>
      <c r="DQ39" s="86" t="s">
        <v>143</v>
      </c>
      <c r="DR39" s="182" t="s">
        <v>144</v>
      </c>
      <c r="DS39" s="87" t="s">
        <v>145</v>
      </c>
      <c r="DT39" s="4"/>
      <c r="DU39" s="116"/>
      <c r="DV39" s="117"/>
      <c r="DW39" s="2"/>
      <c r="DX39" s="26"/>
      <c r="DY39" s="66"/>
    </row>
    <row r="40" spans="1:129" ht="13.5" thickBot="1">
      <c r="A40" s="34">
        <f t="shared" ca="1" si="0"/>
        <v>37438</v>
      </c>
      <c r="B40" s="20">
        <f>'Gas Curves'!C44</f>
        <v>7.1217617269914005E-2</v>
      </c>
      <c r="C40" s="20"/>
      <c r="D40" s="75">
        <v>36608</v>
      </c>
      <c r="E40" s="76">
        <v>32.9</v>
      </c>
      <c r="F40" s="76">
        <v>33.25</v>
      </c>
      <c r="G40" s="76">
        <v>33.6</v>
      </c>
      <c r="H40" s="56"/>
      <c r="I40" s="76">
        <v>20.324999999999999</v>
      </c>
      <c r="J40" s="76">
        <v>20.5</v>
      </c>
      <c r="K40" s="76">
        <v>20.675000000000001</v>
      </c>
      <c r="L40" s="27"/>
      <c r="M40" s="28">
        <v>37196</v>
      </c>
      <c r="N40" s="77">
        <v>23.692251586914061</v>
      </c>
      <c r="O40" s="77">
        <v>24.104751586914063</v>
      </c>
      <c r="P40" s="77">
        <v>24.517251586914064</v>
      </c>
      <c r="Q40" s="26"/>
      <c r="R40" s="77">
        <v>19.604499816894531</v>
      </c>
      <c r="S40" s="77">
        <v>22.104499816894531</v>
      </c>
      <c r="T40" s="77">
        <v>24.604499816894531</v>
      </c>
      <c r="U40" s="26"/>
      <c r="V40" s="77">
        <v>1.2</v>
      </c>
      <c r="W40" s="77">
        <v>1.2</v>
      </c>
      <c r="X40" s="77">
        <v>1.2</v>
      </c>
      <c r="Y40" s="26"/>
      <c r="Z40" s="77">
        <v>0.12105</v>
      </c>
      <c r="AA40" s="77">
        <v>0.24210000000000001</v>
      </c>
      <c r="AB40" s="77">
        <v>0.36315000000000003</v>
      </c>
      <c r="AC40" s="26"/>
      <c r="AD40" s="77">
        <v>2.9399999999999999E-2</v>
      </c>
      <c r="AE40" s="77">
        <v>5.8799999999999998E-2</v>
      </c>
      <c r="AF40" s="77">
        <v>8.8200000000000001E-2</v>
      </c>
      <c r="AG40" s="26"/>
      <c r="AH40" s="77">
        <v>-0.25</v>
      </c>
      <c r="AI40" s="77">
        <v>1.25</v>
      </c>
      <c r="AJ40" s="77">
        <v>0.3</v>
      </c>
      <c r="AK40" s="26"/>
      <c r="AL40" s="77">
        <v>-0.15</v>
      </c>
      <c r="AM40" s="77">
        <v>0.3</v>
      </c>
      <c r="AN40" s="77">
        <v>0.2</v>
      </c>
      <c r="AO40" s="26"/>
      <c r="AP40" s="27">
        <v>8</v>
      </c>
      <c r="AQ40" s="78">
        <v>0.2</v>
      </c>
      <c r="AR40" s="26"/>
      <c r="AS40" s="27">
        <v>2000</v>
      </c>
      <c r="AT40" s="88">
        <v>1.2270000000000001</v>
      </c>
      <c r="AU40" s="88">
        <v>1.2270000000000001</v>
      </c>
      <c r="AV40" s="88">
        <v>1.2170000000000001</v>
      </c>
      <c r="AW40" s="88">
        <v>0.93680897230708571</v>
      </c>
      <c r="AX40" s="88">
        <v>0.82997023839962336</v>
      </c>
      <c r="AY40" s="88">
        <v>0.82969424988466234</v>
      </c>
      <c r="AZ40" s="88">
        <v>0.81600645531569072</v>
      </c>
      <c r="BA40" s="88">
        <v>0.83502343057373252</v>
      </c>
      <c r="BB40" s="88">
        <v>1.184626371010566</v>
      </c>
      <c r="BC40" s="88">
        <v>1.1567000000000001</v>
      </c>
      <c r="BD40" s="88">
        <v>1.1767000000000001</v>
      </c>
      <c r="BE40" s="88">
        <v>1.1889963083145296</v>
      </c>
      <c r="BF40" s="27" t="s">
        <v>59</v>
      </c>
      <c r="BG40" s="26"/>
      <c r="BH40" s="28">
        <v>37196</v>
      </c>
      <c r="BI40" s="80">
        <v>0.9</v>
      </c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I40" s="68">
        <f t="shared" si="12"/>
        <v>0</v>
      </c>
      <c r="CJ40" s="107">
        <f t="shared" si="13"/>
        <v>1.1889963083145296</v>
      </c>
      <c r="CK40" s="108">
        <f t="shared" si="14"/>
        <v>1</v>
      </c>
      <c r="CM40" s="106"/>
      <c r="CN40" s="106"/>
      <c r="CO40" s="81"/>
      <c r="CP40"/>
      <c r="CQ40"/>
      <c r="CR40"/>
      <c r="CS40"/>
      <c r="CT40"/>
      <c r="CY40" s="338">
        <f t="shared" si="4"/>
        <v>37196</v>
      </c>
      <c r="CZ40" s="337">
        <f t="shared" si="5"/>
        <v>1</v>
      </c>
      <c r="DA40" s="337">
        <f t="shared" si="6"/>
        <v>1.25</v>
      </c>
      <c r="DB40" s="337">
        <f t="shared" si="7"/>
        <v>1.55</v>
      </c>
      <c r="DD40" s="337">
        <f t="shared" si="8"/>
        <v>0.12105</v>
      </c>
      <c r="DE40" s="337">
        <f t="shared" si="9"/>
        <v>0.24210000000000001</v>
      </c>
      <c r="DF40" s="337">
        <f t="shared" si="10"/>
        <v>0.36315000000000003</v>
      </c>
      <c r="DH40" s="338">
        <f t="shared" si="11"/>
        <v>37196</v>
      </c>
      <c r="DI40" s="20">
        <v>0.9</v>
      </c>
      <c r="DP40">
        <v>22</v>
      </c>
      <c r="DQ40" s="86" t="s">
        <v>148</v>
      </c>
      <c r="DR40" s="182" t="s">
        <v>149</v>
      </c>
      <c r="DS40" s="87" t="s">
        <v>150</v>
      </c>
      <c r="DT40" s="4"/>
      <c r="DU40" s="116"/>
      <c r="DV40" s="117"/>
      <c r="DW40" s="2"/>
      <c r="DX40" s="26"/>
      <c r="DY40" s="66"/>
    </row>
    <row r="41" spans="1:129" ht="13.5" thickBot="1">
      <c r="A41" s="34">
        <f t="shared" ca="1" si="0"/>
        <v>37469</v>
      </c>
      <c r="B41" s="20">
        <f>'Gas Curves'!C45</f>
        <v>7.1330136209252007E-2</v>
      </c>
      <c r="C41" s="20"/>
      <c r="D41" s="75">
        <v>36609</v>
      </c>
      <c r="E41" s="76">
        <v>32.9</v>
      </c>
      <c r="F41" s="76">
        <v>33.25</v>
      </c>
      <c r="G41" s="76">
        <v>33.6</v>
      </c>
      <c r="H41" s="56"/>
      <c r="I41" s="76">
        <v>20.324999999999999</v>
      </c>
      <c r="J41" s="76">
        <v>20.5</v>
      </c>
      <c r="K41" s="76">
        <v>20.675000000000001</v>
      </c>
      <c r="L41" s="27"/>
      <c r="M41" s="28">
        <v>37226</v>
      </c>
      <c r="N41" s="77">
        <v>25.142498397827147</v>
      </c>
      <c r="O41" s="77">
        <v>25.554998397827148</v>
      </c>
      <c r="P41" s="77">
        <v>25.96749839782715</v>
      </c>
      <c r="Q41" s="26"/>
      <c r="R41" s="77">
        <v>19.549999237060547</v>
      </c>
      <c r="S41" s="77">
        <v>22.049999237060547</v>
      </c>
      <c r="T41" s="77">
        <v>24.549999237060547</v>
      </c>
      <c r="U41" s="26"/>
      <c r="V41" s="77">
        <v>1.2</v>
      </c>
      <c r="W41" s="77">
        <v>1.2</v>
      </c>
      <c r="X41" s="77">
        <v>1.2</v>
      </c>
      <c r="Y41" s="26"/>
      <c r="Z41" s="77">
        <v>0.12537000000000001</v>
      </c>
      <c r="AA41" s="77">
        <v>0.25074000000000002</v>
      </c>
      <c r="AB41" s="77">
        <v>0.37611000000000006</v>
      </c>
      <c r="AC41" s="26"/>
      <c r="AD41" s="77">
        <v>2.9399999999999999E-2</v>
      </c>
      <c r="AE41" s="77">
        <v>5.8799999999999998E-2</v>
      </c>
      <c r="AF41" s="77">
        <v>8.8200000000000001E-2</v>
      </c>
      <c r="AG41" s="26"/>
      <c r="AH41" s="77">
        <v>-0.25</v>
      </c>
      <c r="AI41" s="77">
        <v>1.25</v>
      </c>
      <c r="AJ41" s="77">
        <v>0.35</v>
      </c>
      <c r="AK41" s="26"/>
      <c r="AL41" s="77">
        <v>-0.15</v>
      </c>
      <c r="AM41" s="77">
        <v>0.3</v>
      </c>
      <c r="AN41" s="77">
        <v>0.2</v>
      </c>
      <c r="AO41" s="26"/>
      <c r="AP41" s="27">
        <v>8</v>
      </c>
      <c r="AQ41" s="78">
        <v>0.2</v>
      </c>
      <c r="AR41" s="26"/>
      <c r="AS41" s="27">
        <v>2100</v>
      </c>
      <c r="AT41" s="88">
        <v>1.1550523732727651</v>
      </c>
      <c r="AU41" s="88">
        <v>1.1550523732727651</v>
      </c>
      <c r="AV41" s="88">
        <v>1.1451</v>
      </c>
      <c r="AW41" s="88">
        <v>1.1543365178491491</v>
      </c>
      <c r="AX41" s="88">
        <v>1.0876995612465097</v>
      </c>
      <c r="AY41" s="88">
        <v>0.90163150610241982</v>
      </c>
      <c r="AZ41" s="88">
        <v>0.90256223753970599</v>
      </c>
      <c r="BA41" s="88">
        <v>1.0506353696120232</v>
      </c>
      <c r="BB41" s="88">
        <v>1.1944408840385996</v>
      </c>
      <c r="BC41" s="88">
        <v>1.0689</v>
      </c>
      <c r="BD41" s="88">
        <v>1.0889</v>
      </c>
      <c r="BE41" s="88">
        <v>1.1550523732727651</v>
      </c>
      <c r="BF41" s="27" t="s">
        <v>59</v>
      </c>
      <c r="BG41" s="26"/>
      <c r="BH41" s="28">
        <v>37226</v>
      </c>
      <c r="BI41" s="80">
        <v>0.9</v>
      </c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I41" s="68">
        <f t="shared" si="12"/>
        <v>0</v>
      </c>
      <c r="CJ41" s="107">
        <f t="shared" si="13"/>
        <v>1.1550523732727651</v>
      </c>
      <c r="CK41" s="108">
        <f t="shared" si="14"/>
        <v>1</v>
      </c>
      <c r="CM41" s="106"/>
      <c r="CN41" s="106"/>
      <c r="CO41" s="81"/>
      <c r="CP41"/>
      <c r="CQ41"/>
      <c r="CR41"/>
      <c r="CS41"/>
      <c r="CT41"/>
      <c r="CY41" s="338">
        <f t="shared" si="4"/>
        <v>37226</v>
      </c>
      <c r="CZ41" s="337">
        <f t="shared" si="5"/>
        <v>1</v>
      </c>
      <c r="DA41" s="337">
        <f t="shared" si="6"/>
        <v>1.25</v>
      </c>
      <c r="DB41" s="337">
        <f t="shared" si="7"/>
        <v>1.6</v>
      </c>
      <c r="DD41" s="337">
        <f t="shared" si="8"/>
        <v>0.12537000000000001</v>
      </c>
      <c r="DE41" s="337">
        <f t="shared" si="9"/>
        <v>0.25074000000000002</v>
      </c>
      <c r="DF41" s="337">
        <f t="shared" si="10"/>
        <v>0.37611000000000006</v>
      </c>
      <c r="DH41" s="338">
        <f t="shared" si="11"/>
        <v>37226</v>
      </c>
      <c r="DI41" s="20">
        <v>0.9</v>
      </c>
      <c r="DP41">
        <v>23</v>
      </c>
      <c r="DQ41" s="109" t="s">
        <v>147</v>
      </c>
      <c r="DR41" s="183" t="s">
        <v>153</v>
      </c>
      <c r="DS41" s="110" t="s">
        <v>154</v>
      </c>
      <c r="DT41" s="4"/>
      <c r="DU41" s="116"/>
      <c r="DV41" s="117"/>
      <c r="DW41" s="2"/>
      <c r="DX41" s="26"/>
      <c r="DY41" s="66"/>
    </row>
    <row r="42" spans="1:129" ht="13.5" thickBot="1">
      <c r="A42" s="34">
        <f t="shared" ca="1" si="0"/>
        <v>37500</v>
      </c>
      <c r="B42" s="20">
        <f>'Gas Curves'!C46</f>
        <v>7.1442655152773996E-2</v>
      </c>
      <c r="C42" s="20"/>
      <c r="D42" s="75">
        <v>36610</v>
      </c>
      <c r="E42" s="76">
        <v>32.9</v>
      </c>
      <c r="F42" s="76">
        <v>33.25</v>
      </c>
      <c r="G42" s="76">
        <v>33.6</v>
      </c>
      <c r="H42" s="56"/>
      <c r="I42" s="76">
        <v>20.324999999999999</v>
      </c>
      <c r="J42" s="76">
        <v>20.5</v>
      </c>
      <c r="K42" s="76">
        <v>20.675000000000001</v>
      </c>
      <c r="L42" s="27"/>
      <c r="M42" s="28">
        <v>37257</v>
      </c>
      <c r="N42" s="77">
        <v>28.12374839782715</v>
      </c>
      <c r="O42" s="77">
        <v>28.648748397827148</v>
      </c>
      <c r="P42" s="77">
        <v>29.173748397827147</v>
      </c>
      <c r="Q42" s="26"/>
      <c r="R42" s="77">
        <v>24.152500152587891</v>
      </c>
      <c r="S42" s="77">
        <v>27.152500152587891</v>
      </c>
      <c r="T42" s="77">
        <v>30.152500152587891</v>
      </c>
      <c r="U42" s="26"/>
      <c r="V42" s="77">
        <v>1.2</v>
      </c>
      <c r="W42" s="77">
        <v>1.2</v>
      </c>
      <c r="X42" s="77">
        <v>1.2</v>
      </c>
      <c r="Y42" s="26"/>
      <c r="Z42" s="77">
        <v>0.13490000000000002</v>
      </c>
      <c r="AA42" s="77">
        <v>0.26980000000000004</v>
      </c>
      <c r="AB42" s="77">
        <v>0.40470000000000006</v>
      </c>
      <c r="AC42" s="26"/>
      <c r="AD42" s="77">
        <v>3.3614000000000005E-2</v>
      </c>
      <c r="AE42" s="77">
        <v>6.722800000000001E-2</v>
      </c>
      <c r="AF42" s="77">
        <v>0.10084200000000001</v>
      </c>
      <c r="AG42" s="26"/>
      <c r="AH42" s="77">
        <v>-0.75</v>
      </c>
      <c r="AI42" s="77">
        <v>2</v>
      </c>
      <c r="AJ42" s="77">
        <v>0.75</v>
      </c>
      <c r="AK42" s="26"/>
      <c r="AL42" s="77">
        <v>-0.15</v>
      </c>
      <c r="AM42" s="77">
        <v>0.5</v>
      </c>
      <c r="AN42" s="77">
        <v>0.2</v>
      </c>
      <c r="AO42" s="26"/>
      <c r="AP42" s="27">
        <v>8</v>
      </c>
      <c r="AQ42" s="78">
        <v>0.2</v>
      </c>
      <c r="AR42" s="26"/>
      <c r="AS42" s="27">
        <v>2200</v>
      </c>
      <c r="AT42" s="88">
        <v>0.82150000000000001</v>
      </c>
      <c r="AU42" s="88">
        <v>0.82150000000000001</v>
      </c>
      <c r="AV42" s="88">
        <v>0.83150000000000002</v>
      </c>
      <c r="AW42" s="88">
        <v>0.98358182079729883</v>
      </c>
      <c r="AX42" s="88">
        <v>1.0374627979995292</v>
      </c>
      <c r="AY42" s="88">
        <v>0.91867634106446339</v>
      </c>
      <c r="AZ42" s="88">
        <v>0.95638684161178289</v>
      </c>
      <c r="BA42" s="88">
        <v>0.89338455692996166</v>
      </c>
      <c r="BB42" s="88">
        <v>0.90908757988024858</v>
      </c>
      <c r="BC42" s="88">
        <v>0.88670000000000004</v>
      </c>
      <c r="BD42" s="88">
        <v>0.86619999999999997</v>
      </c>
      <c r="BE42" s="88">
        <v>0.85150000000000003</v>
      </c>
      <c r="BF42" s="27" t="s">
        <v>59</v>
      </c>
      <c r="BG42" s="26"/>
      <c r="BH42" s="28">
        <v>37257</v>
      </c>
      <c r="BI42" s="80">
        <v>0.9</v>
      </c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85"/>
      <c r="CI42" s="68">
        <f t="shared" si="12"/>
        <v>0</v>
      </c>
      <c r="CJ42" s="107">
        <f t="shared" si="13"/>
        <v>0.85150000000000003</v>
      </c>
      <c r="CK42" s="108">
        <f t="shared" si="14"/>
        <v>1</v>
      </c>
      <c r="CM42" s="106"/>
      <c r="CN42" s="106"/>
      <c r="CO42" s="81"/>
      <c r="CP42"/>
      <c r="CQ42"/>
      <c r="CR42"/>
      <c r="CS42"/>
      <c r="CT42"/>
      <c r="CY42" s="338">
        <f t="shared" si="4"/>
        <v>37257</v>
      </c>
      <c r="CZ42" s="337">
        <f t="shared" si="5"/>
        <v>1.25</v>
      </c>
      <c r="DA42" s="337">
        <f t="shared" si="6"/>
        <v>2</v>
      </c>
      <c r="DB42" s="337">
        <f t="shared" si="7"/>
        <v>2.75</v>
      </c>
      <c r="DD42" s="337">
        <f t="shared" si="8"/>
        <v>0.13490000000000002</v>
      </c>
      <c r="DE42" s="337">
        <f t="shared" si="9"/>
        <v>0.26980000000000004</v>
      </c>
      <c r="DF42" s="337">
        <f t="shared" si="10"/>
        <v>0.40470000000000006</v>
      </c>
      <c r="DH42" s="338">
        <f t="shared" si="11"/>
        <v>37257</v>
      </c>
      <c r="DI42" s="20">
        <v>0.9</v>
      </c>
      <c r="DP42">
        <v>24</v>
      </c>
      <c r="DQ42" s="109" t="s">
        <v>157</v>
      </c>
      <c r="DR42" s="183" t="s">
        <v>158</v>
      </c>
      <c r="DS42" s="110" t="s">
        <v>159</v>
      </c>
      <c r="DT42" s="4"/>
      <c r="DV42" s="116"/>
      <c r="DW42" s="117"/>
      <c r="DX42" s="2"/>
      <c r="DY42" s="26"/>
    </row>
    <row r="43" spans="1:129" ht="13.5" thickBot="1">
      <c r="A43" s="34">
        <f t="shared" ca="1" si="0"/>
        <v>37530</v>
      </c>
      <c r="B43" s="20">
        <f>'Gas Curves'!C47</f>
        <v>7.1542259185124996E-2</v>
      </c>
      <c r="C43" s="20"/>
      <c r="D43" s="75">
        <v>36611</v>
      </c>
      <c r="E43" s="76">
        <v>32.9</v>
      </c>
      <c r="F43" s="76">
        <v>33.25</v>
      </c>
      <c r="G43" s="76">
        <v>33.6</v>
      </c>
      <c r="H43" s="56"/>
      <c r="I43" s="76">
        <v>20.324999999999999</v>
      </c>
      <c r="J43" s="76">
        <v>20.5</v>
      </c>
      <c r="K43" s="76">
        <v>20.675000000000001</v>
      </c>
      <c r="L43" s="27"/>
      <c r="M43" s="28">
        <v>37288</v>
      </c>
      <c r="N43" s="77">
        <v>27.121250152587891</v>
      </c>
      <c r="O43" s="77">
        <v>27.646250152587889</v>
      </c>
      <c r="P43" s="77">
        <v>28.171250152587888</v>
      </c>
      <c r="Q43" s="26"/>
      <c r="R43" s="77">
        <v>22.147499465942381</v>
      </c>
      <c r="S43" s="77">
        <v>25.147499465942381</v>
      </c>
      <c r="T43" s="77">
        <v>28.147499465942381</v>
      </c>
      <c r="U43" s="26"/>
      <c r="V43" s="77">
        <v>1.2</v>
      </c>
      <c r="W43" s="77">
        <v>1.2</v>
      </c>
      <c r="X43" s="77">
        <v>1.2</v>
      </c>
      <c r="Y43" s="26"/>
      <c r="Z43" s="77">
        <v>0.13015000000000002</v>
      </c>
      <c r="AA43" s="77">
        <v>0.26030000000000003</v>
      </c>
      <c r="AB43" s="77">
        <v>0.39045000000000007</v>
      </c>
      <c r="AC43" s="26"/>
      <c r="AD43" s="77">
        <v>3.3614000000000005E-2</v>
      </c>
      <c r="AE43" s="77">
        <v>6.722800000000001E-2</v>
      </c>
      <c r="AF43" s="77">
        <v>0.10084200000000001</v>
      </c>
      <c r="AG43" s="26"/>
      <c r="AH43" s="77">
        <v>-0.75</v>
      </c>
      <c r="AI43" s="77">
        <v>2</v>
      </c>
      <c r="AJ43" s="77">
        <v>0.75</v>
      </c>
      <c r="AK43" s="26"/>
      <c r="AL43" s="77">
        <v>-0.15</v>
      </c>
      <c r="AM43" s="77">
        <v>0.5</v>
      </c>
      <c r="AN43" s="77">
        <v>0.2</v>
      </c>
      <c r="AO43" s="26"/>
      <c r="AP43" s="27">
        <v>9</v>
      </c>
      <c r="AQ43" s="78">
        <v>0.2</v>
      </c>
      <c r="AR43" s="26"/>
      <c r="AS43" s="27">
        <v>2300</v>
      </c>
      <c r="AT43" s="88">
        <v>0.67249999999999999</v>
      </c>
      <c r="AU43" s="88">
        <v>0.67249999999999999</v>
      </c>
      <c r="AV43" s="88">
        <v>0.6825</v>
      </c>
      <c r="AW43" s="88">
        <v>0.86893522761223685</v>
      </c>
      <c r="AX43" s="88">
        <v>0.83226116571381781</v>
      </c>
      <c r="AY43" s="88">
        <v>0.73668581973744907</v>
      </c>
      <c r="AZ43" s="88">
        <v>0.6641701566664201</v>
      </c>
      <c r="BA43" s="88">
        <v>0.72343479545742373</v>
      </c>
      <c r="BB43" s="88">
        <v>0.72041455331148319</v>
      </c>
      <c r="BC43" s="88">
        <v>0.75600000000000001</v>
      </c>
      <c r="BD43" s="88">
        <v>0.73050000000000004</v>
      </c>
      <c r="BE43" s="88">
        <v>0.70250000000000001</v>
      </c>
      <c r="BF43" s="27" t="s">
        <v>59</v>
      </c>
      <c r="BG43" s="26"/>
      <c r="BH43" s="28">
        <v>37288</v>
      </c>
      <c r="BI43" s="80">
        <v>0.9</v>
      </c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89"/>
      <c r="CI43" s="68">
        <f t="shared" si="12"/>
        <v>0</v>
      </c>
      <c r="CJ43" s="107">
        <f t="shared" si="13"/>
        <v>0.70250000000000001</v>
      </c>
      <c r="CK43" s="108">
        <f t="shared" si="14"/>
        <v>1</v>
      </c>
      <c r="CM43" s="106"/>
      <c r="CN43" s="106"/>
      <c r="CO43" s="81"/>
      <c r="CP43"/>
      <c r="CQ43"/>
      <c r="CR43"/>
      <c r="CS43"/>
      <c r="CT43"/>
      <c r="CY43" s="338">
        <f t="shared" si="4"/>
        <v>37288</v>
      </c>
      <c r="CZ43" s="337">
        <f t="shared" si="5"/>
        <v>1.25</v>
      </c>
      <c r="DA43" s="337">
        <f t="shared" si="6"/>
        <v>2</v>
      </c>
      <c r="DB43" s="337">
        <f t="shared" si="7"/>
        <v>2.75</v>
      </c>
      <c r="DD43" s="337">
        <f t="shared" si="8"/>
        <v>0.13015000000000002</v>
      </c>
      <c r="DE43" s="337">
        <f t="shared" si="9"/>
        <v>0.26030000000000003</v>
      </c>
      <c r="DF43" s="337">
        <f t="shared" si="10"/>
        <v>0.39045000000000007</v>
      </c>
      <c r="DH43" s="338">
        <f t="shared" si="11"/>
        <v>37288</v>
      </c>
      <c r="DI43" s="20">
        <v>0.9</v>
      </c>
      <c r="DP43">
        <v>25</v>
      </c>
      <c r="DQ43" s="109" t="s">
        <v>160</v>
      </c>
      <c r="DR43" s="183" t="s">
        <v>161</v>
      </c>
      <c r="DS43" s="110">
        <v>9</v>
      </c>
      <c r="DT43" s="4"/>
      <c r="DV43" s="116"/>
      <c r="DW43" s="117"/>
      <c r="DX43" s="2"/>
      <c r="DY43" s="26"/>
    </row>
    <row r="44" spans="1:129" ht="13.5" thickBot="1">
      <c r="A44" s="34">
        <f t="shared" ca="1" si="0"/>
        <v>37561</v>
      </c>
      <c r="B44" s="20">
        <f>'Gas Curves'!C48</f>
        <v>7.1631839731324004E-2</v>
      </c>
      <c r="C44" s="20"/>
      <c r="D44" s="75">
        <v>36612</v>
      </c>
      <c r="E44" s="76">
        <v>32.9</v>
      </c>
      <c r="F44" s="76">
        <v>33.25</v>
      </c>
      <c r="G44" s="76">
        <v>33.6</v>
      </c>
      <c r="H44" s="56"/>
      <c r="I44" s="76">
        <v>20.324999999999999</v>
      </c>
      <c r="J44" s="76">
        <v>20.5</v>
      </c>
      <c r="K44" s="76">
        <v>20.675000000000001</v>
      </c>
      <c r="L44" s="27"/>
      <c r="M44" s="28">
        <v>37316</v>
      </c>
      <c r="N44" s="77">
        <v>20.497249603271484</v>
      </c>
      <c r="O44" s="77">
        <v>20.834749603271483</v>
      </c>
      <c r="P44" s="77">
        <v>21.172249603271482</v>
      </c>
      <c r="Q44" s="26"/>
      <c r="R44" s="77">
        <v>17.464498901367186</v>
      </c>
      <c r="S44" s="77">
        <v>20.464498901367186</v>
      </c>
      <c r="T44" s="77">
        <v>23.464498901367186</v>
      </c>
      <c r="U44" s="26"/>
      <c r="V44" s="77">
        <v>0.7</v>
      </c>
      <c r="W44" s="77">
        <v>0.7</v>
      </c>
      <c r="X44" s="77">
        <v>0.7</v>
      </c>
      <c r="Y44" s="26"/>
      <c r="Z44" s="77">
        <v>0.126860625</v>
      </c>
      <c r="AA44" s="77">
        <v>0.25372125000000001</v>
      </c>
      <c r="AB44" s="77">
        <v>0.38058187500000001</v>
      </c>
      <c r="AC44" s="26"/>
      <c r="AD44" s="77">
        <v>2.8811999999999997E-2</v>
      </c>
      <c r="AE44" s="77">
        <v>5.7623999999999995E-2</v>
      </c>
      <c r="AF44" s="77">
        <v>8.6435999999999985E-2</v>
      </c>
      <c r="AG44" s="26"/>
      <c r="AH44" s="77">
        <v>-0.25</v>
      </c>
      <c r="AI44" s="77">
        <v>1.3</v>
      </c>
      <c r="AJ44" s="77">
        <v>0.3</v>
      </c>
      <c r="AK44" s="26"/>
      <c r="AL44" s="77">
        <v>-0.15</v>
      </c>
      <c r="AM44" s="77">
        <v>0.35</v>
      </c>
      <c r="AN44" s="77">
        <v>0.2</v>
      </c>
      <c r="AO44" s="26"/>
      <c r="AP44" s="27">
        <v>9</v>
      </c>
      <c r="AQ44" s="78">
        <v>0.2</v>
      </c>
      <c r="AR44" s="26"/>
      <c r="AS44" s="27">
        <v>2400</v>
      </c>
      <c r="AT44" s="88">
        <v>1.0449999999999999</v>
      </c>
      <c r="AU44" s="88">
        <v>1.0449999999999999</v>
      </c>
      <c r="AV44" s="88">
        <v>1.0449999999999999</v>
      </c>
      <c r="AW44" s="88">
        <v>1.0496274949890501</v>
      </c>
      <c r="AX44" s="88">
        <v>1.1779685918573899</v>
      </c>
      <c r="AY44" s="88">
        <v>1.3963883955002958</v>
      </c>
      <c r="AZ44" s="88">
        <v>1.2616588759647784</v>
      </c>
      <c r="BA44" s="88">
        <v>1.2636171008350987</v>
      </c>
      <c r="BB44" s="88">
        <v>1.1249920891082836</v>
      </c>
      <c r="BC44" s="88">
        <v>1.0505</v>
      </c>
      <c r="BD44" s="88">
        <v>1.0505</v>
      </c>
      <c r="BE44" s="88">
        <v>1.0505</v>
      </c>
      <c r="BF44" s="27" t="s">
        <v>67</v>
      </c>
      <c r="BG44" s="26"/>
      <c r="BH44" s="28">
        <v>37316</v>
      </c>
      <c r="BI44" s="80">
        <v>0.9</v>
      </c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89"/>
      <c r="CI44" s="68">
        <f t="shared" si="12"/>
        <v>0</v>
      </c>
      <c r="CJ44" s="107">
        <f t="shared" si="13"/>
        <v>1.0505</v>
      </c>
      <c r="CK44" s="108">
        <f t="shared" si="14"/>
        <v>2</v>
      </c>
      <c r="CM44" s="106"/>
      <c r="CN44" s="106"/>
      <c r="CO44" s="81"/>
      <c r="CP44"/>
      <c r="CQ44"/>
      <c r="CR44"/>
      <c r="CS44"/>
      <c r="CT44"/>
      <c r="CY44" s="338">
        <f t="shared" si="4"/>
        <v>37316</v>
      </c>
      <c r="CZ44" s="337">
        <f t="shared" si="5"/>
        <v>1.05</v>
      </c>
      <c r="DA44" s="337">
        <f t="shared" si="6"/>
        <v>1.3</v>
      </c>
      <c r="DB44" s="337">
        <f t="shared" si="7"/>
        <v>1.6</v>
      </c>
      <c r="DD44" s="337">
        <f t="shared" si="8"/>
        <v>0.126860625</v>
      </c>
      <c r="DE44" s="337">
        <f t="shared" si="9"/>
        <v>0.25372125000000001</v>
      </c>
      <c r="DF44" s="337">
        <f t="shared" si="10"/>
        <v>0.38058187500000001</v>
      </c>
      <c r="DH44" s="338">
        <f t="shared" si="11"/>
        <v>37316</v>
      </c>
      <c r="DI44" s="20">
        <v>0.9</v>
      </c>
      <c r="DP44">
        <v>26</v>
      </c>
      <c r="DQ44" s="109" t="s">
        <v>162</v>
      </c>
      <c r="DR44" s="183" t="s">
        <v>163</v>
      </c>
      <c r="DS44" s="110">
        <v>10</v>
      </c>
      <c r="DT44" s="4"/>
      <c r="DV44" s="116"/>
      <c r="DW44" s="117"/>
      <c r="DX44" s="2"/>
      <c r="DY44" s="26"/>
    </row>
    <row r="45" spans="1:129" ht="13.5" thickBot="1">
      <c r="A45" s="34">
        <f t="shared" ca="1" si="0"/>
        <v>37591</v>
      </c>
      <c r="B45" s="20">
        <f>'Gas Curves'!C49</f>
        <v>7.1718530585009002E-2</v>
      </c>
      <c r="C45" s="20"/>
      <c r="D45" s="75">
        <v>36613</v>
      </c>
      <c r="E45" s="76">
        <v>32.9</v>
      </c>
      <c r="F45" s="76">
        <v>33.25</v>
      </c>
      <c r="G45" s="76">
        <v>33.6</v>
      </c>
      <c r="H45" s="56"/>
      <c r="I45" s="76">
        <v>20.324999999999999</v>
      </c>
      <c r="J45" s="76">
        <v>20.5</v>
      </c>
      <c r="K45" s="76">
        <v>20.675000000000001</v>
      </c>
      <c r="L45" s="27"/>
      <c r="M45" s="28">
        <v>37347</v>
      </c>
      <c r="N45" s="77">
        <v>21.292500305175778</v>
      </c>
      <c r="O45" s="77">
        <v>21.51750030517578</v>
      </c>
      <c r="P45" s="77">
        <v>21.742500305175781</v>
      </c>
      <c r="Q45" s="26"/>
      <c r="R45" s="77">
        <v>17.234999084472655</v>
      </c>
      <c r="S45" s="77">
        <v>20.234999084472655</v>
      </c>
      <c r="T45" s="77">
        <v>23.234999084472655</v>
      </c>
      <c r="U45" s="26"/>
      <c r="V45" s="77">
        <v>0.7</v>
      </c>
      <c r="W45" s="77">
        <v>0.7</v>
      </c>
      <c r="X45" s="77">
        <v>0.7</v>
      </c>
      <c r="Y45" s="26"/>
      <c r="Z45" s="77">
        <v>0.11307375</v>
      </c>
      <c r="AA45" s="77">
        <v>0.2261475</v>
      </c>
      <c r="AB45" s="77">
        <v>0.33922125000000003</v>
      </c>
      <c r="AC45" s="26"/>
      <c r="AD45" s="77">
        <v>2.8811999999999997E-2</v>
      </c>
      <c r="AE45" s="77">
        <v>5.7623999999999995E-2</v>
      </c>
      <c r="AF45" s="77">
        <v>8.6435999999999985E-2</v>
      </c>
      <c r="AG45" s="26"/>
      <c r="AH45" s="77">
        <v>-0.25</v>
      </c>
      <c r="AI45" s="77">
        <v>1.1000000000000001</v>
      </c>
      <c r="AJ45" s="77">
        <v>0.3</v>
      </c>
      <c r="AK45" s="26"/>
      <c r="AL45" s="77">
        <v>-0.15</v>
      </c>
      <c r="AM45" s="77">
        <v>0.35</v>
      </c>
      <c r="AN45" s="77">
        <v>0.2</v>
      </c>
      <c r="AO45" s="26"/>
      <c r="AP45" s="27">
        <v>9</v>
      </c>
      <c r="AQ45" s="78">
        <v>0.2</v>
      </c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8">
        <v>37347</v>
      </c>
      <c r="BI45" s="80">
        <v>0.9</v>
      </c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89"/>
      <c r="CI45" s="68">
        <f t="shared" si="12"/>
        <v>0</v>
      </c>
      <c r="CJ45" s="107">
        <f t="shared" si="13"/>
        <v>0</v>
      </c>
      <c r="CK45" s="108">
        <f t="shared" si="14"/>
        <v>0</v>
      </c>
      <c r="CM45" s="106"/>
      <c r="CN45" s="106"/>
      <c r="CO45" s="81"/>
      <c r="CP45"/>
      <c r="CQ45"/>
      <c r="CR45"/>
      <c r="CS45"/>
      <c r="CT45"/>
      <c r="CY45" s="338">
        <f t="shared" si="4"/>
        <v>37347</v>
      </c>
      <c r="CZ45" s="337">
        <f t="shared" si="5"/>
        <v>0.85000000000000009</v>
      </c>
      <c r="DA45" s="337">
        <f t="shared" si="6"/>
        <v>1.1000000000000001</v>
      </c>
      <c r="DB45" s="337">
        <f t="shared" si="7"/>
        <v>1.4000000000000001</v>
      </c>
      <c r="DD45" s="337">
        <f t="shared" si="8"/>
        <v>0.11307375</v>
      </c>
      <c r="DE45" s="337">
        <f t="shared" si="9"/>
        <v>0.2261475</v>
      </c>
      <c r="DF45" s="337">
        <f t="shared" si="10"/>
        <v>0.33922125000000003</v>
      </c>
      <c r="DH45" s="338">
        <f t="shared" si="11"/>
        <v>37347</v>
      </c>
      <c r="DI45" s="20">
        <v>0.9</v>
      </c>
      <c r="DP45">
        <v>27</v>
      </c>
      <c r="DQ45" s="118" t="s">
        <v>164</v>
      </c>
      <c r="DR45" s="184" t="s">
        <v>165</v>
      </c>
      <c r="DS45" s="119">
        <v>11</v>
      </c>
      <c r="DT45" s="4"/>
      <c r="DV45" s="116"/>
      <c r="DW45" s="117"/>
      <c r="DX45" s="2"/>
      <c r="DY45" s="26"/>
    </row>
    <row r="46" spans="1:129" ht="13.5" thickBot="1">
      <c r="A46" s="34">
        <f t="shared" ca="1" si="0"/>
        <v>37622</v>
      </c>
      <c r="B46" s="20">
        <f>'Gas Curves'!C50</f>
        <v>7.1808036216494994E-2</v>
      </c>
      <c r="C46" s="20"/>
      <c r="D46" s="75">
        <v>36614</v>
      </c>
      <c r="E46" s="76">
        <v>32.9</v>
      </c>
      <c r="F46" s="76">
        <v>33.25</v>
      </c>
      <c r="G46" s="76">
        <v>33.6</v>
      </c>
      <c r="H46" s="56"/>
      <c r="I46" s="76">
        <v>20.324999999999999</v>
      </c>
      <c r="J46" s="76">
        <v>20.5</v>
      </c>
      <c r="K46" s="76">
        <v>20.675000000000001</v>
      </c>
      <c r="L46" s="27"/>
      <c r="M46" s="28">
        <v>37377</v>
      </c>
      <c r="N46" s="77">
        <v>20.882500076293944</v>
      </c>
      <c r="O46" s="77">
        <v>21.632500076293944</v>
      </c>
      <c r="P46" s="77">
        <v>22.382500076293944</v>
      </c>
      <c r="Q46" s="26"/>
      <c r="R46" s="77">
        <v>17.764999771118163</v>
      </c>
      <c r="S46" s="77">
        <v>20.764999771118163</v>
      </c>
      <c r="T46" s="77">
        <v>23.764999771118163</v>
      </c>
      <c r="U46" s="26"/>
      <c r="V46" s="77">
        <v>0.7</v>
      </c>
      <c r="W46" s="77">
        <v>0.7</v>
      </c>
      <c r="X46" s="77">
        <v>0.7</v>
      </c>
      <c r="Y46" s="26"/>
      <c r="Z46" s="77">
        <v>0.13017375</v>
      </c>
      <c r="AA46" s="77">
        <v>0.26034750000000001</v>
      </c>
      <c r="AB46" s="77">
        <v>0.39052125000000004</v>
      </c>
      <c r="AC46" s="26"/>
      <c r="AD46" s="77">
        <v>3.3614000000000005E-2</v>
      </c>
      <c r="AE46" s="77">
        <v>6.722800000000001E-2</v>
      </c>
      <c r="AF46" s="77">
        <v>0.10084200000000001</v>
      </c>
      <c r="AG46" s="26"/>
      <c r="AH46" s="77">
        <v>-0.25</v>
      </c>
      <c r="AI46" s="77">
        <v>1.1000000000000001</v>
      </c>
      <c r="AJ46" s="77">
        <v>0.3</v>
      </c>
      <c r="AK46" s="26"/>
      <c r="AL46" s="77">
        <v>-0.15</v>
      </c>
      <c r="AM46" s="77">
        <v>0.5</v>
      </c>
      <c r="AN46" s="77">
        <v>0.2</v>
      </c>
      <c r="AO46" s="26"/>
      <c r="AP46" s="27">
        <v>10</v>
      </c>
      <c r="AQ46" s="78">
        <v>0.2</v>
      </c>
      <c r="AR46" s="26"/>
      <c r="AS46" s="27" t="s">
        <v>166</v>
      </c>
      <c r="AT46" s="26"/>
      <c r="AU46" s="26"/>
      <c r="AV46" s="27" t="s">
        <v>167</v>
      </c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8">
        <v>37377</v>
      </c>
      <c r="BI46" s="80">
        <v>0.9</v>
      </c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89"/>
      <c r="CI46" s="68">
        <f t="shared" si="12"/>
        <v>0</v>
      </c>
      <c r="CJ46" s="107">
        <f t="shared" si="13"/>
        <v>0</v>
      </c>
      <c r="CK46" s="108">
        <f t="shared" si="14"/>
        <v>0</v>
      </c>
      <c r="CM46" s="106"/>
      <c r="CN46" s="106"/>
      <c r="CO46" s="81"/>
      <c r="CP46"/>
      <c r="CQ46"/>
      <c r="CR46"/>
      <c r="CS46"/>
      <c r="CT46"/>
      <c r="CY46" s="338">
        <f t="shared" si="4"/>
        <v>37377</v>
      </c>
      <c r="CZ46" s="337">
        <f t="shared" si="5"/>
        <v>0.85000000000000009</v>
      </c>
      <c r="DA46" s="337">
        <f t="shared" si="6"/>
        <v>1.1000000000000001</v>
      </c>
      <c r="DB46" s="337">
        <f t="shared" si="7"/>
        <v>1.4000000000000001</v>
      </c>
      <c r="DD46" s="337">
        <f t="shared" si="8"/>
        <v>0.13017375</v>
      </c>
      <c r="DE46" s="337">
        <f t="shared" si="9"/>
        <v>0.26034750000000001</v>
      </c>
      <c r="DF46" s="337">
        <f t="shared" si="10"/>
        <v>0.39052125000000004</v>
      </c>
      <c r="DH46" s="338">
        <f t="shared" si="11"/>
        <v>37377</v>
      </c>
      <c r="DI46" s="20">
        <v>0.9</v>
      </c>
      <c r="DT46" s="4"/>
      <c r="DV46" s="116"/>
      <c r="DW46" s="117"/>
      <c r="DX46" s="2"/>
      <c r="DY46" s="26"/>
    </row>
    <row r="47" spans="1:129" ht="13.5" thickBot="1">
      <c r="A47" s="34">
        <f t="shared" ca="1" si="0"/>
        <v>37653</v>
      </c>
      <c r="B47" s="20">
        <f>'Gas Curves'!C51</f>
        <v>7.1897450876422006E-2</v>
      </c>
      <c r="C47" s="20"/>
      <c r="D47" s="75">
        <v>36615</v>
      </c>
      <c r="E47" s="76">
        <v>32.9</v>
      </c>
      <c r="F47" s="76">
        <v>33.25</v>
      </c>
      <c r="G47" s="76">
        <v>33.6</v>
      </c>
      <c r="H47" s="56"/>
      <c r="I47" s="76">
        <v>20.324999999999999</v>
      </c>
      <c r="J47" s="76">
        <v>20.5</v>
      </c>
      <c r="K47" s="76">
        <v>20.675000000000001</v>
      </c>
      <c r="L47" s="27"/>
      <c r="M47" s="28">
        <v>37408</v>
      </c>
      <c r="N47" s="77">
        <v>23.88375015258789</v>
      </c>
      <c r="O47" s="77">
        <v>26.058750152587891</v>
      </c>
      <c r="P47" s="77">
        <v>28.233750152587891</v>
      </c>
      <c r="Q47" s="26"/>
      <c r="R47" s="77">
        <v>16.542499542236328</v>
      </c>
      <c r="S47" s="77">
        <v>19.542499542236328</v>
      </c>
      <c r="T47" s="77">
        <v>22.542499542236328</v>
      </c>
      <c r="U47" s="26"/>
      <c r="V47" s="77">
        <v>0.7</v>
      </c>
      <c r="W47" s="77">
        <v>0.7</v>
      </c>
      <c r="X47" s="77">
        <v>0.7</v>
      </c>
      <c r="Y47" s="26"/>
      <c r="Z47" s="77">
        <v>0.163198125</v>
      </c>
      <c r="AA47" s="77">
        <v>0.32639625</v>
      </c>
      <c r="AB47" s="77">
        <v>0.48959437500000003</v>
      </c>
      <c r="AC47" s="26"/>
      <c r="AD47" s="77">
        <v>4.3217999999999999E-2</v>
      </c>
      <c r="AE47" s="77">
        <v>8.6435999999999999E-2</v>
      </c>
      <c r="AF47" s="77">
        <v>0.12965399999999999</v>
      </c>
      <c r="AG47" s="26"/>
      <c r="AH47" s="77">
        <v>-0.35</v>
      </c>
      <c r="AI47" s="77">
        <v>2</v>
      </c>
      <c r="AJ47" s="77">
        <v>0.3</v>
      </c>
      <c r="AK47" s="26"/>
      <c r="AL47" s="77">
        <v>-0.15</v>
      </c>
      <c r="AM47" s="77">
        <v>0.65</v>
      </c>
      <c r="AN47" s="77">
        <v>0.2</v>
      </c>
      <c r="AO47" s="26"/>
      <c r="AP47" s="27">
        <v>10</v>
      </c>
      <c r="AQ47" s="78">
        <v>0.2</v>
      </c>
      <c r="AR47" s="26"/>
      <c r="AS47" s="78">
        <v>-5</v>
      </c>
      <c r="AT47" s="120">
        <v>1.4999999999999999E-2</v>
      </c>
      <c r="AU47" s="26"/>
      <c r="AV47" s="78">
        <v>1</v>
      </c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8">
        <v>37408</v>
      </c>
      <c r="BI47" s="80">
        <v>0.9</v>
      </c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89"/>
      <c r="CI47" s="68">
        <f t="shared" si="12"/>
        <v>0</v>
      </c>
      <c r="CJ47" s="107">
        <f t="shared" si="13"/>
        <v>0</v>
      </c>
      <c r="CK47" s="108">
        <f t="shared" si="14"/>
        <v>0</v>
      </c>
      <c r="CM47" s="106"/>
      <c r="CN47" s="106"/>
      <c r="CO47" s="81"/>
      <c r="CP47"/>
      <c r="CQ47"/>
      <c r="CR47"/>
      <c r="CS47"/>
      <c r="CT47"/>
      <c r="CY47" s="338">
        <f t="shared" si="4"/>
        <v>37408</v>
      </c>
      <c r="CZ47" s="337">
        <f t="shared" si="5"/>
        <v>1.65</v>
      </c>
      <c r="DA47" s="337">
        <f t="shared" si="6"/>
        <v>2</v>
      </c>
      <c r="DB47" s="337">
        <f t="shared" si="7"/>
        <v>2.2999999999999998</v>
      </c>
      <c r="DD47" s="337">
        <f t="shared" si="8"/>
        <v>0.163198125</v>
      </c>
      <c r="DE47" s="337">
        <f t="shared" si="9"/>
        <v>0.32639625</v>
      </c>
      <c r="DF47" s="337">
        <f t="shared" si="10"/>
        <v>0.48959437500000003</v>
      </c>
      <c r="DH47" s="338">
        <f t="shared" si="11"/>
        <v>37408</v>
      </c>
      <c r="DI47" s="20">
        <v>0.9</v>
      </c>
      <c r="DT47" s="4"/>
      <c r="DV47" s="116"/>
      <c r="DW47" s="117"/>
      <c r="DX47" s="2"/>
      <c r="DY47" s="26"/>
    </row>
    <row r="48" spans="1:129">
      <c r="A48" s="34">
        <f t="shared" ca="1" si="0"/>
        <v>37681</v>
      </c>
      <c r="B48" s="20">
        <f>'Gas Curves'!C52</f>
        <v>7.1978212507014E-2</v>
      </c>
      <c r="C48" s="20"/>
      <c r="D48" s="75">
        <v>36616</v>
      </c>
      <c r="E48" s="76">
        <v>32.9</v>
      </c>
      <c r="F48" s="76">
        <v>33.25</v>
      </c>
      <c r="G48" s="76">
        <v>33.6</v>
      </c>
      <c r="H48" s="56"/>
      <c r="I48" s="76">
        <v>20.324999999999999</v>
      </c>
      <c r="J48" s="76">
        <v>20.5</v>
      </c>
      <c r="K48" s="76">
        <v>20.675000000000001</v>
      </c>
      <c r="L48" s="27"/>
      <c r="M48" s="28">
        <v>37438</v>
      </c>
      <c r="N48" s="77">
        <v>36.761249542236328</v>
      </c>
      <c r="O48" s="77">
        <v>39.761249542236328</v>
      </c>
      <c r="P48" s="77">
        <v>42.761249542236328</v>
      </c>
      <c r="Q48" s="26"/>
      <c r="R48" s="77">
        <v>26.247499465942383</v>
      </c>
      <c r="S48" s="77">
        <v>29.247499465942383</v>
      </c>
      <c r="T48" s="77">
        <v>32.247499465942383</v>
      </c>
      <c r="U48" s="26"/>
      <c r="V48" s="77">
        <v>0.7</v>
      </c>
      <c r="W48" s="77">
        <v>0.7</v>
      </c>
      <c r="X48" s="77">
        <v>0.7</v>
      </c>
      <c r="Y48" s="26"/>
      <c r="Z48" s="77">
        <v>0.19312312500000001</v>
      </c>
      <c r="AA48" s="77">
        <v>0.38624625000000001</v>
      </c>
      <c r="AB48" s="77">
        <v>0.57936937499999996</v>
      </c>
      <c r="AC48" s="26"/>
      <c r="AD48" s="77">
        <v>5.7623999999999995E-2</v>
      </c>
      <c r="AE48" s="77">
        <v>0.11524799999999999</v>
      </c>
      <c r="AF48" s="77">
        <v>0.17287199999999997</v>
      </c>
      <c r="AG48" s="26"/>
      <c r="AH48" s="77">
        <v>-0.35</v>
      </c>
      <c r="AI48" s="77">
        <v>3</v>
      </c>
      <c r="AJ48" s="77">
        <v>0.5</v>
      </c>
      <c r="AK48" s="26"/>
      <c r="AL48" s="77">
        <v>-0.15</v>
      </c>
      <c r="AM48" s="77">
        <v>0.75</v>
      </c>
      <c r="AN48" s="77">
        <v>0.2</v>
      </c>
      <c r="AO48" s="26"/>
      <c r="AP48" s="27">
        <v>10</v>
      </c>
      <c r="AQ48" s="78">
        <v>0.2</v>
      </c>
      <c r="AR48" s="26"/>
      <c r="AS48" s="78">
        <v>-4.5</v>
      </c>
      <c r="AT48" s="80">
        <v>1.4999999999999999E-2</v>
      </c>
      <c r="AU48" s="26"/>
      <c r="AV48" s="78">
        <v>2</v>
      </c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8">
        <v>37438</v>
      </c>
      <c r="BI48" s="80">
        <v>0.9</v>
      </c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89"/>
      <c r="CI48" s="68">
        <f t="shared" si="12"/>
        <v>0</v>
      </c>
      <c r="CJ48" s="107">
        <f t="shared" si="13"/>
        <v>0</v>
      </c>
      <c r="CK48" s="108">
        <f t="shared" si="14"/>
        <v>0</v>
      </c>
      <c r="CM48" s="106"/>
      <c r="CN48" s="106"/>
      <c r="CO48" s="81"/>
      <c r="CP48"/>
      <c r="CQ48"/>
      <c r="CR48"/>
      <c r="CS48"/>
      <c r="CT48"/>
      <c r="CY48" s="338">
        <f t="shared" si="4"/>
        <v>37438</v>
      </c>
      <c r="CZ48" s="337">
        <f t="shared" si="5"/>
        <v>2.65</v>
      </c>
      <c r="DA48" s="337">
        <f t="shared" si="6"/>
        <v>3</v>
      </c>
      <c r="DB48" s="337">
        <f t="shared" si="7"/>
        <v>3.5</v>
      </c>
      <c r="DD48" s="337">
        <f t="shared" si="8"/>
        <v>0.19312312500000001</v>
      </c>
      <c r="DE48" s="337">
        <f t="shared" si="9"/>
        <v>0.38624625000000001</v>
      </c>
      <c r="DF48" s="337">
        <f t="shared" si="10"/>
        <v>0.57936937499999996</v>
      </c>
      <c r="DH48" s="338">
        <f t="shared" si="11"/>
        <v>37438</v>
      </c>
      <c r="DI48" s="20">
        <v>0.9</v>
      </c>
      <c r="DT48" s="4"/>
      <c r="DV48" s="116"/>
      <c r="DW48" s="117"/>
      <c r="DX48" s="2"/>
      <c r="DY48" s="26"/>
    </row>
    <row r="49" spans="1:129" ht="13.5" thickBot="1">
      <c r="A49" s="34">
        <f t="shared" ca="1" si="0"/>
        <v>37712</v>
      </c>
      <c r="B49" s="20">
        <f>'Gas Curves'!C53</f>
        <v>7.20561019016E-2</v>
      </c>
      <c r="C49" s="20"/>
      <c r="D49" s="75">
        <v>36617</v>
      </c>
      <c r="E49" s="76">
        <v>31.8</v>
      </c>
      <c r="F49" s="76">
        <v>32</v>
      </c>
      <c r="G49" s="76">
        <v>32.200000000000003</v>
      </c>
      <c r="H49" s="56"/>
      <c r="I49" s="76">
        <v>19.399998092651366</v>
      </c>
      <c r="J49" s="76">
        <v>19.499998092651367</v>
      </c>
      <c r="K49" s="76">
        <v>19.599998092651369</v>
      </c>
      <c r="L49" s="27"/>
      <c r="M49" s="28">
        <v>37469</v>
      </c>
      <c r="N49" s="77">
        <v>39.022499084472656</v>
      </c>
      <c r="O49" s="77">
        <v>42.022499084472656</v>
      </c>
      <c r="P49" s="77">
        <v>45.022499084472656</v>
      </c>
      <c r="Q49" s="26"/>
      <c r="R49" s="77">
        <v>27.745000839233398</v>
      </c>
      <c r="S49" s="77">
        <v>30.745000839233398</v>
      </c>
      <c r="T49" s="77">
        <v>33.745000839233398</v>
      </c>
      <c r="U49" s="26"/>
      <c r="V49" s="77">
        <v>0.7</v>
      </c>
      <c r="W49" s="77">
        <v>0.7</v>
      </c>
      <c r="X49" s="77">
        <v>0.7</v>
      </c>
      <c r="Y49" s="26"/>
      <c r="Z49" s="77">
        <v>0.19002374999999999</v>
      </c>
      <c r="AA49" s="77">
        <v>0.38004749999999998</v>
      </c>
      <c r="AB49" s="77">
        <v>0.57007125000000003</v>
      </c>
      <c r="AC49" s="26"/>
      <c r="AD49" s="77">
        <v>5.7623999999999995E-2</v>
      </c>
      <c r="AE49" s="77">
        <v>0.11524799999999999</v>
      </c>
      <c r="AF49" s="77">
        <v>0.17287199999999997</v>
      </c>
      <c r="AG49" s="26"/>
      <c r="AH49" s="77">
        <v>-0.35</v>
      </c>
      <c r="AI49" s="77">
        <v>3</v>
      </c>
      <c r="AJ49" s="77">
        <v>0.5</v>
      </c>
      <c r="AK49" s="26"/>
      <c r="AL49" s="77">
        <v>-0.15</v>
      </c>
      <c r="AM49" s="77">
        <v>0.75</v>
      </c>
      <c r="AN49" s="77">
        <v>0.2</v>
      </c>
      <c r="AO49" s="26"/>
      <c r="AP49" s="27">
        <v>11</v>
      </c>
      <c r="AQ49" s="78">
        <v>0.3</v>
      </c>
      <c r="AR49" s="26"/>
      <c r="AS49" s="121">
        <v>-4</v>
      </c>
      <c r="AT49" s="120">
        <v>1.2500000000000001E-2</v>
      </c>
      <c r="AU49" s="26"/>
      <c r="AV49" s="78">
        <v>3</v>
      </c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8">
        <v>37469</v>
      </c>
      <c r="BI49" s="80">
        <v>0.9</v>
      </c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89"/>
      <c r="CM49" s="106"/>
      <c r="CN49" s="106"/>
      <c r="CO49" s="81"/>
      <c r="CP49"/>
      <c r="CQ49"/>
      <c r="CR49"/>
      <c r="CS49"/>
      <c r="CT49"/>
      <c r="CY49" s="338">
        <f t="shared" si="4"/>
        <v>37469</v>
      </c>
      <c r="CZ49" s="337">
        <f t="shared" si="5"/>
        <v>2.65</v>
      </c>
      <c r="DA49" s="337">
        <f t="shared" si="6"/>
        <v>3</v>
      </c>
      <c r="DB49" s="337">
        <f t="shared" si="7"/>
        <v>3.5</v>
      </c>
      <c r="DD49" s="337">
        <f t="shared" si="8"/>
        <v>0.19002374999999999</v>
      </c>
      <c r="DE49" s="337">
        <f t="shared" si="9"/>
        <v>0.38004749999999998</v>
      </c>
      <c r="DF49" s="337">
        <f t="shared" si="10"/>
        <v>0.57007125000000003</v>
      </c>
      <c r="DH49" s="338">
        <f t="shared" si="11"/>
        <v>37469</v>
      </c>
      <c r="DI49" s="20">
        <v>0.9</v>
      </c>
      <c r="DT49" s="4"/>
    </row>
    <row r="50" spans="1:129" ht="13.5" thickBot="1">
      <c r="A50" s="34">
        <f t="shared" ca="1" si="0"/>
        <v>37742</v>
      </c>
      <c r="B50" s="20">
        <f>'Gas Curves'!C54</f>
        <v>7.2116257975074011E-2</v>
      </c>
      <c r="C50" s="20"/>
      <c r="D50" s="75">
        <v>36646</v>
      </c>
      <c r="E50" s="76">
        <v>31.8</v>
      </c>
      <c r="F50" s="76">
        <v>32</v>
      </c>
      <c r="G50" s="76">
        <v>32.200000000000003</v>
      </c>
      <c r="H50" s="56"/>
      <c r="I50" s="76">
        <v>19.399998092651366</v>
      </c>
      <c r="J50" s="76">
        <v>19.499998092651367</v>
      </c>
      <c r="K50" s="76">
        <v>19.599998092651369</v>
      </c>
      <c r="L50" s="27"/>
      <c r="M50" s="28">
        <v>37500</v>
      </c>
      <c r="N50" s="77">
        <v>22.304999160766599</v>
      </c>
      <c r="O50" s="77">
        <v>22.9049991607666</v>
      </c>
      <c r="P50" s="77">
        <v>23.504999160766602</v>
      </c>
      <c r="Q50" s="26"/>
      <c r="R50" s="77">
        <v>20.399999999999999</v>
      </c>
      <c r="S50" s="77">
        <v>23.4</v>
      </c>
      <c r="T50" s="77">
        <v>26.4</v>
      </c>
      <c r="U50" s="26"/>
      <c r="V50" s="77">
        <v>1.2</v>
      </c>
      <c r="W50" s="77">
        <v>1.2</v>
      </c>
      <c r="X50" s="77">
        <v>1.2</v>
      </c>
      <c r="Y50" s="26"/>
      <c r="Z50" s="77">
        <v>0.12589875</v>
      </c>
      <c r="AA50" s="77">
        <v>0.25179750000000001</v>
      </c>
      <c r="AB50" s="77">
        <v>0.37769625000000001</v>
      </c>
      <c r="AC50" s="26"/>
      <c r="AD50" s="77">
        <v>3.8415999999999999E-2</v>
      </c>
      <c r="AE50" s="77">
        <v>7.6831999999999998E-2</v>
      </c>
      <c r="AF50" s="77">
        <v>0.11524799999999999</v>
      </c>
      <c r="AG50" s="26"/>
      <c r="AH50" s="77">
        <v>-0.35</v>
      </c>
      <c r="AI50" s="77">
        <v>1.25</v>
      </c>
      <c r="AJ50" s="77">
        <v>0.3</v>
      </c>
      <c r="AK50" s="26"/>
      <c r="AL50" s="77">
        <v>-0.15</v>
      </c>
      <c r="AM50" s="77">
        <v>0.4</v>
      </c>
      <c r="AN50" s="77">
        <v>0.2</v>
      </c>
      <c r="AO50" s="26"/>
      <c r="AP50" s="27">
        <v>11</v>
      </c>
      <c r="AQ50" s="78">
        <v>0.3</v>
      </c>
      <c r="AR50" s="26"/>
      <c r="AS50" s="78">
        <v>-3.5</v>
      </c>
      <c r="AT50" s="120">
        <v>1.2500000000000001E-2</v>
      </c>
      <c r="AU50" s="26"/>
      <c r="AV50" s="78">
        <v>4</v>
      </c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8">
        <v>37500</v>
      </c>
      <c r="BI50" s="80">
        <v>0.9</v>
      </c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89"/>
      <c r="CI50" s="36" t="s">
        <v>168</v>
      </c>
      <c r="CJ50" s="37"/>
      <c r="CK50" s="38"/>
      <c r="CM50" s="106"/>
      <c r="CN50" s="106"/>
      <c r="CO50" s="81"/>
      <c r="CP50"/>
      <c r="CQ50"/>
      <c r="CR50"/>
      <c r="CS50"/>
      <c r="CT50"/>
      <c r="CY50" s="338">
        <f t="shared" si="4"/>
        <v>37500</v>
      </c>
      <c r="CZ50" s="337">
        <f t="shared" si="5"/>
        <v>0.9</v>
      </c>
      <c r="DA50" s="337">
        <f t="shared" si="6"/>
        <v>1.25</v>
      </c>
      <c r="DB50" s="337">
        <f t="shared" si="7"/>
        <v>1.55</v>
      </c>
      <c r="DD50" s="337">
        <f t="shared" si="8"/>
        <v>0.12589875</v>
      </c>
      <c r="DE50" s="337">
        <f t="shared" si="9"/>
        <v>0.25179750000000001</v>
      </c>
      <c r="DF50" s="337">
        <f t="shared" si="10"/>
        <v>0.37769625000000001</v>
      </c>
      <c r="DH50" s="338">
        <f t="shared" si="11"/>
        <v>37500</v>
      </c>
      <c r="DI50" s="20">
        <v>0.9</v>
      </c>
      <c r="DT50" s="4"/>
      <c r="DU50" s="4"/>
      <c r="DV50" s="4"/>
      <c r="DW50" s="4"/>
      <c r="DX50" s="4"/>
      <c r="DY50" s="4"/>
    </row>
    <row r="51" spans="1:129">
      <c r="A51" s="34">
        <f t="shared" ca="1" si="0"/>
        <v>37773</v>
      </c>
      <c r="B51" s="20">
        <f>'Gas Curves'!C55</f>
        <v>7.2178419252254003E-2</v>
      </c>
      <c r="C51" s="20"/>
      <c r="D51" s="75">
        <v>36647</v>
      </c>
      <c r="E51" s="76">
        <v>34.5</v>
      </c>
      <c r="F51" s="76">
        <v>35</v>
      </c>
      <c r="G51" s="76">
        <v>35.5</v>
      </c>
      <c r="H51" s="56"/>
      <c r="I51" s="76">
        <v>19.249998092651367</v>
      </c>
      <c r="J51" s="76">
        <v>19.499998092651367</v>
      </c>
      <c r="K51" s="76">
        <v>19.749998092651367</v>
      </c>
      <c r="L51" s="27"/>
      <c r="M51" s="28">
        <v>37530</v>
      </c>
      <c r="N51" s="77">
        <v>22.513000106811521</v>
      </c>
      <c r="O51" s="77">
        <v>23.000500106811522</v>
      </c>
      <c r="P51" s="77">
        <v>23.488000106811523</v>
      </c>
      <c r="Q51" s="26"/>
      <c r="R51" s="77">
        <v>18.000999832153319</v>
      </c>
      <c r="S51" s="77">
        <v>21.000999832153319</v>
      </c>
      <c r="T51" s="77">
        <v>24.000999832153319</v>
      </c>
      <c r="U51" s="26"/>
      <c r="V51" s="77">
        <v>1.2</v>
      </c>
      <c r="W51" s="77">
        <v>1.2</v>
      </c>
      <c r="X51" s="77">
        <v>1.2</v>
      </c>
      <c r="Y51" s="26"/>
      <c r="Z51" s="77">
        <v>0.1149975</v>
      </c>
      <c r="AA51" s="77">
        <v>0.229995</v>
      </c>
      <c r="AB51" s="77">
        <v>0.34499250000000004</v>
      </c>
      <c r="AC51" s="26"/>
      <c r="AD51" s="77">
        <v>2.8811999999999997E-2</v>
      </c>
      <c r="AE51" s="77">
        <v>5.7623999999999995E-2</v>
      </c>
      <c r="AF51" s="77">
        <v>8.6435999999999985E-2</v>
      </c>
      <c r="AG51" s="26"/>
      <c r="AH51" s="77">
        <v>-0.25</v>
      </c>
      <c r="AI51" s="77">
        <v>1.1000000000000001</v>
      </c>
      <c r="AJ51" s="77">
        <v>0.3</v>
      </c>
      <c r="AK51" s="26"/>
      <c r="AL51" s="77">
        <v>-0.15</v>
      </c>
      <c r="AM51" s="77">
        <v>0.35</v>
      </c>
      <c r="AN51" s="77">
        <v>0.2</v>
      </c>
      <c r="AO51" s="26"/>
      <c r="AP51" s="27">
        <v>11</v>
      </c>
      <c r="AQ51" s="78">
        <v>0.3</v>
      </c>
      <c r="AR51" s="26"/>
      <c r="AS51" s="78">
        <v>-3</v>
      </c>
      <c r="AT51" s="120">
        <v>0.01</v>
      </c>
      <c r="AU51" s="26"/>
      <c r="AV51" s="78">
        <v>10</v>
      </c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8">
        <v>37530</v>
      </c>
      <c r="BI51" s="80">
        <v>0.9</v>
      </c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89"/>
      <c r="CI51" s="44" t="s">
        <v>29</v>
      </c>
      <c r="CJ51" s="31" t="s">
        <v>30</v>
      </c>
      <c r="CK51" s="45" t="s">
        <v>31</v>
      </c>
      <c r="CM51" s="106"/>
      <c r="CN51" s="106"/>
      <c r="CO51" s="81"/>
      <c r="CP51"/>
      <c r="CQ51"/>
      <c r="CR51"/>
      <c r="CS51"/>
      <c r="CT51"/>
      <c r="CY51" s="338">
        <f t="shared" si="4"/>
        <v>37530</v>
      </c>
      <c r="CZ51" s="337">
        <f t="shared" si="5"/>
        <v>0.85000000000000009</v>
      </c>
      <c r="DA51" s="337">
        <f t="shared" si="6"/>
        <v>1.1000000000000001</v>
      </c>
      <c r="DB51" s="337">
        <f t="shared" si="7"/>
        <v>1.4000000000000001</v>
      </c>
      <c r="DD51" s="337">
        <f t="shared" si="8"/>
        <v>0.1149975</v>
      </c>
      <c r="DE51" s="337">
        <f t="shared" si="9"/>
        <v>0.229995</v>
      </c>
      <c r="DF51" s="337">
        <f t="shared" si="10"/>
        <v>0.34499250000000004</v>
      </c>
      <c r="DH51" s="338">
        <f t="shared" si="11"/>
        <v>37530</v>
      </c>
      <c r="DI51" s="20">
        <v>0.9</v>
      </c>
      <c r="DT51" s="4"/>
      <c r="DU51" s="4"/>
      <c r="DV51" s="4"/>
      <c r="DW51" s="4"/>
      <c r="DX51" s="4"/>
      <c r="DY51" s="4"/>
    </row>
    <row r="52" spans="1:129" ht="13.5" thickBot="1">
      <c r="A52" s="34">
        <f t="shared" ca="1" si="0"/>
        <v>37803</v>
      </c>
      <c r="B52" s="20">
        <f>'Gas Curves'!C56</f>
        <v>7.2234722830806009E-2</v>
      </c>
      <c r="C52" s="20"/>
      <c r="D52" s="75">
        <v>36678</v>
      </c>
      <c r="E52" s="76">
        <v>72.5</v>
      </c>
      <c r="F52" s="76">
        <v>74</v>
      </c>
      <c r="G52" s="76">
        <v>75.5</v>
      </c>
      <c r="H52" s="56"/>
      <c r="I52" s="76">
        <v>18.754999160766602</v>
      </c>
      <c r="J52" s="76">
        <v>19.504999160766602</v>
      </c>
      <c r="K52" s="76">
        <v>20.254999160766602</v>
      </c>
      <c r="L52" s="27"/>
      <c r="M52" s="28">
        <v>37561</v>
      </c>
      <c r="N52" s="77">
        <v>23.51725158691406</v>
      </c>
      <c r="O52" s="77">
        <v>24.004751586914061</v>
      </c>
      <c r="P52" s="77">
        <v>24.492251586914062</v>
      </c>
      <c r="Q52" s="26"/>
      <c r="R52" s="77">
        <v>19.00449981689453</v>
      </c>
      <c r="S52" s="77">
        <v>22.00449981689453</v>
      </c>
      <c r="T52" s="77">
        <v>25.00449981689453</v>
      </c>
      <c r="U52" s="26"/>
      <c r="V52" s="77">
        <v>1.2</v>
      </c>
      <c r="W52" s="77">
        <v>1.2</v>
      </c>
      <c r="X52" s="77">
        <v>1.2</v>
      </c>
      <c r="Y52" s="26"/>
      <c r="Z52" s="77">
        <v>0.1149975</v>
      </c>
      <c r="AA52" s="77">
        <v>0.229995</v>
      </c>
      <c r="AB52" s="77">
        <v>0.34499250000000004</v>
      </c>
      <c r="AC52" s="26"/>
      <c r="AD52" s="77">
        <v>2.8811999999999997E-2</v>
      </c>
      <c r="AE52" s="77">
        <v>5.7623999999999995E-2</v>
      </c>
      <c r="AF52" s="77">
        <v>8.6435999999999985E-2</v>
      </c>
      <c r="AG52" s="26"/>
      <c r="AH52" s="77">
        <v>-0.25</v>
      </c>
      <c r="AI52" s="77">
        <v>1.25</v>
      </c>
      <c r="AJ52" s="77">
        <v>0.3</v>
      </c>
      <c r="AK52" s="26"/>
      <c r="AL52" s="77">
        <v>-0.15</v>
      </c>
      <c r="AM52" s="77">
        <v>0.3</v>
      </c>
      <c r="AN52" s="77">
        <v>0.2</v>
      </c>
      <c r="AO52" s="26"/>
      <c r="AP52" s="27">
        <v>12</v>
      </c>
      <c r="AQ52" s="78">
        <v>0.3</v>
      </c>
      <c r="AR52" s="26"/>
      <c r="AS52" s="78">
        <v>-2.5</v>
      </c>
      <c r="AT52" s="80">
        <v>5.0000000000000001E-3</v>
      </c>
      <c r="AU52" s="26"/>
      <c r="AV52" s="78">
        <v>0</v>
      </c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8">
        <v>37561</v>
      </c>
      <c r="BI52" s="80">
        <v>0.9</v>
      </c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89"/>
      <c r="CI52" s="57" t="s">
        <v>32</v>
      </c>
      <c r="CJ52" s="58" t="s">
        <v>32</v>
      </c>
      <c r="CK52" s="59" t="s">
        <v>32</v>
      </c>
      <c r="CM52" s="106"/>
      <c r="CN52" s="106"/>
      <c r="CO52" s="81"/>
      <c r="CP52"/>
      <c r="CQ52"/>
      <c r="CR52"/>
      <c r="CS52"/>
      <c r="CT52"/>
      <c r="CY52" s="338">
        <f t="shared" si="4"/>
        <v>37561</v>
      </c>
      <c r="CZ52" s="337">
        <f t="shared" si="5"/>
        <v>1</v>
      </c>
      <c r="DA52" s="337">
        <f t="shared" si="6"/>
        <v>1.25</v>
      </c>
      <c r="DB52" s="337">
        <f t="shared" si="7"/>
        <v>1.55</v>
      </c>
      <c r="DD52" s="337">
        <f t="shared" si="8"/>
        <v>0.1149975</v>
      </c>
      <c r="DE52" s="337">
        <f t="shared" si="9"/>
        <v>0.229995</v>
      </c>
      <c r="DF52" s="337">
        <f t="shared" si="10"/>
        <v>0.34499250000000004</v>
      </c>
      <c r="DH52" s="338">
        <f t="shared" si="11"/>
        <v>37561</v>
      </c>
      <c r="DI52" s="20">
        <v>0.9</v>
      </c>
      <c r="DT52" s="4"/>
      <c r="DU52" s="4"/>
      <c r="DV52" s="4"/>
      <c r="DW52" s="4"/>
      <c r="DX52" s="4"/>
      <c r="DY52" s="4"/>
    </row>
    <row r="53" spans="1:129" ht="13.5" thickBot="1">
      <c r="A53" s="34">
        <f t="shared" ca="1" si="0"/>
        <v>37834</v>
      </c>
      <c r="B53" s="20">
        <f>'Gas Curves'!C57</f>
        <v>7.2287360659209987E-2</v>
      </c>
      <c r="C53" s="20"/>
      <c r="D53" s="75">
        <v>36708</v>
      </c>
      <c r="E53" s="76">
        <v>107.5</v>
      </c>
      <c r="F53" s="76">
        <v>110</v>
      </c>
      <c r="G53" s="76">
        <v>112.5</v>
      </c>
      <c r="H53" s="56"/>
      <c r="I53" s="76">
        <v>23.749998092651367</v>
      </c>
      <c r="J53" s="76">
        <v>24.999998092651367</v>
      </c>
      <c r="K53" s="76">
        <v>26.249998092651367</v>
      </c>
      <c r="L53" s="27"/>
      <c r="M53" s="28">
        <v>37591</v>
      </c>
      <c r="N53" s="77">
        <v>24.967498397827146</v>
      </c>
      <c r="O53" s="77">
        <v>25.454998397827147</v>
      </c>
      <c r="P53" s="77">
        <v>25.942498397827148</v>
      </c>
      <c r="Q53" s="26"/>
      <c r="R53" s="77">
        <v>18.949999237060545</v>
      </c>
      <c r="S53" s="77">
        <v>21.949999237060545</v>
      </c>
      <c r="T53" s="77">
        <v>24.949999237060545</v>
      </c>
      <c r="U53" s="26"/>
      <c r="V53" s="77">
        <v>1.2</v>
      </c>
      <c r="W53" s="77">
        <v>1.2</v>
      </c>
      <c r="X53" s="77">
        <v>1.2</v>
      </c>
      <c r="Y53" s="26"/>
      <c r="Z53" s="77">
        <v>0.1191015</v>
      </c>
      <c r="AA53" s="77">
        <v>0.238203</v>
      </c>
      <c r="AB53" s="77">
        <v>0.35730450000000002</v>
      </c>
      <c r="AC53" s="26"/>
      <c r="AD53" s="77">
        <v>2.8811999999999997E-2</v>
      </c>
      <c r="AE53" s="77">
        <v>5.7623999999999995E-2</v>
      </c>
      <c r="AF53" s="77">
        <v>8.6435999999999985E-2</v>
      </c>
      <c r="AG53" s="26"/>
      <c r="AH53" s="77">
        <v>-0.25</v>
      </c>
      <c r="AI53" s="77">
        <v>1.25</v>
      </c>
      <c r="AJ53" s="77">
        <v>0.35</v>
      </c>
      <c r="AK53" s="26"/>
      <c r="AL53" s="77">
        <v>-0.15</v>
      </c>
      <c r="AM53" s="77">
        <v>0.3</v>
      </c>
      <c r="AN53" s="77">
        <v>0.2</v>
      </c>
      <c r="AO53" s="26"/>
      <c r="AP53" s="27">
        <v>12</v>
      </c>
      <c r="AQ53" s="78">
        <v>0.3</v>
      </c>
      <c r="AR53" s="26"/>
      <c r="AS53" s="78">
        <v>-2</v>
      </c>
      <c r="AT53" s="80">
        <v>2.5000000000000001E-3</v>
      </c>
      <c r="AU53" s="26"/>
      <c r="AV53" s="78">
        <v>0</v>
      </c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8">
        <v>37591</v>
      </c>
      <c r="BI53" s="80">
        <v>0.9</v>
      </c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26"/>
      <c r="BX53" s="26"/>
      <c r="BY53" s="26"/>
      <c r="BZ53" s="26"/>
      <c r="CA53" s="26"/>
      <c r="CB53" s="26"/>
      <c r="CC53" s="26"/>
      <c r="CD53" s="26"/>
      <c r="CE53" s="26"/>
      <c r="CF53" s="26"/>
      <c r="CG53" s="26"/>
      <c r="CH53" s="89"/>
      <c r="CI53" s="68">
        <f t="shared" ref="CI53:CI64" si="15">CE21</f>
        <v>0</v>
      </c>
      <c r="CJ53" s="107">
        <f t="shared" ref="CJ53:CJ64" si="16">CI53+CF21</f>
        <v>0</v>
      </c>
      <c r="CK53" s="108">
        <f t="shared" ref="CK53:CK64" si="17">CI53+CG21</f>
        <v>0</v>
      </c>
      <c r="CM53" s="106"/>
      <c r="CN53" s="106"/>
      <c r="CO53" s="81"/>
      <c r="CP53"/>
      <c r="CQ53"/>
      <c r="CR53"/>
      <c r="CS53"/>
      <c r="CT53"/>
      <c r="CY53" s="338">
        <f t="shared" si="4"/>
        <v>37591</v>
      </c>
      <c r="CZ53" s="337">
        <f t="shared" si="5"/>
        <v>1</v>
      </c>
      <c r="DA53" s="337">
        <f t="shared" si="6"/>
        <v>1.25</v>
      </c>
      <c r="DB53" s="337">
        <f t="shared" si="7"/>
        <v>1.6</v>
      </c>
      <c r="DD53" s="337">
        <f t="shared" si="8"/>
        <v>0.1191015</v>
      </c>
      <c r="DE53" s="337">
        <f t="shared" si="9"/>
        <v>0.238203</v>
      </c>
      <c r="DF53" s="337">
        <f t="shared" si="10"/>
        <v>0.35730450000000002</v>
      </c>
      <c r="DH53" s="338">
        <f t="shared" si="11"/>
        <v>37591</v>
      </c>
      <c r="DI53" s="20">
        <v>0.9</v>
      </c>
      <c r="DP53" s="2"/>
      <c r="DT53" s="4"/>
      <c r="DU53" s="4"/>
      <c r="DV53" s="4"/>
      <c r="DW53" s="4"/>
      <c r="DX53" s="4"/>
      <c r="DY53" s="4"/>
    </row>
    <row r="54" spans="1:129" ht="13.5" thickBot="1">
      <c r="A54" s="34">
        <f t="shared" ca="1" si="0"/>
        <v>37865</v>
      </c>
      <c r="B54" s="20">
        <f>'Gas Curves'!C58</f>
        <v>7.2339998488529011E-2</v>
      </c>
      <c r="C54" s="20"/>
      <c r="D54" s="75">
        <v>36739</v>
      </c>
      <c r="E54" s="76">
        <v>95</v>
      </c>
      <c r="F54" s="76">
        <v>97.5</v>
      </c>
      <c r="G54" s="76">
        <v>100</v>
      </c>
      <c r="H54" s="56"/>
      <c r="I54" s="76">
        <v>23.749998092651367</v>
      </c>
      <c r="J54" s="76">
        <v>24.999998092651367</v>
      </c>
      <c r="K54" s="76">
        <v>26.249998092651367</v>
      </c>
      <c r="L54" s="27"/>
      <c r="M54" s="28">
        <v>37622</v>
      </c>
      <c r="N54" s="77">
        <v>28.048748397827147</v>
      </c>
      <c r="O54" s="77">
        <v>28.648748397827148</v>
      </c>
      <c r="P54" s="77">
        <v>29.24874839782715</v>
      </c>
      <c r="Q54" s="26"/>
      <c r="R54" s="77">
        <v>23.85250015258789</v>
      </c>
      <c r="S54" s="77">
        <v>27.152500152587891</v>
      </c>
      <c r="T54" s="77">
        <v>30.452500152587891</v>
      </c>
      <c r="U54" s="26"/>
      <c r="V54" s="77">
        <v>1.1000000000000001</v>
      </c>
      <c r="W54" s="77">
        <v>1.1000000000000001</v>
      </c>
      <c r="X54" s="77">
        <v>1.1000000000000001</v>
      </c>
      <c r="Y54" s="26"/>
      <c r="Z54" s="77">
        <v>0.12815500000000002</v>
      </c>
      <c r="AA54" s="77">
        <v>0.25631000000000004</v>
      </c>
      <c r="AB54" s="77">
        <v>0.38446500000000006</v>
      </c>
      <c r="AC54" s="26"/>
      <c r="AD54" s="77">
        <v>3.2941720000000008E-2</v>
      </c>
      <c r="AE54" s="77">
        <v>6.5883440000000015E-2</v>
      </c>
      <c r="AF54" s="77">
        <v>9.8825160000000023E-2</v>
      </c>
      <c r="AG54" s="26"/>
      <c r="AH54" s="77">
        <v>-0.75</v>
      </c>
      <c r="AI54" s="77">
        <v>2</v>
      </c>
      <c r="AJ54" s="77">
        <v>0.75</v>
      </c>
      <c r="AK54" s="26"/>
      <c r="AL54" s="77">
        <v>-0.15</v>
      </c>
      <c r="AM54" s="77">
        <v>0.5</v>
      </c>
      <c r="AN54" s="77">
        <v>0.2</v>
      </c>
      <c r="AO54" s="26"/>
      <c r="AP54" s="27">
        <v>12</v>
      </c>
      <c r="AQ54" s="78">
        <v>0.3</v>
      </c>
      <c r="AR54" s="26"/>
      <c r="AS54" s="78">
        <v>-1.5</v>
      </c>
      <c r="AT54" s="80">
        <v>0</v>
      </c>
      <c r="AU54" s="26"/>
      <c r="AV54" s="78">
        <v>0</v>
      </c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8">
        <v>37622</v>
      </c>
      <c r="BI54" s="80">
        <v>0.9</v>
      </c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6"/>
      <c r="BY54" s="26"/>
      <c r="BZ54" s="26"/>
      <c r="CA54" s="26"/>
      <c r="CB54" s="26"/>
      <c r="CC54" s="26"/>
      <c r="CD54" s="26"/>
      <c r="CE54" s="26"/>
      <c r="CF54" s="26"/>
      <c r="CG54" s="26"/>
      <c r="CH54" s="89"/>
      <c r="CI54" s="68">
        <f t="shared" si="15"/>
        <v>0</v>
      </c>
      <c r="CJ54" s="107">
        <f t="shared" si="16"/>
        <v>0</v>
      </c>
      <c r="CK54" s="108">
        <f t="shared" si="17"/>
        <v>0</v>
      </c>
      <c r="CM54" s="106"/>
      <c r="CN54" s="106"/>
      <c r="CO54" s="81"/>
      <c r="CP54"/>
      <c r="CQ54"/>
      <c r="CR54"/>
      <c r="CS54"/>
      <c r="CT54"/>
      <c r="CY54" s="338">
        <f t="shared" si="4"/>
        <v>37622</v>
      </c>
      <c r="CZ54" s="337">
        <f t="shared" si="5"/>
        <v>1.25</v>
      </c>
      <c r="DA54" s="337">
        <f t="shared" si="6"/>
        <v>2</v>
      </c>
      <c r="DB54" s="337">
        <f t="shared" si="7"/>
        <v>2.75</v>
      </c>
      <c r="DD54" s="337">
        <f t="shared" si="8"/>
        <v>0.12815500000000002</v>
      </c>
      <c r="DE54" s="337">
        <f t="shared" si="9"/>
        <v>0.25631000000000004</v>
      </c>
      <c r="DF54" s="337">
        <f t="shared" si="10"/>
        <v>0.38446500000000006</v>
      </c>
      <c r="DH54" s="338">
        <f t="shared" si="11"/>
        <v>37622</v>
      </c>
      <c r="DI54" s="20">
        <v>0.9</v>
      </c>
    </row>
    <row r="55" spans="1:129" ht="13.5" thickBot="1">
      <c r="A55" s="34">
        <f t="shared" ca="1" si="0"/>
        <v>37895</v>
      </c>
      <c r="B55" s="20">
        <f>'Gas Curves'!C59</f>
        <v>7.238779519034301E-2</v>
      </c>
      <c r="C55" s="20"/>
      <c r="D55" s="75">
        <v>36770</v>
      </c>
      <c r="E55" s="76">
        <v>33.4</v>
      </c>
      <c r="F55" s="76">
        <v>34</v>
      </c>
      <c r="G55" s="76">
        <v>34.6</v>
      </c>
      <c r="H55" s="56"/>
      <c r="I55" s="76">
        <v>19.199998092651366</v>
      </c>
      <c r="J55" s="76">
        <v>19.499998092651367</v>
      </c>
      <c r="K55" s="76">
        <v>19.799998092651368</v>
      </c>
      <c r="L55" s="27"/>
      <c r="M55" s="28">
        <v>37653</v>
      </c>
      <c r="N55" s="77">
        <v>27.046250152587888</v>
      </c>
      <c r="O55" s="77">
        <v>27.646250152587889</v>
      </c>
      <c r="P55" s="77">
        <v>28.246250152587891</v>
      </c>
      <c r="Q55" s="26"/>
      <c r="R55" s="77">
        <v>21.847499465942381</v>
      </c>
      <c r="S55" s="77">
        <v>25.147499465942381</v>
      </c>
      <c r="T55" s="77">
        <v>28.447499465942382</v>
      </c>
      <c r="U55" s="26"/>
      <c r="V55" s="77">
        <v>1.1000000000000001</v>
      </c>
      <c r="W55" s="77">
        <v>1.1000000000000001</v>
      </c>
      <c r="X55" s="77">
        <v>1.1000000000000001</v>
      </c>
      <c r="Y55" s="26"/>
      <c r="Z55" s="77">
        <v>0.1236425</v>
      </c>
      <c r="AA55" s="77">
        <v>0.247285</v>
      </c>
      <c r="AB55" s="77">
        <v>0.37092750000000002</v>
      </c>
      <c r="AC55" s="26"/>
      <c r="AD55" s="77">
        <v>3.2941720000000008E-2</v>
      </c>
      <c r="AE55" s="77">
        <v>6.5883440000000015E-2</v>
      </c>
      <c r="AF55" s="77">
        <v>9.8825160000000023E-2</v>
      </c>
      <c r="AG55" s="26"/>
      <c r="AH55" s="77">
        <v>-0.75</v>
      </c>
      <c r="AI55" s="77">
        <v>2</v>
      </c>
      <c r="AJ55" s="77">
        <v>0.75</v>
      </c>
      <c r="AK55" s="26"/>
      <c r="AL55" s="77">
        <v>-0.15</v>
      </c>
      <c r="AM55" s="77">
        <v>0.5</v>
      </c>
      <c r="AN55" s="77">
        <v>0.2</v>
      </c>
      <c r="AO55" s="26"/>
      <c r="AP55" s="27">
        <v>13</v>
      </c>
      <c r="AQ55" s="78">
        <v>0.3</v>
      </c>
      <c r="AR55" s="26"/>
      <c r="AS55" s="78">
        <v>-1</v>
      </c>
      <c r="AT55" s="80">
        <v>0</v>
      </c>
      <c r="AU55" s="26"/>
      <c r="AV55" s="78">
        <v>0</v>
      </c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8">
        <v>37653</v>
      </c>
      <c r="BI55" s="80">
        <v>0.9</v>
      </c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I55" s="68">
        <f t="shared" si="15"/>
        <v>0</v>
      </c>
      <c r="CJ55" s="107">
        <f t="shared" si="16"/>
        <v>0</v>
      </c>
      <c r="CK55" s="108">
        <f t="shared" si="17"/>
        <v>0</v>
      </c>
      <c r="CM55" s="106"/>
      <c r="CN55" s="106"/>
      <c r="CO55" s="81"/>
      <c r="CP55"/>
      <c r="CQ55"/>
      <c r="CR55"/>
      <c r="CS55"/>
      <c r="CT55"/>
      <c r="CY55" s="338">
        <f t="shared" si="4"/>
        <v>37653</v>
      </c>
      <c r="CZ55" s="337">
        <f t="shared" si="5"/>
        <v>1.25</v>
      </c>
      <c r="DA55" s="337">
        <f t="shared" si="6"/>
        <v>2</v>
      </c>
      <c r="DB55" s="337">
        <f t="shared" si="7"/>
        <v>2.75</v>
      </c>
      <c r="DD55" s="337">
        <f t="shared" si="8"/>
        <v>0.1236425</v>
      </c>
      <c r="DE55" s="337">
        <f t="shared" si="9"/>
        <v>0.247285</v>
      </c>
      <c r="DF55" s="337">
        <f t="shared" si="10"/>
        <v>0.37092750000000002</v>
      </c>
      <c r="DH55" s="338">
        <f t="shared" si="11"/>
        <v>37653</v>
      </c>
      <c r="DI55" s="20">
        <v>0.9</v>
      </c>
    </row>
    <row r="56" spans="1:129" ht="13.5" thickBot="1">
      <c r="A56" s="34">
        <f t="shared" ca="1" si="0"/>
        <v>37926</v>
      </c>
      <c r="B56" s="20">
        <f>'Gas Curves'!C60</f>
        <v>7.2433234070914995E-2</v>
      </c>
      <c r="C56" s="20"/>
      <c r="D56" s="75">
        <v>36800</v>
      </c>
      <c r="E56" s="76">
        <v>31.05</v>
      </c>
      <c r="F56" s="76">
        <v>31.5</v>
      </c>
      <c r="G56" s="76">
        <v>31.95</v>
      </c>
      <c r="H56" s="56"/>
      <c r="I56" s="76">
        <v>19.274998092651366</v>
      </c>
      <c r="J56" s="76">
        <v>19.499998092651367</v>
      </c>
      <c r="K56" s="76">
        <v>19.724998092651369</v>
      </c>
      <c r="L56" s="27"/>
      <c r="M56" s="28">
        <v>37681</v>
      </c>
      <c r="N56" s="77">
        <v>20.459749603271483</v>
      </c>
      <c r="O56" s="77">
        <v>20.834749603271483</v>
      </c>
      <c r="P56" s="77">
        <v>21.209749603271483</v>
      </c>
      <c r="Q56" s="26"/>
      <c r="R56" s="77">
        <v>17.164498901367185</v>
      </c>
      <c r="S56" s="77">
        <v>20.464498901367186</v>
      </c>
      <c r="T56" s="77">
        <v>23.764498901367187</v>
      </c>
      <c r="U56" s="26"/>
      <c r="V56" s="77">
        <v>0.6</v>
      </c>
      <c r="W56" s="77">
        <v>0.6</v>
      </c>
      <c r="X56" s="77">
        <v>0.6</v>
      </c>
      <c r="Y56" s="26"/>
      <c r="Z56" s="77">
        <v>0.12051759375</v>
      </c>
      <c r="AA56" s="77">
        <v>0.2410351875</v>
      </c>
      <c r="AB56" s="77">
        <v>0.36155278125000001</v>
      </c>
      <c r="AC56" s="26"/>
      <c r="AD56" s="77">
        <v>2.8235759999999995E-2</v>
      </c>
      <c r="AE56" s="77">
        <v>5.647151999999999E-2</v>
      </c>
      <c r="AF56" s="77">
        <v>8.4707279999999982E-2</v>
      </c>
      <c r="AG56" s="26"/>
      <c r="AH56" s="77">
        <v>-0.25</v>
      </c>
      <c r="AI56" s="77">
        <v>1.3</v>
      </c>
      <c r="AJ56" s="77">
        <v>0.3</v>
      </c>
      <c r="AK56" s="26"/>
      <c r="AL56" s="77">
        <v>-0.15</v>
      </c>
      <c r="AM56" s="77">
        <v>0.35</v>
      </c>
      <c r="AN56" s="77">
        <v>0.2</v>
      </c>
      <c r="AO56" s="26"/>
      <c r="AP56" s="27">
        <v>13</v>
      </c>
      <c r="AQ56" s="78">
        <v>0.3</v>
      </c>
      <c r="AR56" s="26"/>
      <c r="AS56" s="78">
        <v>-0.5</v>
      </c>
      <c r="AT56" s="80">
        <v>0</v>
      </c>
      <c r="AU56" s="26"/>
      <c r="AV56" s="78">
        <v>0</v>
      </c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8">
        <v>37681</v>
      </c>
      <c r="BI56" s="80">
        <v>0.9</v>
      </c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I56" s="68">
        <f t="shared" si="15"/>
        <v>0</v>
      </c>
      <c r="CJ56" s="107">
        <f t="shared" si="16"/>
        <v>0</v>
      </c>
      <c r="CK56" s="108">
        <f t="shared" si="17"/>
        <v>0</v>
      </c>
      <c r="CM56" s="106"/>
      <c r="CN56" s="106"/>
      <c r="CO56" s="81"/>
      <c r="CP56"/>
      <c r="CQ56"/>
      <c r="CR56"/>
      <c r="CS56"/>
      <c r="CT56"/>
      <c r="CY56" s="338">
        <f t="shared" si="4"/>
        <v>37681</v>
      </c>
      <c r="CZ56" s="337">
        <f t="shared" si="5"/>
        <v>1.05</v>
      </c>
      <c r="DA56" s="337">
        <f t="shared" si="6"/>
        <v>1.3</v>
      </c>
      <c r="DB56" s="337">
        <f t="shared" si="7"/>
        <v>1.6</v>
      </c>
      <c r="DD56" s="337">
        <f t="shared" si="8"/>
        <v>0.12051759375</v>
      </c>
      <c r="DE56" s="337">
        <f t="shared" si="9"/>
        <v>0.2410351875</v>
      </c>
      <c r="DF56" s="337">
        <f t="shared" si="10"/>
        <v>0.36155278125000001</v>
      </c>
      <c r="DH56" s="338">
        <f t="shared" si="11"/>
        <v>37681</v>
      </c>
      <c r="DI56" s="20">
        <v>0.9</v>
      </c>
    </row>
    <row r="57" spans="1:129" ht="13.5" thickBot="1">
      <c r="A57" s="34">
        <f t="shared" ca="1" si="0"/>
        <v>37956</v>
      </c>
      <c r="B57" s="20">
        <f>'Gas Curves'!C61</f>
        <v>7.2477207181795011E-2</v>
      </c>
      <c r="C57" s="20"/>
      <c r="D57" s="75">
        <v>36831</v>
      </c>
      <c r="E57" s="76">
        <v>31.55</v>
      </c>
      <c r="F57" s="76">
        <v>32</v>
      </c>
      <c r="G57" s="76">
        <v>32.450000000000003</v>
      </c>
      <c r="H57" s="56"/>
      <c r="I57" s="76">
        <v>19.274998092651366</v>
      </c>
      <c r="J57" s="76">
        <v>19.499998092651367</v>
      </c>
      <c r="K57" s="76">
        <v>19.724998092651369</v>
      </c>
      <c r="L57" s="27"/>
      <c r="M57" s="28">
        <v>37712</v>
      </c>
      <c r="N57" s="77">
        <v>21.255000305175781</v>
      </c>
      <c r="O57" s="77">
        <v>21.51750030517578</v>
      </c>
      <c r="P57" s="77">
        <v>21.780000305175779</v>
      </c>
      <c r="Q57" s="26"/>
      <c r="R57" s="77">
        <v>16.934999084472654</v>
      </c>
      <c r="S57" s="77">
        <v>20.234999084472655</v>
      </c>
      <c r="T57" s="77">
        <v>23.534999084472656</v>
      </c>
      <c r="U57" s="26"/>
      <c r="V57" s="77">
        <v>0.6</v>
      </c>
      <c r="W57" s="77">
        <v>0.6</v>
      </c>
      <c r="X57" s="77">
        <v>0.6</v>
      </c>
      <c r="Y57" s="26"/>
      <c r="Z57" s="77">
        <v>0.1074200625</v>
      </c>
      <c r="AA57" s="77">
        <v>0.21484012499999999</v>
      </c>
      <c r="AB57" s="77">
        <v>0.32226018749999996</v>
      </c>
      <c r="AC57" s="26"/>
      <c r="AD57" s="77">
        <v>2.8235759999999995E-2</v>
      </c>
      <c r="AE57" s="77">
        <v>5.647151999999999E-2</v>
      </c>
      <c r="AF57" s="77">
        <v>8.4707279999999982E-2</v>
      </c>
      <c r="AG57" s="26"/>
      <c r="AH57" s="77">
        <v>-0.25</v>
      </c>
      <c r="AI57" s="77">
        <v>1.1000000000000001</v>
      </c>
      <c r="AJ57" s="77">
        <v>0.3</v>
      </c>
      <c r="AK57" s="26"/>
      <c r="AL57" s="77">
        <v>-0.15</v>
      </c>
      <c r="AM57" s="77">
        <v>0.35</v>
      </c>
      <c r="AN57" s="77">
        <v>0.2</v>
      </c>
      <c r="AO57" s="26"/>
      <c r="AP57" s="27">
        <v>13</v>
      </c>
      <c r="AQ57" s="78">
        <v>0.3</v>
      </c>
      <c r="AR57" s="26"/>
      <c r="AS57" s="78">
        <v>0</v>
      </c>
      <c r="AT57" s="80">
        <v>0</v>
      </c>
      <c r="AU57" s="26"/>
      <c r="AV57" s="78">
        <v>0</v>
      </c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8">
        <v>37712</v>
      </c>
      <c r="BI57" s="80">
        <v>0.9</v>
      </c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26"/>
      <c r="BX57" s="26"/>
      <c r="BY57" s="26"/>
      <c r="BZ57" s="26"/>
      <c r="CA57" s="26"/>
      <c r="CB57" s="26"/>
      <c r="CC57" s="26"/>
      <c r="CD57" s="26"/>
      <c r="CE57" s="26"/>
      <c r="CF57" s="26"/>
      <c r="CG57" s="26"/>
      <c r="CI57" s="68">
        <f t="shared" si="15"/>
        <v>0</v>
      </c>
      <c r="CJ57" s="107">
        <f t="shared" si="16"/>
        <v>0</v>
      </c>
      <c r="CK57" s="108">
        <f t="shared" si="17"/>
        <v>0</v>
      </c>
      <c r="CM57" s="106"/>
      <c r="CN57" s="106"/>
      <c r="CO57" s="81"/>
      <c r="CP57"/>
      <c r="CQ57"/>
      <c r="CR57"/>
      <c r="CS57"/>
      <c r="CT57"/>
      <c r="CY57" s="338">
        <f t="shared" si="4"/>
        <v>37712</v>
      </c>
      <c r="CZ57" s="337">
        <f t="shared" si="5"/>
        <v>0.85000000000000009</v>
      </c>
      <c r="DA57" s="337">
        <f t="shared" si="6"/>
        <v>1.1000000000000001</v>
      </c>
      <c r="DB57" s="337">
        <f t="shared" si="7"/>
        <v>1.4000000000000001</v>
      </c>
      <c r="DD57" s="337">
        <f t="shared" si="8"/>
        <v>0.1074200625</v>
      </c>
      <c r="DE57" s="337">
        <f t="shared" si="9"/>
        <v>0.21484012499999999</v>
      </c>
      <c r="DF57" s="337">
        <f t="shared" si="10"/>
        <v>0.32226018749999996</v>
      </c>
      <c r="DH57" s="338">
        <f t="shared" si="11"/>
        <v>37712</v>
      </c>
      <c r="DI57" s="20">
        <v>0.9</v>
      </c>
    </row>
    <row r="58" spans="1:129" ht="13.5" thickBot="1">
      <c r="A58" s="34">
        <f t="shared" ca="1" si="0"/>
        <v>37987</v>
      </c>
      <c r="B58" s="20">
        <f>'Gas Curves'!C62</f>
        <v>7.2526454080711011E-2</v>
      </c>
      <c r="C58" s="20"/>
      <c r="D58" s="75">
        <v>36861</v>
      </c>
      <c r="E58" s="76">
        <v>32.049999999999997</v>
      </c>
      <c r="F58" s="76">
        <v>32.5</v>
      </c>
      <c r="G58" s="76">
        <v>32.950000000000003</v>
      </c>
      <c r="H58" s="56"/>
      <c r="I58" s="76">
        <v>20.824999237060545</v>
      </c>
      <c r="J58" s="76">
        <v>21.049999237060547</v>
      </c>
      <c r="K58" s="76">
        <v>21.274999237060548</v>
      </c>
      <c r="L58" s="27"/>
      <c r="M58" s="28">
        <v>37742</v>
      </c>
      <c r="N58" s="77">
        <v>20.695000076293944</v>
      </c>
      <c r="O58" s="77">
        <v>21.632500076293944</v>
      </c>
      <c r="P58" s="77">
        <v>22.570000076293944</v>
      </c>
      <c r="Q58" s="26"/>
      <c r="R58" s="77">
        <v>17.464999771118162</v>
      </c>
      <c r="S58" s="77">
        <v>20.764999771118163</v>
      </c>
      <c r="T58" s="77">
        <v>24.064999771118163</v>
      </c>
      <c r="U58" s="26"/>
      <c r="V58" s="77">
        <v>0.6</v>
      </c>
      <c r="W58" s="77">
        <v>0.6</v>
      </c>
      <c r="X58" s="77">
        <v>0.6</v>
      </c>
      <c r="Y58" s="26"/>
      <c r="Z58" s="77">
        <v>0.12366506249999999</v>
      </c>
      <c r="AA58" s="77">
        <v>0.24733012499999998</v>
      </c>
      <c r="AB58" s="77">
        <v>0.37099518749999999</v>
      </c>
      <c r="AC58" s="26"/>
      <c r="AD58" s="77">
        <v>3.2941720000000008E-2</v>
      </c>
      <c r="AE58" s="77">
        <v>6.5883440000000015E-2</v>
      </c>
      <c r="AF58" s="77">
        <v>9.8825160000000023E-2</v>
      </c>
      <c r="AG58" s="26"/>
      <c r="AH58" s="77">
        <v>-0.25</v>
      </c>
      <c r="AI58" s="77">
        <v>1.1000000000000001</v>
      </c>
      <c r="AJ58" s="77">
        <v>0.3</v>
      </c>
      <c r="AK58" s="26"/>
      <c r="AL58" s="77">
        <v>-0.15</v>
      </c>
      <c r="AM58" s="77">
        <v>0.5</v>
      </c>
      <c r="AN58" s="77">
        <v>0.2</v>
      </c>
      <c r="AO58" s="26"/>
      <c r="AP58" s="27">
        <v>14</v>
      </c>
      <c r="AQ58" s="78">
        <v>0.3</v>
      </c>
      <c r="AR58" s="26"/>
      <c r="AS58" s="78">
        <v>1</v>
      </c>
      <c r="AT58" s="80">
        <v>0</v>
      </c>
      <c r="AU58" s="26"/>
      <c r="AV58" s="78">
        <v>0</v>
      </c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8">
        <v>37742</v>
      </c>
      <c r="BI58" s="80">
        <v>0.9</v>
      </c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I58" s="68">
        <f t="shared" si="15"/>
        <v>0</v>
      </c>
      <c r="CJ58" s="107">
        <f t="shared" si="16"/>
        <v>0</v>
      </c>
      <c r="CK58" s="108">
        <f t="shared" si="17"/>
        <v>0</v>
      </c>
      <c r="CM58" s="106"/>
      <c r="CN58" s="106"/>
      <c r="CO58" s="81"/>
      <c r="CP58"/>
      <c r="CQ58"/>
      <c r="CR58"/>
      <c r="CS58"/>
      <c r="CT58"/>
      <c r="CY58" s="338">
        <f t="shared" si="4"/>
        <v>37742</v>
      </c>
      <c r="CZ58" s="337">
        <f t="shared" si="5"/>
        <v>0.85000000000000009</v>
      </c>
      <c r="DA58" s="337">
        <f t="shared" si="6"/>
        <v>1.1000000000000001</v>
      </c>
      <c r="DB58" s="337">
        <f t="shared" si="7"/>
        <v>1.4000000000000001</v>
      </c>
      <c r="DD58" s="337">
        <f t="shared" si="8"/>
        <v>0.12366506249999999</v>
      </c>
      <c r="DE58" s="337">
        <f t="shared" si="9"/>
        <v>0.24733012499999998</v>
      </c>
      <c r="DF58" s="337">
        <f t="shared" si="10"/>
        <v>0.37099518749999999</v>
      </c>
      <c r="DH58" s="338">
        <f t="shared" si="11"/>
        <v>37742</v>
      </c>
      <c r="DI58" s="20">
        <v>0.9</v>
      </c>
    </row>
    <row r="59" spans="1:129" ht="13.5" thickBot="1">
      <c r="A59" s="34">
        <f t="shared" ca="1" si="0"/>
        <v>38018</v>
      </c>
      <c r="B59" s="20">
        <f>'Gas Curves'!C63</f>
        <v>7.2579762865304001E-2</v>
      </c>
      <c r="C59" s="20"/>
      <c r="D59" s="75">
        <v>36892</v>
      </c>
      <c r="E59" s="76">
        <v>36.9</v>
      </c>
      <c r="F59" s="76">
        <v>37.5</v>
      </c>
      <c r="G59" s="76">
        <v>38.1</v>
      </c>
      <c r="H59" s="56"/>
      <c r="I59" s="76">
        <v>20.54000015258789</v>
      </c>
      <c r="J59" s="76">
        <v>20.840000152587891</v>
      </c>
      <c r="K59" s="76">
        <v>21.140000152587891</v>
      </c>
      <c r="L59" s="27"/>
      <c r="M59" s="28">
        <v>37773</v>
      </c>
      <c r="N59" s="77">
        <v>23.33625015258789</v>
      </c>
      <c r="O59" s="77">
        <v>26.058750152587891</v>
      </c>
      <c r="P59" s="77">
        <v>28.781250152587891</v>
      </c>
      <c r="Q59" s="26"/>
      <c r="R59" s="77">
        <v>16.242499542236327</v>
      </c>
      <c r="S59" s="77">
        <v>19.542499542236328</v>
      </c>
      <c r="T59" s="77">
        <v>22.842499542236329</v>
      </c>
      <c r="U59" s="26"/>
      <c r="V59" s="77">
        <v>0.6</v>
      </c>
      <c r="W59" s="77">
        <v>0.6</v>
      </c>
      <c r="X59" s="77">
        <v>0.6</v>
      </c>
      <c r="Y59" s="26"/>
      <c r="Z59" s="77">
        <v>0.15503821874999998</v>
      </c>
      <c r="AA59" s="77">
        <v>0.31007643749999997</v>
      </c>
      <c r="AB59" s="77">
        <v>0.46511465624999992</v>
      </c>
      <c r="AC59" s="26"/>
      <c r="AD59" s="77">
        <v>4.2353639999999998E-2</v>
      </c>
      <c r="AE59" s="77">
        <v>8.4707279999999996E-2</v>
      </c>
      <c r="AF59" s="77">
        <v>0.12706091999999999</v>
      </c>
      <c r="AG59" s="26"/>
      <c r="AH59" s="77">
        <v>-0.35</v>
      </c>
      <c r="AI59" s="77">
        <v>2</v>
      </c>
      <c r="AJ59" s="77">
        <v>0.3</v>
      </c>
      <c r="AK59" s="26"/>
      <c r="AL59" s="77">
        <v>-0.15</v>
      </c>
      <c r="AM59" s="77">
        <v>0.65</v>
      </c>
      <c r="AN59" s="77">
        <v>0.2</v>
      </c>
      <c r="AO59" s="26"/>
      <c r="AP59" s="27">
        <v>14</v>
      </c>
      <c r="AQ59" s="78">
        <v>0.3</v>
      </c>
      <c r="AR59" s="26"/>
      <c r="AS59" s="78">
        <v>2</v>
      </c>
      <c r="AT59" s="80">
        <v>0</v>
      </c>
      <c r="AU59" s="26"/>
      <c r="AV59" s="78">
        <v>0</v>
      </c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8">
        <v>37773</v>
      </c>
      <c r="BI59" s="80">
        <v>0.9</v>
      </c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I59" s="68">
        <f t="shared" si="15"/>
        <v>0</v>
      </c>
      <c r="CJ59" s="107">
        <f t="shared" si="16"/>
        <v>0</v>
      </c>
      <c r="CK59" s="108">
        <f t="shared" si="17"/>
        <v>0</v>
      </c>
      <c r="CM59" s="106"/>
      <c r="CN59" s="106"/>
      <c r="CO59" s="81"/>
      <c r="CP59"/>
      <c r="CQ59"/>
      <c r="CR59"/>
      <c r="CS59"/>
      <c r="CT59"/>
      <c r="CY59" s="338">
        <f t="shared" si="4"/>
        <v>37773</v>
      </c>
      <c r="CZ59" s="337">
        <f t="shared" si="5"/>
        <v>1.65</v>
      </c>
      <c r="DA59" s="337">
        <f t="shared" si="6"/>
        <v>2</v>
      </c>
      <c r="DB59" s="337">
        <f t="shared" si="7"/>
        <v>2.2999999999999998</v>
      </c>
      <c r="DD59" s="337">
        <f t="shared" si="8"/>
        <v>0.15503821874999998</v>
      </c>
      <c r="DE59" s="337">
        <f t="shared" si="9"/>
        <v>0.31007643749999997</v>
      </c>
      <c r="DF59" s="337">
        <f t="shared" si="10"/>
        <v>0.46511465624999992</v>
      </c>
      <c r="DH59" s="338">
        <f t="shared" si="11"/>
        <v>37773</v>
      </c>
      <c r="DI59" s="20">
        <v>0.9</v>
      </c>
    </row>
    <row r="60" spans="1:129" ht="13.5" thickBot="1">
      <c r="A60" s="34">
        <f t="shared" ca="1" si="0"/>
        <v>38047</v>
      </c>
      <c r="B60" s="20">
        <f>'Gas Curves'!C64</f>
        <v>7.2629632374320005E-2</v>
      </c>
      <c r="C60" s="20"/>
      <c r="D60" s="75">
        <v>36923</v>
      </c>
      <c r="E60" s="76">
        <v>36.9</v>
      </c>
      <c r="F60" s="76">
        <v>37.5</v>
      </c>
      <c r="G60" s="76">
        <v>38.1</v>
      </c>
      <c r="H60" s="56"/>
      <c r="I60" s="76">
        <v>20.34999771118164</v>
      </c>
      <c r="J60" s="76">
        <v>20.649997711181641</v>
      </c>
      <c r="K60" s="76">
        <v>20.949997711181641</v>
      </c>
      <c r="L60" s="27"/>
      <c r="M60" s="28">
        <v>37803</v>
      </c>
      <c r="N60" s="77">
        <v>36.261249542236328</v>
      </c>
      <c r="O60" s="77">
        <v>39.261249542236328</v>
      </c>
      <c r="P60" s="77">
        <v>42.261249542236328</v>
      </c>
      <c r="Q60" s="26"/>
      <c r="R60" s="77">
        <v>25.447499465942382</v>
      </c>
      <c r="S60" s="77">
        <v>28.747499465942383</v>
      </c>
      <c r="T60" s="77">
        <v>32.04749946594238</v>
      </c>
      <c r="U60" s="26"/>
      <c r="V60" s="77">
        <v>0.6</v>
      </c>
      <c r="W60" s="77">
        <v>0.6</v>
      </c>
      <c r="X60" s="77">
        <v>0.6</v>
      </c>
      <c r="Y60" s="26"/>
      <c r="Z60" s="77">
        <v>0.18346696874999999</v>
      </c>
      <c r="AA60" s="77">
        <v>0.36693393749999997</v>
      </c>
      <c r="AB60" s="77">
        <v>0.55040090624999993</v>
      </c>
      <c r="AC60" s="26"/>
      <c r="AD60" s="77">
        <v>5.647151999999999E-2</v>
      </c>
      <c r="AE60" s="77">
        <v>0.11294303999999998</v>
      </c>
      <c r="AF60" s="77">
        <v>0.16941455999999996</v>
      </c>
      <c r="AG60" s="26"/>
      <c r="AH60" s="77">
        <v>-0.35</v>
      </c>
      <c r="AI60" s="77">
        <v>3</v>
      </c>
      <c r="AJ60" s="77">
        <v>0.5</v>
      </c>
      <c r="AK60" s="26"/>
      <c r="AL60" s="77">
        <v>-0.15</v>
      </c>
      <c r="AM60" s="77">
        <v>0.75</v>
      </c>
      <c r="AN60" s="77">
        <v>0.2</v>
      </c>
      <c r="AO60" s="26"/>
      <c r="AP60" s="27">
        <v>14</v>
      </c>
      <c r="AQ60" s="78">
        <v>0.3</v>
      </c>
      <c r="AR60" s="26"/>
      <c r="AS60" s="78">
        <v>3</v>
      </c>
      <c r="AT60" s="80">
        <v>0.01</v>
      </c>
      <c r="AU60" s="26"/>
      <c r="AV60" s="78">
        <v>0</v>
      </c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8">
        <v>37803</v>
      </c>
      <c r="BI60" s="80">
        <v>0.9</v>
      </c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I60" s="68">
        <f t="shared" si="15"/>
        <v>0</v>
      </c>
      <c r="CJ60" s="107">
        <f t="shared" si="16"/>
        <v>0</v>
      </c>
      <c r="CK60" s="108">
        <f t="shared" si="17"/>
        <v>0</v>
      </c>
      <c r="CM60" s="106"/>
      <c r="CN60" s="106"/>
      <c r="CO60" s="81"/>
      <c r="CP60"/>
      <c r="CQ60"/>
      <c r="CR60"/>
      <c r="CS60"/>
      <c r="CT60"/>
      <c r="CY60" s="338">
        <f t="shared" si="4"/>
        <v>37803</v>
      </c>
      <c r="CZ60" s="337">
        <f t="shared" si="5"/>
        <v>2.65</v>
      </c>
      <c r="DA60" s="337">
        <f t="shared" si="6"/>
        <v>3</v>
      </c>
      <c r="DB60" s="337">
        <f t="shared" si="7"/>
        <v>3.5</v>
      </c>
      <c r="DD60" s="337">
        <f t="shared" si="8"/>
        <v>0.18346696874999999</v>
      </c>
      <c r="DE60" s="337">
        <f t="shared" si="9"/>
        <v>0.36693393749999997</v>
      </c>
      <c r="DF60" s="337">
        <f t="shared" si="10"/>
        <v>0.55040090624999993</v>
      </c>
      <c r="DH60" s="338">
        <f t="shared" si="11"/>
        <v>37803</v>
      </c>
      <c r="DI60" s="20">
        <v>0.9</v>
      </c>
    </row>
    <row r="61" spans="1:129" ht="13.5" thickBot="1">
      <c r="A61" s="34">
        <f t="shared" ca="1" si="0"/>
        <v>38078</v>
      </c>
      <c r="B61" s="20">
        <f>'Gas Curves'!C65</f>
        <v>7.2675147877700005E-2</v>
      </c>
      <c r="C61" s="20"/>
      <c r="D61" s="75">
        <v>36951</v>
      </c>
      <c r="E61" s="76">
        <v>33.35</v>
      </c>
      <c r="F61" s="76">
        <v>33.75</v>
      </c>
      <c r="G61" s="76">
        <v>34.15</v>
      </c>
      <c r="H61" s="56"/>
      <c r="I61" s="76">
        <v>19.449999618530274</v>
      </c>
      <c r="J61" s="76">
        <v>19.649999618530273</v>
      </c>
      <c r="K61" s="76">
        <v>19.849999618530273</v>
      </c>
      <c r="L61" s="27"/>
      <c r="M61" s="28">
        <v>37834</v>
      </c>
      <c r="N61" s="77">
        <v>38.522499084472656</v>
      </c>
      <c r="O61" s="77">
        <v>41.522499084472656</v>
      </c>
      <c r="P61" s="77">
        <v>44.522499084472656</v>
      </c>
      <c r="Q61" s="26"/>
      <c r="R61" s="77">
        <v>26.945000839233398</v>
      </c>
      <c r="S61" s="77">
        <v>30.245000839233398</v>
      </c>
      <c r="T61" s="77">
        <v>33.545000839233396</v>
      </c>
      <c r="U61" s="26"/>
      <c r="V61" s="77">
        <v>0.6</v>
      </c>
      <c r="W61" s="77">
        <v>0.6</v>
      </c>
      <c r="X61" s="77">
        <v>0.6</v>
      </c>
      <c r="Y61" s="26"/>
      <c r="Z61" s="77">
        <v>0.18052256249999998</v>
      </c>
      <c r="AA61" s="77">
        <v>0.36104512499999997</v>
      </c>
      <c r="AB61" s="77">
        <v>0.54156768749999995</v>
      </c>
      <c r="AC61" s="26"/>
      <c r="AD61" s="77">
        <v>5.647151999999999E-2</v>
      </c>
      <c r="AE61" s="77">
        <v>0.11294303999999998</v>
      </c>
      <c r="AF61" s="77">
        <v>0.16941455999999996</v>
      </c>
      <c r="AG61" s="26"/>
      <c r="AH61" s="77">
        <v>-0.35</v>
      </c>
      <c r="AI61" s="77">
        <v>3</v>
      </c>
      <c r="AJ61" s="77">
        <v>0.5</v>
      </c>
      <c r="AK61" s="26"/>
      <c r="AL61" s="77">
        <v>-0.15</v>
      </c>
      <c r="AM61" s="77">
        <v>0.75</v>
      </c>
      <c r="AN61" s="77">
        <v>0.2</v>
      </c>
      <c r="AO61" s="26"/>
      <c r="AP61" s="27">
        <v>15</v>
      </c>
      <c r="AQ61" s="78">
        <v>0.4</v>
      </c>
      <c r="AR61" s="26"/>
      <c r="AS61" s="78">
        <v>4</v>
      </c>
      <c r="AT61" s="80">
        <v>1.4999999999999999E-2</v>
      </c>
      <c r="AU61" s="26"/>
      <c r="AV61" s="78">
        <v>0</v>
      </c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8">
        <v>37834</v>
      </c>
      <c r="BI61" s="80">
        <v>0.9</v>
      </c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26"/>
      <c r="BX61" s="26"/>
      <c r="BY61" s="26"/>
      <c r="BZ61" s="26"/>
      <c r="CA61" s="26"/>
      <c r="CB61" s="26"/>
      <c r="CC61" s="26"/>
      <c r="CD61" s="26"/>
      <c r="CE61" s="26"/>
      <c r="CF61" s="26"/>
      <c r="CG61" s="26"/>
      <c r="CH61"/>
      <c r="CI61" s="68">
        <f t="shared" si="15"/>
        <v>0</v>
      </c>
      <c r="CJ61" s="107">
        <f t="shared" si="16"/>
        <v>0</v>
      </c>
      <c r="CK61" s="108">
        <f t="shared" si="17"/>
        <v>0</v>
      </c>
      <c r="CM61" s="106"/>
      <c r="CN61" s="106"/>
      <c r="CO61" s="81"/>
      <c r="CP61"/>
      <c r="CQ61"/>
      <c r="CR61"/>
      <c r="CS61"/>
      <c r="CT61"/>
      <c r="CY61" s="338">
        <f t="shared" si="4"/>
        <v>37834</v>
      </c>
      <c r="CZ61" s="337">
        <f t="shared" si="5"/>
        <v>2.65</v>
      </c>
      <c r="DA61" s="337">
        <f t="shared" si="6"/>
        <v>3</v>
      </c>
      <c r="DB61" s="337">
        <f t="shared" si="7"/>
        <v>3.5</v>
      </c>
      <c r="DD61" s="337">
        <f t="shared" si="8"/>
        <v>0.18052256249999998</v>
      </c>
      <c r="DE61" s="337">
        <f t="shared" si="9"/>
        <v>0.36104512499999997</v>
      </c>
      <c r="DF61" s="337">
        <f t="shared" si="10"/>
        <v>0.54156768749999995</v>
      </c>
      <c r="DH61" s="338">
        <f t="shared" si="11"/>
        <v>37834</v>
      </c>
      <c r="DI61" s="20">
        <v>0.9</v>
      </c>
    </row>
    <row r="62" spans="1:129" ht="13.5" thickBot="1">
      <c r="A62" s="34">
        <f t="shared" ca="1" si="0"/>
        <v>38108</v>
      </c>
      <c r="B62" s="20">
        <f>'Gas Curves'!C66</f>
        <v>7.2711150460336008E-2</v>
      </c>
      <c r="C62" s="20"/>
      <c r="D62" s="75">
        <v>36982</v>
      </c>
      <c r="E62" s="76">
        <v>32.25</v>
      </c>
      <c r="F62" s="76">
        <v>32.5</v>
      </c>
      <c r="G62" s="76">
        <v>32.75</v>
      </c>
      <c r="H62" s="56"/>
      <c r="I62" s="76">
        <v>19.524997711181641</v>
      </c>
      <c r="J62" s="76">
        <v>19.649997711181641</v>
      </c>
      <c r="K62" s="76">
        <v>19.774997711181641</v>
      </c>
      <c r="L62" s="27"/>
      <c r="M62" s="28">
        <v>37865</v>
      </c>
      <c r="N62" s="77">
        <v>22.229999160766599</v>
      </c>
      <c r="O62" s="77">
        <v>22.9049991607666</v>
      </c>
      <c r="P62" s="77">
        <v>23.579999160766601</v>
      </c>
      <c r="Q62" s="26"/>
      <c r="R62" s="77">
        <v>20.100000000000001</v>
      </c>
      <c r="S62" s="77">
        <v>23.4</v>
      </c>
      <c r="T62" s="77">
        <v>26.7</v>
      </c>
      <c r="U62" s="26"/>
      <c r="V62" s="77">
        <v>1.1000000000000001</v>
      </c>
      <c r="W62" s="77">
        <v>1.1000000000000001</v>
      </c>
      <c r="X62" s="77">
        <v>1.1000000000000001</v>
      </c>
      <c r="Y62" s="26"/>
      <c r="Z62" s="77">
        <v>0.1196038125</v>
      </c>
      <c r="AA62" s="77">
        <v>0.23920762500000001</v>
      </c>
      <c r="AB62" s="77">
        <v>0.3588114375</v>
      </c>
      <c r="AC62" s="26"/>
      <c r="AD62" s="77">
        <v>3.7647679999999996E-2</v>
      </c>
      <c r="AE62" s="77">
        <v>7.5295359999999992E-2</v>
      </c>
      <c r="AF62" s="77">
        <v>0.11294303999999999</v>
      </c>
      <c r="AG62" s="26"/>
      <c r="AH62" s="77">
        <v>-0.35</v>
      </c>
      <c r="AI62" s="77">
        <v>1.5</v>
      </c>
      <c r="AJ62" s="77">
        <v>0.3</v>
      </c>
      <c r="AK62" s="26"/>
      <c r="AL62" s="77">
        <v>-0.15</v>
      </c>
      <c r="AM62" s="77">
        <v>0.4</v>
      </c>
      <c r="AN62" s="77">
        <v>0.2</v>
      </c>
      <c r="AO62" s="26"/>
      <c r="AP62" s="27">
        <v>15</v>
      </c>
      <c r="AQ62" s="78">
        <v>0.4</v>
      </c>
      <c r="AR62" s="26"/>
      <c r="AS62" s="78">
        <v>5</v>
      </c>
      <c r="AT62" s="80">
        <v>1.7500000000000002E-2</v>
      </c>
      <c r="AU62" s="26"/>
      <c r="AV62" s="78">
        <v>0</v>
      </c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8">
        <v>37865</v>
      </c>
      <c r="BI62" s="80">
        <v>0.9</v>
      </c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/>
      <c r="CI62" s="68">
        <f t="shared" si="15"/>
        <v>0</v>
      </c>
      <c r="CJ62" s="107">
        <f t="shared" si="16"/>
        <v>0</v>
      </c>
      <c r="CK62" s="108">
        <f t="shared" si="17"/>
        <v>0</v>
      </c>
      <c r="CM62" s="106"/>
      <c r="CN62" s="106"/>
      <c r="CO62" s="81"/>
      <c r="CP62"/>
      <c r="CQ62"/>
      <c r="CR62"/>
      <c r="CS62"/>
      <c r="CT62"/>
      <c r="CY62" s="338">
        <f t="shared" si="4"/>
        <v>37865</v>
      </c>
      <c r="CZ62" s="337">
        <f t="shared" si="5"/>
        <v>1.1499999999999999</v>
      </c>
      <c r="DA62" s="337">
        <f t="shared" si="6"/>
        <v>1.5</v>
      </c>
      <c r="DB62" s="337">
        <f t="shared" si="7"/>
        <v>1.8</v>
      </c>
      <c r="DD62" s="337">
        <f t="shared" si="8"/>
        <v>0.1196038125</v>
      </c>
      <c r="DE62" s="337">
        <f t="shared" si="9"/>
        <v>0.23920762500000001</v>
      </c>
      <c r="DF62" s="337">
        <f t="shared" si="10"/>
        <v>0.3588114375</v>
      </c>
      <c r="DH62" s="338">
        <f t="shared" si="11"/>
        <v>37865</v>
      </c>
      <c r="DI62" s="20">
        <v>0.9</v>
      </c>
    </row>
    <row r="63" spans="1:129" ht="13.5" thickBot="1">
      <c r="A63" s="34">
        <f t="shared" ca="1" si="0"/>
        <v>38139</v>
      </c>
      <c r="B63" s="20">
        <f>'Gas Curves'!C67</f>
        <v>7.2748353129509002E-2</v>
      </c>
      <c r="C63" s="20"/>
      <c r="D63" s="75">
        <v>37012</v>
      </c>
      <c r="E63" s="76">
        <v>33.700000000000003</v>
      </c>
      <c r="F63" s="76">
        <v>34.5</v>
      </c>
      <c r="G63" s="76">
        <v>35.299999999999997</v>
      </c>
      <c r="H63" s="56"/>
      <c r="I63" s="76">
        <v>19.249997711181642</v>
      </c>
      <c r="J63" s="76">
        <v>19.649997711181641</v>
      </c>
      <c r="K63" s="76">
        <v>20.049997711181639</v>
      </c>
      <c r="L63" s="27"/>
      <c r="M63" s="28">
        <v>37895</v>
      </c>
      <c r="N63" s="77">
        <v>22.438000106811522</v>
      </c>
      <c r="O63" s="77">
        <v>23.000500106811522</v>
      </c>
      <c r="P63" s="77">
        <v>23.563000106811522</v>
      </c>
      <c r="Q63" s="26"/>
      <c r="R63" s="77">
        <v>17.700999832153318</v>
      </c>
      <c r="S63" s="77">
        <v>21.000999832153319</v>
      </c>
      <c r="T63" s="77">
        <v>24.30099983215332</v>
      </c>
      <c r="U63" s="26"/>
      <c r="V63" s="77">
        <v>1.1000000000000001</v>
      </c>
      <c r="W63" s="77">
        <v>1.1000000000000001</v>
      </c>
      <c r="X63" s="77">
        <v>1.1000000000000001</v>
      </c>
      <c r="Y63" s="26"/>
      <c r="Z63" s="77">
        <v>0.109247625</v>
      </c>
      <c r="AA63" s="77">
        <v>0.21849525</v>
      </c>
      <c r="AB63" s="77">
        <v>0.32774287499999999</v>
      </c>
      <c r="AC63" s="26"/>
      <c r="AD63" s="77">
        <v>2.8235759999999995E-2</v>
      </c>
      <c r="AE63" s="77">
        <v>5.647151999999999E-2</v>
      </c>
      <c r="AF63" s="77">
        <v>8.4707279999999982E-2</v>
      </c>
      <c r="AG63" s="26"/>
      <c r="AH63" s="77">
        <v>-0.25</v>
      </c>
      <c r="AI63" s="77">
        <v>1.1000000000000001</v>
      </c>
      <c r="AJ63" s="77">
        <v>0.3</v>
      </c>
      <c r="AK63" s="26"/>
      <c r="AL63" s="77">
        <v>-0.15</v>
      </c>
      <c r="AM63" s="77">
        <v>0.35</v>
      </c>
      <c r="AN63" s="77">
        <v>0.2</v>
      </c>
      <c r="AO63" s="26"/>
      <c r="AP63" s="27">
        <v>15</v>
      </c>
      <c r="AQ63" s="78">
        <v>0.4</v>
      </c>
      <c r="AR63" s="26"/>
      <c r="AS63" s="78">
        <v>6</v>
      </c>
      <c r="AT63" s="80">
        <v>2.5000000000000001E-2</v>
      </c>
      <c r="AU63" s="26"/>
      <c r="AV63" s="78">
        <v>0</v>
      </c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8">
        <v>37895</v>
      </c>
      <c r="BI63" s="80">
        <v>0.9</v>
      </c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/>
      <c r="CI63" s="68">
        <f t="shared" si="15"/>
        <v>0</v>
      </c>
      <c r="CJ63" s="107">
        <f t="shared" si="16"/>
        <v>0</v>
      </c>
      <c r="CK63" s="108">
        <f t="shared" si="17"/>
        <v>0</v>
      </c>
      <c r="CM63" s="106"/>
      <c r="CN63" s="106"/>
      <c r="CO63" s="81"/>
      <c r="CP63"/>
      <c r="CQ63"/>
      <c r="CR63"/>
      <c r="CS63"/>
      <c r="CT63"/>
      <c r="CY63" s="338">
        <f t="shared" si="4"/>
        <v>37895</v>
      </c>
      <c r="CZ63" s="337">
        <f t="shared" si="5"/>
        <v>0.85000000000000009</v>
      </c>
      <c r="DA63" s="337">
        <f t="shared" si="6"/>
        <v>1.1000000000000001</v>
      </c>
      <c r="DB63" s="337">
        <f t="shared" si="7"/>
        <v>1.4000000000000001</v>
      </c>
      <c r="DD63" s="337">
        <f t="shared" si="8"/>
        <v>0.109247625</v>
      </c>
      <c r="DE63" s="337">
        <f t="shared" si="9"/>
        <v>0.21849525</v>
      </c>
      <c r="DF63" s="337">
        <f t="shared" si="10"/>
        <v>0.32774287499999999</v>
      </c>
      <c r="DH63" s="338">
        <f t="shared" si="11"/>
        <v>37895</v>
      </c>
      <c r="DI63" s="20">
        <v>0.9</v>
      </c>
    </row>
    <row r="64" spans="1:129">
      <c r="A64" s="34">
        <f t="shared" ca="1" si="0"/>
        <v>38169</v>
      </c>
      <c r="B64" s="20">
        <f>'Gas Curves'!C68</f>
        <v>7.2784355713015003E-2</v>
      </c>
      <c r="C64" s="20"/>
      <c r="D64" s="75">
        <v>37043</v>
      </c>
      <c r="E64" s="76">
        <v>48.7</v>
      </c>
      <c r="F64" s="76">
        <v>51</v>
      </c>
      <c r="G64" s="76">
        <v>53.3</v>
      </c>
      <c r="H64" s="56"/>
      <c r="I64" s="76">
        <v>18.504998779296876</v>
      </c>
      <c r="J64" s="76">
        <v>19.654998779296875</v>
      </c>
      <c r="K64" s="76">
        <v>20.804998779296874</v>
      </c>
      <c r="L64" s="27"/>
      <c r="M64" s="28">
        <v>37926</v>
      </c>
      <c r="N64" s="77">
        <v>23.442251586914061</v>
      </c>
      <c r="O64" s="77">
        <v>24.004751586914061</v>
      </c>
      <c r="P64" s="77">
        <v>24.567251586914061</v>
      </c>
      <c r="Q64" s="26"/>
      <c r="R64" s="77">
        <v>18.704499816894529</v>
      </c>
      <c r="S64" s="77">
        <v>22.00449981689453</v>
      </c>
      <c r="T64" s="77">
        <v>25.304499816894531</v>
      </c>
      <c r="U64" s="26"/>
      <c r="V64" s="77">
        <v>1.1000000000000001</v>
      </c>
      <c r="W64" s="77">
        <v>1.1000000000000001</v>
      </c>
      <c r="X64" s="77">
        <v>1.1000000000000001</v>
      </c>
      <c r="Y64" s="26"/>
      <c r="Z64" s="77">
        <v>0.109247625</v>
      </c>
      <c r="AA64" s="77">
        <v>0.21849525</v>
      </c>
      <c r="AB64" s="77">
        <v>0.32774287499999999</v>
      </c>
      <c r="AC64" s="26"/>
      <c r="AD64" s="77">
        <v>2.8235759999999995E-2</v>
      </c>
      <c r="AE64" s="77">
        <v>5.647151999999999E-2</v>
      </c>
      <c r="AF64" s="77">
        <v>8.4707279999999982E-2</v>
      </c>
      <c r="AG64" s="26"/>
      <c r="AH64" s="77">
        <v>-0.25</v>
      </c>
      <c r="AI64" s="77">
        <v>1.25</v>
      </c>
      <c r="AJ64" s="77">
        <v>0.3</v>
      </c>
      <c r="AK64" s="26"/>
      <c r="AL64" s="77">
        <v>-0.15</v>
      </c>
      <c r="AM64" s="77">
        <v>0.3</v>
      </c>
      <c r="AN64" s="77">
        <v>0.2</v>
      </c>
      <c r="AO64" s="26"/>
      <c r="AP64" s="27">
        <v>16</v>
      </c>
      <c r="AQ64" s="78">
        <v>0.4</v>
      </c>
      <c r="AR64" s="26"/>
      <c r="AS64" s="78">
        <v>7</v>
      </c>
      <c r="AT64" s="80">
        <v>3.5000000000000003E-2</v>
      </c>
      <c r="AU64" s="26"/>
      <c r="AV64" s="78">
        <v>0</v>
      </c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8">
        <v>37926</v>
      </c>
      <c r="BI64" s="80">
        <v>0.9</v>
      </c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/>
      <c r="CI64" s="68">
        <f t="shared" si="15"/>
        <v>0</v>
      </c>
      <c r="CJ64" s="107">
        <f t="shared" si="16"/>
        <v>0</v>
      </c>
      <c r="CK64" s="108">
        <f t="shared" si="17"/>
        <v>0</v>
      </c>
      <c r="CM64" s="106"/>
      <c r="CN64" s="106"/>
      <c r="CO64" s="81"/>
      <c r="CP64"/>
      <c r="CQ64"/>
      <c r="CR64"/>
      <c r="CS64"/>
      <c r="CT64"/>
      <c r="CY64" s="338">
        <f t="shared" si="4"/>
        <v>37926</v>
      </c>
      <c r="CZ64" s="337">
        <f t="shared" si="5"/>
        <v>1</v>
      </c>
      <c r="DA64" s="337">
        <f t="shared" si="6"/>
        <v>1.25</v>
      </c>
      <c r="DB64" s="337">
        <f t="shared" si="7"/>
        <v>1.55</v>
      </c>
      <c r="DD64" s="337">
        <f t="shared" si="8"/>
        <v>0.109247625</v>
      </c>
      <c r="DE64" s="337">
        <f t="shared" si="9"/>
        <v>0.21849525</v>
      </c>
      <c r="DF64" s="337">
        <f t="shared" si="10"/>
        <v>0.32774287499999999</v>
      </c>
      <c r="DH64" s="338">
        <f t="shared" si="11"/>
        <v>37926</v>
      </c>
      <c r="DI64" s="20">
        <v>0.9</v>
      </c>
    </row>
    <row r="65" spans="1:113" ht="13.5" thickBot="1">
      <c r="A65" s="34">
        <f t="shared" ca="1" si="0"/>
        <v>38200</v>
      </c>
      <c r="B65" s="20">
        <f>'Gas Curves'!C69</f>
        <v>7.2821558383088E-2</v>
      </c>
      <c r="C65" s="20"/>
      <c r="D65" s="75">
        <v>37073</v>
      </c>
      <c r="E65" s="76">
        <v>72</v>
      </c>
      <c r="F65" s="76">
        <v>75</v>
      </c>
      <c r="G65" s="76">
        <v>78</v>
      </c>
      <c r="H65" s="56"/>
      <c r="I65" s="76">
        <v>22.649997711181641</v>
      </c>
      <c r="J65" s="76">
        <v>24.149997711181641</v>
      </c>
      <c r="K65" s="76">
        <v>25.649997711181641</v>
      </c>
      <c r="L65" s="27"/>
      <c r="M65" s="28">
        <v>37956</v>
      </c>
      <c r="N65" s="77">
        <v>24.892498397827147</v>
      </c>
      <c r="O65" s="77">
        <v>25.454998397827147</v>
      </c>
      <c r="P65" s="77">
        <v>26.017498397827147</v>
      </c>
      <c r="Q65" s="26"/>
      <c r="R65" s="77">
        <v>18.649999237060545</v>
      </c>
      <c r="S65" s="77">
        <v>21.949999237060545</v>
      </c>
      <c r="T65" s="77">
        <v>25.249999237060546</v>
      </c>
      <c r="U65" s="26"/>
      <c r="V65" s="77">
        <v>1.1000000000000001</v>
      </c>
      <c r="W65" s="77">
        <v>1.1000000000000001</v>
      </c>
      <c r="X65" s="77">
        <v>1.1000000000000001</v>
      </c>
      <c r="Y65" s="26"/>
      <c r="Z65" s="77">
        <v>0.11314642499999999</v>
      </c>
      <c r="AA65" s="77">
        <v>0.22629284999999999</v>
      </c>
      <c r="AB65" s="77">
        <v>0.33943927499999998</v>
      </c>
      <c r="AC65" s="26"/>
      <c r="AD65" s="77">
        <v>2.8235759999999995E-2</v>
      </c>
      <c r="AE65" s="77">
        <v>5.647151999999999E-2</v>
      </c>
      <c r="AF65" s="77">
        <v>8.4707279999999982E-2</v>
      </c>
      <c r="AG65" s="26"/>
      <c r="AH65" s="77">
        <v>-0.25</v>
      </c>
      <c r="AI65" s="77">
        <v>1.25</v>
      </c>
      <c r="AJ65" s="77">
        <v>0.35</v>
      </c>
      <c r="AK65" s="26"/>
      <c r="AL65" s="77">
        <v>-0.15</v>
      </c>
      <c r="AM65" s="77">
        <v>0.3</v>
      </c>
      <c r="AN65" s="77">
        <v>0.2</v>
      </c>
      <c r="AO65" s="26"/>
      <c r="AP65" s="27">
        <v>16</v>
      </c>
      <c r="AQ65" s="78">
        <v>0.4</v>
      </c>
      <c r="AR65" s="26"/>
      <c r="AS65" s="78">
        <v>8</v>
      </c>
      <c r="AT65" s="80">
        <v>0.04</v>
      </c>
      <c r="AU65" s="26"/>
      <c r="AV65" s="78">
        <v>0</v>
      </c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8">
        <v>37956</v>
      </c>
      <c r="BI65" s="80">
        <v>0.9</v>
      </c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/>
      <c r="CM65" s="106"/>
      <c r="CN65" s="106"/>
      <c r="CO65" s="81"/>
      <c r="CP65"/>
      <c r="CQ65"/>
      <c r="CR65"/>
      <c r="CS65"/>
      <c r="CT65"/>
      <c r="CY65" s="338">
        <f t="shared" si="4"/>
        <v>37956</v>
      </c>
      <c r="CZ65" s="337">
        <f t="shared" si="5"/>
        <v>1</v>
      </c>
      <c r="DA65" s="337">
        <f t="shared" si="6"/>
        <v>1.25</v>
      </c>
      <c r="DB65" s="337">
        <f t="shared" si="7"/>
        <v>1.6</v>
      </c>
      <c r="DD65" s="337">
        <f t="shared" si="8"/>
        <v>0.11314642499999999</v>
      </c>
      <c r="DE65" s="337">
        <f t="shared" si="9"/>
        <v>0.22629284999999999</v>
      </c>
      <c r="DF65" s="337">
        <f t="shared" si="10"/>
        <v>0.33943927499999998</v>
      </c>
      <c r="DH65" s="338">
        <f t="shared" si="11"/>
        <v>37956</v>
      </c>
      <c r="DI65" s="20">
        <v>0.9</v>
      </c>
    </row>
    <row r="66" spans="1:113" ht="13.5" thickBot="1">
      <c r="A66" s="34">
        <f t="shared" ca="1" si="0"/>
        <v>38231</v>
      </c>
      <c r="B66" s="20">
        <f>'Gas Curves'!C70</f>
        <v>7.2858761053617993E-2</v>
      </c>
      <c r="C66" s="20"/>
      <c r="D66" s="75">
        <v>37104</v>
      </c>
      <c r="E66" s="76">
        <v>67.5</v>
      </c>
      <c r="F66" s="76">
        <v>70.5</v>
      </c>
      <c r="G66" s="76">
        <v>73.5</v>
      </c>
      <c r="H66" s="56"/>
      <c r="I66" s="76">
        <v>22.999998092651367</v>
      </c>
      <c r="J66" s="76">
        <v>24.499998092651367</v>
      </c>
      <c r="K66" s="76">
        <v>25.999998092651367</v>
      </c>
      <c r="L66" s="27"/>
      <c r="M66" s="28">
        <v>37987</v>
      </c>
      <c r="N66" s="77">
        <v>28.173748397827147</v>
      </c>
      <c r="O66" s="77">
        <v>28.848748397827148</v>
      </c>
      <c r="P66" s="77">
        <v>29.523748397827148</v>
      </c>
      <c r="Q66" s="26"/>
      <c r="R66" s="77">
        <v>24.052500152587889</v>
      </c>
      <c r="S66" s="77">
        <v>27.35250015258789</v>
      </c>
      <c r="T66" s="77">
        <v>30.652500152587891</v>
      </c>
      <c r="U66" s="26"/>
      <c r="V66" s="77">
        <v>1</v>
      </c>
      <c r="W66" s="77">
        <v>1</v>
      </c>
      <c r="X66" s="77">
        <v>1</v>
      </c>
      <c r="Y66" s="26"/>
      <c r="Z66" s="77">
        <v>0.12174725000000002</v>
      </c>
      <c r="AA66" s="77">
        <v>0.24349450000000003</v>
      </c>
      <c r="AB66" s="77">
        <v>0.36524175000000003</v>
      </c>
      <c r="AC66" s="26"/>
      <c r="AD66" s="77">
        <v>3.2282885600000005E-2</v>
      </c>
      <c r="AE66" s="77">
        <v>6.4565771200000011E-2</v>
      </c>
      <c r="AF66" s="77">
        <v>9.6848656800000016E-2</v>
      </c>
      <c r="AG66" s="26"/>
      <c r="AH66" s="77">
        <v>-0.75</v>
      </c>
      <c r="AI66" s="77">
        <v>2</v>
      </c>
      <c r="AJ66" s="77">
        <v>0.75</v>
      </c>
      <c r="AK66" s="26"/>
      <c r="AL66" s="77">
        <v>-0.15</v>
      </c>
      <c r="AM66" s="77">
        <v>0.5</v>
      </c>
      <c r="AN66" s="77">
        <v>0.2</v>
      </c>
      <c r="AO66" s="26"/>
      <c r="AP66" s="27">
        <v>16</v>
      </c>
      <c r="AQ66" s="78">
        <v>0.4</v>
      </c>
      <c r="AR66" s="26"/>
      <c r="AS66" s="78">
        <v>9</v>
      </c>
      <c r="AT66" s="80">
        <v>0.05</v>
      </c>
      <c r="AU66" s="26"/>
      <c r="AV66" s="78">
        <v>0</v>
      </c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8">
        <v>37987</v>
      </c>
      <c r="BI66" s="80">
        <v>0.9</v>
      </c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/>
      <c r="CI66" s="36" t="s">
        <v>169</v>
      </c>
      <c r="CJ66" s="37"/>
      <c r="CK66" s="38"/>
      <c r="CM66" s="106"/>
      <c r="CN66" s="106"/>
      <c r="CO66" s="81"/>
      <c r="CP66"/>
      <c r="CQ66"/>
      <c r="CR66"/>
      <c r="CS66"/>
      <c r="CT66"/>
      <c r="CY66" s="338">
        <f t="shared" si="4"/>
        <v>37987</v>
      </c>
      <c r="CZ66" s="337">
        <f t="shared" si="5"/>
        <v>1.25</v>
      </c>
      <c r="DA66" s="337">
        <f t="shared" si="6"/>
        <v>2</v>
      </c>
      <c r="DB66" s="337">
        <f t="shared" si="7"/>
        <v>2.75</v>
      </c>
      <c r="DD66" s="337">
        <f t="shared" si="8"/>
        <v>0.12174725000000002</v>
      </c>
      <c r="DE66" s="337">
        <f t="shared" si="9"/>
        <v>0.24349450000000003</v>
      </c>
      <c r="DF66" s="337">
        <f t="shared" si="10"/>
        <v>0.36524175000000003</v>
      </c>
      <c r="DH66" s="338">
        <f t="shared" si="11"/>
        <v>37987</v>
      </c>
      <c r="DI66" s="20">
        <v>0.9</v>
      </c>
    </row>
    <row r="67" spans="1:113">
      <c r="A67" s="34">
        <f t="shared" ca="1" si="0"/>
        <v>38261</v>
      </c>
      <c r="B67" s="20">
        <f>'Gas Curves'!C71</f>
        <v>7.2894763638436999E-2</v>
      </c>
      <c r="C67" s="20"/>
      <c r="D67" s="75">
        <v>37135</v>
      </c>
      <c r="E67" s="76">
        <v>32.799999999999997</v>
      </c>
      <c r="F67" s="76">
        <v>33.5</v>
      </c>
      <c r="G67" s="76">
        <v>34.200000000000003</v>
      </c>
      <c r="H67" s="56"/>
      <c r="I67" s="76">
        <v>19.649998092651366</v>
      </c>
      <c r="J67" s="76">
        <v>19.999998092651367</v>
      </c>
      <c r="K67" s="76">
        <v>20.349998092651369</v>
      </c>
      <c r="L67" s="27"/>
      <c r="M67" s="28">
        <v>38018</v>
      </c>
      <c r="N67" s="77">
        <v>27.171250152587888</v>
      </c>
      <c r="O67" s="77">
        <v>27.846250152587888</v>
      </c>
      <c r="P67" s="77">
        <v>28.521250152587889</v>
      </c>
      <c r="Q67" s="26"/>
      <c r="R67" s="77">
        <v>22.04749946594238</v>
      </c>
      <c r="S67" s="77">
        <v>25.347499465942381</v>
      </c>
      <c r="T67" s="77">
        <v>28.647499465942381</v>
      </c>
      <c r="U67" s="26"/>
      <c r="V67" s="77">
        <v>1</v>
      </c>
      <c r="W67" s="77">
        <v>1</v>
      </c>
      <c r="X67" s="77">
        <v>1</v>
      </c>
      <c r="Y67" s="26"/>
      <c r="Z67" s="77">
        <v>0.11746037499999999</v>
      </c>
      <c r="AA67" s="77">
        <v>0.23492074999999998</v>
      </c>
      <c r="AB67" s="77">
        <v>0.35238112499999996</v>
      </c>
      <c r="AC67" s="26"/>
      <c r="AD67" s="77">
        <v>3.2282885600000005E-2</v>
      </c>
      <c r="AE67" s="77">
        <v>6.4565771200000011E-2</v>
      </c>
      <c r="AF67" s="77">
        <v>9.6848656800000016E-2</v>
      </c>
      <c r="AG67" s="26"/>
      <c r="AH67" s="77">
        <v>-0.75</v>
      </c>
      <c r="AI67" s="77">
        <v>2</v>
      </c>
      <c r="AJ67" s="77">
        <v>0.75</v>
      </c>
      <c r="AK67" s="26"/>
      <c r="AL67" s="77">
        <v>-0.15</v>
      </c>
      <c r="AM67" s="77">
        <v>0.5</v>
      </c>
      <c r="AN67" s="77">
        <v>0.2</v>
      </c>
      <c r="AO67" s="26"/>
      <c r="AP67" s="27">
        <v>17</v>
      </c>
      <c r="AQ67" s="78">
        <v>0.4</v>
      </c>
      <c r="AR67" s="26"/>
      <c r="AS67" s="78">
        <v>10</v>
      </c>
      <c r="AT67" s="80">
        <v>0.06</v>
      </c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8">
        <v>38018</v>
      </c>
      <c r="BI67" s="80">
        <v>0.9</v>
      </c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/>
      <c r="CI67" s="44" t="s">
        <v>29</v>
      </c>
      <c r="CJ67" s="31" t="s">
        <v>30</v>
      </c>
      <c r="CK67" s="45" t="s">
        <v>31</v>
      </c>
      <c r="CM67" s="106"/>
      <c r="CN67" s="106"/>
      <c r="CO67" s="81"/>
      <c r="CP67"/>
      <c r="CQ67"/>
      <c r="CR67"/>
      <c r="CS67"/>
      <c r="CT67"/>
      <c r="CY67" s="338">
        <f t="shared" si="4"/>
        <v>38018</v>
      </c>
      <c r="CZ67" s="337">
        <f t="shared" si="5"/>
        <v>1.25</v>
      </c>
      <c r="DA67" s="337">
        <f t="shared" si="6"/>
        <v>2</v>
      </c>
      <c r="DB67" s="337">
        <f t="shared" si="7"/>
        <v>2.75</v>
      </c>
      <c r="DD67" s="337">
        <f t="shared" si="8"/>
        <v>0.11746037499999999</v>
      </c>
      <c r="DE67" s="337">
        <f t="shared" si="9"/>
        <v>0.23492074999999998</v>
      </c>
      <c r="DF67" s="337">
        <f t="shared" si="10"/>
        <v>0.35238112499999996</v>
      </c>
      <c r="DH67" s="338">
        <f t="shared" si="11"/>
        <v>38018</v>
      </c>
      <c r="DI67" s="20">
        <v>0.9</v>
      </c>
    </row>
    <row r="68" spans="1:113" ht="13.5" thickBot="1">
      <c r="A68" s="34">
        <f t="shared" ca="1" si="0"/>
        <v>38292</v>
      </c>
      <c r="B68" s="20">
        <f>'Gas Curves'!C72</f>
        <v>7.293196630986501E-2</v>
      </c>
      <c r="C68" s="20"/>
      <c r="D68" s="75">
        <v>37165</v>
      </c>
      <c r="E68" s="76">
        <v>30.7</v>
      </c>
      <c r="F68" s="76">
        <v>31.25</v>
      </c>
      <c r="G68" s="76">
        <v>31.8</v>
      </c>
      <c r="H68" s="56"/>
      <c r="I68" s="76">
        <v>19.424998855590822</v>
      </c>
      <c r="J68" s="76">
        <v>19.69999885559082</v>
      </c>
      <c r="K68" s="76">
        <v>19.974998855590819</v>
      </c>
      <c r="L68" s="27"/>
      <c r="M68" s="28">
        <v>38047</v>
      </c>
      <c r="N68" s="77">
        <v>20.622249603271481</v>
      </c>
      <c r="O68" s="77">
        <v>21.034749603271482</v>
      </c>
      <c r="P68" s="77">
        <v>21.447249603271484</v>
      </c>
      <c r="Q68" s="26"/>
      <c r="R68" s="77">
        <v>17.364498901367185</v>
      </c>
      <c r="S68" s="77">
        <v>20.664498901367185</v>
      </c>
      <c r="T68" s="77">
        <v>23.964498901367186</v>
      </c>
      <c r="U68" s="26"/>
      <c r="V68" s="77">
        <v>0.5</v>
      </c>
      <c r="W68" s="77">
        <v>0.5</v>
      </c>
      <c r="X68" s="77">
        <v>0.5</v>
      </c>
      <c r="Y68" s="26"/>
      <c r="Z68" s="77">
        <v>0.1144917140625</v>
      </c>
      <c r="AA68" s="77">
        <v>0.228983428125</v>
      </c>
      <c r="AB68" s="77">
        <v>0.34347514218749997</v>
      </c>
      <c r="AC68" s="26"/>
      <c r="AD68" s="77">
        <v>2.7671044799999996E-2</v>
      </c>
      <c r="AE68" s="77">
        <v>5.5342089599999991E-2</v>
      </c>
      <c r="AF68" s="77">
        <v>8.3013134399999994E-2</v>
      </c>
      <c r="AG68" s="26"/>
      <c r="AH68" s="77">
        <v>-0.25</v>
      </c>
      <c r="AI68" s="77">
        <v>1.3</v>
      </c>
      <c r="AJ68" s="77">
        <v>0.3</v>
      </c>
      <c r="AK68" s="26"/>
      <c r="AL68" s="77">
        <v>-0.15</v>
      </c>
      <c r="AM68" s="77">
        <v>0.35</v>
      </c>
      <c r="AN68" s="77">
        <v>0.2</v>
      </c>
      <c r="AO68" s="26"/>
      <c r="AP68" s="27">
        <v>17</v>
      </c>
      <c r="AQ68" s="78">
        <v>0.4</v>
      </c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8">
        <v>38047</v>
      </c>
      <c r="BI68" s="80">
        <v>0.9</v>
      </c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/>
      <c r="CI68" s="57" t="s">
        <v>32</v>
      </c>
      <c r="CJ68" s="58" t="s">
        <v>32</v>
      </c>
      <c r="CK68" s="59" t="s">
        <v>32</v>
      </c>
      <c r="CM68" s="106"/>
      <c r="CN68" s="106"/>
      <c r="CO68" s="81"/>
      <c r="CP68"/>
      <c r="CQ68"/>
      <c r="CR68"/>
      <c r="CS68"/>
      <c r="CT68"/>
      <c r="CY68" s="338">
        <f t="shared" si="4"/>
        <v>38047</v>
      </c>
      <c r="CZ68" s="337">
        <f t="shared" si="5"/>
        <v>1.05</v>
      </c>
      <c r="DA68" s="337">
        <f t="shared" si="6"/>
        <v>1.3</v>
      </c>
      <c r="DB68" s="337">
        <f t="shared" si="7"/>
        <v>1.6</v>
      </c>
      <c r="DD68" s="337">
        <f t="shared" si="8"/>
        <v>0.1144917140625</v>
      </c>
      <c r="DE68" s="337">
        <f t="shared" si="9"/>
        <v>0.228983428125</v>
      </c>
      <c r="DF68" s="337">
        <f t="shared" si="10"/>
        <v>0.34347514218749997</v>
      </c>
      <c r="DH68" s="338">
        <f t="shared" si="11"/>
        <v>38047</v>
      </c>
      <c r="DI68" s="20">
        <v>0.9</v>
      </c>
    </row>
    <row r="69" spans="1:113" ht="13.5" thickBot="1">
      <c r="A69" s="34">
        <f t="shared" ca="1" si="0"/>
        <v>38322</v>
      </c>
      <c r="B69" s="20">
        <f>'Gas Curves'!C73</f>
        <v>7.2967968895554999E-2</v>
      </c>
      <c r="C69" s="20"/>
      <c r="D69" s="75">
        <v>37196</v>
      </c>
      <c r="E69" s="76">
        <v>31.074999999999999</v>
      </c>
      <c r="F69" s="76">
        <v>31.625</v>
      </c>
      <c r="G69" s="76">
        <v>32.174999999999997</v>
      </c>
      <c r="H69" s="56"/>
      <c r="I69" s="76">
        <v>19.349998092651369</v>
      </c>
      <c r="J69" s="76">
        <v>19.624998092651367</v>
      </c>
      <c r="K69" s="76">
        <v>19.899998092651366</v>
      </c>
      <c r="L69" s="27"/>
      <c r="M69" s="28">
        <v>38078</v>
      </c>
      <c r="N69" s="77">
        <v>21.417500305175778</v>
      </c>
      <c r="O69" s="77">
        <v>21.717500305175779</v>
      </c>
      <c r="P69" s="77">
        <v>22.01750030517578</v>
      </c>
      <c r="Q69" s="26"/>
      <c r="R69" s="77">
        <v>17.134999084472653</v>
      </c>
      <c r="S69" s="77">
        <v>20.434999084472654</v>
      </c>
      <c r="T69" s="77">
        <v>23.734999084472655</v>
      </c>
      <c r="U69" s="26"/>
      <c r="V69" s="77">
        <v>0.5</v>
      </c>
      <c r="W69" s="77">
        <v>0.5</v>
      </c>
      <c r="X69" s="77">
        <v>0.5</v>
      </c>
      <c r="Y69" s="26"/>
      <c r="Z69" s="77">
        <v>0.10204905937499999</v>
      </c>
      <c r="AA69" s="77">
        <v>0.20409811874999997</v>
      </c>
      <c r="AB69" s="77">
        <v>0.30614717812499997</v>
      </c>
      <c r="AC69" s="26"/>
      <c r="AD69" s="77">
        <v>2.7671044799999996E-2</v>
      </c>
      <c r="AE69" s="77">
        <v>5.5342089599999991E-2</v>
      </c>
      <c r="AF69" s="77">
        <v>8.3013134399999994E-2</v>
      </c>
      <c r="AG69" s="26"/>
      <c r="AH69" s="77">
        <v>-0.25</v>
      </c>
      <c r="AI69" s="77">
        <v>1.1000000000000001</v>
      </c>
      <c r="AJ69" s="77">
        <v>0.3</v>
      </c>
      <c r="AK69" s="26"/>
      <c r="AL69" s="77">
        <v>-0.15</v>
      </c>
      <c r="AM69" s="77">
        <v>0.35</v>
      </c>
      <c r="AN69" s="77">
        <v>0.2</v>
      </c>
      <c r="AO69" s="26"/>
      <c r="AP69" s="27">
        <v>17</v>
      </c>
      <c r="AQ69" s="78">
        <v>0.4</v>
      </c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8">
        <v>38078</v>
      </c>
      <c r="BI69" s="80">
        <v>0.9</v>
      </c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/>
      <c r="CI69" s="68">
        <f t="shared" ref="CI69:CI80" si="18">CE49</f>
        <v>0</v>
      </c>
      <c r="CJ69" s="107">
        <f t="shared" ref="CJ69:CJ80" si="19">CI69+CF49</f>
        <v>0</v>
      </c>
      <c r="CK69" s="108">
        <f t="shared" ref="CK69:CK80" si="20">CI69+CG49</f>
        <v>0</v>
      </c>
      <c r="CM69" s="106"/>
      <c r="CN69" s="106"/>
      <c r="CO69" s="81"/>
      <c r="CP69"/>
      <c r="CQ69"/>
      <c r="CR69"/>
      <c r="CS69"/>
      <c r="CT69"/>
      <c r="CY69" s="338">
        <f t="shared" si="4"/>
        <v>38078</v>
      </c>
      <c r="CZ69" s="337">
        <f t="shared" si="5"/>
        <v>0.85000000000000009</v>
      </c>
      <c r="DA69" s="337">
        <f t="shared" si="6"/>
        <v>1.1000000000000001</v>
      </c>
      <c r="DB69" s="337">
        <f t="shared" si="7"/>
        <v>1.4000000000000001</v>
      </c>
      <c r="DD69" s="337">
        <f t="shared" si="8"/>
        <v>0.10204905937499999</v>
      </c>
      <c r="DE69" s="337">
        <f t="shared" si="9"/>
        <v>0.20409811874999997</v>
      </c>
      <c r="DF69" s="337">
        <f t="shared" si="10"/>
        <v>0.30614717812499997</v>
      </c>
      <c r="DH69" s="338">
        <f t="shared" si="11"/>
        <v>38078</v>
      </c>
      <c r="DI69" s="20">
        <v>0.9</v>
      </c>
    </row>
    <row r="70" spans="1:113" ht="13.5" thickBot="1">
      <c r="A70" s="34">
        <f t="shared" ca="1" si="0"/>
        <v>38353</v>
      </c>
      <c r="B70" s="20">
        <f>'Gas Curves'!C74</f>
        <v>7.3005171567883012E-2</v>
      </c>
      <c r="C70" s="20"/>
      <c r="D70" s="75">
        <v>37226</v>
      </c>
      <c r="E70" s="76">
        <v>30.95</v>
      </c>
      <c r="F70" s="76">
        <v>31.5</v>
      </c>
      <c r="G70" s="76">
        <v>32.049999999999997</v>
      </c>
      <c r="H70" s="56"/>
      <c r="I70" s="76">
        <v>20.774999237060548</v>
      </c>
      <c r="J70" s="76">
        <v>21.049999237060547</v>
      </c>
      <c r="K70" s="76">
        <v>21.324999237060545</v>
      </c>
      <c r="L70" s="27"/>
      <c r="M70" s="28">
        <v>38108</v>
      </c>
      <c r="N70" s="77">
        <v>20.797500076293943</v>
      </c>
      <c r="O70" s="77">
        <v>21.832500076293943</v>
      </c>
      <c r="P70" s="77">
        <v>22.867500076293943</v>
      </c>
      <c r="Q70" s="26"/>
      <c r="R70" s="77">
        <v>17.664999771118161</v>
      </c>
      <c r="S70" s="77">
        <v>20.964999771118162</v>
      </c>
      <c r="T70" s="77">
        <v>24.264999771118163</v>
      </c>
      <c r="U70" s="26"/>
      <c r="V70" s="77">
        <v>0.5</v>
      </c>
      <c r="W70" s="77">
        <v>0.5</v>
      </c>
      <c r="X70" s="77">
        <v>0.5</v>
      </c>
      <c r="Y70" s="26"/>
      <c r="Z70" s="77">
        <v>0.11748180937499998</v>
      </c>
      <c r="AA70" s="77">
        <v>0.23496361874999996</v>
      </c>
      <c r="AB70" s="77">
        <v>0.35244542812499996</v>
      </c>
      <c r="AC70" s="26"/>
      <c r="AD70" s="77">
        <v>3.2282885600000005E-2</v>
      </c>
      <c r="AE70" s="77">
        <v>6.4565771200000011E-2</v>
      </c>
      <c r="AF70" s="77">
        <v>9.6848656800000016E-2</v>
      </c>
      <c r="AG70" s="26"/>
      <c r="AH70" s="77">
        <v>-0.25</v>
      </c>
      <c r="AI70" s="77">
        <v>1.1000000000000001</v>
      </c>
      <c r="AJ70" s="77">
        <v>0.3</v>
      </c>
      <c r="AK70" s="26"/>
      <c r="AL70" s="77">
        <v>-0.15</v>
      </c>
      <c r="AM70" s="77">
        <v>0.5</v>
      </c>
      <c r="AN70" s="77">
        <v>0.2</v>
      </c>
      <c r="AO70" s="26"/>
      <c r="AP70" s="27">
        <v>18</v>
      </c>
      <c r="AQ70" s="78">
        <v>0.4</v>
      </c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8">
        <v>38108</v>
      </c>
      <c r="BI70" s="80">
        <v>0.9</v>
      </c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/>
      <c r="CI70" s="68">
        <f t="shared" si="18"/>
        <v>0</v>
      </c>
      <c r="CJ70" s="107">
        <f t="shared" si="19"/>
        <v>0</v>
      </c>
      <c r="CK70" s="108">
        <f t="shared" si="20"/>
        <v>0</v>
      </c>
      <c r="CM70" s="106"/>
      <c r="CN70" s="106"/>
      <c r="CO70" s="81"/>
      <c r="CP70"/>
      <c r="CQ70"/>
      <c r="CR70"/>
      <c r="CS70"/>
      <c r="CT70"/>
      <c r="CY70" s="338">
        <f t="shared" si="4"/>
        <v>38108</v>
      </c>
      <c r="CZ70" s="337">
        <f t="shared" si="5"/>
        <v>0.85000000000000009</v>
      </c>
      <c r="DA70" s="337">
        <f t="shared" si="6"/>
        <v>1.1000000000000001</v>
      </c>
      <c r="DB70" s="337">
        <f t="shared" si="7"/>
        <v>1.4000000000000001</v>
      </c>
      <c r="DD70" s="337">
        <f t="shared" si="8"/>
        <v>0.11748180937499998</v>
      </c>
      <c r="DE70" s="337">
        <f t="shared" si="9"/>
        <v>0.23496361874999996</v>
      </c>
      <c r="DF70" s="337">
        <f t="shared" si="10"/>
        <v>0.35244542812499996</v>
      </c>
      <c r="DH70" s="338">
        <f t="shared" si="11"/>
        <v>38108</v>
      </c>
      <c r="DI70" s="20">
        <v>0.9</v>
      </c>
    </row>
    <row r="71" spans="1:113" ht="13.5" thickBot="1">
      <c r="A71" s="34">
        <f t="shared" ca="1" si="0"/>
        <v>38384</v>
      </c>
      <c r="B71" s="20">
        <f>'Gas Curves'!C75</f>
        <v>7.3042374240667993E-2</v>
      </c>
      <c r="C71" s="20"/>
      <c r="D71" s="75">
        <v>37257</v>
      </c>
      <c r="E71" s="76">
        <v>36.299999999999997</v>
      </c>
      <c r="F71" s="76">
        <v>37</v>
      </c>
      <c r="G71" s="76">
        <v>37.700000000000003</v>
      </c>
      <c r="H71" s="56"/>
      <c r="I71" s="76">
        <v>20.440000915527342</v>
      </c>
      <c r="J71" s="76">
        <v>20.790000915527344</v>
      </c>
      <c r="K71" s="76">
        <v>21.140000915527345</v>
      </c>
      <c r="L71" s="27"/>
      <c r="M71" s="28">
        <v>38139</v>
      </c>
      <c r="N71" s="77">
        <v>23.25875015258789</v>
      </c>
      <c r="O71" s="77">
        <v>26.25875015258789</v>
      </c>
      <c r="P71" s="77">
        <v>29.25875015258789</v>
      </c>
      <c r="Q71" s="26"/>
      <c r="R71" s="77">
        <v>16.442499542236327</v>
      </c>
      <c r="S71" s="77">
        <v>19.742499542236327</v>
      </c>
      <c r="T71" s="77">
        <v>23.042499542236328</v>
      </c>
      <c r="U71" s="26"/>
      <c r="V71" s="77">
        <v>0.5</v>
      </c>
      <c r="W71" s="77">
        <v>0.5</v>
      </c>
      <c r="X71" s="77">
        <v>0.5</v>
      </c>
      <c r="Y71" s="26"/>
      <c r="Z71" s="77">
        <v>0.14728630781249999</v>
      </c>
      <c r="AA71" s="77">
        <v>0.29457261562499998</v>
      </c>
      <c r="AB71" s="77">
        <v>0.4418589234375</v>
      </c>
      <c r="AC71" s="26"/>
      <c r="AD71" s="77">
        <v>4.1506567199999997E-2</v>
      </c>
      <c r="AE71" s="77">
        <v>8.3013134399999994E-2</v>
      </c>
      <c r="AF71" s="77">
        <v>0.12451970159999999</v>
      </c>
      <c r="AG71" s="26"/>
      <c r="AH71" s="77">
        <v>-0.35</v>
      </c>
      <c r="AI71" s="77">
        <v>2</v>
      </c>
      <c r="AJ71" s="77">
        <v>0.3</v>
      </c>
      <c r="AK71" s="26"/>
      <c r="AL71" s="77">
        <v>-0.15</v>
      </c>
      <c r="AM71" s="77">
        <v>0.65</v>
      </c>
      <c r="AN71" s="77">
        <v>0.2</v>
      </c>
      <c r="AO71" s="26"/>
      <c r="AP71" s="27">
        <v>18</v>
      </c>
      <c r="AQ71" s="78">
        <v>0.4</v>
      </c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8">
        <v>38139</v>
      </c>
      <c r="BI71" s="80">
        <v>0.9</v>
      </c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/>
      <c r="CI71" s="68">
        <f t="shared" si="18"/>
        <v>0</v>
      </c>
      <c r="CJ71" s="107">
        <f t="shared" si="19"/>
        <v>0</v>
      </c>
      <c r="CK71" s="108">
        <f t="shared" si="20"/>
        <v>0</v>
      </c>
      <c r="CM71" s="106"/>
      <c r="CN71" s="106"/>
      <c r="CO71" s="81"/>
      <c r="CP71"/>
      <c r="CQ71"/>
      <c r="CR71"/>
      <c r="CS71"/>
      <c r="CT71"/>
      <c r="CY71" s="338">
        <f t="shared" si="4"/>
        <v>38139</v>
      </c>
      <c r="CZ71" s="337">
        <f t="shared" si="5"/>
        <v>1.65</v>
      </c>
      <c r="DA71" s="337">
        <f t="shared" si="6"/>
        <v>2</v>
      </c>
      <c r="DB71" s="337">
        <f t="shared" si="7"/>
        <v>2.2999999999999998</v>
      </c>
      <c r="DD71" s="337">
        <f t="shared" si="8"/>
        <v>0.14728630781249999</v>
      </c>
      <c r="DE71" s="337">
        <f t="shared" si="9"/>
        <v>0.29457261562499998</v>
      </c>
      <c r="DF71" s="337">
        <f t="shared" si="10"/>
        <v>0.4418589234375</v>
      </c>
      <c r="DH71" s="338">
        <f t="shared" si="11"/>
        <v>38139</v>
      </c>
      <c r="DI71" s="20">
        <v>0.9</v>
      </c>
    </row>
    <row r="72" spans="1:113" ht="13.5" thickBot="1">
      <c r="A72" s="34">
        <f t="shared" ca="1" si="0"/>
        <v>38412</v>
      </c>
      <c r="B72" s="20">
        <f>'Gas Curves'!C76</f>
        <v>7.3075976655189001E-2</v>
      </c>
      <c r="C72" s="20"/>
      <c r="D72" s="75">
        <v>37288</v>
      </c>
      <c r="E72" s="76">
        <v>36.299999999999997</v>
      </c>
      <c r="F72" s="76">
        <v>37</v>
      </c>
      <c r="G72" s="76">
        <v>37.700000000000003</v>
      </c>
      <c r="H72" s="56"/>
      <c r="I72" s="76">
        <v>20.249997711181638</v>
      </c>
      <c r="J72" s="76">
        <v>20.59999771118164</v>
      </c>
      <c r="K72" s="76">
        <v>20.949997711181641</v>
      </c>
      <c r="L72" s="27"/>
      <c r="M72" s="28">
        <v>38169</v>
      </c>
      <c r="N72" s="77">
        <v>36.461249542236331</v>
      </c>
      <c r="O72" s="77">
        <v>39.461249542236331</v>
      </c>
      <c r="P72" s="77">
        <v>42.461249542236331</v>
      </c>
      <c r="Q72" s="26"/>
      <c r="R72" s="77">
        <v>25.647499465942381</v>
      </c>
      <c r="S72" s="77">
        <v>28.947499465942382</v>
      </c>
      <c r="T72" s="77">
        <v>32.247499465942383</v>
      </c>
      <c r="U72" s="26"/>
      <c r="V72" s="77">
        <v>0.5</v>
      </c>
      <c r="W72" s="77">
        <v>0.5</v>
      </c>
      <c r="X72" s="77">
        <v>0.5</v>
      </c>
      <c r="Y72" s="26"/>
      <c r="Z72" s="77">
        <v>0.17429362031249998</v>
      </c>
      <c r="AA72" s="77">
        <v>0.34858724062499996</v>
      </c>
      <c r="AB72" s="77">
        <v>0.52288086093749997</v>
      </c>
      <c r="AC72" s="26"/>
      <c r="AD72" s="77">
        <v>5.5342089599999991E-2</v>
      </c>
      <c r="AE72" s="77">
        <v>0.11068417919999998</v>
      </c>
      <c r="AF72" s="77">
        <v>0.16602626879999999</v>
      </c>
      <c r="AG72" s="26"/>
      <c r="AH72" s="77">
        <v>-0.35</v>
      </c>
      <c r="AI72" s="77">
        <v>3</v>
      </c>
      <c r="AJ72" s="77">
        <v>0.5</v>
      </c>
      <c r="AK72" s="26"/>
      <c r="AL72" s="77">
        <v>-0.15</v>
      </c>
      <c r="AM72" s="77">
        <v>0.75</v>
      </c>
      <c r="AN72" s="77">
        <v>0.2</v>
      </c>
      <c r="AO72" s="26"/>
      <c r="AP72" s="27">
        <v>18</v>
      </c>
      <c r="AQ72" s="78">
        <v>0.4</v>
      </c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8">
        <v>38169</v>
      </c>
      <c r="BI72" s="80">
        <v>0.9</v>
      </c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/>
      <c r="CI72" s="68">
        <f t="shared" si="18"/>
        <v>0</v>
      </c>
      <c r="CJ72" s="107">
        <f t="shared" si="19"/>
        <v>0</v>
      </c>
      <c r="CK72" s="108">
        <f t="shared" si="20"/>
        <v>0</v>
      </c>
      <c r="CM72" s="106"/>
      <c r="CN72" s="106"/>
      <c r="CO72" s="81"/>
      <c r="CP72"/>
      <c r="CQ72"/>
      <c r="CR72"/>
      <c r="CS72"/>
      <c r="CT72"/>
      <c r="CY72" s="338">
        <f t="shared" si="4"/>
        <v>38169</v>
      </c>
      <c r="CZ72" s="337">
        <f t="shared" si="5"/>
        <v>2.65</v>
      </c>
      <c r="DA72" s="337">
        <f t="shared" si="6"/>
        <v>3</v>
      </c>
      <c r="DB72" s="337">
        <f t="shared" si="7"/>
        <v>3.5</v>
      </c>
      <c r="DD72" s="337">
        <f t="shared" si="8"/>
        <v>0.17429362031249998</v>
      </c>
      <c r="DE72" s="337">
        <f t="shared" si="9"/>
        <v>0.34858724062499996</v>
      </c>
      <c r="DF72" s="337">
        <f t="shared" si="10"/>
        <v>0.52288086093749997</v>
      </c>
      <c r="DH72" s="338">
        <f t="shared" si="11"/>
        <v>38169</v>
      </c>
      <c r="DI72" s="20">
        <v>0.9</v>
      </c>
    </row>
    <row r="73" spans="1:113" ht="13.5" thickBot="1">
      <c r="A73" s="34">
        <f t="shared" ca="1" si="0"/>
        <v>38443</v>
      </c>
      <c r="B73" s="20">
        <f>'Gas Curves'!C77</f>
        <v>7.3101626699756006E-2</v>
      </c>
      <c r="C73" s="20"/>
      <c r="D73" s="75">
        <v>37316</v>
      </c>
      <c r="E73" s="76">
        <v>32.799999999999997</v>
      </c>
      <c r="F73" s="76">
        <v>33.25</v>
      </c>
      <c r="G73" s="76">
        <v>33.700000000000003</v>
      </c>
      <c r="H73" s="56"/>
      <c r="I73" s="76">
        <v>19.374999618530271</v>
      </c>
      <c r="J73" s="76">
        <v>19.599999618530273</v>
      </c>
      <c r="K73" s="76">
        <v>19.824999618530274</v>
      </c>
      <c r="L73" s="27"/>
      <c r="M73" s="28">
        <v>38200</v>
      </c>
      <c r="N73" s="77">
        <v>38.722499084472659</v>
      </c>
      <c r="O73" s="77">
        <v>41.722499084472659</v>
      </c>
      <c r="P73" s="77">
        <v>44.722499084472659</v>
      </c>
      <c r="Q73" s="26"/>
      <c r="R73" s="77">
        <v>27.145000839233397</v>
      </c>
      <c r="S73" s="77">
        <v>30.445000839233398</v>
      </c>
      <c r="T73" s="77">
        <v>33.745000839233398</v>
      </c>
      <c r="U73" s="26"/>
      <c r="V73" s="77">
        <v>0.5</v>
      </c>
      <c r="W73" s="77">
        <v>0.5</v>
      </c>
      <c r="X73" s="77">
        <v>0.5</v>
      </c>
      <c r="Y73" s="26"/>
      <c r="Z73" s="77">
        <v>0.17149643437499998</v>
      </c>
      <c r="AA73" s="77">
        <v>0.34299286874999996</v>
      </c>
      <c r="AB73" s="77">
        <v>0.51448930312499996</v>
      </c>
      <c r="AC73" s="26"/>
      <c r="AD73" s="77">
        <v>5.5342089599999991E-2</v>
      </c>
      <c r="AE73" s="77">
        <v>0.11068417919999998</v>
      </c>
      <c r="AF73" s="77">
        <v>0.16602626879999999</v>
      </c>
      <c r="AG73" s="26"/>
      <c r="AH73" s="77">
        <v>-0.35</v>
      </c>
      <c r="AI73" s="77">
        <v>3</v>
      </c>
      <c r="AJ73" s="77">
        <v>0.5</v>
      </c>
      <c r="AK73" s="26"/>
      <c r="AL73" s="77">
        <v>-0.15</v>
      </c>
      <c r="AM73" s="77">
        <v>0.75</v>
      </c>
      <c r="AN73" s="77">
        <v>0.2</v>
      </c>
      <c r="AO73" s="26"/>
      <c r="AP73" s="27">
        <v>19</v>
      </c>
      <c r="AQ73" s="78">
        <v>0.4</v>
      </c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8">
        <v>38200</v>
      </c>
      <c r="BI73" s="80">
        <v>0.9</v>
      </c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/>
      <c r="CI73" s="68">
        <f t="shared" si="18"/>
        <v>0</v>
      </c>
      <c r="CJ73" s="107">
        <f t="shared" si="19"/>
        <v>0</v>
      </c>
      <c r="CK73" s="108">
        <f t="shared" si="20"/>
        <v>0</v>
      </c>
      <c r="CM73" s="106"/>
      <c r="CN73" s="106"/>
      <c r="CO73" s="81"/>
      <c r="CP73"/>
      <c r="CQ73"/>
      <c r="CR73"/>
      <c r="CS73"/>
      <c r="CT73"/>
      <c r="CY73" s="338">
        <f t="shared" si="4"/>
        <v>38200</v>
      </c>
      <c r="CZ73" s="337">
        <f t="shared" si="5"/>
        <v>2.65</v>
      </c>
      <c r="DA73" s="337">
        <f t="shared" si="6"/>
        <v>3</v>
      </c>
      <c r="DB73" s="337">
        <f t="shared" si="7"/>
        <v>3.5</v>
      </c>
      <c r="DD73" s="337">
        <f t="shared" si="8"/>
        <v>0.17149643437499998</v>
      </c>
      <c r="DE73" s="337">
        <f t="shared" si="9"/>
        <v>0.34299286874999996</v>
      </c>
      <c r="DF73" s="337">
        <f t="shared" si="10"/>
        <v>0.51448930312499996</v>
      </c>
      <c r="DH73" s="338">
        <f t="shared" si="11"/>
        <v>38200</v>
      </c>
      <c r="DI73" s="20">
        <v>0.9</v>
      </c>
    </row>
    <row r="74" spans="1:113" ht="13.5" thickBot="1">
      <c r="A74" s="34">
        <f t="shared" ca="1" si="0"/>
        <v>38473</v>
      </c>
      <c r="B74" s="20">
        <f>'Gas Curves'!C78</f>
        <v>7.3125678291756008E-2</v>
      </c>
      <c r="C74" s="20"/>
      <c r="D74" s="75">
        <v>37347</v>
      </c>
      <c r="E74" s="76">
        <v>31.7</v>
      </c>
      <c r="F74" s="76">
        <v>32</v>
      </c>
      <c r="G74" s="76">
        <v>32.299999999999997</v>
      </c>
      <c r="H74" s="56"/>
      <c r="I74" s="76">
        <v>19.449997711181641</v>
      </c>
      <c r="J74" s="76">
        <v>19.59999771118164</v>
      </c>
      <c r="K74" s="76">
        <v>19.749997711181638</v>
      </c>
      <c r="L74" s="27"/>
      <c r="M74" s="28">
        <v>38231</v>
      </c>
      <c r="N74" s="77">
        <v>22.354999160766599</v>
      </c>
      <c r="O74" s="77">
        <v>23.104999160766599</v>
      </c>
      <c r="P74" s="77">
        <v>23.854999160766599</v>
      </c>
      <c r="Q74" s="26"/>
      <c r="R74" s="77">
        <v>20.3</v>
      </c>
      <c r="S74" s="77">
        <v>23.6</v>
      </c>
      <c r="T74" s="77">
        <v>26.9</v>
      </c>
      <c r="U74" s="26"/>
      <c r="V74" s="77">
        <v>1</v>
      </c>
      <c r="W74" s="77">
        <v>1</v>
      </c>
      <c r="X74" s="77">
        <v>1</v>
      </c>
      <c r="Y74" s="26"/>
      <c r="Z74" s="77">
        <v>0.113623621875</v>
      </c>
      <c r="AA74" s="77">
        <v>0.22724724374999999</v>
      </c>
      <c r="AB74" s="77">
        <v>0.34087086562500002</v>
      </c>
      <c r="AC74" s="26"/>
      <c r="AD74" s="77">
        <v>3.6894726399999994E-2</v>
      </c>
      <c r="AE74" s="77">
        <v>7.3789452799999988E-2</v>
      </c>
      <c r="AF74" s="77">
        <v>0.11068417919999998</v>
      </c>
      <c r="AG74" s="26"/>
      <c r="AH74" s="77">
        <v>-0.35</v>
      </c>
      <c r="AI74" s="77">
        <v>1.5</v>
      </c>
      <c r="AJ74" s="77">
        <v>0.3</v>
      </c>
      <c r="AK74" s="26"/>
      <c r="AL74" s="77">
        <v>-0.15</v>
      </c>
      <c r="AM74" s="77">
        <v>0.4</v>
      </c>
      <c r="AN74" s="77">
        <v>0.2</v>
      </c>
      <c r="AO74" s="26"/>
      <c r="AP74" s="27">
        <v>19</v>
      </c>
      <c r="AQ74" s="78">
        <v>0.4</v>
      </c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8">
        <v>38231</v>
      </c>
      <c r="BI74" s="80">
        <v>0.9</v>
      </c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/>
      <c r="CI74" s="68">
        <f t="shared" si="18"/>
        <v>0</v>
      </c>
      <c r="CJ74" s="107">
        <f t="shared" si="19"/>
        <v>0</v>
      </c>
      <c r="CK74" s="108">
        <f t="shared" si="20"/>
        <v>0</v>
      </c>
      <c r="CM74" s="106"/>
      <c r="CN74" s="106"/>
      <c r="CO74" s="81"/>
      <c r="CP74"/>
      <c r="CQ74"/>
      <c r="CR74"/>
      <c r="CS74"/>
      <c r="CT74"/>
      <c r="CY74" s="338">
        <f t="shared" si="4"/>
        <v>38231</v>
      </c>
      <c r="CZ74" s="337">
        <f t="shared" si="5"/>
        <v>1.1499999999999999</v>
      </c>
      <c r="DA74" s="337">
        <f t="shared" si="6"/>
        <v>1.5</v>
      </c>
      <c r="DB74" s="337">
        <f t="shared" si="7"/>
        <v>1.8</v>
      </c>
      <c r="DD74" s="337">
        <f t="shared" si="8"/>
        <v>0.113623621875</v>
      </c>
      <c r="DE74" s="337">
        <f t="shared" si="9"/>
        <v>0.22724724374999999</v>
      </c>
      <c r="DF74" s="337">
        <f t="shared" si="10"/>
        <v>0.34087086562500002</v>
      </c>
      <c r="DH74" s="338">
        <f t="shared" si="11"/>
        <v>38231</v>
      </c>
      <c r="DI74" s="20">
        <v>0.9</v>
      </c>
    </row>
    <row r="75" spans="1:113" ht="13.5" thickBot="1">
      <c r="A75" s="34">
        <f t="shared" ca="1" si="0"/>
        <v>38504</v>
      </c>
      <c r="B75" s="20">
        <f>'Gas Curves'!C79</f>
        <v>7.3150531603689992E-2</v>
      </c>
      <c r="C75" s="20"/>
      <c r="D75" s="75">
        <v>37377</v>
      </c>
      <c r="E75" s="76">
        <v>33</v>
      </c>
      <c r="F75" s="76">
        <v>34</v>
      </c>
      <c r="G75" s="76">
        <v>35</v>
      </c>
      <c r="H75" s="56"/>
      <c r="I75" s="76">
        <v>19.09999771118164</v>
      </c>
      <c r="J75" s="76">
        <v>19.59999771118164</v>
      </c>
      <c r="K75" s="76">
        <v>20.09999771118164</v>
      </c>
      <c r="L75" s="27"/>
      <c r="M75" s="28">
        <v>38261</v>
      </c>
      <c r="N75" s="77">
        <v>22.563000106811522</v>
      </c>
      <c r="O75" s="77">
        <v>23.200500106811521</v>
      </c>
      <c r="P75" s="77">
        <v>23.838000106811521</v>
      </c>
      <c r="Q75" s="26"/>
      <c r="R75" s="77">
        <v>17.900999832153317</v>
      </c>
      <c r="S75" s="77">
        <v>21.200999832153318</v>
      </c>
      <c r="T75" s="77">
        <v>24.500999832153319</v>
      </c>
      <c r="U75" s="26"/>
      <c r="V75" s="77">
        <v>1</v>
      </c>
      <c r="W75" s="77">
        <v>1</v>
      </c>
      <c r="X75" s="77">
        <v>1</v>
      </c>
      <c r="Y75" s="26"/>
      <c r="Z75" s="77">
        <v>0.10378524374999999</v>
      </c>
      <c r="AA75" s="77">
        <v>0.20757048749999998</v>
      </c>
      <c r="AB75" s="77">
        <v>0.31135573124999999</v>
      </c>
      <c r="AC75" s="26"/>
      <c r="AD75" s="77">
        <v>2.7671044799999996E-2</v>
      </c>
      <c r="AE75" s="77">
        <v>5.5342089599999991E-2</v>
      </c>
      <c r="AF75" s="77">
        <v>8.3013134399999994E-2</v>
      </c>
      <c r="AG75" s="26"/>
      <c r="AH75" s="77">
        <v>-0.25</v>
      </c>
      <c r="AI75" s="77">
        <v>1.1000000000000001</v>
      </c>
      <c r="AJ75" s="77">
        <v>0.3</v>
      </c>
      <c r="AK75" s="26"/>
      <c r="AL75" s="77">
        <v>-0.15</v>
      </c>
      <c r="AM75" s="77">
        <v>0.35</v>
      </c>
      <c r="AN75" s="77">
        <v>0.2</v>
      </c>
      <c r="AO75" s="26"/>
      <c r="AP75" s="27">
        <v>19</v>
      </c>
      <c r="AQ75" s="78">
        <v>0.4</v>
      </c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8">
        <v>38261</v>
      </c>
      <c r="BI75" s="80">
        <v>0.9</v>
      </c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/>
      <c r="CI75" s="68">
        <f t="shared" si="18"/>
        <v>0</v>
      </c>
      <c r="CJ75" s="107">
        <f t="shared" si="19"/>
        <v>0</v>
      </c>
      <c r="CK75" s="108">
        <f t="shared" si="20"/>
        <v>0</v>
      </c>
      <c r="CM75" s="106"/>
      <c r="CN75" s="106"/>
      <c r="CO75" s="81"/>
      <c r="CP75"/>
      <c r="CQ75"/>
      <c r="CR75"/>
      <c r="CS75"/>
      <c r="CT75"/>
      <c r="CY75" s="338">
        <f t="shared" si="4"/>
        <v>38261</v>
      </c>
      <c r="CZ75" s="337">
        <f t="shared" si="5"/>
        <v>0.85000000000000009</v>
      </c>
      <c r="DA75" s="337">
        <f t="shared" si="6"/>
        <v>1.1000000000000001</v>
      </c>
      <c r="DB75" s="337">
        <f t="shared" si="7"/>
        <v>1.4000000000000001</v>
      </c>
      <c r="DD75" s="337">
        <f t="shared" si="8"/>
        <v>0.10378524374999999</v>
      </c>
      <c r="DE75" s="337">
        <f t="shared" si="9"/>
        <v>0.20757048749999998</v>
      </c>
      <c r="DF75" s="337">
        <f t="shared" si="10"/>
        <v>0.31135573124999999</v>
      </c>
      <c r="DH75" s="338">
        <f t="shared" si="11"/>
        <v>38261</v>
      </c>
      <c r="DI75" s="20">
        <v>0.9</v>
      </c>
    </row>
    <row r="76" spans="1:113" ht="13.5" thickBot="1">
      <c r="A76" s="34">
        <f t="shared" ca="1" si="0"/>
        <v>38534</v>
      </c>
      <c r="B76" s="20">
        <f>'Gas Curves'!C80</f>
        <v>7.3174583196079002E-2</v>
      </c>
      <c r="C76" s="20"/>
      <c r="D76" s="75">
        <v>37408</v>
      </c>
      <c r="E76" s="76">
        <v>46.85</v>
      </c>
      <c r="F76" s="76">
        <v>49.75</v>
      </c>
      <c r="G76" s="76">
        <v>52.65</v>
      </c>
      <c r="H76" s="56"/>
      <c r="I76" s="76">
        <v>18.104998779296874</v>
      </c>
      <c r="J76" s="76">
        <v>19.554998779296874</v>
      </c>
      <c r="K76" s="76">
        <v>21.004998779296873</v>
      </c>
      <c r="L76" s="27"/>
      <c r="M76" s="28">
        <v>38292</v>
      </c>
      <c r="N76" s="77">
        <v>23.567251586914061</v>
      </c>
      <c r="O76" s="77">
        <v>24.20475158691406</v>
      </c>
      <c r="P76" s="77">
        <v>24.84225158691406</v>
      </c>
      <c r="Q76" s="26"/>
      <c r="R76" s="77">
        <v>18.904499816894528</v>
      </c>
      <c r="S76" s="77">
        <v>22.204499816894529</v>
      </c>
      <c r="T76" s="77">
        <v>25.50449981689453</v>
      </c>
      <c r="U76" s="26"/>
      <c r="V76" s="77">
        <v>1</v>
      </c>
      <c r="W76" s="77">
        <v>1</v>
      </c>
      <c r="X76" s="77">
        <v>1</v>
      </c>
      <c r="Y76" s="26"/>
      <c r="Z76" s="77">
        <v>0.10378524374999999</v>
      </c>
      <c r="AA76" s="77">
        <v>0.20757048749999998</v>
      </c>
      <c r="AB76" s="77">
        <v>0.31135573124999999</v>
      </c>
      <c r="AC76" s="26"/>
      <c r="AD76" s="77">
        <v>2.7671044799999996E-2</v>
      </c>
      <c r="AE76" s="77">
        <v>5.5342089599999991E-2</v>
      </c>
      <c r="AF76" s="77">
        <v>8.3013134399999994E-2</v>
      </c>
      <c r="AG76" s="26"/>
      <c r="AH76" s="77">
        <v>-0.25</v>
      </c>
      <c r="AI76" s="77">
        <v>1.25</v>
      </c>
      <c r="AJ76" s="77">
        <v>0.3</v>
      </c>
      <c r="AK76" s="26"/>
      <c r="AL76" s="77">
        <v>-0.15</v>
      </c>
      <c r="AM76" s="77">
        <v>0.3</v>
      </c>
      <c r="AN76" s="77">
        <v>0.2</v>
      </c>
      <c r="AO76" s="26"/>
      <c r="AP76" s="27">
        <v>20</v>
      </c>
      <c r="AQ76" s="78">
        <v>0.4</v>
      </c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8">
        <v>38292</v>
      </c>
      <c r="BI76" s="80">
        <v>0.9</v>
      </c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/>
      <c r="CI76" s="68">
        <f t="shared" si="18"/>
        <v>0</v>
      </c>
      <c r="CJ76" s="107">
        <f t="shared" si="19"/>
        <v>0</v>
      </c>
      <c r="CK76" s="108">
        <f t="shared" si="20"/>
        <v>0</v>
      </c>
      <c r="CM76" s="106"/>
      <c r="CN76" s="106"/>
      <c r="CO76" s="81"/>
      <c r="CP76"/>
      <c r="CQ76"/>
      <c r="CR76"/>
      <c r="CS76"/>
      <c r="CT76"/>
      <c r="CY76" s="338">
        <f t="shared" si="4"/>
        <v>38292</v>
      </c>
      <c r="CZ76" s="337">
        <f t="shared" si="5"/>
        <v>1</v>
      </c>
      <c r="DA76" s="337">
        <f t="shared" si="6"/>
        <v>1.25</v>
      </c>
      <c r="DB76" s="337">
        <f t="shared" si="7"/>
        <v>1.55</v>
      </c>
      <c r="DD76" s="337">
        <f t="shared" si="8"/>
        <v>0.10378524374999999</v>
      </c>
      <c r="DE76" s="337">
        <f t="shared" si="9"/>
        <v>0.20757048749999998</v>
      </c>
      <c r="DF76" s="337">
        <f t="shared" si="10"/>
        <v>0.31135573124999999</v>
      </c>
      <c r="DH76" s="338">
        <f t="shared" si="11"/>
        <v>38292</v>
      </c>
      <c r="DI76" s="20">
        <v>0.9</v>
      </c>
    </row>
    <row r="77" spans="1:113" ht="13.5" thickBot="1">
      <c r="A77" s="34">
        <f t="shared" ca="1" si="0"/>
        <v>38565</v>
      </c>
      <c r="B77" s="20">
        <f>'Gas Curves'!C81</f>
        <v>7.3199436508414997E-2</v>
      </c>
      <c r="C77" s="20"/>
      <c r="D77" s="75">
        <v>37438</v>
      </c>
      <c r="E77" s="76">
        <v>68.5</v>
      </c>
      <c r="F77" s="76">
        <v>72.5</v>
      </c>
      <c r="G77" s="76">
        <v>76.5</v>
      </c>
      <c r="H77" s="56"/>
      <c r="I77" s="76">
        <v>22.049997711181639</v>
      </c>
      <c r="J77" s="76">
        <v>24.049997711181639</v>
      </c>
      <c r="K77" s="76">
        <v>26.049997711181639</v>
      </c>
      <c r="L77" s="27"/>
      <c r="M77" s="28">
        <v>38322</v>
      </c>
      <c r="N77" s="77">
        <v>25.017498397827147</v>
      </c>
      <c r="O77" s="77">
        <v>25.654998397827146</v>
      </c>
      <c r="P77" s="77">
        <v>26.292498397827146</v>
      </c>
      <c r="Q77" s="26"/>
      <c r="R77" s="77">
        <v>18.849999237060544</v>
      </c>
      <c r="S77" s="77">
        <v>22.149999237060545</v>
      </c>
      <c r="T77" s="77">
        <v>25.449999237060545</v>
      </c>
      <c r="U77" s="26"/>
      <c r="V77" s="77">
        <v>1</v>
      </c>
      <c r="W77" s="77">
        <v>1</v>
      </c>
      <c r="X77" s="77">
        <v>1</v>
      </c>
      <c r="Y77" s="26"/>
      <c r="Z77" s="77">
        <v>0.10748910375</v>
      </c>
      <c r="AA77" s="77">
        <v>0.21497820749999999</v>
      </c>
      <c r="AB77" s="77">
        <v>0.32246731125</v>
      </c>
      <c r="AC77" s="26"/>
      <c r="AD77" s="77">
        <v>2.7671044799999996E-2</v>
      </c>
      <c r="AE77" s="77">
        <v>5.5342089599999991E-2</v>
      </c>
      <c r="AF77" s="77">
        <v>8.3013134399999994E-2</v>
      </c>
      <c r="AG77" s="26"/>
      <c r="AH77" s="77">
        <v>-0.25</v>
      </c>
      <c r="AI77" s="77">
        <v>1.25</v>
      </c>
      <c r="AJ77" s="77">
        <v>0.35</v>
      </c>
      <c r="AK77" s="26"/>
      <c r="AL77" s="77">
        <v>-0.15</v>
      </c>
      <c r="AM77" s="77">
        <v>0.3</v>
      </c>
      <c r="AN77" s="77">
        <v>0.2</v>
      </c>
      <c r="AO77" s="26"/>
      <c r="AP77" s="27">
        <v>20</v>
      </c>
      <c r="AQ77" s="78">
        <v>0.4</v>
      </c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8">
        <v>38322</v>
      </c>
      <c r="BI77" s="80">
        <v>0.9</v>
      </c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/>
      <c r="CI77" s="68">
        <f t="shared" si="18"/>
        <v>0</v>
      </c>
      <c r="CJ77" s="107">
        <f t="shared" si="19"/>
        <v>0</v>
      </c>
      <c r="CK77" s="108">
        <f t="shared" si="20"/>
        <v>0</v>
      </c>
      <c r="CM77" s="106"/>
      <c r="CN77" s="106"/>
      <c r="CO77" s="81"/>
      <c r="CP77"/>
      <c r="CQ77"/>
      <c r="CR77"/>
      <c r="CS77"/>
      <c r="CT77"/>
      <c r="CY77" s="338">
        <f t="shared" si="4"/>
        <v>38322</v>
      </c>
      <c r="CZ77" s="337">
        <f t="shared" si="5"/>
        <v>1</v>
      </c>
      <c r="DA77" s="337">
        <f t="shared" si="6"/>
        <v>1.25</v>
      </c>
      <c r="DB77" s="337">
        <f t="shared" si="7"/>
        <v>1.6</v>
      </c>
      <c r="DD77" s="337">
        <f t="shared" si="8"/>
        <v>0.10748910375</v>
      </c>
      <c r="DE77" s="337">
        <f t="shared" si="9"/>
        <v>0.21497820749999999</v>
      </c>
      <c r="DF77" s="337">
        <f t="shared" si="10"/>
        <v>0.32246731125</v>
      </c>
      <c r="DH77" s="338">
        <f t="shared" si="11"/>
        <v>38322</v>
      </c>
      <c r="DI77" s="20">
        <v>0.9</v>
      </c>
    </row>
    <row r="78" spans="1:113" ht="13.5" thickBot="1">
      <c r="A78" s="34">
        <f t="shared" ref="A78:A141" ca="1" si="21">EOMONTH(A77,0)+1</f>
        <v>38596</v>
      </c>
      <c r="B78" s="20">
        <f>'Gas Curves'!C82</f>
        <v>7.3224289820954996E-2</v>
      </c>
      <c r="C78" s="20"/>
      <c r="D78" s="75">
        <v>37469</v>
      </c>
      <c r="E78" s="76">
        <v>64</v>
      </c>
      <c r="F78" s="76">
        <v>68</v>
      </c>
      <c r="G78" s="76">
        <v>72</v>
      </c>
      <c r="H78" s="56"/>
      <c r="I78" s="76">
        <v>22.399998092651366</v>
      </c>
      <c r="J78" s="76">
        <v>24.399998092651366</v>
      </c>
      <c r="K78" s="76">
        <v>26.399998092651366</v>
      </c>
      <c r="L78" s="27"/>
      <c r="M78" s="28">
        <v>38353</v>
      </c>
      <c r="N78" s="77">
        <v>28.298748397827147</v>
      </c>
      <c r="O78" s="77">
        <v>29.048748397827147</v>
      </c>
      <c r="P78" s="77">
        <v>29.798748397827147</v>
      </c>
      <c r="Q78" s="26"/>
      <c r="R78" s="77">
        <v>24.252500152587888</v>
      </c>
      <c r="S78" s="77">
        <v>27.552500152587889</v>
      </c>
      <c r="T78" s="77">
        <v>30.85250015258789</v>
      </c>
      <c r="U78" s="26"/>
      <c r="V78" s="77">
        <v>0.9</v>
      </c>
      <c r="W78" s="77">
        <v>0.9</v>
      </c>
      <c r="X78" s="77">
        <v>0.9</v>
      </c>
      <c r="Y78" s="26"/>
      <c r="Z78" s="77">
        <v>0.1156598875</v>
      </c>
      <c r="AA78" s="77">
        <v>0.23131977500000001</v>
      </c>
      <c r="AB78" s="77">
        <v>0.34697966250000001</v>
      </c>
      <c r="AC78" s="26"/>
      <c r="AD78" s="77">
        <v>3.1637227888000004E-2</v>
      </c>
      <c r="AE78" s="77">
        <v>6.3274455776000008E-2</v>
      </c>
      <c r="AF78" s="77">
        <v>9.4911683664000018E-2</v>
      </c>
      <c r="AG78" s="26"/>
      <c r="AH78" s="77">
        <v>-0.75</v>
      </c>
      <c r="AI78" s="77">
        <v>2</v>
      </c>
      <c r="AJ78" s="77">
        <v>0.75</v>
      </c>
      <c r="AK78" s="26"/>
      <c r="AL78" s="77">
        <v>-0.15</v>
      </c>
      <c r="AM78" s="77">
        <v>0.5</v>
      </c>
      <c r="AN78" s="77">
        <v>0.2</v>
      </c>
      <c r="AO78" s="26"/>
      <c r="AP78" s="27">
        <v>20</v>
      </c>
      <c r="AQ78" s="78">
        <v>0.4</v>
      </c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8">
        <v>38353</v>
      </c>
      <c r="BI78" s="80">
        <v>0.9</v>
      </c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/>
      <c r="CI78" s="68">
        <f t="shared" si="18"/>
        <v>0</v>
      </c>
      <c r="CJ78" s="107">
        <f t="shared" si="19"/>
        <v>0</v>
      </c>
      <c r="CK78" s="108">
        <f t="shared" si="20"/>
        <v>0</v>
      </c>
      <c r="CM78" s="106"/>
      <c r="CN78" s="106"/>
      <c r="CO78" s="81"/>
      <c r="CP78"/>
      <c r="CQ78"/>
      <c r="CR78"/>
      <c r="CS78"/>
      <c r="CT78"/>
      <c r="CY78" s="338">
        <f t="shared" si="4"/>
        <v>38353</v>
      </c>
      <c r="CZ78" s="337">
        <f t="shared" si="5"/>
        <v>1.25</v>
      </c>
      <c r="DA78" s="337">
        <f t="shared" si="6"/>
        <v>2</v>
      </c>
      <c r="DB78" s="337">
        <f t="shared" si="7"/>
        <v>2.75</v>
      </c>
      <c r="DD78" s="337">
        <f t="shared" si="8"/>
        <v>0.1156598875</v>
      </c>
      <c r="DE78" s="337">
        <f t="shared" si="9"/>
        <v>0.23131977500000001</v>
      </c>
      <c r="DF78" s="337">
        <f t="shared" si="10"/>
        <v>0.34697966250000001</v>
      </c>
      <c r="DH78" s="338">
        <f t="shared" si="11"/>
        <v>38353</v>
      </c>
      <c r="DI78" s="20">
        <v>0.9</v>
      </c>
    </row>
    <row r="79" spans="1:113" ht="13.5" thickBot="1">
      <c r="A79" s="34">
        <f t="shared" ca="1" si="21"/>
        <v>38626</v>
      </c>
      <c r="B79" s="20">
        <f>'Gas Curves'!C83</f>
        <v>7.3248341413929996E-2</v>
      </c>
      <c r="C79" s="20"/>
      <c r="D79" s="75">
        <v>37500</v>
      </c>
      <c r="E79" s="76">
        <v>32.200000000000003</v>
      </c>
      <c r="F79" s="76">
        <v>33</v>
      </c>
      <c r="G79" s="76">
        <v>33.799999999999997</v>
      </c>
      <c r="H79" s="56"/>
      <c r="I79" s="76">
        <v>19.549998092651368</v>
      </c>
      <c r="J79" s="76">
        <v>19.949998092651366</v>
      </c>
      <c r="K79" s="76">
        <v>20.349998092651365</v>
      </c>
      <c r="L79" s="27"/>
      <c r="M79" s="28">
        <v>38384</v>
      </c>
      <c r="N79" s="77">
        <v>27.296250152587888</v>
      </c>
      <c r="O79" s="77">
        <v>28.046250152587888</v>
      </c>
      <c r="P79" s="77">
        <v>28.796250152587888</v>
      </c>
      <c r="Q79" s="26"/>
      <c r="R79" s="77">
        <v>22.247499465942379</v>
      </c>
      <c r="S79" s="77">
        <v>25.54749946594238</v>
      </c>
      <c r="T79" s="77">
        <v>28.847499465942381</v>
      </c>
      <c r="U79" s="26"/>
      <c r="V79" s="77">
        <v>0.9</v>
      </c>
      <c r="W79" s="77">
        <v>0.9</v>
      </c>
      <c r="X79" s="77">
        <v>0.9</v>
      </c>
      <c r="Y79" s="26"/>
      <c r="Z79" s="77">
        <v>0.11158735624999999</v>
      </c>
      <c r="AA79" s="77">
        <v>0.22317471249999998</v>
      </c>
      <c r="AB79" s="77">
        <v>0.33476206874999997</v>
      </c>
      <c r="AC79" s="26"/>
      <c r="AD79" s="77">
        <v>3.1637227888000004E-2</v>
      </c>
      <c r="AE79" s="77">
        <v>6.3274455776000008E-2</v>
      </c>
      <c r="AF79" s="77">
        <v>9.4911683664000018E-2</v>
      </c>
      <c r="AG79" s="26"/>
      <c r="AH79" s="77">
        <v>-0.75</v>
      </c>
      <c r="AI79" s="77">
        <v>2</v>
      </c>
      <c r="AJ79" s="77">
        <v>0.75</v>
      </c>
      <c r="AK79" s="26"/>
      <c r="AL79" s="77">
        <v>-0.15</v>
      </c>
      <c r="AM79" s="77">
        <v>0.5</v>
      </c>
      <c r="AN79" s="77">
        <v>0.2</v>
      </c>
      <c r="AO79" s="26"/>
      <c r="AP79" s="27">
        <v>21</v>
      </c>
      <c r="AQ79" s="78">
        <v>0.4</v>
      </c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8">
        <v>38384</v>
      </c>
      <c r="BI79" s="80">
        <v>0.9</v>
      </c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/>
      <c r="CI79" s="68">
        <f t="shared" si="18"/>
        <v>0</v>
      </c>
      <c r="CJ79" s="107">
        <f t="shared" si="19"/>
        <v>0</v>
      </c>
      <c r="CK79" s="108">
        <f t="shared" si="20"/>
        <v>0</v>
      </c>
      <c r="CM79" s="106"/>
      <c r="CN79" s="106"/>
      <c r="CO79" s="81"/>
      <c r="CP79"/>
      <c r="CQ79"/>
      <c r="CR79"/>
      <c r="CS79"/>
      <c r="CT79"/>
      <c r="CY79" s="338">
        <f t="shared" si="4"/>
        <v>38384</v>
      </c>
      <c r="CZ79" s="337">
        <f t="shared" si="5"/>
        <v>1.25</v>
      </c>
      <c r="DA79" s="337">
        <f t="shared" si="6"/>
        <v>2</v>
      </c>
      <c r="DB79" s="337">
        <f t="shared" si="7"/>
        <v>2.75</v>
      </c>
      <c r="DD79" s="337">
        <f t="shared" si="8"/>
        <v>0.11158735624999999</v>
      </c>
      <c r="DE79" s="337">
        <f t="shared" si="9"/>
        <v>0.22317471249999998</v>
      </c>
      <c r="DF79" s="337">
        <f t="shared" si="10"/>
        <v>0.33476206874999997</v>
      </c>
      <c r="DH79" s="338">
        <f t="shared" si="11"/>
        <v>38384</v>
      </c>
      <c r="DI79" s="20">
        <v>0.9</v>
      </c>
    </row>
    <row r="80" spans="1:113">
      <c r="A80" s="34">
        <f t="shared" ca="1" si="21"/>
        <v>38657</v>
      </c>
      <c r="B80" s="20">
        <f>'Gas Curves'!C84</f>
        <v>7.3273194726871008E-2</v>
      </c>
      <c r="C80" s="20"/>
      <c r="D80" s="75">
        <v>37530</v>
      </c>
      <c r="E80" s="76">
        <v>30.1</v>
      </c>
      <c r="F80" s="76">
        <v>30.75</v>
      </c>
      <c r="G80" s="76">
        <v>31.4</v>
      </c>
      <c r="H80" s="56"/>
      <c r="I80" s="76">
        <v>19.32499885559082</v>
      </c>
      <c r="J80" s="76">
        <v>19.64999885559082</v>
      </c>
      <c r="K80" s="76">
        <v>19.974998855590819</v>
      </c>
      <c r="L80" s="27"/>
      <c r="M80" s="28">
        <v>38412</v>
      </c>
      <c r="N80" s="77">
        <v>20.784749603271482</v>
      </c>
      <c r="O80" s="77">
        <v>21.234749603271482</v>
      </c>
      <c r="P80" s="77">
        <v>21.684749603271481</v>
      </c>
      <c r="Q80" s="26"/>
      <c r="R80" s="77">
        <v>17.564498901367184</v>
      </c>
      <c r="S80" s="77">
        <v>20.864498901367185</v>
      </c>
      <c r="T80" s="77">
        <v>24.164498901367185</v>
      </c>
      <c r="U80" s="26"/>
      <c r="V80" s="77">
        <v>0.4</v>
      </c>
      <c r="W80" s="77">
        <v>0.4</v>
      </c>
      <c r="X80" s="77">
        <v>0.4</v>
      </c>
      <c r="Y80" s="26"/>
      <c r="Z80" s="77">
        <v>0.10876712835937499</v>
      </c>
      <c r="AA80" s="77">
        <v>0.21753425671874999</v>
      </c>
      <c r="AB80" s="77">
        <v>0.32630138507812501</v>
      </c>
      <c r="AC80" s="26"/>
      <c r="AD80" s="77">
        <v>2.7117623903999997E-2</v>
      </c>
      <c r="AE80" s="77">
        <v>5.4235247807999994E-2</v>
      </c>
      <c r="AF80" s="77">
        <v>8.1352871711999994E-2</v>
      </c>
      <c r="AG80" s="26"/>
      <c r="AH80" s="77">
        <v>-0.25</v>
      </c>
      <c r="AI80" s="77">
        <v>1.3</v>
      </c>
      <c r="AJ80" s="77">
        <v>0.3</v>
      </c>
      <c r="AK80" s="26"/>
      <c r="AL80" s="77">
        <v>-0.15</v>
      </c>
      <c r="AM80" s="77">
        <v>0.35</v>
      </c>
      <c r="AN80" s="77">
        <v>0.2</v>
      </c>
      <c r="AO80" s="26"/>
      <c r="AP80" s="27">
        <v>21</v>
      </c>
      <c r="AQ80" s="78">
        <v>0.4</v>
      </c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8">
        <v>38412</v>
      </c>
      <c r="BI80" s="80">
        <v>0.9</v>
      </c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/>
      <c r="CI80" s="68">
        <f t="shared" si="18"/>
        <v>0</v>
      </c>
      <c r="CJ80" s="107">
        <f t="shared" si="19"/>
        <v>0</v>
      </c>
      <c r="CK80" s="108">
        <f t="shared" si="20"/>
        <v>0</v>
      </c>
      <c r="CM80" s="106"/>
      <c r="CN80" s="106"/>
      <c r="CO80" s="81"/>
      <c r="CP80"/>
      <c r="CQ80"/>
      <c r="CR80"/>
      <c r="CS80"/>
      <c r="CT80"/>
      <c r="CY80" s="338">
        <f t="shared" si="4"/>
        <v>38412</v>
      </c>
      <c r="CZ80" s="337">
        <f t="shared" si="5"/>
        <v>1.05</v>
      </c>
      <c r="DA80" s="337">
        <f t="shared" si="6"/>
        <v>1.3</v>
      </c>
      <c r="DB80" s="337">
        <f t="shared" si="7"/>
        <v>1.6</v>
      </c>
      <c r="DD80" s="337">
        <f t="shared" si="8"/>
        <v>0.10876712835937499</v>
      </c>
      <c r="DE80" s="337">
        <f t="shared" si="9"/>
        <v>0.21753425671874999</v>
      </c>
      <c r="DF80" s="337">
        <f t="shared" si="10"/>
        <v>0.32630138507812501</v>
      </c>
      <c r="DH80" s="338">
        <f t="shared" si="11"/>
        <v>38412</v>
      </c>
      <c r="DI80" s="20">
        <v>0.9</v>
      </c>
    </row>
    <row r="81" spans="1:113">
      <c r="A81" s="34">
        <f t="shared" ca="1" si="21"/>
        <v>38687</v>
      </c>
      <c r="B81" s="20">
        <f>'Gas Curves'!C85</f>
        <v>7.3297246320234002E-2</v>
      </c>
      <c r="C81" s="20"/>
      <c r="D81" s="75">
        <v>37561</v>
      </c>
      <c r="E81" s="76">
        <v>30.475000000000001</v>
      </c>
      <c r="F81" s="76">
        <v>31.125</v>
      </c>
      <c r="G81" s="76">
        <v>31.774999999999999</v>
      </c>
      <c r="H81" s="56"/>
      <c r="I81" s="76">
        <v>19.249998092651367</v>
      </c>
      <c r="J81" s="76">
        <v>19.574998092651366</v>
      </c>
      <c r="K81" s="76">
        <v>19.899998092651366</v>
      </c>
      <c r="L81" s="27"/>
      <c r="M81" s="28">
        <v>38443</v>
      </c>
      <c r="N81" s="77">
        <v>21.58000030517578</v>
      </c>
      <c r="O81" s="77">
        <v>21.917500305175778</v>
      </c>
      <c r="P81" s="77">
        <v>22.255000305175777</v>
      </c>
      <c r="Q81" s="26"/>
      <c r="R81" s="77">
        <v>17.334999084472653</v>
      </c>
      <c r="S81" s="77">
        <v>20.634999084472653</v>
      </c>
      <c r="T81" s="77">
        <v>23.934999084472654</v>
      </c>
      <c r="U81" s="26"/>
      <c r="V81" s="77">
        <v>0.4</v>
      </c>
      <c r="W81" s="77">
        <v>0.4</v>
      </c>
      <c r="X81" s="77">
        <v>0.4</v>
      </c>
      <c r="Y81" s="26"/>
      <c r="Z81" s="77">
        <v>9.6946606406249983E-2</v>
      </c>
      <c r="AA81" s="77">
        <v>0.19389321281249997</v>
      </c>
      <c r="AB81" s="77">
        <v>0.29083981921874996</v>
      </c>
      <c r="AC81" s="26"/>
      <c r="AD81" s="77">
        <v>2.7117623903999997E-2</v>
      </c>
      <c r="AE81" s="77">
        <v>5.4235247807999994E-2</v>
      </c>
      <c r="AF81" s="77">
        <v>8.1352871711999994E-2</v>
      </c>
      <c r="AG81" s="26"/>
      <c r="AH81" s="77">
        <v>-0.25</v>
      </c>
      <c r="AI81" s="77">
        <v>1.1000000000000001</v>
      </c>
      <c r="AJ81" s="77">
        <v>0.3</v>
      </c>
      <c r="AK81" s="26"/>
      <c r="AL81" s="77">
        <v>-0.15</v>
      </c>
      <c r="AM81" s="77">
        <v>0.35</v>
      </c>
      <c r="AN81" s="77">
        <v>0.2</v>
      </c>
      <c r="AO81" s="26"/>
      <c r="AP81" s="27">
        <v>21</v>
      </c>
      <c r="AQ81" s="78">
        <v>0.4</v>
      </c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8">
        <v>38443</v>
      </c>
      <c r="BI81" s="80">
        <v>0.9</v>
      </c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/>
      <c r="CM81" s="106"/>
      <c r="CN81" s="106"/>
      <c r="CO81" s="81"/>
      <c r="CP81"/>
      <c r="CQ81"/>
      <c r="CR81"/>
      <c r="CS81"/>
      <c r="CT81"/>
      <c r="CY81" s="338">
        <f t="shared" si="4"/>
        <v>38443</v>
      </c>
      <c r="CZ81" s="337">
        <f t="shared" si="5"/>
        <v>0.85000000000000009</v>
      </c>
      <c r="DA81" s="337">
        <f t="shared" si="6"/>
        <v>1.1000000000000001</v>
      </c>
      <c r="DB81" s="337">
        <f t="shared" si="7"/>
        <v>1.4000000000000001</v>
      </c>
      <c r="DD81" s="337">
        <f t="shared" si="8"/>
        <v>9.6946606406249983E-2</v>
      </c>
      <c r="DE81" s="337">
        <f t="shared" si="9"/>
        <v>0.19389321281249997</v>
      </c>
      <c r="DF81" s="337">
        <f t="shared" si="10"/>
        <v>0.29083981921874996</v>
      </c>
      <c r="DH81" s="338">
        <f t="shared" si="11"/>
        <v>38443</v>
      </c>
      <c r="DI81" s="20">
        <v>0.9</v>
      </c>
    </row>
    <row r="82" spans="1:113">
      <c r="A82" s="34">
        <f t="shared" ca="1" si="21"/>
        <v>38718</v>
      </c>
      <c r="B82" s="20">
        <f>'Gas Curves'!C86</f>
        <v>7.3322099633577012E-2</v>
      </c>
      <c r="C82" s="20"/>
      <c r="D82" s="75">
        <v>37591</v>
      </c>
      <c r="E82" s="76">
        <v>30.35</v>
      </c>
      <c r="F82" s="76">
        <v>31</v>
      </c>
      <c r="G82" s="76">
        <v>31.65</v>
      </c>
      <c r="H82" s="56"/>
      <c r="I82" s="76">
        <v>20.674999237060547</v>
      </c>
      <c r="J82" s="76">
        <v>20.999999237060546</v>
      </c>
      <c r="K82" s="76">
        <v>21.324999237060545</v>
      </c>
      <c r="L82" s="27"/>
      <c r="M82" s="28">
        <v>38473</v>
      </c>
      <c r="N82" s="77">
        <v>20.892500076293942</v>
      </c>
      <c r="O82" s="77">
        <v>22.032500076293942</v>
      </c>
      <c r="P82" s="77">
        <v>23.172500076293943</v>
      </c>
      <c r="Q82" s="26"/>
      <c r="R82" s="77">
        <v>17.864999771118161</v>
      </c>
      <c r="S82" s="77">
        <v>21.164999771118161</v>
      </c>
      <c r="T82" s="77">
        <v>24.464999771118162</v>
      </c>
      <c r="U82" s="26"/>
      <c r="V82" s="77">
        <v>0.4</v>
      </c>
      <c r="W82" s="77">
        <v>0.4</v>
      </c>
      <c r="X82" s="77">
        <v>0.4</v>
      </c>
      <c r="Y82" s="26"/>
      <c r="Z82" s="77">
        <v>0.11160771890624997</v>
      </c>
      <c r="AA82" s="77">
        <v>0.22321543781249994</v>
      </c>
      <c r="AB82" s="77">
        <v>0.3348231567187499</v>
      </c>
      <c r="AC82" s="26"/>
      <c r="AD82" s="77">
        <v>3.1637227888000004E-2</v>
      </c>
      <c r="AE82" s="77">
        <v>6.3274455776000008E-2</v>
      </c>
      <c r="AF82" s="77">
        <v>9.4911683664000018E-2</v>
      </c>
      <c r="AG82" s="26"/>
      <c r="AH82" s="77">
        <v>-0.25</v>
      </c>
      <c r="AI82" s="77">
        <v>1.1000000000000001</v>
      </c>
      <c r="AJ82" s="77">
        <v>0.3</v>
      </c>
      <c r="AK82" s="26"/>
      <c r="AL82" s="77">
        <v>-0.15</v>
      </c>
      <c r="AM82" s="77">
        <v>0.5</v>
      </c>
      <c r="AN82" s="77">
        <v>0.2</v>
      </c>
      <c r="AO82" s="26"/>
      <c r="AP82" s="27">
        <v>22</v>
      </c>
      <c r="AQ82" s="78">
        <v>0.4</v>
      </c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8">
        <v>38473</v>
      </c>
      <c r="BI82" s="80">
        <v>0.9</v>
      </c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/>
      <c r="CM82" s="106"/>
      <c r="CN82" s="106"/>
      <c r="CO82" s="81"/>
      <c r="CP82"/>
      <c r="CQ82"/>
      <c r="CR82"/>
      <c r="CS82"/>
      <c r="CT82"/>
      <c r="CY82" s="338">
        <f t="shared" si="4"/>
        <v>38473</v>
      </c>
      <c r="CZ82" s="337">
        <f t="shared" si="5"/>
        <v>0.85000000000000009</v>
      </c>
      <c r="DA82" s="337">
        <f t="shared" si="6"/>
        <v>1.1000000000000001</v>
      </c>
      <c r="DB82" s="337">
        <f t="shared" si="7"/>
        <v>1.4000000000000001</v>
      </c>
      <c r="DD82" s="337">
        <f t="shared" si="8"/>
        <v>0.11160771890624997</v>
      </c>
      <c r="DE82" s="337">
        <f t="shared" si="9"/>
        <v>0.22321543781249994</v>
      </c>
      <c r="DF82" s="337">
        <f t="shared" si="10"/>
        <v>0.3348231567187499</v>
      </c>
      <c r="DH82" s="338">
        <f t="shared" si="11"/>
        <v>38473</v>
      </c>
      <c r="DI82" s="20">
        <v>0.9</v>
      </c>
    </row>
    <row r="83" spans="1:113">
      <c r="A83" s="34">
        <f t="shared" ca="1" si="21"/>
        <v>38749</v>
      </c>
      <c r="B83" s="20">
        <f>'Gas Curves'!C87</f>
        <v>7.3346952947122013E-2</v>
      </c>
      <c r="C83" s="20"/>
      <c r="D83" s="75">
        <v>37622</v>
      </c>
      <c r="E83" s="76">
        <v>35.85</v>
      </c>
      <c r="F83" s="76">
        <v>36.65</v>
      </c>
      <c r="G83" s="76">
        <v>37.450000000000003</v>
      </c>
      <c r="H83" s="56"/>
      <c r="I83" s="76">
        <v>20.390000915527345</v>
      </c>
      <c r="J83" s="76">
        <v>20.790000915527344</v>
      </c>
      <c r="K83" s="76">
        <v>21.190000915527342</v>
      </c>
      <c r="L83" s="27"/>
      <c r="M83" s="28">
        <v>38504</v>
      </c>
      <c r="N83" s="77">
        <v>23.158750152587888</v>
      </c>
      <c r="O83" s="77">
        <v>26.458750152587889</v>
      </c>
      <c r="P83" s="77">
        <v>29.75875015258789</v>
      </c>
      <c r="Q83" s="26"/>
      <c r="R83" s="77">
        <v>16.642499542236326</v>
      </c>
      <c r="S83" s="77">
        <v>19.942499542236327</v>
      </c>
      <c r="T83" s="77">
        <v>23.242499542236327</v>
      </c>
      <c r="U83" s="26"/>
      <c r="V83" s="77">
        <v>0.4</v>
      </c>
      <c r="W83" s="77">
        <v>0.4</v>
      </c>
      <c r="X83" s="77">
        <v>0.4</v>
      </c>
      <c r="Y83" s="26"/>
      <c r="Z83" s="77">
        <v>0.13992199242187497</v>
      </c>
      <c r="AA83" s="77">
        <v>0.27984398484374995</v>
      </c>
      <c r="AB83" s="77">
        <v>0.41976597726562492</v>
      </c>
      <c r="AC83" s="26"/>
      <c r="AD83" s="77">
        <v>4.0676435855999997E-2</v>
      </c>
      <c r="AE83" s="77">
        <v>8.1352871711999994E-2</v>
      </c>
      <c r="AF83" s="77">
        <v>0.12202930756799998</v>
      </c>
      <c r="AG83" s="26"/>
      <c r="AH83" s="77">
        <v>-0.35</v>
      </c>
      <c r="AI83" s="77">
        <v>2</v>
      </c>
      <c r="AJ83" s="77">
        <v>0.3</v>
      </c>
      <c r="AK83" s="26"/>
      <c r="AL83" s="77">
        <v>-0.15</v>
      </c>
      <c r="AM83" s="77">
        <v>0.65</v>
      </c>
      <c r="AN83" s="77">
        <v>0.2</v>
      </c>
      <c r="AO83" s="26"/>
      <c r="AP83" s="27">
        <v>22</v>
      </c>
      <c r="AQ83" s="78">
        <v>0.4</v>
      </c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8">
        <v>38504</v>
      </c>
      <c r="BI83" s="80">
        <v>0.9</v>
      </c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/>
      <c r="CM83" s="106"/>
      <c r="CN83" s="106"/>
      <c r="CO83" s="81"/>
      <c r="CP83"/>
      <c r="CQ83"/>
      <c r="CR83"/>
      <c r="CS83"/>
      <c r="CT83"/>
      <c r="CY83" s="338">
        <f t="shared" si="4"/>
        <v>38504</v>
      </c>
      <c r="CZ83" s="337">
        <f t="shared" si="5"/>
        <v>1.65</v>
      </c>
      <c r="DA83" s="337">
        <f t="shared" si="6"/>
        <v>2</v>
      </c>
      <c r="DB83" s="337">
        <f t="shared" si="7"/>
        <v>2.2999999999999998</v>
      </c>
      <c r="DD83" s="337">
        <f t="shared" si="8"/>
        <v>0.13992199242187497</v>
      </c>
      <c r="DE83" s="337">
        <f t="shared" si="9"/>
        <v>0.27984398484374995</v>
      </c>
      <c r="DF83" s="337">
        <f t="shared" si="10"/>
        <v>0.41976597726562492</v>
      </c>
      <c r="DH83" s="338">
        <f t="shared" si="11"/>
        <v>38504</v>
      </c>
      <c r="DI83" s="20">
        <v>0.9</v>
      </c>
    </row>
    <row r="84" spans="1:113">
      <c r="A84" s="34">
        <f t="shared" ca="1" si="21"/>
        <v>38777</v>
      </c>
      <c r="B84" s="20">
        <f>'Gas Curves'!C88</f>
        <v>7.3369401101469001E-2</v>
      </c>
      <c r="C84" s="20"/>
      <c r="D84" s="75">
        <v>37653</v>
      </c>
      <c r="E84" s="76">
        <v>35.85</v>
      </c>
      <c r="F84" s="76">
        <v>36.65</v>
      </c>
      <c r="G84" s="76">
        <v>37.450000000000003</v>
      </c>
      <c r="H84" s="56"/>
      <c r="I84" s="76">
        <v>20.199997711181641</v>
      </c>
      <c r="J84" s="76">
        <v>20.59999771118164</v>
      </c>
      <c r="K84" s="76">
        <v>20.999997711181638</v>
      </c>
      <c r="L84" s="27"/>
      <c r="M84" s="28">
        <v>38534</v>
      </c>
      <c r="N84" s="77">
        <v>36.661249542236334</v>
      </c>
      <c r="O84" s="77">
        <v>39.661249542236334</v>
      </c>
      <c r="P84" s="77">
        <v>42.661249542236334</v>
      </c>
      <c r="Q84" s="26"/>
      <c r="R84" s="77">
        <v>25.847499465942381</v>
      </c>
      <c r="S84" s="77">
        <v>29.147499465942381</v>
      </c>
      <c r="T84" s="77">
        <v>32.447499465942379</v>
      </c>
      <c r="U84" s="26"/>
      <c r="V84" s="77">
        <v>0.4</v>
      </c>
      <c r="W84" s="77">
        <v>0.4</v>
      </c>
      <c r="X84" s="77">
        <v>0.4</v>
      </c>
      <c r="Y84" s="26"/>
      <c r="Z84" s="77">
        <v>0.16557893929687498</v>
      </c>
      <c r="AA84" s="77">
        <v>0.33115787859374995</v>
      </c>
      <c r="AB84" s="77">
        <v>0.49673681789062496</v>
      </c>
      <c r="AC84" s="26"/>
      <c r="AD84" s="77">
        <v>5.4235247807999994E-2</v>
      </c>
      <c r="AE84" s="77">
        <v>0.10847049561599999</v>
      </c>
      <c r="AF84" s="77">
        <v>0.16270574342399999</v>
      </c>
      <c r="AG84" s="26"/>
      <c r="AH84" s="77">
        <v>-0.35</v>
      </c>
      <c r="AI84" s="77">
        <v>3</v>
      </c>
      <c r="AJ84" s="77">
        <v>0.5</v>
      </c>
      <c r="AK84" s="26"/>
      <c r="AL84" s="77">
        <v>-0.15</v>
      </c>
      <c r="AM84" s="77">
        <v>0.75</v>
      </c>
      <c r="AN84" s="77">
        <v>0.2</v>
      </c>
      <c r="AO84" s="26"/>
      <c r="AP84" s="27">
        <v>22</v>
      </c>
      <c r="AQ84" s="78">
        <v>0.4</v>
      </c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8">
        <v>38534</v>
      </c>
      <c r="BI84" s="80">
        <v>0.9</v>
      </c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/>
      <c r="CM84" s="106"/>
      <c r="CN84" s="106"/>
      <c r="CO84" s="81"/>
      <c r="CP84"/>
      <c r="CQ84"/>
      <c r="CR84"/>
      <c r="CS84"/>
      <c r="CT84"/>
      <c r="CY84" s="338">
        <f t="shared" ref="CY84:CY147" si="22">M84</f>
        <v>38534</v>
      </c>
      <c r="CZ84" s="337">
        <f t="shared" ref="CZ84:CZ147" si="23">AI84+AH84</f>
        <v>2.65</v>
      </c>
      <c r="DA84" s="337">
        <f t="shared" ref="DA84:DA147" si="24">AI84</f>
        <v>3</v>
      </c>
      <c r="DB84" s="337">
        <f t="shared" ref="DB84:DB147" si="25">AI84+AJ84</f>
        <v>3.5</v>
      </c>
      <c r="DD84" s="337">
        <f t="shared" ref="DD84:DD147" si="26">Z84</f>
        <v>0.16557893929687498</v>
      </c>
      <c r="DE84" s="337">
        <f t="shared" ref="DE84:DE147" si="27">AA84</f>
        <v>0.33115787859374995</v>
      </c>
      <c r="DF84" s="337">
        <f t="shared" ref="DF84:DF147" si="28">AB84</f>
        <v>0.49673681789062496</v>
      </c>
      <c r="DH84" s="338">
        <f t="shared" ref="DH84:DH147" si="29">BH84</f>
        <v>38534</v>
      </c>
      <c r="DI84" s="20">
        <v>0.9</v>
      </c>
    </row>
    <row r="85" spans="1:113">
      <c r="A85" s="34">
        <f t="shared" ca="1" si="21"/>
        <v>38808</v>
      </c>
      <c r="B85" s="20">
        <f>'Gas Curves'!C89</f>
        <v>7.339425441540301E-2</v>
      </c>
      <c r="C85" s="20"/>
      <c r="D85" s="75">
        <v>37681</v>
      </c>
      <c r="E85" s="76">
        <v>32.4</v>
      </c>
      <c r="F85" s="76">
        <v>32.9</v>
      </c>
      <c r="G85" s="76">
        <v>33.4</v>
      </c>
      <c r="H85" s="56"/>
      <c r="I85" s="76">
        <v>19.349999618530273</v>
      </c>
      <c r="J85" s="76">
        <v>19.599999618530273</v>
      </c>
      <c r="K85" s="76">
        <v>19.849999618530273</v>
      </c>
      <c r="L85" s="27"/>
      <c r="M85" s="28">
        <v>38565</v>
      </c>
      <c r="N85" s="77">
        <v>38.922499084472662</v>
      </c>
      <c r="O85" s="77">
        <v>41.922499084472662</v>
      </c>
      <c r="P85" s="77">
        <v>44.922499084472662</v>
      </c>
      <c r="Q85" s="26"/>
      <c r="R85" s="77">
        <v>27.345000839233396</v>
      </c>
      <c r="S85" s="77">
        <v>30.645000839233397</v>
      </c>
      <c r="T85" s="77">
        <v>33.945000839233394</v>
      </c>
      <c r="U85" s="26"/>
      <c r="V85" s="77">
        <v>0.4</v>
      </c>
      <c r="W85" s="77">
        <v>0.4</v>
      </c>
      <c r="X85" s="77">
        <v>0.4</v>
      </c>
      <c r="Y85" s="26"/>
      <c r="Z85" s="77">
        <v>0.16292161265624996</v>
      </c>
      <c r="AA85" s="77">
        <v>0.32584322531249993</v>
      </c>
      <c r="AB85" s="77">
        <v>0.48876483796874992</v>
      </c>
      <c r="AC85" s="26"/>
      <c r="AD85" s="77">
        <v>5.4235247807999994E-2</v>
      </c>
      <c r="AE85" s="77">
        <v>0.10847049561599999</v>
      </c>
      <c r="AF85" s="77">
        <v>0.16270574342399999</v>
      </c>
      <c r="AG85" s="26"/>
      <c r="AH85" s="77">
        <v>-0.35</v>
      </c>
      <c r="AI85" s="77">
        <v>3</v>
      </c>
      <c r="AJ85" s="77">
        <v>0.5</v>
      </c>
      <c r="AK85" s="26"/>
      <c r="AL85" s="77">
        <v>-0.15</v>
      </c>
      <c r="AM85" s="77">
        <v>0.75</v>
      </c>
      <c r="AN85" s="77">
        <v>0.2</v>
      </c>
      <c r="AO85" s="26"/>
      <c r="AP85" s="27">
        <v>23</v>
      </c>
      <c r="AQ85" s="78">
        <v>0.4</v>
      </c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8">
        <v>38565</v>
      </c>
      <c r="BI85" s="80">
        <v>0.9</v>
      </c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/>
      <c r="CM85" s="106"/>
      <c r="CN85" s="106"/>
      <c r="CO85" s="81"/>
      <c r="CP85"/>
      <c r="CQ85"/>
      <c r="CR85"/>
      <c r="CS85"/>
      <c r="CT85"/>
      <c r="CY85" s="338">
        <f t="shared" si="22"/>
        <v>38565</v>
      </c>
      <c r="CZ85" s="337">
        <f t="shared" si="23"/>
        <v>2.65</v>
      </c>
      <c r="DA85" s="337">
        <f t="shared" si="24"/>
        <v>3</v>
      </c>
      <c r="DB85" s="337">
        <f t="shared" si="25"/>
        <v>3.5</v>
      </c>
      <c r="DD85" s="337">
        <f t="shared" si="26"/>
        <v>0.16292161265624996</v>
      </c>
      <c r="DE85" s="337">
        <f t="shared" si="27"/>
        <v>0.32584322531249993</v>
      </c>
      <c r="DF85" s="337">
        <f t="shared" si="28"/>
        <v>0.48876483796874992</v>
      </c>
      <c r="DH85" s="338">
        <f t="shared" si="29"/>
        <v>38565</v>
      </c>
      <c r="DI85" s="20">
        <v>0.9</v>
      </c>
    </row>
    <row r="86" spans="1:113">
      <c r="A86" s="34">
        <f t="shared" ca="1" si="21"/>
        <v>38838</v>
      </c>
      <c r="B86" s="20">
        <f>'Gas Curves'!C90</f>
        <v>7.3418306009727E-2</v>
      </c>
      <c r="C86" s="20"/>
      <c r="D86" s="75">
        <v>37712</v>
      </c>
      <c r="E86" s="76">
        <v>31.3</v>
      </c>
      <c r="F86" s="76">
        <v>31.65</v>
      </c>
      <c r="G86" s="76">
        <v>32</v>
      </c>
      <c r="H86" s="56"/>
      <c r="I86" s="76">
        <v>19.424997711181639</v>
      </c>
      <c r="J86" s="76">
        <v>19.59999771118164</v>
      </c>
      <c r="K86" s="76">
        <v>19.774997711181641</v>
      </c>
      <c r="L86" s="27"/>
      <c r="M86" s="28">
        <v>38596</v>
      </c>
      <c r="N86" s="77">
        <v>22.479999160766599</v>
      </c>
      <c r="O86" s="77">
        <v>23.304999160766599</v>
      </c>
      <c r="P86" s="77">
        <v>24.129999160766598</v>
      </c>
      <c r="Q86" s="26"/>
      <c r="R86" s="77">
        <v>20.5</v>
      </c>
      <c r="S86" s="77">
        <v>23.8</v>
      </c>
      <c r="T86" s="77">
        <v>27.1</v>
      </c>
      <c r="U86" s="26"/>
      <c r="V86" s="77">
        <v>0.9</v>
      </c>
      <c r="W86" s="77">
        <v>0.9</v>
      </c>
      <c r="X86" s="77">
        <v>0.9</v>
      </c>
      <c r="Y86" s="26"/>
      <c r="Z86" s="77">
        <v>0.10794244078125</v>
      </c>
      <c r="AA86" s="77">
        <v>0.21588488156249999</v>
      </c>
      <c r="AB86" s="77">
        <v>0.32382732234375</v>
      </c>
      <c r="AC86" s="26"/>
      <c r="AD86" s="77">
        <v>3.6156831871999993E-2</v>
      </c>
      <c r="AE86" s="77">
        <v>7.2313663743999987E-2</v>
      </c>
      <c r="AF86" s="77">
        <v>0.10847049561599997</v>
      </c>
      <c r="AG86" s="26"/>
      <c r="AH86" s="77">
        <v>-0.35</v>
      </c>
      <c r="AI86" s="77">
        <v>1.5</v>
      </c>
      <c r="AJ86" s="77">
        <v>0.3</v>
      </c>
      <c r="AK86" s="26"/>
      <c r="AL86" s="77">
        <v>-0.15</v>
      </c>
      <c r="AM86" s="77">
        <v>0.4</v>
      </c>
      <c r="AN86" s="77">
        <v>0.2</v>
      </c>
      <c r="AO86" s="26"/>
      <c r="AP86" s="27">
        <v>23</v>
      </c>
      <c r="AQ86" s="78">
        <v>0.4</v>
      </c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8">
        <v>38596</v>
      </c>
      <c r="BI86" s="80">
        <v>0.9</v>
      </c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/>
      <c r="CM86" s="106"/>
      <c r="CN86" s="106"/>
      <c r="CO86" s="81"/>
      <c r="CP86"/>
      <c r="CQ86"/>
      <c r="CR86"/>
      <c r="CS86"/>
      <c r="CT86"/>
      <c r="CY86" s="338">
        <f t="shared" si="22"/>
        <v>38596</v>
      </c>
      <c r="CZ86" s="337">
        <f t="shared" si="23"/>
        <v>1.1499999999999999</v>
      </c>
      <c r="DA86" s="337">
        <f t="shared" si="24"/>
        <v>1.5</v>
      </c>
      <c r="DB86" s="337">
        <f t="shared" si="25"/>
        <v>1.8</v>
      </c>
      <c r="DD86" s="337">
        <f t="shared" si="26"/>
        <v>0.10794244078125</v>
      </c>
      <c r="DE86" s="337">
        <f t="shared" si="27"/>
        <v>0.21588488156249999</v>
      </c>
      <c r="DF86" s="337">
        <f t="shared" si="28"/>
        <v>0.32382732234375</v>
      </c>
      <c r="DH86" s="338">
        <f t="shared" si="29"/>
        <v>38596</v>
      </c>
      <c r="DI86" s="20">
        <v>0.9</v>
      </c>
    </row>
    <row r="87" spans="1:113">
      <c r="A87" s="34">
        <f t="shared" ca="1" si="21"/>
        <v>38869</v>
      </c>
      <c r="B87" s="20">
        <f>'Gas Curves'!C91</f>
        <v>7.3443159324062993E-2</v>
      </c>
      <c r="C87" s="20"/>
      <c r="D87" s="75">
        <v>37742</v>
      </c>
      <c r="E87" s="76">
        <v>32.4</v>
      </c>
      <c r="F87" s="76">
        <v>33.65</v>
      </c>
      <c r="G87" s="76">
        <v>34.9</v>
      </c>
      <c r="H87" s="56"/>
      <c r="I87" s="76">
        <v>18.97499771118164</v>
      </c>
      <c r="J87" s="76">
        <v>19.59999771118164</v>
      </c>
      <c r="K87" s="76">
        <v>20.22499771118164</v>
      </c>
      <c r="L87" s="27"/>
      <c r="M87" s="28">
        <v>38626</v>
      </c>
      <c r="N87" s="77">
        <v>22.688000106811522</v>
      </c>
      <c r="O87" s="77">
        <v>23.400500106811521</v>
      </c>
      <c r="P87" s="77">
        <v>24.113000106811519</v>
      </c>
      <c r="Q87" s="26"/>
      <c r="R87" s="77">
        <v>18.100999832153317</v>
      </c>
      <c r="S87" s="77">
        <v>21.400999832153317</v>
      </c>
      <c r="T87" s="77">
        <v>24.700999832153318</v>
      </c>
      <c r="U87" s="26"/>
      <c r="V87" s="77">
        <v>0.9</v>
      </c>
      <c r="W87" s="77">
        <v>0.9</v>
      </c>
      <c r="X87" s="77">
        <v>0.9</v>
      </c>
      <c r="Y87" s="26"/>
      <c r="Z87" s="77">
        <v>9.859598156249999E-2</v>
      </c>
      <c r="AA87" s="77">
        <v>0.19719196312499998</v>
      </c>
      <c r="AB87" s="77">
        <v>0.29578794468749997</v>
      </c>
      <c r="AC87" s="26"/>
      <c r="AD87" s="77">
        <v>2.7117623903999997E-2</v>
      </c>
      <c r="AE87" s="77">
        <v>5.4235247807999994E-2</v>
      </c>
      <c r="AF87" s="77">
        <v>8.1352871711999994E-2</v>
      </c>
      <c r="AG87" s="26"/>
      <c r="AH87" s="77">
        <v>-0.25</v>
      </c>
      <c r="AI87" s="77">
        <v>1.1000000000000001</v>
      </c>
      <c r="AJ87" s="77">
        <v>0.3</v>
      </c>
      <c r="AK87" s="26"/>
      <c r="AL87" s="77">
        <v>-0.15</v>
      </c>
      <c r="AM87" s="77">
        <v>0.35</v>
      </c>
      <c r="AN87" s="77">
        <v>0.2</v>
      </c>
      <c r="AO87" s="26"/>
      <c r="AP87" s="27">
        <v>23</v>
      </c>
      <c r="AQ87" s="78">
        <v>0.4</v>
      </c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8">
        <v>38626</v>
      </c>
      <c r="BI87" s="80">
        <v>0.9</v>
      </c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/>
      <c r="CM87" s="106"/>
      <c r="CN87" s="106"/>
      <c r="CO87" s="81"/>
      <c r="CP87"/>
      <c r="CQ87"/>
      <c r="CR87"/>
      <c r="CS87"/>
      <c r="CT87"/>
      <c r="CY87" s="338">
        <f t="shared" si="22"/>
        <v>38626</v>
      </c>
      <c r="CZ87" s="337">
        <f t="shared" si="23"/>
        <v>0.85000000000000009</v>
      </c>
      <c r="DA87" s="337">
        <f t="shared" si="24"/>
        <v>1.1000000000000001</v>
      </c>
      <c r="DB87" s="337">
        <f t="shared" si="25"/>
        <v>1.4000000000000001</v>
      </c>
      <c r="DD87" s="337">
        <f t="shared" si="26"/>
        <v>9.859598156249999E-2</v>
      </c>
      <c r="DE87" s="337">
        <f t="shared" si="27"/>
        <v>0.19719196312499998</v>
      </c>
      <c r="DF87" s="337">
        <f t="shared" si="28"/>
        <v>0.29578794468749997</v>
      </c>
      <c r="DH87" s="338">
        <f t="shared" si="29"/>
        <v>38626</v>
      </c>
      <c r="DI87" s="20">
        <v>0.9</v>
      </c>
    </row>
    <row r="88" spans="1:113">
      <c r="A88" s="34">
        <f t="shared" ca="1" si="21"/>
        <v>38899</v>
      </c>
      <c r="B88" s="20">
        <f>'Gas Curves'!C92</f>
        <v>7.3467210918776005E-2</v>
      </c>
      <c r="C88" s="20"/>
      <c r="D88" s="75">
        <v>37773</v>
      </c>
      <c r="E88" s="76">
        <v>45.37</v>
      </c>
      <c r="F88" s="76">
        <v>49</v>
      </c>
      <c r="G88" s="76">
        <v>52.63</v>
      </c>
      <c r="H88" s="56"/>
      <c r="I88" s="76">
        <v>17.739998779296872</v>
      </c>
      <c r="J88" s="76">
        <v>19.554998779296874</v>
      </c>
      <c r="K88" s="76">
        <v>21.369998779296875</v>
      </c>
      <c r="L88" s="27"/>
      <c r="M88" s="28">
        <v>38657</v>
      </c>
      <c r="N88" s="77">
        <v>23.692251586914061</v>
      </c>
      <c r="O88" s="77">
        <v>24.40475158691406</v>
      </c>
      <c r="P88" s="77">
        <v>25.117251586914058</v>
      </c>
      <c r="Q88" s="26"/>
      <c r="R88" s="77">
        <v>19.104499816894528</v>
      </c>
      <c r="S88" s="77">
        <v>22.404499816894528</v>
      </c>
      <c r="T88" s="77">
        <v>25.704499816894529</v>
      </c>
      <c r="U88" s="26"/>
      <c r="V88" s="77">
        <v>0.9</v>
      </c>
      <c r="W88" s="77">
        <v>0.9</v>
      </c>
      <c r="X88" s="77">
        <v>0.9</v>
      </c>
      <c r="Y88" s="26"/>
      <c r="Z88" s="77">
        <v>9.859598156249999E-2</v>
      </c>
      <c r="AA88" s="77">
        <v>0.19719196312499998</v>
      </c>
      <c r="AB88" s="77">
        <v>0.29578794468749997</v>
      </c>
      <c r="AC88" s="26"/>
      <c r="AD88" s="77">
        <v>2.7117623903999997E-2</v>
      </c>
      <c r="AE88" s="77">
        <v>5.4235247807999994E-2</v>
      </c>
      <c r="AF88" s="77">
        <v>8.1352871711999994E-2</v>
      </c>
      <c r="AG88" s="26"/>
      <c r="AH88" s="77">
        <v>-0.25</v>
      </c>
      <c r="AI88" s="77">
        <v>1.25</v>
      </c>
      <c r="AJ88" s="77">
        <v>0.3</v>
      </c>
      <c r="AK88" s="26"/>
      <c r="AL88" s="77">
        <v>-0.15</v>
      </c>
      <c r="AM88" s="77">
        <v>0.3</v>
      </c>
      <c r="AN88" s="77">
        <v>0.2</v>
      </c>
      <c r="AO88" s="26"/>
      <c r="AP88" s="27">
        <v>24</v>
      </c>
      <c r="AQ88" s="78">
        <v>0.4</v>
      </c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8">
        <v>38657</v>
      </c>
      <c r="BI88" s="80">
        <v>0.9</v>
      </c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/>
      <c r="CM88" s="106"/>
      <c r="CN88" s="106"/>
      <c r="CO88" s="81"/>
      <c r="CP88"/>
      <c r="CQ88"/>
      <c r="CR88"/>
      <c r="CS88"/>
      <c r="CT88"/>
      <c r="CY88" s="338">
        <f t="shared" si="22"/>
        <v>38657</v>
      </c>
      <c r="CZ88" s="337">
        <f t="shared" si="23"/>
        <v>1</v>
      </c>
      <c r="DA88" s="337">
        <f t="shared" si="24"/>
        <v>1.25</v>
      </c>
      <c r="DB88" s="337">
        <f t="shared" si="25"/>
        <v>1.55</v>
      </c>
      <c r="DD88" s="337">
        <f t="shared" si="26"/>
        <v>9.859598156249999E-2</v>
      </c>
      <c r="DE88" s="337">
        <f t="shared" si="27"/>
        <v>0.19719196312499998</v>
      </c>
      <c r="DF88" s="337">
        <f t="shared" si="28"/>
        <v>0.29578794468749997</v>
      </c>
      <c r="DH88" s="338">
        <f t="shared" si="29"/>
        <v>38657</v>
      </c>
      <c r="DI88" s="20">
        <v>0.9</v>
      </c>
    </row>
    <row r="89" spans="1:113">
      <c r="A89" s="34">
        <f t="shared" ca="1" si="21"/>
        <v>38930</v>
      </c>
      <c r="B89" s="20">
        <f>'Gas Curves'!C93</f>
        <v>7.3492064233512996E-2</v>
      </c>
      <c r="C89" s="20"/>
      <c r="D89" s="75">
        <v>37803</v>
      </c>
      <c r="E89" s="76">
        <v>66.5</v>
      </c>
      <c r="F89" s="76">
        <v>70.5</v>
      </c>
      <c r="G89" s="76">
        <v>74.5</v>
      </c>
      <c r="H89" s="56"/>
      <c r="I89" s="76">
        <v>22.049997711181639</v>
      </c>
      <c r="J89" s="76">
        <v>24.049997711181639</v>
      </c>
      <c r="K89" s="76">
        <v>26.049997711181639</v>
      </c>
      <c r="L89" s="27"/>
      <c r="M89" s="28">
        <v>38687</v>
      </c>
      <c r="N89" s="77">
        <v>25.142498397827147</v>
      </c>
      <c r="O89" s="77">
        <v>25.854998397827146</v>
      </c>
      <c r="P89" s="77">
        <v>26.567498397827144</v>
      </c>
      <c r="Q89" s="26"/>
      <c r="R89" s="77">
        <v>19.049999237060543</v>
      </c>
      <c r="S89" s="77">
        <v>22.349999237060544</v>
      </c>
      <c r="T89" s="77">
        <v>25.649999237060545</v>
      </c>
      <c r="U89" s="26"/>
      <c r="V89" s="77">
        <v>0.9</v>
      </c>
      <c r="W89" s="77">
        <v>0.9</v>
      </c>
      <c r="X89" s="77">
        <v>0.9</v>
      </c>
      <c r="Y89" s="26"/>
      <c r="Z89" s="77">
        <v>0.10211464856249999</v>
      </c>
      <c r="AA89" s="77">
        <v>0.20422929712499999</v>
      </c>
      <c r="AB89" s="77">
        <v>0.30634394568750001</v>
      </c>
      <c r="AC89" s="26"/>
      <c r="AD89" s="77">
        <v>2.7117623903999997E-2</v>
      </c>
      <c r="AE89" s="77">
        <v>5.4235247807999994E-2</v>
      </c>
      <c r="AF89" s="77">
        <v>8.1352871711999994E-2</v>
      </c>
      <c r="AG89" s="26"/>
      <c r="AH89" s="77">
        <v>-0.25</v>
      </c>
      <c r="AI89" s="77">
        <v>1.25</v>
      </c>
      <c r="AJ89" s="77">
        <v>0.35</v>
      </c>
      <c r="AK89" s="26"/>
      <c r="AL89" s="77">
        <v>-0.15</v>
      </c>
      <c r="AM89" s="77">
        <v>0.3</v>
      </c>
      <c r="AN89" s="77">
        <v>0.2</v>
      </c>
      <c r="AO89" s="26"/>
      <c r="AP89" s="27">
        <v>24</v>
      </c>
      <c r="AQ89" s="78">
        <v>0.4</v>
      </c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8">
        <v>38687</v>
      </c>
      <c r="BI89" s="80">
        <v>0.9</v>
      </c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/>
      <c r="CM89" s="106"/>
      <c r="CN89" s="106"/>
      <c r="CO89" s="81"/>
      <c r="CP89"/>
      <c r="CQ89"/>
      <c r="CR89"/>
      <c r="CS89"/>
      <c r="CT89"/>
      <c r="CY89" s="338">
        <f t="shared" si="22"/>
        <v>38687</v>
      </c>
      <c r="CZ89" s="337">
        <f t="shared" si="23"/>
        <v>1</v>
      </c>
      <c r="DA89" s="337">
        <f t="shared" si="24"/>
        <v>1.25</v>
      </c>
      <c r="DB89" s="337">
        <f t="shared" si="25"/>
        <v>1.6</v>
      </c>
      <c r="DD89" s="337">
        <f t="shared" si="26"/>
        <v>0.10211464856249999</v>
      </c>
      <c r="DE89" s="337">
        <f t="shared" si="27"/>
        <v>0.20422929712499999</v>
      </c>
      <c r="DF89" s="337">
        <f t="shared" si="28"/>
        <v>0.30634394568750001</v>
      </c>
      <c r="DH89" s="338">
        <f t="shared" si="29"/>
        <v>38687</v>
      </c>
      <c r="DI89" s="20">
        <v>0.9</v>
      </c>
    </row>
    <row r="90" spans="1:113">
      <c r="A90" s="34">
        <f t="shared" ca="1" si="21"/>
        <v>38961</v>
      </c>
      <c r="B90" s="20">
        <f>'Gas Curves'!C94</f>
        <v>7.3516917548453006E-2</v>
      </c>
      <c r="C90" s="20"/>
      <c r="D90" s="75">
        <v>37834</v>
      </c>
      <c r="E90" s="76">
        <v>62</v>
      </c>
      <c r="F90" s="76">
        <v>66</v>
      </c>
      <c r="G90" s="76">
        <v>70</v>
      </c>
      <c r="H90" s="56"/>
      <c r="I90" s="76">
        <v>22.399998092651366</v>
      </c>
      <c r="J90" s="76">
        <v>24.399998092651366</v>
      </c>
      <c r="K90" s="76">
        <v>26.399998092651366</v>
      </c>
      <c r="L90" s="27"/>
      <c r="M90" s="28">
        <v>38718</v>
      </c>
      <c r="N90" s="77">
        <v>28.423748397827147</v>
      </c>
      <c r="O90" s="77">
        <v>29.248748397827146</v>
      </c>
      <c r="P90" s="77">
        <v>30.073748397827146</v>
      </c>
      <c r="Q90" s="26"/>
      <c r="R90" s="77">
        <v>24.452500152587888</v>
      </c>
      <c r="S90" s="77">
        <v>27.752500152587888</v>
      </c>
      <c r="T90" s="77">
        <v>31.052500152587889</v>
      </c>
      <c r="U90" s="26"/>
      <c r="V90" s="77">
        <v>0.8</v>
      </c>
      <c r="W90" s="77">
        <v>0.8</v>
      </c>
      <c r="X90" s="77">
        <v>0.8</v>
      </c>
      <c r="Y90" s="26"/>
      <c r="Z90" s="77">
        <v>0.109876893125</v>
      </c>
      <c r="AA90" s="77">
        <v>0.21975378625</v>
      </c>
      <c r="AB90" s="77">
        <v>0.32963067937500001</v>
      </c>
      <c r="AC90" s="26"/>
      <c r="AD90" s="77">
        <v>3.1004483330240005E-2</v>
      </c>
      <c r="AE90" s="77">
        <v>6.200896666048001E-2</v>
      </c>
      <c r="AF90" s="77">
        <v>9.3013449990720018E-2</v>
      </c>
      <c r="AG90" s="26"/>
      <c r="AH90" s="77">
        <v>-0.75</v>
      </c>
      <c r="AI90" s="77">
        <v>2</v>
      </c>
      <c r="AJ90" s="77">
        <v>0.75</v>
      </c>
      <c r="AK90" s="26"/>
      <c r="AL90" s="77">
        <v>-0.15</v>
      </c>
      <c r="AM90" s="77">
        <v>0.5</v>
      </c>
      <c r="AN90" s="77">
        <v>0.2</v>
      </c>
      <c r="AO90" s="26"/>
      <c r="AP90" s="27">
        <v>24</v>
      </c>
      <c r="AQ90" s="78">
        <v>0.4</v>
      </c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8">
        <v>38718</v>
      </c>
      <c r="BI90" s="80">
        <v>0.9</v>
      </c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/>
      <c r="CM90" s="106"/>
      <c r="CN90" s="106"/>
      <c r="CO90" s="81"/>
      <c r="CP90"/>
      <c r="CQ90"/>
      <c r="CR90"/>
      <c r="CS90"/>
      <c r="CT90"/>
      <c r="CY90" s="338">
        <f t="shared" si="22"/>
        <v>38718</v>
      </c>
      <c r="CZ90" s="337">
        <f t="shared" si="23"/>
        <v>1.25</v>
      </c>
      <c r="DA90" s="337">
        <f t="shared" si="24"/>
        <v>2</v>
      </c>
      <c r="DB90" s="337">
        <f t="shared" si="25"/>
        <v>2.75</v>
      </c>
      <c r="DD90" s="337">
        <f t="shared" si="26"/>
        <v>0.109876893125</v>
      </c>
      <c r="DE90" s="337">
        <f t="shared" si="27"/>
        <v>0.21975378625</v>
      </c>
      <c r="DF90" s="337">
        <f t="shared" si="28"/>
        <v>0.32963067937500001</v>
      </c>
      <c r="DH90" s="338">
        <f t="shared" si="29"/>
        <v>38718</v>
      </c>
      <c r="DI90" s="20">
        <v>0.9</v>
      </c>
    </row>
    <row r="91" spans="1:113">
      <c r="A91" s="34">
        <f t="shared" ca="1" si="21"/>
        <v>38991</v>
      </c>
      <c r="B91" s="20">
        <f>'Gas Curves'!C95</f>
        <v>7.3540969143751009E-2</v>
      </c>
      <c r="C91" s="20"/>
      <c r="D91" s="75">
        <v>37865</v>
      </c>
      <c r="E91" s="76">
        <v>31.75</v>
      </c>
      <c r="F91" s="76">
        <v>32.65</v>
      </c>
      <c r="G91" s="76">
        <v>33.549999999999997</v>
      </c>
      <c r="H91" s="56"/>
      <c r="I91" s="76">
        <v>19.499998092651367</v>
      </c>
      <c r="J91" s="76">
        <v>19.949998092651366</v>
      </c>
      <c r="K91" s="76">
        <v>20.399998092651366</v>
      </c>
      <c r="L91" s="27"/>
      <c r="M91" s="28">
        <v>38749</v>
      </c>
      <c r="N91" s="77">
        <v>27.421250152587888</v>
      </c>
      <c r="O91" s="77">
        <v>28.246250152587887</v>
      </c>
      <c r="P91" s="77">
        <v>29.071250152587886</v>
      </c>
      <c r="Q91" s="26"/>
      <c r="R91" s="77">
        <v>22.447499465942379</v>
      </c>
      <c r="S91" s="77">
        <v>25.747499465942379</v>
      </c>
      <c r="T91" s="77">
        <v>29.04749946594238</v>
      </c>
      <c r="U91" s="26"/>
      <c r="V91" s="77">
        <v>0.8</v>
      </c>
      <c r="W91" s="77">
        <v>0.8</v>
      </c>
      <c r="X91" s="77">
        <v>0.8</v>
      </c>
      <c r="Y91" s="26"/>
      <c r="Z91" s="77">
        <v>0.10600798843749999</v>
      </c>
      <c r="AA91" s="77">
        <v>0.21201597687499998</v>
      </c>
      <c r="AB91" s="77">
        <v>0.31802396531249999</v>
      </c>
      <c r="AC91" s="26"/>
      <c r="AD91" s="77">
        <v>3.1004483330240005E-2</v>
      </c>
      <c r="AE91" s="77">
        <v>6.200896666048001E-2</v>
      </c>
      <c r="AF91" s="77">
        <v>9.3013449990720018E-2</v>
      </c>
      <c r="AG91" s="26"/>
      <c r="AH91" s="77">
        <v>-0.75</v>
      </c>
      <c r="AI91" s="77">
        <v>2</v>
      </c>
      <c r="AJ91" s="77">
        <v>0.75</v>
      </c>
      <c r="AK91" s="26"/>
      <c r="AL91" s="77">
        <v>-0.15</v>
      </c>
      <c r="AM91" s="77">
        <v>0.5</v>
      </c>
      <c r="AN91" s="77">
        <v>0.2</v>
      </c>
      <c r="AO91" s="26"/>
      <c r="AP91" s="27">
        <v>25</v>
      </c>
      <c r="AQ91" s="78">
        <v>0.4</v>
      </c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8">
        <v>38749</v>
      </c>
      <c r="BI91" s="80">
        <v>0.9</v>
      </c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/>
      <c r="CM91" s="106"/>
      <c r="CN91" s="106"/>
      <c r="CO91" s="81"/>
      <c r="CP91"/>
      <c r="CQ91"/>
      <c r="CR91"/>
      <c r="CS91"/>
      <c r="CT91"/>
      <c r="CY91" s="338">
        <f t="shared" si="22"/>
        <v>38749</v>
      </c>
      <c r="CZ91" s="337">
        <f t="shared" si="23"/>
        <v>1.25</v>
      </c>
      <c r="DA91" s="337">
        <f t="shared" si="24"/>
        <v>2</v>
      </c>
      <c r="DB91" s="337">
        <f t="shared" si="25"/>
        <v>2.75</v>
      </c>
      <c r="DD91" s="337">
        <f t="shared" si="26"/>
        <v>0.10600798843749999</v>
      </c>
      <c r="DE91" s="337">
        <f t="shared" si="27"/>
        <v>0.21201597687499998</v>
      </c>
      <c r="DF91" s="337">
        <f t="shared" si="28"/>
        <v>0.31802396531249999</v>
      </c>
      <c r="DH91" s="338">
        <f t="shared" si="29"/>
        <v>38749</v>
      </c>
      <c r="DI91" s="20">
        <v>0.9</v>
      </c>
    </row>
    <row r="92" spans="1:113">
      <c r="A92" s="34">
        <f t="shared" ca="1" si="21"/>
        <v>39022</v>
      </c>
      <c r="B92" s="20">
        <f>'Gas Curves'!C96</f>
        <v>7.3565822459093003E-2</v>
      </c>
      <c r="C92" s="20"/>
      <c r="D92" s="75">
        <v>37895</v>
      </c>
      <c r="E92" s="76">
        <v>29.65</v>
      </c>
      <c r="F92" s="76">
        <v>30.4</v>
      </c>
      <c r="G92" s="76">
        <v>31.15</v>
      </c>
      <c r="H92" s="56"/>
      <c r="I92" s="76">
        <v>19.27499885559082</v>
      </c>
      <c r="J92" s="76">
        <v>19.64999885559082</v>
      </c>
      <c r="K92" s="76">
        <v>20.02499885559082</v>
      </c>
      <c r="L92" s="27"/>
      <c r="M92" s="28">
        <v>38777</v>
      </c>
      <c r="N92" s="77">
        <v>20.94724960327148</v>
      </c>
      <c r="O92" s="77">
        <v>21.434749603271481</v>
      </c>
      <c r="P92" s="77">
        <v>21.922249603271482</v>
      </c>
      <c r="Q92" s="26"/>
      <c r="R92" s="77">
        <v>17.764498901367183</v>
      </c>
      <c r="S92" s="77">
        <v>21.064498901367184</v>
      </c>
      <c r="T92" s="77">
        <v>24.364498901367185</v>
      </c>
      <c r="U92" s="26"/>
      <c r="V92" s="77">
        <v>0.3</v>
      </c>
      <c r="W92" s="77">
        <v>0.3</v>
      </c>
      <c r="X92" s="77">
        <v>0.3</v>
      </c>
      <c r="Y92" s="26"/>
      <c r="Z92" s="77">
        <v>0.10332877194140624</v>
      </c>
      <c r="AA92" s="77">
        <v>0.20665754388281249</v>
      </c>
      <c r="AB92" s="77">
        <v>0.30998631582421876</v>
      </c>
      <c r="AC92" s="26"/>
      <c r="AD92" s="77">
        <v>2.6575271425919995E-2</v>
      </c>
      <c r="AE92" s="77">
        <v>5.3150542851839989E-2</v>
      </c>
      <c r="AF92" s="77">
        <v>7.9725814277759988E-2</v>
      </c>
      <c r="AG92" s="26"/>
      <c r="AH92" s="77">
        <v>-0.25</v>
      </c>
      <c r="AI92" s="77">
        <v>1.3</v>
      </c>
      <c r="AJ92" s="77">
        <v>0.3</v>
      </c>
      <c r="AK92" s="26"/>
      <c r="AL92" s="77">
        <v>-0.15</v>
      </c>
      <c r="AM92" s="77">
        <v>0.35</v>
      </c>
      <c r="AN92" s="77">
        <v>0.2</v>
      </c>
      <c r="AO92" s="26"/>
      <c r="AP92" s="27">
        <v>25</v>
      </c>
      <c r="AQ92" s="78">
        <v>0.4</v>
      </c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8">
        <v>38777</v>
      </c>
      <c r="BI92" s="80">
        <v>0.9</v>
      </c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/>
      <c r="CM92" s="106"/>
      <c r="CN92" s="106"/>
      <c r="CO92" s="81"/>
      <c r="CP92"/>
      <c r="CQ92"/>
      <c r="CR92"/>
      <c r="CS92"/>
      <c r="CT92"/>
      <c r="CY92" s="338">
        <f t="shared" si="22"/>
        <v>38777</v>
      </c>
      <c r="CZ92" s="337">
        <f t="shared" si="23"/>
        <v>1.05</v>
      </c>
      <c r="DA92" s="337">
        <f t="shared" si="24"/>
        <v>1.3</v>
      </c>
      <c r="DB92" s="337">
        <f t="shared" si="25"/>
        <v>1.6</v>
      </c>
      <c r="DD92" s="337">
        <f t="shared" si="26"/>
        <v>0.10332877194140624</v>
      </c>
      <c r="DE92" s="337">
        <f t="shared" si="27"/>
        <v>0.20665754388281249</v>
      </c>
      <c r="DF92" s="337">
        <f t="shared" si="28"/>
        <v>0.30998631582421876</v>
      </c>
      <c r="DH92" s="338">
        <f t="shared" si="29"/>
        <v>38777</v>
      </c>
      <c r="DI92" s="20">
        <v>0.9</v>
      </c>
    </row>
    <row r="93" spans="1:113">
      <c r="A93" s="34">
        <f t="shared" ca="1" si="21"/>
        <v>39052</v>
      </c>
      <c r="B93" s="20">
        <f>'Gas Curves'!C97</f>
        <v>7.3589874054779E-2</v>
      </c>
      <c r="C93" s="20"/>
      <c r="D93" s="75">
        <v>37926</v>
      </c>
      <c r="E93" s="76">
        <v>30.024999999999999</v>
      </c>
      <c r="F93" s="76">
        <v>30.774999999999999</v>
      </c>
      <c r="G93" s="76">
        <v>31.524999999999999</v>
      </c>
      <c r="H93" s="56"/>
      <c r="I93" s="76">
        <v>19.199998092651366</v>
      </c>
      <c r="J93" s="76">
        <v>19.574998092651366</v>
      </c>
      <c r="K93" s="76">
        <v>19.949998092651366</v>
      </c>
      <c r="L93" s="27"/>
      <c r="M93" s="28">
        <v>38808</v>
      </c>
      <c r="N93" s="77">
        <v>21.742500305175778</v>
      </c>
      <c r="O93" s="77">
        <v>22.117500305175778</v>
      </c>
      <c r="P93" s="77">
        <v>22.492500305175778</v>
      </c>
      <c r="Q93" s="26"/>
      <c r="R93" s="77">
        <v>17.534999084472652</v>
      </c>
      <c r="S93" s="77">
        <v>20.834999084472653</v>
      </c>
      <c r="T93" s="77">
        <v>24.134999084472653</v>
      </c>
      <c r="U93" s="26"/>
      <c r="V93" s="77">
        <v>0.3</v>
      </c>
      <c r="W93" s="77">
        <v>0.3</v>
      </c>
      <c r="X93" s="77">
        <v>0.3</v>
      </c>
      <c r="Y93" s="26"/>
      <c r="Z93" s="77">
        <v>9.2099276085937473E-2</v>
      </c>
      <c r="AA93" s="77">
        <v>0.18419855217187495</v>
      </c>
      <c r="AB93" s="77">
        <v>0.27629782825781241</v>
      </c>
      <c r="AC93" s="26"/>
      <c r="AD93" s="77">
        <v>2.6575271425919995E-2</v>
      </c>
      <c r="AE93" s="77">
        <v>5.3150542851839989E-2</v>
      </c>
      <c r="AF93" s="77">
        <v>7.9725814277759988E-2</v>
      </c>
      <c r="AG93" s="26"/>
      <c r="AH93" s="77">
        <v>-0.25</v>
      </c>
      <c r="AI93" s="77">
        <v>1.1000000000000001</v>
      </c>
      <c r="AJ93" s="77">
        <v>0.3</v>
      </c>
      <c r="AK93" s="26"/>
      <c r="AL93" s="77">
        <v>-0.15</v>
      </c>
      <c r="AM93" s="77">
        <v>0.35</v>
      </c>
      <c r="AN93" s="77">
        <v>0.2</v>
      </c>
      <c r="AO93" s="26"/>
      <c r="AP93" s="27">
        <v>25</v>
      </c>
      <c r="AQ93" s="78">
        <v>0.4</v>
      </c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8">
        <v>38808</v>
      </c>
      <c r="BI93" s="80">
        <v>0.9</v>
      </c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/>
      <c r="CM93" s="106"/>
      <c r="CN93" s="106"/>
      <c r="CO93" s="81"/>
      <c r="CP93"/>
      <c r="CQ93"/>
      <c r="CR93"/>
      <c r="CS93"/>
      <c r="CT93"/>
      <c r="CY93" s="338">
        <f t="shared" si="22"/>
        <v>38808</v>
      </c>
      <c r="CZ93" s="337">
        <f t="shared" si="23"/>
        <v>0.85000000000000009</v>
      </c>
      <c r="DA93" s="337">
        <f t="shared" si="24"/>
        <v>1.1000000000000001</v>
      </c>
      <c r="DB93" s="337">
        <f t="shared" si="25"/>
        <v>1.4000000000000001</v>
      </c>
      <c r="DD93" s="337">
        <f t="shared" si="26"/>
        <v>9.2099276085937473E-2</v>
      </c>
      <c r="DE93" s="337">
        <f t="shared" si="27"/>
        <v>0.18419855217187495</v>
      </c>
      <c r="DF93" s="337">
        <f t="shared" si="28"/>
        <v>0.27629782825781241</v>
      </c>
      <c r="DH93" s="338">
        <f t="shared" si="29"/>
        <v>38808</v>
      </c>
      <c r="DI93" s="20">
        <v>0.9</v>
      </c>
    </row>
    <row r="94" spans="1:113">
      <c r="A94" s="34">
        <f t="shared" ca="1" si="21"/>
        <v>39083</v>
      </c>
      <c r="B94" s="20">
        <f>'Gas Curves'!C98</f>
        <v>7.3614727370522992E-2</v>
      </c>
      <c r="C94" s="20"/>
      <c r="D94" s="75">
        <v>37956</v>
      </c>
      <c r="E94" s="76">
        <v>29.9</v>
      </c>
      <c r="F94" s="76">
        <v>30.65</v>
      </c>
      <c r="G94" s="76">
        <v>31.4</v>
      </c>
      <c r="H94" s="56"/>
      <c r="I94" s="76">
        <v>20.624999237060546</v>
      </c>
      <c r="J94" s="76">
        <v>20.999999237060546</v>
      </c>
      <c r="K94" s="76">
        <v>21.374999237060546</v>
      </c>
      <c r="L94" s="27"/>
      <c r="M94" s="28">
        <v>38838</v>
      </c>
      <c r="N94" s="77">
        <v>20.97250007629394</v>
      </c>
      <c r="O94" s="77">
        <v>22.232500076293942</v>
      </c>
      <c r="P94" s="77">
        <v>23.492500076293943</v>
      </c>
      <c r="Q94" s="26"/>
      <c r="R94" s="77">
        <v>18.06499977111816</v>
      </c>
      <c r="S94" s="77">
        <v>21.364999771118161</v>
      </c>
      <c r="T94" s="77">
        <v>24.664999771118161</v>
      </c>
      <c r="U94" s="26"/>
      <c r="V94" s="77">
        <v>0.3</v>
      </c>
      <c r="W94" s="77">
        <v>0.3</v>
      </c>
      <c r="X94" s="77">
        <v>0.3</v>
      </c>
      <c r="Y94" s="26"/>
      <c r="Z94" s="77">
        <v>0.10602733296093747</v>
      </c>
      <c r="AA94" s="77">
        <v>0.21205466592187494</v>
      </c>
      <c r="AB94" s="77">
        <v>0.31808199888281241</v>
      </c>
      <c r="AC94" s="26"/>
      <c r="AD94" s="77">
        <v>3.1004483330240005E-2</v>
      </c>
      <c r="AE94" s="77">
        <v>6.200896666048001E-2</v>
      </c>
      <c r="AF94" s="77">
        <v>9.3013449990720018E-2</v>
      </c>
      <c r="AG94" s="26"/>
      <c r="AH94" s="77">
        <v>-0.25</v>
      </c>
      <c r="AI94" s="77">
        <v>1.1000000000000001</v>
      </c>
      <c r="AJ94" s="77">
        <v>0.3</v>
      </c>
      <c r="AK94" s="26"/>
      <c r="AL94" s="77">
        <v>-0.15</v>
      </c>
      <c r="AM94" s="77">
        <v>0.5</v>
      </c>
      <c r="AN94" s="77">
        <v>0.2</v>
      </c>
      <c r="AO94" s="26"/>
      <c r="AP94" s="27">
        <v>26</v>
      </c>
      <c r="AQ94" s="78">
        <v>0.4</v>
      </c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8">
        <v>38838</v>
      </c>
      <c r="BI94" s="80">
        <v>0.9</v>
      </c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/>
      <c r="CM94" s="106"/>
      <c r="CN94" s="106"/>
      <c r="CO94" s="81"/>
      <c r="CP94"/>
      <c r="CQ94"/>
      <c r="CR94"/>
      <c r="CS94"/>
      <c r="CT94"/>
      <c r="CY94" s="338">
        <f t="shared" si="22"/>
        <v>38838</v>
      </c>
      <c r="CZ94" s="337">
        <f t="shared" si="23"/>
        <v>0.85000000000000009</v>
      </c>
      <c r="DA94" s="337">
        <f t="shared" si="24"/>
        <v>1.1000000000000001</v>
      </c>
      <c r="DB94" s="337">
        <f t="shared" si="25"/>
        <v>1.4000000000000001</v>
      </c>
      <c r="DD94" s="337">
        <f t="shared" si="26"/>
        <v>0.10602733296093747</v>
      </c>
      <c r="DE94" s="337">
        <f t="shared" si="27"/>
        <v>0.21205466592187494</v>
      </c>
      <c r="DF94" s="337">
        <f t="shared" si="28"/>
        <v>0.31808199888281241</v>
      </c>
      <c r="DH94" s="338">
        <f t="shared" si="29"/>
        <v>38838</v>
      </c>
      <c r="DI94" s="20">
        <v>0.9</v>
      </c>
    </row>
    <row r="95" spans="1:113">
      <c r="A95" s="34">
        <f t="shared" ca="1" si="21"/>
        <v>39114</v>
      </c>
      <c r="B95" s="20">
        <f>'Gas Curves'!C99</f>
        <v>7.3639580686470002E-2</v>
      </c>
      <c r="C95" s="20"/>
      <c r="D95" s="75">
        <v>37987</v>
      </c>
      <c r="E95" s="76">
        <v>35.75</v>
      </c>
      <c r="F95" s="76">
        <v>36.65</v>
      </c>
      <c r="G95" s="76">
        <v>37.549999999999997</v>
      </c>
      <c r="H95" s="56"/>
      <c r="I95" s="76">
        <v>20.340000915527344</v>
      </c>
      <c r="J95" s="76">
        <v>20.790000915527344</v>
      </c>
      <c r="K95" s="76">
        <v>21.240000915527343</v>
      </c>
      <c r="L95" s="27"/>
      <c r="M95" s="28">
        <v>38869</v>
      </c>
      <c r="N95" s="77">
        <v>23.028750152587889</v>
      </c>
      <c r="O95" s="77">
        <v>26.658750152587888</v>
      </c>
      <c r="P95" s="77">
        <v>30.288750152587887</v>
      </c>
      <c r="Q95" s="26"/>
      <c r="R95" s="77">
        <v>16.842499542236325</v>
      </c>
      <c r="S95" s="77">
        <v>20.142499542236326</v>
      </c>
      <c r="T95" s="77">
        <v>23.442499542236327</v>
      </c>
      <c r="U95" s="26"/>
      <c r="V95" s="77">
        <v>0.3</v>
      </c>
      <c r="W95" s="77">
        <v>0.3</v>
      </c>
      <c r="X95" s="77">
        <v>0.3</v>
      </c>
      <c r="Y95" s="26"/>
      <c r="Z95" s="77">
        <v>0.13292589280078121</v>
      </c>
      <c r="AA95" s="77">
        <v>0.26585178560156242</v>
      </c>
      <c r="AB95" s="77">
        <v>0.39877767840234363</v>
      </c>
      <c r="AC95" s="26"/>
      <c r="AD95" s="77">
        <v>3.9862907138879994E-2</v>
      </c>
      <c r="AE95" s="77">
        <v>7.9725814277759988E-2</v>
      </c>
      <c r="AF95" s="77">
        <v>0.11958872141663998</v>
      </c>
      <c r="AG95" s="26"/>
      <c r="AH95" s="77">
        <v>-0.35</v>
      </c>
      <c r="AI95" s="77">
        <v>2</v>
      </c>
      <c r="AJ95" s="77">
        <v>0.3</v>
      </c>
      <c r="AK95" s="26"/>
      <c r="AL95" s="77">
        <v>-0.15</v>
      </c>
      <c r="AM95" s="77">
        <v>0.65</v>
      </c>
      <c r="AN95" s="77">
        <v>0.2</v>
      </c>
      <c r="AO95" s="26"/>
      <c r="AP95" s="27">
        <v>26</v>
      </c>
      <c r="AQ95" s="78">
        <v>0.4</v>
      </c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8">
        <v>38869</v>
      </c>
      <c r="BI95" s="80">
        <v>0.9</v>
      </c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/>
      <c r="CM95" s="106"/>
      <c r="CN95" s="106"/>
      <c r="CO95" s="81"/>
      <c r="CP95"/>
      <c r="CQ95"/>
      <c r="CR95"/>
      <c r="CS95"/>
      <c r="CT95"/>
      <c r="CY95" s="338">
        <f t="shared" si="22"/>
        <v>38869</v>
      </c>
      <c r="CZ95" s="337">
        <f t="shared" si="23"/>
        <v>1.65</v>
      </c>
      <c r="DA95" s="337">
        <f t="shared" si="24"/>
        <v>2</v>
      </c>
      <c r="DB95" s="337">
        <f t="shared" si="25"/>
        <v>2.2999999999999998</v>
      </c>
      <c r="DD95" s="337">
        <f t="shared" si="26"/>
        <v>0.13292589280078121</v>
      </c>
      <c r="DE95" s="337">
        <f t="shared" si="27"/>
        <v>0.26585178560156242</v>
      </c>
      <c r="DF95" s="337">
        <f t="shared" si="28"/>
        <v>0.39877767840234363</v>
      </c>
      <c r="DH95" s="338">
        <f t="shared" si="29"/>
        <v>38869</v>
      </c>
      <c r="DI95" s="20">
        <v>0.9</v>
      </c>
    </row>
    <row r="96" spans="1:113">
      <c r="A96" s="34">
        <f t="shared" ca="1" si="21"/>
        <v>39142</v>
      </c>
      <c r="B96" s="20">
        <f>'Gas Curves'!C100</f>
        <v>7.3662028842984992E-2</v>
      </c>
      <c r="C96" s="20"/>
      <c r="D96" s="75">
        <v>38018</v>
      </c>
      <c r="E96" s="76">
        <v>35.75</v>
      </c>
      <c r="F96" s="76">
        <v>36.65</v>
      </c>
      <c r="G96" s="76">
        <v>37.549999999999997</v>
      </c>
      <c r="H96" s="56"/>
      <c r="I96" s="76">
        <v>20.149997711181641</v>
      </c>
      <c r="J96" s="76">
        <v>20.59999771118164</v>
      </c>
      <c r="K96" s="76">
        <v>21.049997711181639</v>
      </c>
      <c r="L96" s="27"/>
      <c r="M96" s="28">
        <v>38899</v>
      </c>
      <c r="N96" s="77">
        <v>36.861249542236337</v>
      </c>
      <c r="O96" s="77">
        <v>39.861249542236337</v>
      </c>
      <c r="P96" s="77">
        <v>42.861249542236337</v>
      </c>
      <c r="Q96" s="26"/>
      <c r="R96" s="77">
        <v>26.04749946594238</v>
      </c>
      <c r="S96" s="77">
        <v>29.347499465942381</v>
      </c>
      <c r="T96" s="77">
        <v>32.647499465942381</v>
      </c>
      <c r="U96" s="26"/>
      <c r="V96" s="77">
        <v>0.3</v>
      </c>
      <c r="W96" s="77">
        <v>0.3</v>
      </c>
      <c r="X96" s="77">
        <v>0.3</v>
      </c>
      <c r="Y96" s="26"/>
      <c r="Z96" s="77">
        <v>0.15729999233203121</v>
      </c>
      <c r="AA96" s="77">
        <v>0.31459998466406242</v>
      </c>
      <c r="AB96" s="77">
        <v>0.47189997699609365</v>
      </c>
      <c r="AC96" s="26"/>
      <c r="AD96" s="77">
        <v>5.3150542851839989E-2</v>
      </c>
      <c r="AE96" s="77">
        <v>0.10630108570367998</v>
      </c>
      <c r="AF96" s="77">
        <v>0.15945162855551998</v>
      </c>
      <c r="AG96" s="26"/>
      <c r="AH96" s="77">
        <v>-0.35</v>
      </c>
      <c r="AI96" s="77">
        <v>3</v>
      </c>
      <c r="AJ96" s="77">
        <v>0.5</v>
      </c>
      <c r="AK96" s="26"/>
      <c r="AL96" s="77">
        <v>-0.15</v>
      </c>
      <c r="AM96" s="77">
        <v>0.75</v>
      </c>
      <c r="AN96" s="77">
        <v>0.2</v>
      </c>
      <c r="AO96" s="26"/>
      <c r="AP96" s="27">
        <v>26</v>
      </c>
      <c r="AQ96" s="78">
        <v>0.4</v>
      </c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8">
        <v>38899</v>
      </c>
      <c r="BI96" s="80">
        <v>0.9</v>
      </c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/>
      <c r="CM96" s="106"/>
      <c r="CN96" s="106"/>
      <c r="CO96" s="81"/>
      <c r="CP96"/>
      <c r="CQ96"/>
      <c r="CR96"/>
      <c r="CS96"/>
      <c r="CT96"/>
      <c r="CY96" s="338">
        <f t="shared" si="22"/>
        <v>38899</v>
      </c>
      <c r="CZ96" s="337">
        <f t="shared" si="23"/>
        <v>2.65</v>
      </c>
      <c r="DA96" s="337">
        <f t="shared" si="24"/>
        <v>3</v>
      </c>
      <c r="DB96" s="337">
        <f t="shared" si="25"/>
        <v>3.5</v>
      </c>
      <c r="DD96" s="337">
        <f t="shared" si="26"/>
        <v>0.15729999233203121</v>
      </c>
      <c r="DE96" s="337">
        <f t="shared" si="27"/>
        <v>0.31459998466406242</v>
      </c>
      <c r="DF96" s="337">
        <f t="shared" si="28"/>
        <v>0.47189997699609365</v>
      </c>
      <c r="DH96" s="338">
        <f t="shared" si="29"/>
        <v>38899</v>
      </c>
      <c r="DI96" s="20">
        <v>0.9</v>
      </c>
    </row>
    <row r="97" spans="1:113">
      <c r="A97" s="34">
        <f t="shared" ca="1" si="21"/>
        <v>39173</v>
      </c>
      <c r="B97" s="20">
        <f>'Gas Curves'!C101</f>
        <v>7.3678548860932003E-2</v>
      </c>
      <c r="C97" s="20"/>
      <c r="D97" s="75">
        <v>38047</v>
      </c>
      <c r="E97" s="76">
        <v>32.35</v>
      </c>
      <c r="F97" s="76">
        <v>32.9</v>
      </c>
      <c r="G97" s="76">
        <v>33.450000000000003</v>
      </c>
      <c r="H97" s="56"/>
      <c r="I97" s="76">
        <v>19.324999618530274</v>
      </c>
      <c r="J97" s="76">
        <v>19.599999618530273</v>
      </c>
      <c r="K97" s="76">
        <v>19.874999618530271</v>
      </c>
      <c r="L97" s="27"/>
      <c r="M97" s="28">
        <v>38930</v>
      </c>
      <c r="N97" s="77">
        <v>39.122499084472665</v>
      </c>
      <c r="O97" s="77">
        <v>42.122499084472665</v>
      </c>
      <c r="P97" s="77">
        <v>45.122499084472665</v>
      </c>
      <c r="Q97" s="26"/>
      <c r="R97" s="77">
        <v>27.545000839233396</v>
      </c>
      <c r="S97" s="77">
        <v>30.845000839233396</v>
      </c>
      <c r="T97" s="77">
        <v>34.145000839233397</v>
      </c>
      <c r="U97" s="26"/>
      <c r="V97" s="77">
        <v>0.3</v>
      </c>
      <c r="W97" s="77">
        <v>0.3</v>
      </c>
      <c r="X97" s="77">
        <v>0.3</v>
      </c>
      <c r="Y97" s="26"/>
      <c r="Z97" s="77">
        <v>0.15477553202343747</v>
      </c>
      <c r="AA97" s="77">
        <v>0.30955106404687494</v>
      </c>
      <c r="AB97" s="77">
        <v>0.4643265960703124</v>
      </c>
      <c r="AC97" s="26"/>
      <c r="AD97" s="77">
        <v>5.3150542851839989E-2</v>
      </c>
      <c r="AE97" s="77">
        <v>0.10630108570367998</v>
      </c>
      <c r="AF97" s="77">
        <v>0.15945162855551998</v>
      </c>
      <c r="AG97" s="26"/>
      <c r="AH97" s="77">
        <v>-0.35</v>
      </c>
      <c r="AI97" s="77">
        <v>3</v>
      </c>
      <c r="AJ97" s="77">
        <v>0.5</v>
      </c>
      <c r="AK97" s="26"/>
      <c r="AL97" s="77">
        <v>-0.15</v>
      </c>
      <c r="AM97" s="77">
        <v>0.75</v>
      </c>
      <c r="AN97" s="77">
        <v>0.2</v>
      </c>
      <c r="AO97" s="26"/>
      <c r="AP97" s="27">
        <v>27</v>
      </c>
      <c r="AQ97" s="78">
        <v>0.4</v>
      </c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8">
        <v>38930</v>
      </c>
      <c r="BI97" s="80">
        <v>0.9</v>
      </c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/>
      <c r="CM97" s="106"/>
      <c r="CN97" s="106"/>
      <c r="CO97" s="81"/>
      <c r="CP97"/>
      <c r="CQ97"/>
      <c r="CR97"/>
      <c r="CS97"/>
      <c r="CT97"/>
      <c r="CY97" s="338">
        <f t="shared" si="22"/>
        <v>38930</v>
      </c>
      <c r="CZ97" s="337">
        <f t="shared" si="23"/>
        <v>2.65</v>
      </c>
      <c r="DA97" s="337">
        <f t="shared" si="24"/>
        <v>3</v>
      </c>
      <c r="DB97" s="337">
        <f t="shared" si="25"/>
        <v>3.5</v>
      </c>
      <c r="DD97" s="337">
        <f t="shared" si="26"/>
        <v>0.15477553202343747</v>
      </c>
      <c r="DE97" s="337">
        <f t="shared" si="27"/>
        <v>0.30955106404687494</v>
      </c>
      <c r="DF97" s="337">
        <f t="shared" si="28"/>
        <v>0.4643265960703124</v>
      </c>
      <c r="DH97" s="338">
        <f t="shared" si="29"/>
        <v>38930</v>
      </c>
      <c r="DI97" s="20">
        <v>0.9</v>
      </c>
    </row>
    <row r="98" spans="1:113">
      <c r="A98" s="34">
        <f t="shared" ca="1" si="21"/>
        <v>39203</v>
      </c>
      <c r="B98" s="20">
        <f>'Gas Curves'!C102</f>
        <v>7.3693341237034998E-2</v>
      </c>
      <c r="C98" s="20"/>
      <c r="D98" s="75">
        <v>38078</v>
      </c>
      <c r="E98" s="76">
        <v>31.25</v>
      </c>
      <c r="F98" s="76">
        <v>31.65</v>
      </c>
      <c r="G98" s="76">
        <v>32.049999999999997</v>
      </c>
      <c r="H98" s="56"/>
      <c r="I98" s="76">
        <v>19.399997711181641</v>
      </c>
      <c r="J98" s="76">
        <v>19.59999771118164</v>
      </c>
      <c r="K98" s="76">
        <v>19.799997711181639</v>
      </c>
      <c r="L98" s="27"/>
      <c r="M98" s="28">
        <v>38961</v>
      </c>
      <c r="N98" s="77">
        <v>22.604999160766599</v>
      </c>
      <c r="O98" s="77">
        <v>23.504999160766598</v>
      </c>
      <c r="P98" s="77">
        <v>24.404999160766597</v>
      </c>
      <c r="Q98" s="26"/>
      <c r="R98" s="77">
        <v>20.7</v>
      </c>
      <c r="S98" s="77">
        <v>24</v>
      </c>
      <c r="T98" s="77">
        <v>27.3</v>
      </c>
      <c r="U98" s="26"/>
      <c r="V98" s="77">
        <v>0.8</v>
      </c>
      <c r="W98" s="77">
        <v>0.8</v>
      </c>
      <c r="X98" s="77">
        <v>0.8</v>
      </c>
      <c r="Y98" s="26"/>
      <c r="Z98" s="77">
        <v>0.10254531874218749</v>
      </c>
      <c r="AA98" s="77">
        <v>0.20509063748437498</v>
      </c>
      <c r="AB98" s="77">
        <v>0.30763595622656248</v>
      </c>
      <c r="AC98" s="26"/>
      <c r="AD98" s="77">
        <v>3.5433695234559991E-2</v>
      </c>
      <c r="AE98" s="77">
        <v>7.0867390469119981E-2</v>
      </c>
      <c r="AF98" s="77">
        <v>0.10630108570367997</v>
      </c>
      <c r="AG98" s="26"/>
      <c r="AH98" s="77">
        <v>-0.35</v>
      </c>
      <c r="AI98" s="77">
        <v>1.5</v>
      </c>
      <c r="AJ98" s="77">
        <v>0.3</v>
      </c>
      <c r="AK98" s="26"/>
      <c r="AL98" s="77">
        <v>-0.15</v>
      </c>
      <c r="AM98" s="77">
        <v>0.4</v>
      </c>
      <c r="AN98" s="77">
        <v>0.2</v>
      </c>
      <c r="AO98" s="26"/>
      <c r="AP98" s="27">
        <v>27</v>
      </c>
      <c r="AQ98" s="78">
        <v>0.4</v>
      </c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8">
        <v>38961</v>
      </c>
      <c r="BI98" s="80">
        <v>0.9</v>
      </c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/>
      <c r="CM98" s="106"/>
      <c r="CN98" s="106"/>
      <c r="CO98" s="81"/>
      <c r="CP98"/>
      <c r="CQ98"/>
      <c r="CR98"/>
      <c r="CS98"/>
      <c r="CT98"/>
      <c r="CY98" s="338">
        <f t="shared" si="22"/>
        <v>38961</v>
      </c>
      <c r="CZ98" s="337">
        <f t="shared" si="23"/>
        <v>1.1499999999999999</v>
      </c>
      <c r="DA98" s="337">
        <f t="shared" si="24"/>
        <v>1.5</v>
      </c>
      <c r="DB98" s="337">
        <f t="shared" si="25"/>
        <v>1.8</v>
      </c>
      <c r="DD98" s="337">
        <f t="shared" si="26"/>
        <v>0.10254531874218749</v>
      </c>
      <c r="DE98" s="337">
        <f t="shared" si="27"/>
        <v>0.20509063748437498</v>
      </c>
      <c r="DF98" s="337">
        <f t="shared" si="28"/>
        <v>0.30763595622656248</v>
      </c>
      <c r="DH98" s="338">
        <f t="shared" si="29"/>
        <v>38961</v>
      </c>
      <c r="DI98" s="20">
        <v>0.9</v>
      </c>
    </row>
    <row r="99" spans="1:113">
      <c r="A99" s="34">
        <f t="shared" ca="1" si="21"/>
        <v>39234</v>
      </c>
      <c r="B99" s="20">
        <f>'Gas Curves'!C103</f>
        <v>7.3708626692417997E-2</v>
      </c>
      <c r="C99" s="20"/>
      <c r="D99" s="75">
        <v>38108</v>
      </c>
      <c r="E99" s="76">
        <v>32.270000000000003</v>
      </c>
      <c r="F99" s="76">
        <v>33.65</v>
      </c>
      <c r="G99" s="76">
        <v>35.03</v>
      </c>
      <c r="H99" s="56"/>
      <c r="I99" s="76">
        <v>18.909997711181639</v>
      </c>
      <c r="J99" s="76">
        <v>19.59999771118164</v>
      </c>
      <c r="K99" s="76">
        <v>20.289997711181641</v>
      </c>
      <c r="L99" s="27"/>
      <c r="M99" s="28">
        <v>38991</v>
      </c>
      <c r="N99" s="77">
        <v>22.813000106811518</v>
      </c>
      <c r="O99" s="77">
        <v>23.60050010681152</v>
      </c>
      <c r="P99" s="77">
        <v>24.388000106811521</v>
      </c>
      <c r="Q99" s="26"/>
      <c r="R99" s="77">
        <v>18.300999832153316</v>
      </c>
      <c r="S99" s="77">
        <v>21.600999832153317</v>
      </c>
      <c r="T99" s="77">
        <v>24.900999832153317</v>
      </c>
      <c r="U99" s="26"/>
      <c r="V99" s="77">
        <v>0.8</v>
      </c>
      <c r="W99" s="77">
        <v>0.8</v>
      </c>
      <c r="X99" s="77">
        <v>0.8</v>
      </c>
      <c r="Y99" s="26"/>
      <c r="Z99" s="77">
        <v>9.3666182484374985E-2</v>
      </c>
      <c r="AA99" s="77">
        <v>0.18733236496874997</v>
      </c>
      <c r="AB99" s="77">
        <v>0.28099854745312497</v>
      </c>
      <c r="AC99" s="26"/>
      <c r="AD99" s="77">
        <v>2.6575271425919995E-2</v>
      </c>
      <c r="AE99" s="77">
        <v>5.3150542851839989E-2</v>
      </c>
      <c r="AF99" s="77">
        <v>7.9725814277759988E-2</v>
      </c>
      <c r="AG99" s="26"/>
      <c r="AH99" s="77">
        <v>-0.25</v>
      </c>
      <c r="AI99" s="77">
        <v>1.1000000000000001</v>
      </c>
      <c r="AJ99" s="77">
        <v>0.3</v>
      </c>
      <c r="AK99" s="26"/>
      <c r="AL99" s="77">
        <v>-0.15</v>
      </c>
      <c r="AM99" s="77">
        <v>0.35</v>
      </c>
      <c r="AN99" s="77">
        <v>0.2</v>
      </c>
      <c r="AO99" s="26"/>
      <c r="AP99" s="27">
        <v>27</v>
      </c>
      <c r="AQ99" s="78">
        <v>0.4</v>
      </c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8">
        <v>38991</v>
      </c>
      <c r="BI99" s="80">
        <v>0.9</v>
      </c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/>
      <c r="CM99" s="106"/>
      <c r="CN99" s="106"/>
      <c r="CO99" s="81"/>
      <c r="CP99"/>
      <c r="CQ99"/>
      <c r="CR99"/>
      <c r="CS99"/>
      <c r="CT99"/>
      <c r="CY99" s="338">
        <f t="shared" si="22"/>
        <v>38991</v>
      </c>
      <c r="CZ99" s="337">
        <f t="shared" si="23"/>
        <v>0.85000000000000009</v>
      </c>
      <c r="DA99" s="337">
        <f t="shared" si="24"/>
        <v>1.1000000000000001</v>
      </c>
      <c r="DB99" s="337">
        <f t="shared" si="25"/>
        <v>1.4000000000000001</v>
      </c>
      <c r="DD99" s="337">
        <f t="shared" si="26"/>
        <v>9.3666182484374985E-2</v>
      </c>
      <c r="DE99" s="337">
        <f t="shared" si="27"/>
        <v>0.18733236496874997</v>
      </c>
      <c r="DF99" s="337">
        <f t="shared" si="28"/>
        <v>0.28099854745312497</v>
      </c>
      <c r="DH99" s="338">
        <f t="shared" si="29"/>
        <v>38991</v>
      </c>
      <c r="DI99" s="20">
        <v>0.9</v>
      </c>
    </row>
    <row r="100" spans="1:113">
      <c r="A100" s="34">
        <f t="shared" ca="1" si="21"/>
        <v>39264</v>
      </c>
      <c r="B100" s="20">
        <f>'Gas Curves'!C104</f>
        <v>7.3723419068668999E-2</v>
      </c>
      <c r="C100" s="20"/>
      <c r="D100" s="75">
        <v>38139</v>
      </c>
      <c r="E100" s="76">
        <v>44.75</v>
      </c>
      <c r="F100" s="76">
        <v>48.75</v>
      </c>
      <c r="G100" s="76">
        <v>52.75</v>
      </c>
      <c r="H100" s="56"/>
      <c r="I100" s="76">
        <v>17.554998779296874</v>
      </c>
      <c r="J100" s="76">
        <v>19.554998779296874</v>
      </c>
      <c r="K100" s="76">
        <v>21.554998779296874</v>
      </c>
      <c r="L100" s="27"/>
      <c r="M100" s="28">
        <v>39022</v>
      </c>
      <c r="N100" s="77">
        <v>23.817251586914058</v>
      </c>
      <c r="O100" s="77">
        <v>24.604751586914059</v>
      </c>
      <c r="P100" s="77">
        <v>25.39225158691406</v>
      </c>
      <c r="Q100" s="26"/>
      <c r="R100" s="77">
        <v>19.304499816894527</v>
      </c>
      <c r="S100" s="77">
        <v>22.604499816894528</v>
      </c>
      <c r="T100" s="77">
        <v>25.904499816894528</v>
      </c>
      <c r="U100" s="26"/>
      <c r="V100" s="77">
        <v>0.8</v>
      </c>
      <c r="W100" s="77">
        <v>0.8</v>
      </c>
      <c r="X100" s="77">
        <v>0.8</v>
      </c>
      <c r="Y100" s="26"/>
      <c r="Z100" s="77">
        <v>9.3666182484374985E-2</v>
      </c>
      <c r="AA100" s="77">
        <v>0.18733236496874997</v>
      </c>
      <c r="AB100" s="77">
        <v>0.28099854745312497</v>
      </c>
      <c r="AC100" s="26"/>
      <c r="AD100" s="77">
        <v>2.6575271425919995E-2</v>
      </c>
      <c r="AE100" s="77">
        <v>5.3150542851839989E-2</v>
      </c>
      <c r="AF100" s="77">
        <v>7.9725814277759988E-2</v>
      </c>
      <c r="AG100" s="26"/>
      <c r="AH100" s="77">
        <v>-0.25</v>
      </c>
      <c r="AI100" s="77">
        <v>1.25</v>
      </c>
      <c r="AJ100" s="77">
        <v>0.3</v>
      </c>
      <c r="AK100" s="26"/>
      <c r="AL100" s="77">
        <v>-0.15</v>
      </c>
      <c r="AM100" s="77">
        <v>0.3</v>
      </c>
      <c r="AN100" s="77">
        <v>0.2</v>
      </c>
      <c r="AO100" s="26"/>
      <c r="AP100" s="27">
        <v>28</v>
      </c>
      <c r="AQ100" s="78">
        <v>0.4</v>
      </c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8">
        <v>39022</v>
      </c>
      <c r="BI100" s="80">
        <v>0.9</v>
      </c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/>
      <c r="CM100" s="106"/>
      <c r="CN100" s="106"/>
      <c r="CO100" s="81"/>
      <c r="CP100"/>
      <c r="CQ100"/>
      <c r="CR100"/>
      <c r="CS100"/>
      <c r="CT100"/>
      <c r="CY100" s="338">
        <f t="shared" si="22"/>
        <v>39022</v>
      </c>
      <c r="CZ100" s="337">
        <f t="shared" si="23"/>
        <v>1</v>
      </c>
      <c r="DA100" s="337">
        <f t="shared" si="24"/>
        <v>1.25</v>
      </c>
      <c r="DB100" s="337">
        <f t="shared" si="25"/>
        <v>1.55</v>
      </c>
      <c r="DD100" s="337">
        <f t="shared" si="26"/>
        <v>9.3666182484374985E-2</v>
      </c>
      <c r="DE100" s="337">
        <f t="shared" si="27"/>
        <v>0.18733236496874997</v>
      </c>
      <c r="DF100" s="337">
        <f t="shared" si="28"/>
        <v>0.28099854745312497</v>
      </c>
      <c r="DH100" s="338">
        <f t="shared" si="29"/>
        <v>39022</v>
      </c>
      <c r="DI100" s="20">
        <v>0.9</v>
      </c>
    </row>
    <row r="101" spans="1:113">
      <c r="A101" s="34">
        <f t="shared" ca="1" si="21"/>
        <v>39295</v>
      </c>
      <c r="B101" s="20">
        <f>'Gas Curves'!C105</f>
        <v>7.3738704524204002E-2</v>
      </c>
      <c r="C101" s="20"/>
      <c r="D101" s="75">
        <v>38169</v>
      </c>
      <c r="E101" s="76">
        <v>65.5</v>
      </c>
      <c r="F101" s="76">
        <v>69.5</v>
      </c>
      <c r="G101" s="76">
        <v>73.5</v>
      </c>
      <c r="H101" s="56"/>
      <c r="I101" s="76">
        <v>22.049997711181639</v>
      </c>
      <c r="J101" s="76">
        <v>24.049997711181639</v>
      </c>
      <c r="K101" s="76">
        <v>26.049997711181639</v>
      </c>
      <c r="L101" s="27"/>
      <c r="M101" s="28">
        <v>39052</v>
      </c>
      <c r="N101" s="77">
        <v>25.267498397827143</v>
      </c>
      <c r="O101" s="77">
        <v>26.054998397827145</v>
      </c>
      <c r="P101" s="77">
        <v>26.842498397827146</v>
      </c>
      <c r="Q101" s="26"/>
      <c r="R101" s="77">
        <v>19.249999237060543</v>
      </c>
      <c r="S101" s="77">
        <v>22.549999237060543</v>
      </c>
      <c r="T101" s="77">
        <v>25.849999237060544</v>
      </c>
      <c r="U101" s="26"/>
      <c r="V101" s="77">
        <v>0.8</v>
      </c>
      <c r="W101" s="77">
        <v>0.8</v>
      </c>
      <c r="X101" s="77">
        <v>0.8</v>
      </c>
      <c r="Y101" s="26"/>
      <c r="Z101" s="77">
        <v>9.7008916134374984E-2</v>
      </c>
      <c r="AA101" s="77">
        <v>0.19401783226874997</v>
      </c>
      <c r="AB101" s="77">
        <v>0.29102674840312492</v>
      </c>
      <c r="AC101" s="26"/>
      <c r="AD101" s="77">
        <v>2.6575271425919995E-2</v>
      </c>
      <c r="AE101" s="77">
        <v>5.3150542851839989E-2</v>
      </c>
      <c r="AF101" s="77">
        <v>7.9725814277759988E-2</v>
      </c>
      <c r="AG101" s="26"/>
      <c r="AH101" s="77">
        <v>-0.25</v>
      </c>
      <c r="AI101" s="77">
        <v>1.25</v>
      </c>
      <c r="AJ101" s="77">
        <v>0.35</v>
      </c>
      <c r="AK101" s="26"/>
      <c r="AL101" s="77">
        <v>-0.15</v>
      </c>
      <c r="AM101" s="77">
        <v>0.3</v>
      </c>
      <c r="AN101" s="77">
        <v>0.2</v>
      </c>
      <c r="AO101" s="26"/>
      <c r="AP101" s="27">
        <v>28</v>
      </c>
      <c r="AQ101" s="78">
        <v>0.4</v>
      </c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8">
        <v>39052</v>
      </c>
      <c r="BI101" s="80">
        <v>0.9</v>
      </c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/>
      <c r="CM101" s="106"/>
      <c r="CN101" s="106"/>
      <c r="CO101" s="81"/>
      <c r="CP101"/>
      <c r="CQ101"/>
      <c r="CR101"/>
      <c r="CS101"/>
      <c r="CT101"/>
      <c r="CY101" s="338">
        <f t="shared" si="22"/>
        <v>39052</v>
      </c>
      <c r="CZ101" s="337">
        <f t="shared" si="23"/>
        <v>1</v>
      </c>
      <c r="DA101" s="337">
        <f t="shared" si="24"/>
        <v>1.25</v>
      </c>
      <c r="DB101" s="337">
        <f t="shared" si="25"/>
        <v>1.6</v>
      </c>
      <c r="DD101" s="337">
        <f t="shared" si="26"/>
        <v>9.7008916134374984E-2</v>
      </c>
      <c r="DE101" s="337">
        <f t="shared" si="27"/>
        <v>0.19401783226874997</v>
      </c>
      <c r="DF101" s="337">
        <f t="shared" si="28"/>
        <v>0.29102674840312492</v>
      </c>
      <c r="DH101" s="338">
        <f t="shared" si="29"/>
        <v>39052</v>
      </c>
      <c r="DI101" s="20">
        <v>0.9</v>
      </c>
    </row>
    <row r="102" spans="1:113">
      <c r="A102" s="34">
        <f t="shared" ca="1" si="21"/>
        <v>39326</v>
      </c>
      <c r="B102" s="20">
        <f>'Gas Curves'!C106</f>
        <v>7.3753989979814999E-2</v>
      </c>
      <c r="C102" s="20"/>
      <c r="D102" s="75">
        <v>38200</v>
      </c>
      <c r="E102" s="76">
        <v>61</v>
      </c>
      <c r="F102" s="76">
        <v>65</v>
      </c>
      <c r="G102" s="76">
        <v>69</v>
      </c>
      <c r="H102" s="56"/>
      <c r="I102" s="76">
        <v>22.399998092651366</v>
      </c>
      <c r="J102" s="76">
        <v>24.399998092651366</v>
      </c>
      <c r="K102" s="76">
        <v>26.399998092651366</v>
      </c>
      <c r="L102" s="27"/>
      <c r="M102" s="28">
        <v>39083</v>
      </c>
      <c r="N102" s="77">
        <v>28.548748397827147</v>
      </c>
      <c r="O102" s="77">
        <v>29.448748397827146</v>
      </c>
      <c r="P102" s="77">
        <v>30.348748397827144</v>
      </c>
      <c r="Q102" s="26"/>
      <c r="R102" s="77">
        <v>24.652500152587887</v>
      </c>
      <c r="S102" s="77">
        <v>27.952500152587888</v>
      </c>
      <c r="T102" s="77">
        <v>31.252500152587888</v>
      </c>
      <c r="U102" s="26"/>
      <c r="V102" s="77">
        <v>0.8</v>
      </c>
      <c r="W102" s="77">
        <v>0.8</v>
      </c>
      <c r="X102" s="77">
        <v>0.8</v>
      </c>
      <c r="Y102" s="26"/>
      <c r="Z102" s="77">
        <v>0.10438304846874999</v>
      </c>
      <c r="AA102" s="77">
        <v>0.20876609693749998</v>
      </c>
      <c r="AB102" s="77">
        <v>0.31314914540624994</v>
      </c>
      <c r="AC102" s="26"/>
      <c r="AD102" s="77">
        <v>3.0384393663635205E-2</v>
      </c>
      <c r="AE102" s="77">
        <v>6.076878732727041E-2</v>
      </c>
      <c r="AF102" s="77">
        <v>9.1153180990905608E-2</v>
      </c>
      <c r="AG102" s="26"/>
      <c r="AH102" s="77">
        <v>-0.75</v>
      </c>
      <c r="AI102" s="77">
        <v>2</v>
      </c>
      <c r="AJ102" s="77">
        <v>0.75</v>
      </c>
      <c r="AK102" s="26"/>
      <c r="AL102" s="77">
        <v>-0.15</v>
      </c>
      <c r="AM102" s="77">
        <v>0.5</v>
      </c>
      <c r="AN102" s="77">
        <v>0.2</v>
      </c>
      <c r="AO102" s="26"/>
      <c r="AP102" s="27">
        <v>28</v>
      </c>
      <c r="AQ102" s="78">
        <v>0.4</v>
      </c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8">
        <v>39083</v>
      </c>
      <c r="BI102" s="80">
        <v>0.9</v>
      </c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/>
      <c r="CM102" s="106"/>
      <c r="CN102" s="106"/>
      <c r="CO102" s="81"/>
      <c r="CP102"/>
      <c r="CQ102"/>
      <c r="CR102"/>
      <c r="CS102"/>
      <c r="CT102"/>
      <c r="CY102" s="338">
        <f t="shared" si="22"/>
        <v>39083</v>
      </c>
      <c r="CZ102" s="337">
        <f t="shared" si="23"/>
        <v>1.25</v>
      </c>
      <c r="DA102" s="337">
        <f t="shared" si="24"/>
        <v>2</v>
      </c>
      <c r="DB102" s="337">
        <f t="shared" si="25"/>
        <v>2.75</v>
      </c>
      <c r="DD102" s="337">
        <f t="shared" si="26"/>
        <v>0.10438304846874999</v>
      </c>
      <c r="DE102" s="337">
        <f t="shared" si="27"/>
        <v>0.20876609693749998</v>
      </c>
      <c r="DF102" s="337">
        <f t="shared" si="28"/>
        <v>0.31314914540624994</v>
      </c>
      <c r="DH102" s="338">
        <f t="shared" si="29"/>
        <v>39083</v>
      </c>
      <c r="DI102" s="20">
        <v>0.9</v>
      </c>
    </row>
    <row r="103" spans="1:113">
      <c r="A103" s="34">
        <f t="shared" ca="1" si="21"/>
        <v>39356</v>
      </c>
      <c r="B103" s="20">
        <f>'Gas Curves'!C107</f>
        <v>7.3768782356288004E-2</v>
      </c>
      <c r="C103" s="20"/>
      <c r="D103" s="75">
        <v>38231</v>
      </c>
      <c r="E103" s="76">
        <v>31.65</v>
      </c>
      <c r="F103" s="76">
        <v>32.65</v>
      </c>
      <c r="G103" s="76">
        <v>33.65</v>
      </c>
      <c r="H103" s="56"/>
      <c r="I103" s="76">
        <v>19.449998092651366</v>
      </c>
      <c r="J103" s="76">
        <v>19.949998092651366</v>
      </c>
      <c r="K103" s="76">
        <v>20.449998092651366</v>
      </c>
      <c r="L103" s="27"/>
      <c r="M103" s="28">
        <v>39114</v>
      </c>
      <c r="N103" s="77">
        <v>27.546250152587888</v>
      </c>
      <c r="O103" s="77">
        <v>28.446250152587886</v>
      </c>
      <c r="P103" s="77">
        <v>29.346250152587885</v>
      </c>
      <c r="Q103" s="26"/>
      <c r="R103" s="77">
        <v>22.647499465942378</v>
      </c>
      <c r="S103" s="77">
        <v>25.947499465942379</v>
      </c>
      <c r="T103" s="77">
        <v>29.247499465942379</v>
      </c>
      <c r="U103" s="26"/>
      <c r="V103" s="77">
        <v>0.8</v>
      </c>
      <c r="W103" s="77">
        <v>0.8</v>
      </c>
      <c r="X103" s="77">
        <v>0.8</v>
      </c>
      <c r="Y103" s="26"/>
      <c r="Z103" s="77">
        <v>0.10070758901562499</v>
      </c>
      <c r="AA103" s="77">
        <v>0.20141517803124998</v>
      </c>
      <c r="AB103" s="77">
        <v>0.30212276704687496</v>
      </c>
      <c r="AC103" s="26"/>
      <c r="AD103" s="77">
        <v>3.0384393663635205E-2</v>
      </c>
      <c r="AE103" s="77">
        <v>6.076878732727041E-2</v>
      </c>
      <c r="AF103" s="77">
        <v>9.1153180990905608E-2</v>
      </c>
      <c r="AG103" s="26"/>
      <c r="AH103" s="77">
        <v>-0.75</v>
      </c>
      <c r="AI103" s="77">
        <v>2</v>
      </c>
      <c r="AJ103" s="77">
        <v>0.75</v>
      </c>
      <c r="AK103" s="26"/>
      <c r="AL103" s="77">
        <v>-0.15</v>
      </c>
      <c r="AM103" s="77">
        <v>0.5</v>
      </c>
      <c r="AN103" s="77">
        <v>0.2</v>
      </c>
      <c r="AO103" s="26"/>
      <c r="AP103" s="27">
        <v>29</v>
      </c>
      <c r="AQ103" s="78">
        <v>0.4</v>
      </c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8">
        <v>39114</v>
      </c>
      <c r="BI103" s="80">
        <v>0.9</v>
      </c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/>
      <c r="CM103" s="106"/>
      <c r="CN103" s="106"/>
      <c r="CO103" s="81"/>
      <c r="CP103"/>
      <c r="CQ103"/>
      <c r="CR103"/>
      <c r="CS103"/>
      <c r="CT103"/>
      <c r="CY103" s="338">
        <f t="shared" si="22"/>
        <v>39114</v>
      </c>
      <c r="CZ103" s="337">
        <f t="shared" si="23"/>
        <v>1.25</v>
      </c>
      <c r="DA103" s="337">
        <f t="shared" si="24"/>
        <v>2</v>
      </c>
      <c r="DB103" s="337">
        <f t="shared" si="25"/>
        <v>2.75</v>
      </c>
      <c r="DD103" s="337">
        <f t="shared" si="26"/>
        <v>0.10070758901562499</v>
      </c>
      <c r="DE103" s="337">
        <f t="shared" si="27"/>
        <v>0.20141517803124998</v>
      </c>
      <c r="DF103" s="337">
        <f t="shared" si="28"/>
        <v>0.30212276704687496</v>
      </c>
      <c r="DH103" s="338">
        <f t="shared" si="29"/>
        <v>39114</v>
      </c>
      <c r="DI103" s="20">
        <v>0.9</v>
      </c>
    </row>
    <row r="104" spans="1:113">
      <c r="A104" s="34">
        <f t="shared" ca="1" si="21"/>
        <v>39387</v>
      </c>
      <c r="B104" s="20">
        <f>'Gas Curves'!C108</f>
        <v>7.3784067812051005E-2</v>
      </c>
      <c r="C104" s="20"/>
      <c r="D104" s="75">
        <v>38261</v>
      </c>
      <c r="E104" s="76">
        <v>29.55</v>
      </c>
      <c r="F104" s="76">
        <v>30.4</v>
      </c>
      <c r="G104" s="76">
        <v>31.25</v>
      </c>
      <c r="H104" s="56"/>
      <c r="I104" s="76">
        <v>19.224998855590819</v>
      </c>
      <c r="J104" s="76">
        <v>19.64999885559082</v>
      </c>
      <c r="K104" s="76">
        <v>20.07499885559082</v>
      </c>
      <c r="L104" s="27"/>
      <c r="M104" s="28">
        <v>39142</v>
      </c>
      <c r="N104" s="77">
        <v>21.109749603271482</v>
      </c>
      <c r="O104" s="77">
        <v>21.63474960327148</v>
      </c>
      <c r="P104" s="77">
        <v>22.159749603271479</v>
      </c>
      <c r="Q104" s="26"/>
      <c r="R104" s="77">
        <v>17.964498901367183</v>
      </c>
      <c r="S104" s="77">
        <v>21.264498901367183</v>
      </c>
      <c r="T104" s="77">
        <v>24.564498901367184</v>
      </c>
      <c r="U104" s="26"/>
      <c r="V104" s="77">
        <v>0.3</v>
      </c>
      <c r="W104" s="77">
        <v>0.3</v>
      </c>
      <c r="X104" s="77">
        <v>0.3</v>
      </c>
      <c r="Y104" s="26"/>
      <c r="Z104" s="77">
        <v>9.8162333344335925E-2</v>
      </c>
      <c r="AA104" s="77">
        <v>0.19632466668867185</v>
      </c>
      <c r="AB104" s="77">
        <v>0.29448700003300776</v>
      </c>
      <c r="AC104" s="26"/>
      <c r="AD104" s="77">
        <v>2.6043765997401595E-2</v>
      </c>
      <c r="AE104" s="77">
        <v>5.2087531994803191E-2</v>
      </c>
      <c r="AF104" s="77">
        <v>7.8131297992204779E-2</v>
      </c>
      <c r="AG104" s="26"/>
      <c r="AH104" s="77">
        <v>-0.25</v>
      </c>
      <c r="AI104" s="77">
        <v>1.3</v>
      </c>
      <c r="AJ104" s="77">
        <v>0.3</v>
      </c>
      <c r="AK104" s="26"/>
      <c r="AL104" s="77">
        <v>-0.15</v>
      </c>
      <c r="AM104" s="77">
        <v>0.35</v>
      </c>
      <c r="AN104" s="77">
        <v>0.2</v>
      </c>
      <c r="AO104" s="26"/>
      <c r="AP104" s="27">
        <v>29</v>
      </c>
      <c r="AQ104" s="78">
        <v>0.4</v>
      </c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8">
        <v>39142</v>
      </c>
      <c r="BI104" s="80">
        <v>0.9</v>
      </c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/>
      <c r="CM104" s="106"/>
      <c r="CN104" s="106"/>
      <c r="CO104" s="81"/>
      <c r="CP104"/>
      <c r="CQ104"/>
      <c r="CR104"/>
      <c r="CS104"/>
      <c r="CT104"/>
      <c r="CY104" s="338">
        <f t="shared" si="22"/>
        <v>39142</v>
      </c>
      <c r="CZ104" s="337">
        <f t="shared" si="23"/>
        <v>1.05</v>
      </c>
      <c r="DA104" s="337">
        <f t="shared" si="24"/>
        <v>1.3</v>
      </c>
      <c r="DB104" s="337">
        <f t="shared" si="25"/>
        <v>1.6</v>
      </c>
      <c r="DD104" s="337">
        <f t="shared" si="26"/>
        <v>9.8162333344335925E-2</v>
      </c>
      <c r="DE104" s="337">
        <f t="shared" si="27"/>
        <v>0.19632466668867185</v>
      </c>
      <c r="DF104" s="337">
        <f t="shared" si="28"/>
        <v>0.29448700003300776</v>
      </c>
      <c r="DH104" s="338">
        <f t="shared" si="29"/>
        <v>39142</v>
      </c>
      <c r="DI104" s="20">
        <v>0.9</v>
      </c>
    </row>
    <row r="105" spans="1:113">
      <c r="A105" s="34">
        <f t="shared" ca="1" si="21"/>
        <v>39417</v>
      </c>
      <c r="B105" s="20">
        <f>'Gas Curves'!C109</f>
        <v>7.3798860188670004E-2</v>
      </c>
      <c r="C105" s="20"/>
      <c r="D105" s="75">
        <v>38292</v>
      </c>
      <c r="E105" s="76">
        <v>29.925000000000001</v>
      </c>
      <c r="F105" s="76">
        <v>30.774999999999999</v>
      </c>
      <c r="G105" s="76">
        <v>31.625</v>
      </c>
      <c r="H105" s="56"/>
      <c r="I105" s="76">
        <v>19.149998092651366</v>
      </c>
      <c r="J105" s="76">
        <v>19.574998092651366</v>
      </c>
      <c r="K105" s="76">
        <v>19.999998092651367</v>
      </c>
      <c r="L105" s="27"/>
      <c r="M105" s="28">
        <v>39173</v>
      </c>
      <c r="N105" s="77">
        <v>21.905000305175776</v>
      </c>
      <c r="O105" s="77">
        <v>22.317500305175777</v>
      </c>
      <c r="P105" s="77">
        <v>22.730000305175778</v>
      </c>
      <c r="Q105" s="26"/>
      <c r="R105" s="77">
        <v>17.734999084472651</v>
      </c>
      <c r="S105" s="77">
        <v>21.034999084472652</v>
      </c>
      <c r="T105" s="77">
        <v>24.334999084472653</v>
      </c>
      <c r="U105" s="26"/>
      <c r="V105" s="77">
        <v>0.3</v>
      </c>
      <c r="W105" s="77">
        <v>0.3</v>
      </c>
      <c r="X105" s="77">
        <v>0.3</v>
      </c>
      <c r="Y105" s="26"/>
      <c r="Z105" s="77">
        <v>8.749431228164059E-2</v>
      </c>
      <c r="AA105" s="77">
        <v>0.17498862456328118</v>
      </c>
      <c r="AB105" s="77">
        <v>0.26248293684492174</v>
      </c>
      <c r="AC105" s="26"/>
      <c r="AD105" s="77">
        <v>2.6043765997401595E-2</v>
      </c>
      <c r="AE105" s="77">
        <v>5.2087531994803191E-2</v>
      </c>
      <c r="AF105" s="77">
        <v>7.8131297992204779E-2</v>
      </c>
      <c r="AG105" s="26"/>
      <c r="AH105" s="77">
        <v>-0.25</v>
      </c>
      <c r="AI105" s="77">
        <v>1.1000000000000001</v>
      </c>
      <c r="AJ105" s="77">
        <v>0.3</v>
      </c>
      <c r="AK105" s="26"/>
      <c r="AL105" s="77">
        <v>-0.15</v>
      </c>
      <c r="AM105" s="77">
        <v>0.35</v>
      </c>
      <c r="AN105" s="77">
        <v>0.2</v>
      </c>
      <c r="AO105" s="26"/>
      <c r="AP105" s="27">
        <v>29</v>
      </c>
      <c r="AQ105" s="78">
        <v>0.4</v>
      </c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8">
        <v>39173</v>
      </c>
      <c r="BI105" s="80">
        <v>0.9</v>
      </c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/>
      <c r="CM105" s="106"/>
      <c r="CN105" s="106"/>
      <c r="CO105" s="81"/>
      <c r="CP105"/>
      <c r="CQ105"/>
      <c r="CR105"/>
      <c r="CS105"/>
      <c r="CT105"/>
      <c r="CY105" s="338">
        <f t="shared" si="22"/>
        <v>39173</v>
      </c>
      <c r="CZ105" s="337">
        <f t="shared" si="23"/>
        <v>0.85000000000000009</v>
      </c>
      <c r="DA105" s="337">
        <f t="shared" si="24"/>
        <v>1.1000000000000001</v>
      </c>
      <c r="DB105" s="337">
        <f t="shared" si="25"/>
        <v>1.4000000000000001</v>
      </c>
      <c r="DD105" s="337">
        <f t="shared" si="26"/>
        <v>8.749431228164059E-2</v>
      </c>
      <c r="DE105" s="337">
        <f t="shared" si="27"/>
        <v>0.17498862456328118</v>
      </c>
      <c r="DF105" s="337">
        <f t="shared" si="28"/>
        <v>0.26248293684492174</v>
      </c>
      <c r="DH105" s="338">
        <f t="shared" si="29"/>
        <v>39173</v>
      </c>
      <c r="DI105" s="20">
        <v>0.9</v>
      </c>
    </row>
    <row r="106" spans="1:113">
      <c r="A106" s="34">
        <f t="shared" ca="1" si="21"/>
        <v>39448</v>
      </c>
      <c r="B106" s="20">
        <f>'Gas Curves'!C110</f>
        <v>7.3814145644586007E-2</v>
      </c>
      <c r="C106" s="20"/>
      <c r="D106" s="75">
        <v>38322</v>
      </c>
      <c r="E106" s="76">
        <v>29.8</v>
      </c>
      <c r="F106" s="76">
        <v>30.65</v>
      </c>
      <c r="G106" s="76">
        <v>31.5</v>
      </c>
      <c r="H106" s="56"/>
      <c r="I106" s="76">
        <v>20.574999237060545</v>
      </c>
      <c r="J106" s="76">
        <v>20.999999237060546</v>
      </c>
      <c r="K106" s="76">
        <v>21.424999237060547</v>
      </c>
      <c r="L106" s="27"/>
      <c r="M106" s="28">
        <v>39203</v>
      </c>
      <c r="N106" s="77">
        <v>21.045000076293942</v>
      </c>
      <c r="O106" s="77">
        <v>22.432500076293941</v>
      </c>
      <c r="P106" s="77">
        <v>23.82000007629394</v>
      </c>
      <c r="Q106" s="26"/>
      <c r="R106" s="77">
        <v>18.264999771118159</v>
      </c>
      <c r="S106" s="77">
        <v>21.56499977111816</v>
      </c>
      <c r="T106" s="77">
        <v>24.864999771118161</v>
      </c>
      <c r="U106" s="26"/>
      <c r="V106" s="77">
        <v>0.3</v>
      </c>
      <c r="W106" s="77">
        <v>0.3</v>
      </c>
      <c r="X106" s="77">
        <v>0.3</v>
      </c>
      <c r="Y106" s="26"/>
      <c r="Z106" s="77">
        <v>0.10072596631289059</v>
      </c>
      <c r="AA106" s="77">
        <v>0.20145193262578118</v>
      </c>
      <c r="AB106" s="77">
        <v>0.30217789893867175</v>
      </c>
      <c r="AC106" s="26"/>
      <c r="AD106" s="77">
        <v>3.0384393663635205E-2</v>
      </c>
      <c r="AE106" s="77">
        <v>6.076878732727041E-2</v>
      </c>
      <c r="AF106" s="77">
        <v>9.1153180990905608E-2</v>
      </c>
      <c r="AG106" s="26"/>
      <c r="AH106" s="77">
        <v>-0.25</v>
      </c>
      <c r="AI106" s="77">
        <v>1.1000000000000001</v>
      </c>
      <c r="AJ106" s="77">
        <v>0.3</v>
      </c>
      <c r="AK106" s="26"/>
      <c r="AL106" s="77">
        <v>-0.15</v>
      </c>
      <c r="AM106" s="77">
        <v>0.5</v>
      </c>
      <c r="AN106" s="77">
        <v>0.2</v>
      </c>
      <c r="AO106" s="26"/>
      <c r="AP106" s="27">
        <v>30</v>
      </c>
      <c r="AQ106" s="78">
        <v>0.4</v>
      </c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8">
        <v>39203</v>
      </c>
      <c r="BI106" s="80">
        <v>0.9</v>
      </c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/>
      <c r="CM106" s="106"/>
      <c r="CN106" s="106"/>
      <c r="CO106" s="81"/>
      <c r="CP106"/>
      <c r="CQ106"/>
      <c r="CR106"/>
      <c r="CS106"/>
      <c r="CT106"/>
      <c r="CY106" s="338">
        <f t="shared" si="22"/>
        <v>39203</v>
      </c>
      <c r="CZ106" s="337">
        <f t="shared" si="23"/>
        <v>0.85000000000000009</v>
      </c>
      <c r="DA106" s="337">
        <f t="shared" si="24"/>
        <v>1.1000000000000001</v>
      </c>
      <c r="DB106" s="337">
        <f t="shared" si="25"/>
        <v>1.4000000000000001</v>
      </c>
      <c r="DD106" s="337">
        <f t="shared" si="26"/>
        <v>0.10072596631289059</v>
      </c>
      <c r="DE106" s="337">
        <f t="shared" si="27"/>
        <v>0.20145193262578118</v>
      </c>
      <c r="DF106" s="337">
        <f t="shared" si="28"/>
        <v>0.30217789893867175</v>
      </c>
      <c r="DH106" s="338">
        <f t="shared" si="29"/>
        <v>39203</v>
      </c>
      <c r="DI106" s="20">
        <v>0.9</v>
      </c>
    </row>
    <row r="107" spans="1:113">
      <c r="A107" s="34">
        <f t="shared" ca="1" si="21"/>
        <v>39479</v>
      </c>
      <c r="B107" s="20">
        <f>'Gas Curves'!C111</f>
        <v>7.3829431100578005E-2</v>
      </c>
      <c r="C107" s="20"/>
      <c r="D107" s="75">
        <v>38353</v>
      </c>
      <c r="E107" s="76">
        <v>35.75</v>
      </c>
      <c r="F107" s="76">
        <v>36.75</v>
      </c>
      <c r="G107" s="76">
        <v>37.75</v>
      </c>
      <c r="H107" s="56"/>
      <c r="I107" s="76">
        <v>20.290000915527344</v>
      </c>
      <c r="J107" s="76">
        <v>20.790000915527344</v>
      </c>
      <c r="K107" s="76">
        <v>21.290000915527344</v>
      </c>
      <c r="L107" s="27"/>
      <c r="M107" s="28">
        <v>39234</v>
      </c>
      <c r="N107" s="77">
        <v>22.861250152587889</v>
      </c>
      <c r="O107" s="77">
        <v>26.858750152587888</v>
      </c>
      <c r="P107" s="77">
        <v>30.856250152587887</v>
      </c>
      <c r="Q107" s="26"/>
      <c r="R107" s="77">
        <v>17.042499542236325</v>
      </c>
      <c r="S107" s="77">
        <v>20.342499542236325</v>
      </c>
      <c r="T107" s="77">
        <v>23.642499542236326</v>
      </c>
      <c r="U107" s="26"/>
      <c r="V107" s="77">
        <v>0.3</v>
      </c>
      <c r="W107" s="77">
        <v>0.3</v>
      </c>
      <c r="X107" s="77">
        <v>0.3</v>
      </c>
      <c r="Y107" s="26"/>
      <c r="Z107" s="77">
        <v>0.12627959816074213</v>
      </c>
      <c r="AA107" s="77">
        <v>0.25255919632148427</v>
      </c>
      <c r="AB107" s="77">
        <v>0.3788387944822264</v>
      </c>
      <c r="AC107" s="26"/>
      <c r="AD107" s="77">
        <v>3.9065648996102396E-2</v>
      </c>
      <c r="AE107" s="77">
        <v>7.8131297992204793E-2</v>
      </c>
      <c r="AF107" s="77">
        <v>0.11719694698830718</v>
      </c>
      <c r="AG107" s="26"/>
      <c r="AH107" s="77">
        <v>-0.35</v>
      </c>
      <c r="AI107" s="77">
        <v>2</v>
      </c>
      <c r="AJ107" s="77">
        <v>0.3</v>
      </c>
      <c r="AK107" s="26"/>
      <c r="AL107" s="77">
        <v>-0.15</v>
      </c>
      <c r="AM107" s="77">
        <v>0.65</v>
      </c>
      <c r="AN107" s="77">
        <v>0.2</v>
      </c>
      <c r="AO107" s="26"/>
      <c r="AP107" s="27">
        <v>30</v>
      </c>
      <c r="AQ107" s="78">
        <v>0.4</v>
      </c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8">
        <v>39234</v>
      </c>
      <c r="BI107" s="80">
        <v>0.9</v>
      </c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/>
      <c r="CM107" s="106"/>
      <c r="CN107" s="106"/>
      <c r="CO107" s="81"/>
      <c r="CP107"/>
      <c r="CQ107"/>
      <c r="CR107"/>
      <c r="CS107"/>
      <c r="CT107"/>
      <c r="CY107" s="338">
        <f t="shared" si="22"/>
        <v>39234</v>
      </c>
      <c r="CZ107" s="337">
        <f t="shared" si="23"/>
        <v>1.65</v>
      </c>
      <c r="DA107" s="337">
        <f t="shared" si="24"/>
        <v>2</v>
      </c>
      <c r="DB107" s="337">
        <f t="shared" si="25"/>
        <v>2.2999999999999998</v>
      </c>
      <c r="DD107" s="337">
        <f t="shared" si="26"/>
        <v>0.12627959816074213</v>
      </c>
      <c r="DE107" s="337">
        <f t="shared" si="27"/>
        <v>0.25255919632148427</v>
      </c>
      <c r="DF107" s="337">
        <f t="shared" si="28"/>
        <v>0.3788387944822264</v>
      </c>
      <c r="DH107" s="338">
        <f t="shared" si="29"/>
        <v>39234</v>
      </c>
      <c r="DI107" s="20">
        <v>0.9</v>
      </c>
    </row>
    <row r="108" spans="1:113">
      <c r="A108" s="34">
        <f t="shared" ca="1" si="21"/>
        <v>39508</v>
      </c>
      <c r="B108" s="20">
        <f>'Gas Curves'!C112</f>
        <v>7.3843730398189991E-2</v>
      </c>
      <c r="C108" s="20"/>
      <c r="D108" s="75">
        <v>38384</v>
      </c>
      <c r="E108" s="76">
        <v>35.75</v>
      </c>
      <c r="F108" s="76">
        <v>36.75</v>
      </c>
      <c r="G108" s="76">
        <v>37.75</v>
      </c>
      <c r="H108" s="56"/>
      <c r="I108" s="76">
        <v>20.09999771118164</v>
      </c>
      <c r="J108" s="76">
        <v>20.59999771118164</v>
      </c>
      <c r="K108" s="76">
        <v>21.09999771118164</v>
      </c>
      <c r="L108" s="27"/>
      <c r="M108" s="28">
        <v>39264</v>
      </c>
      <c r="N108" s="77">
        <v>36.311249542236339</v>
      </c>
      <c r="O108" s="77">
        <v>40.061249542236339</v>
      </c>
      <c r="P108" s="77">
        <v>43.811249542236339</v>
      </c>
      <c r="Q108" s="26"/>
      <c r="R108" s="77">
        <v>26.247499465942379</v>
      </c>
      <c r="S108" s="77">
        <v>29.54749946594238</v>
      </c>
      <c r="T108" s="77">
        <v>32.847499465942377</v>
      </c>
      <c r="U108" s="26"/>
      <c r="V108" s="77">
        <v>0.3</v>
      </c>
      <c r="W108" s="77">
        <v>0.3</v>
      </c>
      <c r="X108" s="77">
        <v>0.3</v>
      </c>
      <c r="Y108" s="26"/>
      <c r="Z108" s="77">
        <v>0.14943499271542965</v>
      </c>
      <c r="AA108" s="77">
        <v>0.2988699854308593</v>
      </c>
      <c r="AB108" s="77">
        <v>0.44830497814628895</v>
      </c>
      <c r="AC108" s="26"/>
      <c r="AD108" s="77">
        <v>5.2087531994803191E-2</v>
      </c>
      <c r="AE108" s="77">
        <v>0.10417506398960638</v>
      </c>
      <c r="AF108" s="77">
        <v>0.15626259598440956</v>
      </c>
      <c r="AG108" s="26"/>
      <c r="AH108" s="77">
        <v>-0.35</v>
      </c>
      <c r="AI108" s="77">
        <v>3</v>
      </c>
      <c r="AJ108" s="77">
        <v>0.5</v>
      </c>
      <c r="AK108" s="26"/>
      <c r="AL108" s="77">
        <v>-0.15</v>
      </c>
      <c r="AM108" s="77">
        <v>0.75</v>
      </c>
      <c r="AN108" s="77">
        <v>0.2</v>
      </c>
      <c r="AO108" s="26"/>
      <c r="AP108" s="27">
        <v>30</v>
      </c>
      <c r="AQ108" s="78">
        <v>0.4</v>
      </c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8">
        <v>39264</v>
      </c>
      <c r="BI108" s="80">
        <v>0.9</v>
      </c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/>
      <c r="CM108" s="106"/>
      <c r="CN108" s="106"/>
      <c r="CO108" s="81"/>
      <c r="CP108"/>
      <c r="CQ108"/>
      <c r="CR108"/>
      <c r="CS108"/>
      <c r="CT108"/>
      <c r="CY108" s="338">
        <f t="shared" si="22"/>
        <v>39264</v>
      </c>
      <c r="CZ108" s="337">
        <f t="shared" si="23"/>
        <v>2.65</v>
      </c>
      <c r="DA108" s="337">
        <f t="shared" si="24"/>
        <v>3</v>
      </c>
      <c r="DB108" s="337">
        <f t="shared" si="25"/>
        <v>3.5</v>
      </c>
      <c r="DD108" s="337">
        <f t="shared" si="26"/>
        <v>0.14943499271542965</v>
      </c>
      <c r="DE108" s="337">
        <f t="shared" si="27"/>
        <v>0.2988699854308593</v>
      </c>
      <c r="DF108" s="337">
        <f t="shared" si="28"/>
        <v>0.44830497814628895</v>
      </c>
      <c r="DH108" s="338">
        <f t="shared" si="29"/>
        <v>39264</v>
      </c>
      <c r="DI108" s="20">
        <v>0.9</v>
      </c>
    </row>
    <row r="109" spans="1:113">
      <c r="A109" s="34">
        <f t="shared" ca="1" si="21"/>
        <v>39539</v>
      </c>
      <c r="B109" s="20">
        <f>'Gas Curves'!C113</f>
        <v>7.3859015854331009E-2</v>
      </c>
      <c r="C109" s="20"/>
      <c r="D109" s="75">
        <v>38412</v>
      </c>
      <c r="E109" s="76">
        <v>32.4</v>
      </c>
      <c r="F109" s="76">
        <v>33</v>
      </c>
      <c r="G109" s="76">
        <v>33.6</v>
      </c>
      <c r="H109" s="56"/>
      <c r="I109" s="76">
        <v>19.299999618530272</v>
      </c>
      <c r="J109" s="76">
        <v>19.599999618530273</v>
      </c>
      <c r="K109" s="76">
        <v>19.899999618530273</v>
      </c>
      <c r="L109" s="27"/>
      <c r="M109" s="28">
        <v>39295</v>
      </c>
      <c r="N109" s="77">
        <v>38.572499084472668</v>
      </c>
      <c r="O109" s="77">
        <v>42.322499084472668</v>
      </c>
      <c r="P109" s="77">
        <v>46.072499084472668</v>
      </c>
      <c r="Q109" s="26"/>
      <c r="R109" s="77">
        <v>27.745000839233395</v>
      </c>
      <c r="S109" s="77">
        <v>31.045000839233396</v>
      </c>
      <c r="T109" s="77">
        <v>34.345000839233393</v>
      </c>
      <c r="U109" s="26"/>
      <c r="V109" s="77">
        <v>0.3</v>
      </c>
      <c r="W109" s="77">
        <v>0.3</v>
      </c>
      <c r="X109" s="77">
        <v>0.3</v>
      </c>
      <c r="Y109" s="26"/>
      <c r="Z109" s="77">
        <v>0.14703675542226557</v>
      </c>
      <c r="AA109" s="77">
        <v>0.29407351084453115</v>
      </c>
      <c r="AB109" s="77">
        <v>0.44111026626679672</v>
      </c>
      <c r="AC109" s="26"/>
      <c r="AD109" s="77">
        <v>5.2087531994803191E-2</v>
      </c>
      <c r="AE109" s="77">
        <v>0.10417506398960638</v>
      </c>
      <c r="AF109" s="77">
        <v>0.15626259598440956</v>
      </c>
      <c r="AG109" s="26"/>
      <c r="AH109" s="77">
        <v>-0.35</v>
      </c>
      <c r="AI109" s="77">
        <v>3</v>
      </c>
      <c r="AJ109" s="77">
        <v>0.5</v>
      </c>
      <c r="AK109" s="26"/>
      <c r="AL109" s="77">
        <v>-0.15</v>
      </c>
      <c r="AM109" s="77">
        <v>0.75</v>
      </c>
      <c r="AN109" s="77">
        <v>0.2</v>
      </c>
      <c r="AO109" s="26"/>
      <c r="AP109" s="27">
        <v>31</v>
      </c>
      <c r="AQ109" s="78">
        <v>0.4</v>
      </c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8">
        <v>39295</v>
      </c>
      <c r="BI109" s="80">
        <v>0.9</v>
      </c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/>
      <c r="CM109" s="106"/>
      <c r="CN109" s="106"/>
      <c r="CO109" s="81"/>
      <c r="CP109"/>
      <c r="CQ109"/>
      <c r="CR109"/>
      <c r="CS109"/>
      <c r="CT109"/>
      <c r="CY109" s="338">
        <f t="shared" si="22"/>
        <v>39295</v>
      </c>
      <c r="CZ109" s="337">
        <f t="shared" si="23"/>
        <v>2.65</v>
      </c>
      <c r="DA109" s="337">
        <f t="shared" si="24"/>
        <v>3</v>
      </c>
      <c r="DB109" s="337">
        <f t="shared" si="25"/>
        <v>3.5</v>
      </c>
      <c r="DD109" s="337">
        <f t="shared" si="26"/>
        <v>0.14703675542226557</v>
      </c>
      <c r="DE109" s="337">
        <f t="shared" si="27"/>
        <v>0.29407351084453115</v>
      </c>
      <c r="DF109" s="337">
        <f t="shared" si="28"/>
        <v>0.44111026626679672</v>
      </c>
      <c r="DH109" s="338">
        <f t="shared" si="29"/>
        <v>39295</v>
      </c>
      <c r="DI109" s="20">
        <v>0.9</v>
      </c>
    </row>
    <row r="110" spans="1:113">
      <c r="A110" s="34">
        <f t="shared" ca="1" si="21"/>
        <v>39569</v>
      </c>
      <c r="B110" s="20">
        <f>'Gas Curves'!C114</f>
        <v>7.3873808231316007E-2</v>
      </c>
      <c r="C110" s="20"/>
      <c r="D110" s="75">
        <v>38443</v>
      </c>
      <c r="E110" s="76">
        <v>31.3</v>
      </c>
      <c r="F110" s="76">
        <v>31.75</v>
      </c>
      <c r="G110" s="76">
        <v>32.200000000000003</v>
      </c>
      <c r="H110" s="56"/>
      <c r="I110" s="76">
        <v>19.374997711181638</v>
      </c>
      <c r="J110" s="76">
        <v>19.59999771118164</v>
      </c>
      <c r="K110" s="76">
        <v>19.824997711181641</v>
      </c>
      <c r="L110" s="27"/>
      <c r="M110" s="28">
        <v>39326</v>
      </c>
      <c r="N110" s="77">
        <v>22.729999160766596</v>
      </c>
      <c r="O110" s="77">
        <v>23.704999160766597</v>
      </c>
      <c r="P110" s="77">
        <v>24.679999160766599</v>
      </c>
      <c r="Q110" s="26"/>
      <c r="R110" s="77">
        <v>20.9</v>
      </c>
      <c r="S110" s="77">
        <v>24.2</v>
      </c>
      <c r="T110" s="77">
        <v>27.5</v>
      </c>
      <c r="U110" s="26"/>
      <c r="V110" s="77">
        <v>0.8</v>
      </c>
      <c r="W110" s="77">
        <v>0.8</v>
      </c>
      <c r="X110" s="77">
        <v>0.8</v>
      </c>
      <c r="Y110" s="26"/>
      <c r="Z110" s="77">
        <v>9.7418052805078106E-2</v>
      </c>
      <c r="AA110" s="77">
        <v>0.19483610561015621</v>
      </c>
      <c r="AB110" s="77">
        <v>0.29225415841523433</v>
      </c>
      <c r="AC110" s="26"/>
      <c r="AD110" s="77">
        <v>3.4725021329868787E-2</v>
      </c>
      <c r="AE110" s="77">
        <v>6.9450042659737574E-2</v>
      </c>
      <c r="AF110" s="77">
        <v>0.10417506398960635</v>
      </c>
      <c r="AG110" s="26"/>
      <c r="AH110" s="77">
        <v>-0.35</v>
      </c>
      <c r="AI110" s="77">
        <v>1.5</v>
      </c>
      <c r="AJ110" s="77">
        <v>0.3</v>
      </c>
      <c r="AK110" s="26"/>
      <c r="AL110" s="77">
        <v>-0.15</v>
      </c>
      <c r="AM110" s="77">
        <v>0.4</v>
      </c>
      <c r="AN110" s="77">
        <v>0.2</v>
      </c>
      <c r="AO110" s="26"/>
      <c r="AP110" s="27">
        <v>31</v>
      </c>
      <c r="AQ110" s="78">
        <v>0.4</v>
      </c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8">
        <v>39326</v>
      </c>
      <c r="BI110" s="80">
        <v>0.9</v>
      </c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/>
      <c r="CM110" s="106"/>
      <c r="CN110" s="106"/>
      <c r="CO110" s="81"/>
      <c r="CP110"/>
      <c r="CQ110"/>
      <c r="CR110"/>
      <c r="CS110"/>
      <c r="CT110"/>
      <c r="CY110" s="338">
        <f t="shared" si="22"/>
        <v>39326</v>
      </c>
      <c r="CZ110" s="337">
        <f t="shared" si="23"/>
        <v>1.1499999999999999</v>
      </c>
      <c r="DA110" s="337">
        <f t="shared" si="24"/>
        <v>1.5</v>
      </c>
      <c r="DB110" s="337">
        <f t="shared" si="25"/>
        <v>1.8</v>
      </c>
      <c r="DD110" s="337">
        <f t="shared" si="26"/>
        <v>9.7418052805078106E-2</v>
      </c>
      <c r="DE110" s="337">
        <f t="shared" si="27"/>
        <v>0.19483610561015621</v>
      </c>
      <c r="DF110" s="337">
        <f t="shared" si="28"/>
        <v>0.29225415841523433</v>
      </c>
      <c r="DH110" s="338">
        <f t="shared" si="29"/>
        <v>39326</v>
      </c>
      <c r="DI110" s="20">
        <v>0.9</v>
      </c>
    </row>
    <row r="111" spans="1:113">
      <c r="A111" s="34">
        <f t="shared" ca="1" si="21"/>
        <v>39600</v>
      </c>
      <c r="B111" s="20">
        <f>'Gas Curves'!C115</f>
        <v>7.3889093687609E-2</v>
      </c>
      <c r="C111" s="20"/>
      <c r="D111" s="75">
        <v>38473</v>
      </c>
      <c r="E111" s="76">
        <v>32.229999999999997</v>
      </c>
      <c r="F111" s="76">
        <v>33.75</v>
      </c>
      <c r="G111" s="76">
        <v>35.270000000000003</v>
      </c>
      <c r="H111" s="56"/>
      <c r="I111" s="76">
        <v>18.839997711181638</v>
      </c>
      <c r="J111" s="76">
        <v>19.59999771118164</v>
      </c>
      <c r="K111" s="76">
        <v>20.359997711181641</v>
      </c>
      <c r="L111" s="27"/>
      <c r="M111" s="28">
        <v>39356</v>
      </c>
      <c r="N111" s="77">
        <v>22.938000106811518</v>
      </c>
      <c r="O111" s="77">
        <v>23.800500106811519</v>
      </c>
      <c r="P111" s="77">
        <v>24.66300010681152</v>
      </c>
      <c r="Q111" s="26"/>
      <c r="R111" s="77">
        <v>18.500999832153315</v>
      </c>
      <c r="S111" s="77">
        <v>21.800999832153316</v>
      </c>
      <c r="T111" s="77">
        <v>25.100999832153317</v>
      </c>
      <c r="U111" s="26"/>
      <c r="V111" s="77">
        <v>0.8</v>
      </c>
      <c r="W111" s="77">
        <v>0.8</v>
      </c>
      <c r="X111" s="77">
        <v>0.8</v>
      </c>
      <c r="Y111" s="26"/>
      <c r="Z111" s="77">
        <v>8.8982873360156228E-2</v>
      </c>
      <c r="AA111" s="77">
        <v>0.17796574672031246</v>
      </c>
      <c r="AB111" s="77">
        <v>0.26694862008046871</v>
      </c>
      <c r="AC111" s="26"/>
      <c r="AD111" s="77">
        <v>2.6043765997401595E-2</v>
      </c>
      <c r="AE111" s="77">
        <v>5.2087531994803191E-2</v>
      </c>
      <c r="AF111" s="77">
        <v>7.8131297992204779E-2</v>
      </c>
      <c r="AG111" s="26"/>
      <c r="AH111" s="77">
        <v>-0.25</v>
      </c>
      <c r="AI111" s="77">
        <v>1.1000000000000001</v>
      </c>
      <c r="AJ111" s="77">
        <v>0.3</v>
      </c>
      <c r="AK111" s="26"/>
      <c r="AL111" s="77">
        <v>-0.15</v>
      </c>
      <c r="AM111" s="77">
        <v>0.35</v>
      </c>
      <c r="AN111" s="77">
        <v>0.2</v>
      </c>
      <c r="AO111" s="26"/>
      <c r="AP111" s="27">
        <v>31</v>
      </c>
      <c r="AQ111" s="78">
        <v>0.4</v>
      </c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8">
        <v>39356</v>
      </c>
      <c r="BI111" s="80">
        <v>0.9</v>
      </c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/>
      <c r="CM111" s="106"/>
      <c r="CN111" s="106"/>
      <c r="CO111" s="81"/>
      <c r="CP111"/>
      <c r="CQ111"/>
      <c r="CR111"/>
      <c r="CS111"/>
      <c r="CT111"/>
      <c r="CY111" s="338">
        <f t="shared" si="22"/>
        <v>39356</v>
      </c>
      <c r="CZ111" s="337">
        <f t="shared" si="23"/>
        <v>0.85000000000000009</v>
      </c>
      <c r="DA111" s="337">
        <f t="shared" si="24"/>
        <v>1.1000000000000001</v>
      </c>
      <c r="DB111" s="337">
        <f t="shared" si="25"/>
        <v>1.4000000000000001</v>
      </c>
      <c r="DD111" s="337">
        <f t="shared" si="26"/>
        <v>8.8982873360156228E-2</v>
      </c>
      <c r="DE111" s="337">
        <f t="shared" si="27"/>
        <v>0.17796574672031246</v>
      </c>
      <c r="DF111" s="337">
        <f t="shared" si="28"/>
        <v>0.26694862008046871</v>
      </c>
      <c r="DH111" s="338">
        <f t="shared" si="29"/>
        <v>39356</v>
      </c>
      <c r="DI111" s="20">
        <v>0.9</v>
      </c>
    </row>
    <row r="112" spans="1:113">
      <c r="A112" s="34">
        <f t="shared" ca="1" si="21"/>
        <v>39630</v>
      </c>
      <c r="B112" s="20">
        <f>'Gas Curves'!C116</f>
        <v>7.3903886064741006E-2</v>
      </c>
      <c r="C112" s="20"/>
      <c r="D112" s="75">
        <v>38504</v>
      </c>
      <c r="E112" s="76">
        <v>44.35</v>
      </c>
      <c r="F112" s="76">
        <v>48.75</v>
      </c>
      <c r="G112" s="76">
        <v>53.15</v>
      </c>
      <c r="H112" s="56"/>
      <c r="I112" s="76">
        <v>17.354998779296874</v>
      </c>
      <c r="J112" s="76">
        <v>19.554998779296874</v>
      </c>
      <c r="K112" s="76">
        <v>21.754998779296873</v>
      </c>
      <c r="L112" s="27"/>
      <c r="M112" s="28">
        <v>39387</v>
      </c>
      <c r="N112" s="77">
        <v>23.942251586914058</v>
      </c>
      <c r="O112" s="77">
        <v>24.804751586914058</v>
      </c>
      <c r="P112" s="77">
        <v>25.667251586914059</v>
      </c>
      <c r="Q112" s="26"/>
      <c r="R112" s="77">
        <v>19.504499816894526</v>
      </c>
      <c r="S112" s="77">
        <v>22.804499816894527</v>
      </c>
      <c r="T112" s="77">
        <v>26.104499816894528</v>
      </c>
      <c r="U112" s="26"/>
      <c r="V112" s="77">
        <v>0.8</v>
      </c>
      <c r="W112" s="77">
        <v>0.8</v>
      </c>
      <c r="X112" s="77">
        <v>0.8</v>
      </c>
      <c r="Y112" s="26"/>
      <c r="Z112" s="77">
        <v>8.8982873360156228E-2</v>
      </c>
      <c r="AA112" s="77">
        <v>0.17796574672031246</v>
      </c>
      <c r="AB112" s="77">
        <v>0.26694862008046871</v>
      </c>
      <c r="AC112" s="26"/>
      <c r="AD112" s="77">
        <v>2.6043765997401595E-2</v>
      </c>
      <c r="AE112" s="77">
        <v>5.2087531994803191E-2</v>
      </c>
      <c r="AF112" s="77">
        <v>7.8131297992204779E-2</v>
      </c>
      <c r="AG112" s="26"/>
      <c r="AH112" s="77">
        <v>-0.25</v>
      </c>
      <c r="AI112" s="77">
        <v>1.25</v>
      </c>
      <c r="AJ112" s="77">
        <v>0.3</v>
      </c>
      <c r="AK112" s="26"/>
      <c r="AL112" s="77">
        <v>-0.15</v>
      </c>
      <c r="AM112" s="77">
        <v>0.3</v>
      </c>
      <c r="AN112" s="77">
        <v>0.2</v>
      </c>
      <c r="AO112" s="26"/>
      <c r="AP112" s="27">
        <v>32</v>
      </c>
      <c r="AQ112" s="78">
        <v>0.4</v>
      </c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8">
        <v>39387</v>
      </c>
      <c r="BI112" s="80">
        <v>0.9</v>
      </c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/>
      <c r="CM112" s="106"/>
      <c r="CN112" s="106"/>
      <c r="CO112" s="81"/>
      <c r="CP112"/>
      <c r="CQ112"/>
      <c r="CR112"/>
      <c r="CS112"/>
      <c r="CT112"/>
      <c r="CY112" s="338">
        <f t="shared" si="22"/>
        <v>39387</v>
      </c>
      <c r="CZ112" s="337">
        <f t="shared" si="23"/>
        <v>1</v>
      </c>
      <c r="DA112" s="337">
        <f t="shared" si="24"/>
        <v>1.25</v>
      </c>
      <c r="DB112" s="337">
        <f t="shared" si="25"/>
        <v>1.55</v>
      </c>
      <c r="DD112" s="337">
        <f t="shared" si="26"/>
        <v>8.8982873360156228E-2</v>
      </c>
      <c r="DE112" s="337">
        <f t="shared" si="27"/>
        <v>0.17796574672031246</v>
      </c>
      <c r="DF112" s="337">
        <f t="shared" si="28"/>
        <v>0.26694862008046871</v>
      </c>
      <c r="DH112" s="338">
        <f t="shared" si="29"/>
        <v>39387</v>
      </c>
      <c r="DI112" s="20">
        <v>0.9</v>
      </c>
    </row>
    <row r="113" spans="1:113">
      <c r="A113" s="34">
        <f t="shared" ca="1" si="21"/>
        <v>39661</v>
      </c>
      <c r="B113" s="20">
        <f>'Gas Curves'!C117</f>
        <v>7.3919171521186003E-2</v>
      </c>
      <c r="C113" s="20"/>
      <c r="D113" s="75">
        <v>38534</v>
      </c>
      <c r="E113" s="76">
        <v>65.5</v>
      </c>
      <c r="F113" s="76">
        <v>69.5</v>
      </c>
      <c r="G113" s="76">
        <v>73.5</v>
      </c>
      <c r="H113" s="56"/>
      <c r="I113" s="76">
        <v>22.049997711181639</v>
      </c>
      <c r="J113" s="76">
        <v>24.049997711181639</v>
      </c>
      <c r="K113" s="76">
        <v>26.049997711181639</v>
      </c>
      <c r="L113" s="27"/>
      <c r="M113" s="28">
        <v>39417</v>
      </c>
      <c r="N113" s="77">
        <v>25.392498397827143</v>
      </c>
      <c r="O113" s="77">
        <v>26.254998397827144</v>
      </c>
      <c r="P113" s="77">
        <v>27.117498397827145</v>
      </c>
      <c r="Q113" s="26"/>
      <c r="R113" s="77">
        <v>19.449999237060542</v>
      </c>
      <c r="S113" s="77">
        <v>22.749999237060543</v>
      </c>
      <c r="T113" s="77">
        <v>26.049999237060543</v>
      </c>
      <c r="U113" s="26"/>
      <c r="V113" s="77">
        <v>0.8</v>
      </c>
      <c r="W113" s="77">
        <v>0.8</v>
      </c>
      <c r="X113" s="77">
        <v>0.8</v>
      </c>
      <c r="Y113" s="26"/>
      <c r="Z113" s="77">
        <v>9.2158470327656228E-2</v>
      </c>
      <c r="AA113" s="77">
        <v>0.18431694065531246</v>
      </c>
      <c r="AB113" s="77">
        <v>0.27647541098296868</v>
      </c>
      <c r="AC113" s="26"/>
      <c r="AD113" s="77">
        <v>2.6043765997401595E-2</v>
      </c>
      <c r="AE113" s="77">
        <v>5.2087531994803191E-2</v>
      </c>
      <c r="AF113" s="77">
        <v>7.8131297992204779E-2</v>
      </c>
      <c r="AG113" s="26"/>
      <c r="AH113" s="77">
        <v>-0.25</v>
      </c>
      <c r="AI113" s="77">
        <v>1.25</v>
      </c>
      <c r="AJ113" s="77">
        <v>0.35</v>
      </c>
      <c r="AK113" s="26"/>
      <c r="AL113" s="77">
        <v>-0.15</v>
      </c>
      <c r="AM113" s="77">
        <v>0.3</v>
      </c>
      <c r="AN113" s="77">
        <v>0.2</v>
      </c>
      <c r="AO113" s="26"/>
      <c r="AP113" s="27">
        <v>32</v>
      </c>
      <c r="AQ113" s="78">
        <v>0.4</v>
      </c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8">
        <v>39417</v>
      </c>
      <c r="BI113" s="80">
        <v>0.9</v>
      </c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/>
      <c r="CM113" s="106"/>
      <c r="CN113" s="106"/>
      <c r="CO113" s="81"/>
      <c r="CP113"/>
      <c r="CQ113"/>
      <c r="CR113"/>
      <c r="CS113"/>
      <c r="CT113"/>
      <c r="CY113" s="338">
        <f t="shared" si="22"/>
        <v>39417</v>
      </c>
      <c r="CZ113" s="337">
        <f t="shared" si="23"/>
        <v>1</v>
      </c>
      <c r="DA113" s="337">
        <f t="shared" si="24"/>
        <v>1.25</v>
      </c>
      <c r="DB113" s="337">
        <f t="shared" si="25"/>
        <v>1.6</v>
      </c>
      <c r="DD113" s="337">
        <f t="shared" si="26"/>
        <v>9.2158470327656228E-2</v>
      </c>
      <c r="DE113" s="337">
        <f t="shared" si="27"/>
        <v>0.18431694065531246</v>
      </c>
      <c r="DF113" s="337">
        <f t="shared" si="28"/>
        <v>0.27647541098296868</v>
      </c>
      <c r="DH113" s="338">
        <f t="shared" si="29"/>
        <v>39417</v>
      </c>
      <c r="DI113" s="20">
        <v>0.9</v>
      </c>
    </row>
    <row r="114" spans="1:113">
      <c r="A114" s="34">
        <f t="shared" ca="1" si="21"/>
        <v>39692</v>
      </c>
      <c r="B114" s="20">
        <f>'Gas Curves'!C118</f>
        <v>7.3934456977709007E-2</v>
      </c>
      <c r="C114" s="20"/>
      <c r="D114" s="75">
        <v>38565</v>
      </c>
      <c r="E114" s="76">
        <v>61</v>
      </c>
      <c r="F114" s="76">
        <v>65</v>
      </c>
      <c r="G114" s="76">
        <v>69</v>
      </c>
      <c r="H114" s="56"/>
      <c r="I114" s="76">
        <v>22.399998092651366</v>
      </c>
      <c r="J114" s="76">
        <v>24.399998092651366</v>
      </c>
      <c r="K114" s="76">
        <v>26.399998092651366</v>
      </c>
      <c r="L114" s="27"/>
      <c r="M114" s="28">
        <v>39448</v>
      </c>
      <c r="N114" s="77">
        <v>28.673748397827143</v>
      </c>
      <c r="O114" s="77">
        <v>29.648748397827145</v>
      </c>
      <c r="P114" s="77">
        <v>30.623748397827146</v>
      </c>
      <c r="Q114" s="26"/>
      <c r="R114" s="77">
        <v>24.852500152587886</v>
      </c>
      <c r="S114" s="77">
        <v>28.152500152587887</v>
      </c>
      <c r="T114" s="77">
        <v>31.452500152587888</v>
      </c>
      <c r="U114" s="26"/>
      <c r="V114" s="77">
        <v>0.8</v>
      </c>
      <c r="W114" s="77">
        <v>0.8</v>
      </c>
      <c r="X114" s="77">
        <v>0.8</v>
      </c>
      <c r="Y114" s="26"/>
      <c r="Z114" s="77">
        <v>9.9163896045312491E-2</v>
      </c>
      <c r="AA114" s="77">
        <v>0.19832779209062498</v>
      </c>
      <c r="AB114" s="77">
        <v>0.29749168813593746</v>
      </c>
      <c r="AC114" s="26"/>
      <c r="AD114" s="77">
        <v>2.9776705790362502E-2</v>
      </c>
      <c r="AE114" s="77">
        <v>5.9553411580725003E-2</v>
      </c>
      <c r="AF114" s="77">
        <v>8.9330117371087508E-2</v>
      </c>
      <c r="AG114" s="26"/>
      <c r="AH114" s="77">
        <v>-0.75</v>
      </c>
      <c r="AI114" s="77">
        <v>2</v>
      </c>
      <c r="AJ114" s="77">
        <v>0.75</v>
      </c>
      <c r="AK114" s="26"/>
      <c r="AL114" s="77">
        <v>-0.15</v>
      </c>
      <c r="AM114" s="77">
        <v>0.5</v>
      </c>
      <c r="AN114" s="77">
        <v>0.2</v>
      </c>
      <c r="AO114" s="26"/>
      <c r="AP114" s="27">
        <v>32</v>
      </c>
      <c r="AQ114" s="78">
        <v>0.4</v>
      </c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8">
        <v>39448</v>
      </c>
      <c r="BI114" s="80">
        <v>0.9</v>
      </c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/>
      <c r="CM114" s="106"/>
      <c r="CN114" s="106"/>
      <c r="CO114" s="81"/>
      <c r="CP114"/>
      <c r="CQ114"/>
      <c r="CR114"/>
      <c r="CS114"/>
      <c r="CT114"/>
      <c r="CY114" s="338">
        <f t="shared" si="22"/>
        <v>39448</v>
      </c>
      <c r="CZ114" s="337">
        <f t="shared" si="23"/>
        <v>1.25</v>
      </c>
      <c r="DA114" s="337">
        <f t="shared" si="24"/>
        <v>2</v>
      </c>
      <c r="DB114" s="337">
        <f t="shared" si="25"/>
        <v>2.75</v>
      </c>
      <c r="DD114" s="337">
        <f t="shared" si="26"/>
        <v>9.9163896045312491E-2</v>
      </c>
      <c r="DE114" s="337">
        <f t="shared" si="27"/>
        <v>0.19832779209062498</v>
      </c>
      <c r="DF114" s="337">
        <f t="shared" si="28"/>
        <v>0.29749168813593746</v>
      </c>
      <c r="DH114" s="338">
        <f t="shared" si="29"/>
        <v>39448</v>
      </c>
      <c r="DI114" s="20">
        <v>0.9</v>
      </c>
    </row>
    <row r="115" spans="1:113">
      <c r="A115" s="34">
        <f t="shared" ca="1" si="21"/>
        <v>39722</v>
      </c>
      <c r="B115" s="20">
        <f>'Gas Curves'!C119</f>
        <v>7.3949249355061003E-2</v>
      </c>
      <c r="C115" s="20"/>
      <c r="D115" s="75">
        <v>38596</v>
      </c>
      <c r="E115" s="76">
        <v>31.65</v>
      </c>
      <c r="F115" s="76">
        <v>32.75</v>
      </c>
      <c r="G115" s="76">
        <v>33.85</v>
      </c>
      <c r="H115" s="56"/>
      <c r="I115" s="76">
        <v>19.399998092651366</v>
      </c>
      <c r="J115" s="76">
        <v>19.949998092651366</v>
      </c>
      <c r="K115" s="76">
        <v>20.499998092651367</v>
      </c>
      <c r="L115" s="27"/>
      <c r="M115" s="28">
        <v>39479</v>
      </c>
      <c r="N115" s="77">
        <v>27.671250152587884</v>
      </c>
      <c r="O115" s="77">
        <v>28.646250152587886</v>
      </c>
      <c r="P115" s="77">
        <v>29.621250152587887</v>
      </c>
      <c r="Q115" s="26"/>
      <c r="R115" s="77">
        <v>22.847499465942377</v>
      </c>
      <c r="S115" s="77">
        <v>26.147499465942378</v>
      </c>
      <c r="T115" s="77">
        <v>29.447499465942379</v>
      </c>
      <c r="U115" s="26"/>
      <c r="V115" s="77">
        <v>0.8</v>
      </c>
      <c r="W115" s="77">
        <v>0.8</v>
      </c>
      <c r="X115" s="77">
        <v>0.8</v>
      </c>
      <c r="Y115" s="26"/>
      <c r="Z115" s="77">
        <v>9.5672209564843735E-2</v>
      </c>
      <c r="AA115" s="77">
        <v>0.19134441912968747</v>
      </c>
      <c r="AB115" s="77">
        <v>0.28701662869453121</v>
      </c>
      <c r="AC115" s="26"/>
      <c r="AD115" s="77">
        <v>2.9776705790362502E-2</v>
      </c>
      <c r="AE115" s="77">
        <v>5.9553411580725003E-2</v>
      </c>
      <c r="AF115" s="77">
        <v>8.9330117371087508E-2</v>
      </c>
      <c r="AG115" s="26"/>
      <c r="AH115" s="77">
        <v>-0.75</v>
      </c>
      <c r="AI115" s="77">
        <v>2</v>
      </c>
      <c r="AJ115" s="77">
        <v>0.75</v>
      </c>
      <c r="AK115" s="26"/>
      <c r="AL115" s="77">
        <v>-0.15</v>
      </c>
      <c r="AM115" s="77">
        <v>0.5</v>
      </c>
      <c r="AN115" s="77">
        <v>0.2</v>
      </c>
      <c r="AO115" s="26"/>
      <c r="AP115" s="27">
        <v>33</v>
      </c>
      <c r="AQ115" s="78">
        <v>0.4</v>
      </c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8">
        <v>39479</v>
      </c>
      <c r="BI115" s="80">
        <v>0.9</v>
      </c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/>
      <c r="CM115" s="106"/>
      <c r="CN115" s="106"/>
      <c r="CO115" s="81"/>
      <c r="CP115"/>
      <c r="CQ115"/>
      <c r="CR115"/>
      <c r="CS115"/>
      <c r="CT115"/>
      <c r="CY115" s="338">
        <f t="shared" si="22"/>
        <v>39479</v>
      </c>
      <c r="CZ115" s="337">
        <f t="shared" si="23"/>
        <v>1.25</v>
      </c>
      <c r="DA115" s="337">
        <f t="shared" si="24"/>
        <v>2</v>
      </c>
      <c r="DB115" s="337">
        <f t="shared" si="25"/>
        <v>2.75</v>
      </c>
      <c r="DD115" s="337">
        <f t="shared" si="26"/>
        <v>9.5672209564843735E-2</v>
      </c>
      <c r="DE115" s="337">
        <f t="shared" si="27"/>
        <v>0.19134441912968747</v>
      </c>
      <c r="DF115" s="337">
        <f t="shared" si="28"/>
        <v>0.28701662869453121</v>
      </c>
      <c r="DH115" s="338">
        <f t="shared" si="29"/>
        <v>39479</v>
      </c>
      <c r="DI115" s="20">
        <v>0.9</v>
      </c>
    </row>
    <row r="116" spans="1:113">
      <c r="A116" s="34">
        <f t="shared" ca="1" si="21"/>
        <v>39753</v>
      </c>
      <c r="B116" s="20">
        <f>'Gas Curves'!C120</f>
        <v>7.3964534811735996E-2</v>
      </c>
      <c r="C116" s="20"/>
      <c r="D116" s="75">
        <v>38626</v>
      </c>
      <c r="E116" s="76">
        <v>29.55</v>
      </c>
      <c r="F116" s="76">
        <v>30.5</v>
      </c>
      <c r="G116" s="76">
        <v>31.45</v>
      </c>
      <c r="H116" s="56"/>
      <c r="I116" s="76">
        <v>19.174998855590818</v>
      </c>
      <c r="J116" s="76">
        <v>19.64999885559082</v>
      </c>
      <c r="K116" s="76">
        <v>20.124998855590821</v>
      </c>
      <c r="L116" s="27"/>
      <c r="M116" s="28">
        <v>39508</v>
      </c>
      <c r="N116" s="77">
        <v>21.272249603271479</v>
      </c>
      <c r="O116" s="77">
        <v>21.834749603271479</v>
      </c>
      <c r="P116" s="77">
        <v>22.397249603271479</v>
      </c>
      <c r="Q116" s="26"/>
      <c r="R116" s="77">
        <v>18.164498901367182</v>
      </c>
      <c r="S116" s="77">
        <v>21.464498901367183</v>
      </c>
      <c r="T116" s="77">
        <v>24.764498901367183</v>
      </c>
      <c r="U116" s="26"/>
      <c r="V116" s="77">
        <v>0.3</v>
      </c>
      <c r="W116" s="77">
        <v>0.3</v>
      </c>
      <c r="X116" s="77">
        <v>0.3</v>
      </c>
      <c r="Y116" s="26"/>
      <c r="Z116" s="77">
        <v>9.3254216677119126E-2</v>
      </c>
      <c r="AA116" s="77">
        <v>0.18650843335423825</v>
      </c>
      <c r="AB116" s="77">
        <v>0.27976265003135736</v>
      </c>
      <c r="AC116" s="26"/>
      <c r="AD116" s="77">
        <v>2.5522890677453561E-2</v>
      </c>
      <c r="AE116" s="77">
        <v>5.1045781354907123E-2</v>
      </c>
      <c r="AF116" s="77">
        <v>7.6568672032360688E-2</v>
      </c>
      <c r="AG116" s="26"/>
      <c r="AH116" s="77">
        <v>-0.25</v>
      </c>
      <c r="AI116" s="77">
        <v>1.3</v>
      </c>
      <c r="AJ116" s="77">
        <v>0.3</v>
      </c>
      <c r="AK116" s="26"/>
      <c r="AL116" s="77">
        <v>-0.15</v>
      </c>
      <c r="AM116" s="77">
        <v>0.35</v>
      </c>
      <c r="AN116" s="77">
        <v>0.2</v>
      </c>
      <c r="AO116" s="26"/>
      <c r="AP116" s="27">
        <v>33</v>
      </c>
      <c r="AQ116" s="78">
        <v>0.4</v>
      </c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8">
        <v>39508</v>
      </c>
      <c r="BI116" s="80">
        <v>0.9</v>
      </c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/>
      <c r="CM116" s="106"/>
      <c r="CN116" s="106"/>
      <c r="CO116" s="81"/>
      <c r="CP116"/>
      <c r="CQ116"/>
      <c r="CR116"/>
      <c r="CS116"/>
      <c r="CT116"/>
      <c r="CY116" s="338">
        <f t="shared" si="22"/>
        <v>39508</v>
      </c>
      <c r="CZ116" s="337">
        <f t="shared" si="23"/>
        <v>1.05</v>
      </c>
      <c r="DA116" s="337">
        <f t="shared" si="24"/>
        <v>1.3</v>
      </c>
      <c r="DB116" s="337">
        <f t="shared" si="25"/>
        <v>1.6</v>
      </c>
      <c r="DD116" s="337">
        <f t="shared" si="26"/>
        <v>9.3254216677119126E-2</v>
      </c>
      <c r="DE116" s="337">
        <f t="shared" si="27"/>
        <v>0.18650843335423825</v>
      </c>
      <c r="DF116" s="337">
        <f t="shared" si="28"/>
        <v>0.27976265003135736</v>
      </c>
      <c r="DH116" s="338">
        <f t="shared" si="29"/>
        <v>39508</v>
      </c>
      <c r="DI116" s="20">
        <v>0.9</v>
      </c>
    </row>
    <row r="117" spans="1:113">
      <c r="A117" s="34">
        <f t="shared" ca="1" si="21"/>
        <v>39783</v>
      </c>
      <c r="B117" s="20">
        <f>'Gas Curves'!C121</f>
        <v>7.3979327189235999E-2</v>
      </c>
      <c r="C117" s="20"/>
      <c r="D117" s="75">
        <v>38657</v>
      </c>
      <c r="E117" s="76">
        <v>29.925000000000001</v>
      </c>
      <c r="F117" s="76">
        <v>30.875</v>
      </c>
      <c r="G117" s="76">
        <v>31.824999999999999</v>
      </c>
      <c r="H117" s="56"/>
      <c r="I117" s="76">
        <v>19.099998092651365</v>
      </c>
      <c r="J117" s="76">
        <v>19.574998092651366</v>
      </c>
      <c r="K117" s="76">
        <v>20.049998092651368</v>
      </c>
      <c r="L117" s="27"/>
      <c r="M117" s="28">
        <v>39539</v>
      </c>
      <c r="N117" s="77">
        <v>22.067500305175777</v>
      </c>
      <c r="O117" s="77">
        <v>22.517500305175776</v>
      </c>
      <c r="P117" s="77">
        <v>22.967500305175776</v>
      </c>
      <c r="Q117" s="26"/>
      <c r="R117" s="77">
        <v>17.934999084472651</v>
      </c>
      <c r="S117" s="77">
        <v>21.234999084472651</v>
      </c>
      <c r="T117" s="77">
        <v>24.534999084472652</v>
      </c>
      <c r="U117" s="26"/>
      <c r="V117" s="77">
        <v>0.3</v>
      </c>
      <c r="W117" s="77">
        <v>0.3</v>
      </c>
      <c r="X117" s="77">
        <v>0.3</v>
      </c>
      <c r="Y117" s="26"/>
      <c r="Z117" s="77">
        <v>8.3119596667558554E-2</v>
      </c>
      <c r="AA117" s="77">
        <v>0.16623919333511711</v>
      </c>
      <c r="AB117" s="77">
        <v>0.24935879000267566</v>
      </c>
      <c r="AC117" s="26"/>
      <c r="AD117" s="77">
        <v>2.5522890677453561E-2</v>
      </c>
      <c r="AE117" s="77">
        <v>5.1045781354907123E-2</v>
      </c>
      <c r="AF117" s="77">
        <v>7.6568672032360688E-2</v>
      </c>
      <c r="AG117" s="26"/>
      <c r="AH117" s="77">
        <v>-0.25</v>
      </c>
      <c r="AI117" s="77">
        <v>1.1000000000000001</v>
      </c>
      <c r="AJ117" s="77">
        <v>0.3</v>
      </c>
      <c r="AK117" s="26"/>
      <c r="AL117" s="77">
        <v>-0.15</v>
      </c>
      <c r="AM117" s="77">
        <v>0.35</v>
      </c>
      <c r="AN117" s="77">
        <v>0.2</v>
      </c>
      <c r="AO117" s="26"/>
      <c r="AP117" s="27">
        <v>33</v>
      </c>
      <c r="AQ117" s="78">
        <v>0.4</v>
      </c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8">
        <v>39539</v>
      </c>
      <c r="BI117" s="80">
        <v>0.9</v>
      </c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/>
      <c r="CM117" s="106"/>
      <c r="CN117" s="106"/>
      <c r="CO117" s="81"/>
      <c r="CP117"/>
      <c r="CQ117"/>
      <c r="CR117"/>
      <c r="CS117"/>
      <c r="CT117"/>
      <c r="CY117" s="338">
        <f t="shared" si="22"/>
        <v>39539</v>
      </c>
      <c r="CZ117" s="337">
        <f t="shared" si="23"/>
        <v>0.85000000000000009</v>
      </c>
      <c r="DA117" s="337">
        <f t="shared" si="24"/>
        <v>1.1000000000000001</v>
      </c>
      <c r="DB117" s="337">
        <f t="shared" si="25"/>
        <v>1.4000000000000001</v>
      </c>
      <c r="DD117" s="337">
        <f t="shared" si="26"/>
        <v>8.3119596667558554E-2</v>
      </c>
      <c r="DE117" s="337">
        <f t="shared" si="27"/>
        <v>0.16623919333511711</v>
      </c>
      <c r="DF117" s="337">
        <f t="shared" si="28"/>
        <v>0.24935879000267566</v>
      </c>
      <c r="DH117" s="338">
        <f t="shared" si="29"/>
        <v>39539</v>
      </c>
      <c r="DI117" s="20">
        <v>0.9</v>
      </c>
    </row>
    <row r="118" spans="1:113">
      <c r="A118" s="34">
        <f t="shared" ca="1" si="21"/>
        <v>39814</v>
      </c>
      <c r="B118" s="20">
        <f>'Gas Curves'!C122</f>
        <v>7.3994612646060998E-2</v>
      </c>
      <c r="C118" s="20"/>
      <c r="D118" s="75">
        <v>38687</v>
      </c>
      <c r="E118" s="76">
        <v>29.8</v>
      </c>
      <c r="F118" s="76">
        <v>30.75</v>
      </c>
      <c r="G118" s="76">
        <v>31.7</v>
      </c>
      <c r="H118" s="56"/>
      <c r="I118" s="76">
        <v>20.524999237060545</v>
      </c>
      <c r="J118" s="76">
        <v>20.999999237060546</v>
      </c>
      <c r="K118" s="76">
        <v>21.474999237060548</v>
      </c>
      <c r="L118" s="27"/>
      <c r="M118" s="28">
        <v>39569</v>
      </c>
      <c r="N118" s="77">
        <v>21.102500076293939</v>
      </c>
      <c r="O118" s="77">
        <v>22.63250007629394</v>
      </c>
      <c r="P118" s="77">
        <v>24.162500076293941</v>
      </c>
      <c r="Q118" s="26"/>
      <c r="R118" s="77">
        <v>18.464999771118158</v>
      </c>
      <c r="S118" s="77">
        <v>21.764999771118159</v>
      </c>
      <c r="T118" s="77">
        <v>25.06499977111816</v>
      </c>
      <c r="U118" s="26"/>
      <c r="V118" s="77">
        <v>0.3</v>
      </c>
      <c r="W118" s="77">
        <v>0.3</v>
      </c>
      <c r="X118" s="77">
        <v>0.3</v>
      </c>
      <c r="Y118" s="26"/>
      <c r="Z118" s="77">
        <v>9.5689667997246056E-2</v>
      </c>
      <c r="AA118" s="77">
        <v>0.19137933599449211</v>
      </c>
      <c r="AB118" s="77">
        <v>0.28706900399173818</v>
      </c>
      <c r="AC118" s="26"/>
      <c r="AD118" s="77">
        <v>2.9776705790362502E-2</v>
      </c>
      <c r="AE118" s="77">
        <v>5.9553411580725003E-2</v>
      </c>
      <c r="AF118" s="77">
        <v>8.9330117371087508E-2</v>
      </c>
      <c r="AG118" s="26"/>
      <c r="AH118" s="77">
        <v>-0.25</v>
      </c>
      <c r="AI118" s="77">
        <v>1.1000000000000001</v>
      </c>
      <c r="AJ118" s="77">
        <v>0.3</v>
      </c>
      <c r="AK118" s="26"/>
      <c r="AL118" s="77">
        <v>-0.15</v>
      </c>
      <c r="AM118" s="77">
        <v>0.5</v>
      </c>
      <c r="AN118" s="77">
        <v>0.2</v>
      </c>
      <c r="AO118" s="26"/>
      <c r="AP118" s="27">
        <v>34</v>
      </c>
      <c r="AQ118" s="78">
        <v>0.4</v>
      </c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8">
        <v>39569</v>
      </c>
      <c r="BI118" s="80">
        <v>0.9</v>
      </c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/>
      <c r="CM118" s="106"/>
      <c r="CN118" s="106"/>
      <c r="CO118" s="81"/>
      <c r="CP118"/>
      <c r="CQ118"/>
      <c r="CR118"/>
      <c r="CS118"/>
      <c r="CT118"/>
      <c r="CY118" s="338">
        <f t="shared" si="22"/>
        <v>39569</v>
      </c>
      <c r="CZ118" s="337">
        <f t="shared" si="23"/>
        <v>0.85000000000000009</v>
      </c>
      <c r="DA118" s="337">
        <f t="shared" si="24"/>
        <v>1.1000000000000001</v>
      </c>
      <c r="DB118" s="337">
        <f t="shared" si="25"/>
        <v>1.4000000000000001</v>
      </c>
      <c r="DD118" s="337">
        <f t="shared" si="26"/>
        <v>9.5689667997246056E-2</v>
      </c>
      <c r="DE118" s="337">
        <f t="shared" si="27"/>
        <v>0.19137933599449211</v>
      </c>
      <c r="DF118" s="337">
        <f t="shared" si="28"/>
        <v>0.28706900399173818</v>
      </c>
      <c r="DH118" s="338">
        <f t="shared" si="29"/>
        <v>39569</v>
      </c>
      <c r="DI118" s="20">
        <v>0.9</v>
      </c>
    </row>
    <row r="119" spans="1:113">
      <c r="A119" s="34">
        <f t="shared" ca="1" si="21"/>
        <v>39845</v>
      </c>
      <c r="B119" s="20">
        <f>'Gas Curves'!C123</f>
        <v>7.4009898102964003E-2</v>
      </c>
      <c r="C119" s="20"/>
      <c r="D119" s="75">
        <v>38718</v>
      </c>
      <c r="E119" s="76">
        <v>35.75</v>
      </c>
      <c r="F119" s="76">
        <v>36.85</v>
      </c>
      <c r="G119" s="76">
        <v>37.950000000000003</v>
      </c>
      <c r="H119" s="56"/>
      <c r="I119" s="76">
        <v>20.240000915527343</v>
      </c>
      <c r="J119" s="76">
        <v>20.790000915527344</v>
      </c>
      <c r="K119" s="76">
        <v>21.340000915527344</v>
      </c>
      <c r="L119" s="27"/>
      <c r="M119" s="28">
        <v>39600</v>
      </c>
      <c r="N119" s="77">
        <v>22.656250152587887</v>
      </c>
      <c r="O119" s="77">
        <v>27.058750152587887</v>
      </c>
      <c r="P119" s="77">
        <v>31.461250152587887</v>
      </c>
      <c r="Q119" s="26"/>
      <c r="R119" s="77">
        <v>17.242499542236324</v>
      </c>
      <c r="S119" s="77">
        <v>20.542499542236325</v>
      </c>
      <c r="T119" s="77">
        <v>23.842499542236325</v>
      </c>
      <c r="U119" s="26"/>
      <c r="V119" s="77">
        <v>0.3</v>
      </c>
      <c r="W119" s="77">
        <v>0.3</v>
      </c>
      <c r="X119" s="77">
        <v>0.3</v>
      </c>
      <c r="Y119" s="26"/>
      <c r="Z119" s="77">
        <v>0.11996561825270502</v>
      </c>
      <c r="AA119" s="77">
        <v>0.23993123650541004</v>
      </c>
      <c r="AB119" s="77">
        <v>0.35989685475811506</v>
      </c>
      <c r="AC119" s="26"/>
      <c r="AD119" s="77">
        <v>3.8284336016180351E-2</v>
      </c>
      <c r="AE119" s="77">
        <v>7.6568672032360702E-2</v>
      </c>
      <c r="AF119" s="77">
        <v>0.11485300804854105</v>
      </c>
      <c r="AG119" s="26"/>
      <c r="AH119" s="77">
        <v>-0.35</v>
      </c>
      <c r="AI119" s="77">
        <v>2</v>
      </c>
      <c r="AJ119" s="77">
        <v>0.3</v>
      </c>
      <c r="AK119" s="26"/>
      <c r="AL119" s="77">
        <v>-0.15</v>
      </c>
      <c r="AM119" s="77">
        <v>0.65</v>
      </c>
      <c r="AN119" s="77">
        <v>0.2</v>
      </c>
      <c r="AO119" s="26"/>
      <c r="AP119" s="27">
        <v>34</v>
      </c>
      <c r="AQ119" s="78">
        <v>0.4</v>
      </c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8">
        <v>39600</v>
      </c>
      <c r="BI119" s="80">
        <v>0.9</v>
      </c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/>
      <c r="CM119" s="106"/>
      <c r="CN119" s="106"/>
      <c r="CO119" s="81"/>
      <c r="CP119"/>
      <c r="CQ119"/>
      <c r="CR119"/>
      <c r="CS119"/>
      <c r="CT119"/>
      <c r="CY119" s="338">
        <f t="shared" si="22"/>
        <v>39600</v>
      </c>
      <c r="CZ119" s="337">
        <f t="shared" si="23"/>
        <v>1.65</v>
      </c>
      <c r="DA119" s="337">
        <f t="shared" si="24"/>
        <v>2</v>
      </c>
      <c r="DB119" s="337">
        <f t="shared" si="25"/>
        <v>2.2999999999999998</v>
      </c>
      <c r="DD119" s="337">
        <f t="shared" si="26"/>
        <v>0.11996561825270502</v>
      </c>
      <c r="DE119" s="337">
        <f t="shared" si="27"/>
        <v>0.23993123650541004</v>
      </c>
      <c r="DF119" s="337">
        <f t="shared" si="28"/>
        <v>0.35989685475811506</v>
      </c>
      <c r="DH119" s="338">
        <f t="shared" si="29"/>
        <v>39600</v>
      </c>
      <c r="DI119" s="20">
        <v>0.9</v>
      </c>
    </row>
    <row r="120" spans="1:113">
      <c r="A120" s="34">
        <f t="shared" ca="1" si="21"/>
        <v>39873</v>
      </c>
      <c r="B120" s="20">
        <f>'Gas Curves'!C124</f>
        <v>7.4023704322168996E-2</v>
      </c>
      <c r="C120" s="20"/>
      <c r="D120" s="75">
        <v>38749</v>
      </c>
      <c r="E120" s="76">
        <v>35.75</v>
      </c>
      <c r="F120" s="76">
        <v>36.85</v>
      </c>
      <c r="G120" s="76">
        <v>37.950000000000003</v>
      </c>
      <c r="H120" s="56"/>
      <c r="I120" s="76">
        <v>20.049997711181639</v>
      </c>
      <c r="J120" s="76">
        <v>20.59999771118164</v>
      </c>
      <c r="K120" s="76">
        <v>21.149997711181641</v>
      </c>
      <c r="L120" s="27"/>
      <c r="M120" s="28">
        <v>39630</v>
      </c>
      <c r="N120" s="77">
        <v>36.511249542236342</v>
      </c>
      <c r="O120" s="77">
        <v>40.261249542236342</v>
      </c>
      <c r="P120" s="77">
        <v>44.011249542236342</v>
      </c>
      <c r="Q120" s="26"/>
      <c r="R120" s="77">
        <v>26.447499465942379</v>
      </c>
      <c r="S120" s="77">
        <v>29.747499465942379</v>
      </c>
      <c r="T120" s="77">
        <v>33.04749946594238</v>
      </c>
      <c r="U120" s="26"/>
      <c r="V120" s="77">
        <v>0.3</v>
      </c>
      <c r="W120" s="77">
        <v>0.3</v>
      </c>
      <c r="X120" s="77">
        <v>0.3</v>
      </c>
      <c r="Y120" s="26"/>
      <c r="Z120" s="77">
        <v>0.14196324307965816</v>
      </c>
      <c r="AA120" s="77">
        <v>0.28392648615931632</v>
      </c>
      <c r="AB120" s="77">
        <v>0.4258897292389745</v>
      </c>
      <c r="AC120" s="26"/>
      <c r="AD120" s="77">
        <v>5.1045781354907123E-2</v>
      </c>
      <c r="AE120" s="77">
        <v>0.10209156270981425</v>
      </c>
      <c r="AF120" s="77">
        <v>0.15313734406472138</v>
      </c>
      <c r="AG120" s="26"/>
      <c r="AH120" s="77">
        <v>-0.35</v>
      </c>
      <c r="AI120" s="77">
        <v>3</v>
      </c>
      <c r="AJ120" s="77">
        <v>0.5</v>
      </c>
      <c r="AK120" s="26"/>
      <c r="AL120" s="77">
        <v>-0.15</v>
      </c>
      <c r="AM120" s="77">
        <v>0.75</v>
      </c>
      <c r="AN120" s="77">
        <v>0.2</v>
      </c>
      <c r="AO120" s="26"/>
      <c r="AP120" s="27">
        <v>34</v>
      </c>
      <c r="AQ120" s="78">
        <v>0.4</v>
      </c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8">
        <v>39630</v>
      </c>
      <c r="BI120" s="80">
        <v>0.9</v>
      </c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/>
      <c r="CM120" s="106"/>
      <c r="CN120" s="106"/>
      <c r="CO120" s="81"/>
      <c r="CP120"/>
      <c r="CQ120"/>
      <c r="CR120"/>
      <c r="CS120"/>
      <c r="CT120"/>
      <c r="CY120" s="338">
        <f t="shared" si="22"/>
        <v>39630</v>
      </c>
      <c r="CZ120" s="337">
        <f t="shared" si="23"/>
        <v>2.65</v>
      </c>
      <c r="DA120" s="337">
        <f t="shared" si="24"/>
        <v>3</v>
      </c>
      <c r="DB120" s="337">
        <f t="shared" si="25"/>
        <v>3.5</v>
      </c>
      <c r="DD120" s="337">
        <f t="shared" si="26"/>
        <v>0.14196324307965816</v>
      </c>
      <c r="DE120" s="337">
        <f t="shared" si="27"/>
        <v>0.28392648615931632</v>
      </c>
      <c r="DF120" s="337">
        <f t="shared" si="28"/>
        <v>0.4258897292389745</v>
      </c>
      <c r="DH120" s="338">
        <f t="shared" si="29"/>
        <v>39630</v>
      </c>
      <c r="DI120" s="20">
        <v>0.9</v>
      </c>
    </row>
    <row r="121" spans="1:113">
      <c r="A121" s="34">
        <f t="shared" ca="1" si="21"/>
        <v>39904</v>
      </c>
      <c r="B121" s="20">
        <f>'Gas Curves'!C125</f>
        <v>7.4038989779217995E-2</v>
      </c>
      <c r="C121" s="20"/>
      <c r="D121" s="75">
        <v>38777</v>
      </c>
      <c r="E121" s="76">
        <v>32.450000000000003</v>
      </c>
      <c r="F121" s="76">
        <v>33.1</v>
      </c>
      <c r="G121" s="76">
        <v>33.75</v>
      </c>
      <c r="H121" s="56"/>
      <c r="I121" s="76">
        <v>19.274999618530273</v>
      </c>
      <c r="J121" s="76">
        <v>19.599999618530273</v>
      </c>
      <c r="K121" s="76">
        <v>19.924999618530272</v>
      </c>
      <c r="L121" s="27"/>
      <c r="M121" s="28">
        <v>39661</v>
      </c>
      <c r="N121" s="77">
        <v>38.77249908447267</v>
      </c>
      <c r="O121" s="77">
        <v>42.52249908447267</v>
      </c>
      <c r="P121" s="77">
        <v>46.27249908447267</v>
      </c>
      <c r="Q121" s="26"/>
      <c r="R121" s="77">
        <v>27.945000839233394</v>
      </c>
      <c r="S121" s="77">
        <v>31.245000839233395</v>
      </c>
      <c r="T121" s="77">
        <v>34.545000839233396</v>
      </c>
      <c r="U121" s="26"/>
      <c r="V121" s="77">
        <v>0.3</v>
      </c>
      <c r="W121" s="77">
        <v>0.3</v>
      </c>
      <c r="X121" s="77">
        <v>0.3</v>
      </c>
      <c r="Y121" s="26"/>
      <c r="Z121" s="77">
        <v>0.13968491765115229</v>
      </c>
      <c r="AA121" s="77">
        <v>0.27936983530230458</v>
      </c>
      <c r="AB121" s="77">
        <v>0.41905475295345684</v>
      </c>
      <c r="AC121" s="26"/>
      <c r="AD121" s="77">
        <v>5.1045781354907123E-2</v>
      </c>
      <c r="AE121" s="77">
        <v>0.10209156270981425</v>
      </c>
      <c r="AF121" s="77">
        <v>0.15313734406472138</v>
      </c>
      <c r="AG121" s="26"/>
      <c r="AH121" s="77">
        <v>-0.35</v>
      </c>
      <c r="AI121" s="77">
        <v>3</v>
      </c>
      <c r="AJ121" s="77">
        <v>0.5</v>
      </c>
      <c r="AK121" s="26"/>
      <c r="AL121" s="77">
        <v>-0.15</v>
      </c>
      <c r="AM121" s="77">
        <v>0.75</v>
      </c>
      <c r="AN121" s="77">
        <v>0.2</v>
      </c>
      <c r="AO121" s="26"/>
      <c r="AP121" s="27">
        <v>35</v>
      </c>
      <c r="AQ121" s="78">
        <v>0.4</v>
      </c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8">
        <v>39661</v>
      </c>
      <c r="BI121" s="80">
        <v>0.9</v>
      </c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/>
      <c r="CM121" s="106"/>
      <c r="CN121" s="106"/>
      <c r="CO121" s="81"/>
      <c r="CP121"/>
      <c r="CQ121"/>
      <c r="CR121"/>
      <c r="CS121"/>
      <c r="CT121"/>
      <c r="CY121" s="338">
        <f t="shared" si="22"/>
        <v>39661</v>
      </c>
      <c r="CZ121" s="337">
        <f t="shared" si="23"/>
        <v>2.65</v>
      </c>
      <c r="DA121" s="337">
        <f t="shared" si="24"/>
        <v>3</v>
      </c>
      <c r="DB121" s="337">
        <f t="shared" si="25"/>
        <v>3.5</v>
      </c>
      <c r="DD121" s="337">
        <f t="shared" si="26"/>
        <v>0.13968491765115229</v>
      </c>
      <c r="DE121" s="337">
        <f t="shared" si="27"/>
        <v>0.27936983530230458</v>
      </c>
      <c r="DF121" s="337">
        <f t="shared" si="28"/>
        <v>0.41905475295345684</v>
      </c>
      <c r="DH121" s="338">
        <f t="shared" si="29"/>
        <v>39661</v>
      </c>
      <c r="DI121" s="20">
        <v>0.9</v>
      </c>
    </row>
    <row r="122" spans="1:113">
      <c r="A122" s="34">
        <f t="shared" ca="1" si="21"/>
        <v>39934</v>
      </c>
      <c r="B122" s="20">
        <f>'Gas Curves'!C126</f>
        <v>7.4053782157081999E-2</v>
      </c>
      <c r="C122" s="20"/>
      <c r="D122" s="75">
        <v>38808</v>
      </c>
      <c r="E122" s="76">
        <v>31.35</v>
      </c>
      <c r="F122" s="76">
        <v>31.85</v>
      </c>
      <c r="G122" s="76">
        <v>32.35</v>
      </c>
      <c r="H122" s="56"/>
      <c r="I122" s="76">
        <v>19.34999771118164</v>
      </c>
      <c r="J122" s="76">
        <v>19.59999771118164</v>
      </c>
      <c r="K122" s="76">
        <v>19.84999771118164</v>
      </c>
      <c r="L122" s="27"/>
      <c r="M122" s="28">
        <v>39692</v>
      </c>
      <c r="N122" s="77">
        <v>22.854999160766596</v>
      </c>
      <c r="O122" s="77">
        <v>23.904999160766597</v>
      </c>
      <c r="P122" s="77">
        <v>24.954999160766597</v>
      </c>
      <c r="Q122" s="26"/>
      <c r="R122" s="77">
        <v>21.1</v>
      </c>
      <c r="S122" s="77">
        <v>24.4</v>
      </c>
      <c r="T122" s="77">
        <v>27.7</v>
      </c>
      <c r="U122" s="26"/>
      <c r="V122" s="77">
        <v>0.8</v>
      </c>
      <c r="W122" s="77">
        <v>0.8</v>
      </c>
      <c r="X122" s="77">
        <v>0.8</v>
      </c>
      <c r="Y122" s="26"/>
      <c r="Z122" s="77">
        <v>9.2547150164824191E-2</v>
      </c>
      <c r="AA122" s="77">
        <v>0.18509430032964838</v>
      </c>
      <c r="AB122" s="77">
        <v>0.27764145049447259</v>
      </c>
      <c r="AC122" s="26"/>
      <c r="AD122" s="77">
        <v>3.4030520903271411E-2</v>
      </c>
      <c r="AE122" s="77">
        <v>6.8061041806542821E-2</v>
      </c>
      <c r="AF122" s="77">
        <v>0.10209156270981423</v>
      </c>
      <c r="AG122" s="26"/>
      <c r="AH122" s="77">
        <v>-0.35</v>
      </c>
      <c r="AI122" s="77">
        <v>1.5</v>
      </c>
      <c r="AJ122" s="77">
        <v>0.3</v>
      </c>
      <c r="AK122" s="26"/>
      <c r="AL122" s="77">
        <v>-0.15</v>
      </c>
      <c r="AM122" s="77">
        <v>0.4</v>
      </c>
      <c r="AN122" s="77">
        <v>0.2</v>
      </c>
      <c r="AO122" s="26"/>
      <c r="AP122" s="27">
        <v>35</v>
      </c>
      <c r="AQ122" s="78">
        <v>0.4</v>
      </c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8">
        <v>39692</v>
      </c>
      <c r="BI122" s="80">
        <v>0.9</v>
      </c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/>
      <c r="CM122" s="106"/>
      <c r="CN122" s="106"/>
      <c r="CO122" s="81"/>
      <c r="CP122"/>
      <c r="CQ122"/>
      <c r="CR122"/>
      <c r="CS122"/>
      <c r="CT122"/>
      <c r="CY122" s="338">
        <f t="shared" si="22"/>
        <v>39692</v>
      </c>
      <c r="CZ122" s="337">
        <f t="shared" si="23"/>
        <v>1.1499999999999999</v>
      </c>
      <c r="DA122" s="337">
        <f t="shared" si="24"/>
        <v>1.5</v>
      </c>
      <c r="DB122" s="337">
        <f t="shared" si="25"/>
        <v>1.8</v>
      </c>
      <c r="DD122" s="337">
        <f t="shared" si="26"/>
        <v>9.2547150164824191E-2</v>
      </c>
      <c r="DE122" s="337">
        <f t="shared" si="27"/>
        <v>0.18509430032964838</v>
      </c>
      <c r="DF122" s="337">
        <f t="shared" si="28"/>
        <v>0.27764145049447259</v>
      </c>
      <c r="DH122" s="338">
        <f t="shared" si="29"/>
        <v>39692</v>
      </c>
      <c r="DI122" s="20">
        <v>0.9</v>
      </c>
    </row>
    <row r="123" spans="1:113">
      <c r="A123" s="34">
        <f t="shared" ca="1" si="21"/>
        <v>39965</v>
      </c>
      <c r="B123" s="20">
        <f>'Gas Curves'!C127</f>
        <v>7.4069067614284001E-2</v>
      </c>
      <c r="C123" s="20"/>
      <c r="D123" s="75">
        <v>38838</v>
      </c>
      <c r="E123" s="76">
        <v>32.17</v>
      </c>
      <c r="F123" s="76">
        <v>33.85</v>
      </c>
      <c r="G123" s="76">
        <v>35.53</v>
      </c>
      <c r="H123" s="56"/>
      <c r="I123" s="76">
        <v>18.75999771118164</v>
      </c>
      <c r="J123" s="76">
        <v>19.59999771118164</v>
      </c>
      <c r="K123" s="76">
        <v>20.43999771118164</v>
      </c>
      <c r="L123" s="27"/>
      <c r="M123" s="28">
        <v>39722</v>
      </c>
      <c r="N123" s="77">
        <v>23.063000106811518</v>
      </c>
      <c r="O123" s="77">
        <v>24.000500106811518</v>
      </c>
      <c r="P123" s="77">
        <v>24.938000106811518</v>
      </c>
      <c r="Q123" s="26"/>
      <c r="R123" s="77">
        <v>18.700999832153315</v>
      </c>
      <c r="S123" s="77">
        <v>22.000999832153315</v>
      </c>
      <c r="T123" s="77">
        <v>25.300999832153316</v>
      </c>
      <c r="U123" s="26"/>
      <c r="V123" s="77">
        <v>0.8</v>
      </c>
      <c r="W123" s="77">
        <v>0.8</v>
      </c>
      <c r="X123" s="77">
        <v>0.8</v>
      </c>
      <c r="Y123" s="26"/>
      <c r="Z123" s="77">
        <v>8.453372969214841E-2</v>
      </c>
      <c r="AA123" s="77">
        <v>0.16906745938429682</v>
      </c>
      <c r="AB123" s="77">
        <v>0.25360118907644524</v>
      </c>
      <c r="AC123" s="26"/>
      <c r="AD123" s="77">
        <v>2.5522890677453561E-2</v>
      </c>
      <c r="AE123" s="77">
        <v>5.1045781354907123E-2</v>
      </c>
      <c r="AF123" s="77">
        <v>7.6568672032360688E-2</v>
      </c>
      <c r="AG123" s="26"/>
      <c r="AH123" s="77">
        <v>-0.25</v>
      </c>
      <c r="AI123" s="77">
        <v>1.1000000000000001</v>
      </c>
      <c r="AJ123" s="77">
        <v>0.3</v>
      </c>
      <c r="AK123" s="26"/>
      <c r="AL123" s="77">
        <v>-0.15</v>
      </c>
      <c r="AM123" s="77">
        <v>0.35</v>
      </c>
      <c r="AN123" s="77">
        <v>0.2</v>
      </c>
      <c r="AO123" s="26"/>
      <c r="AP123" s="27">
        <v>35</v>
      </c>
      <c r="AQ123" s="78">
        <v>0.4</v>
      </c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8">
        <v>39722</v>
      </c>
      <c r="BI123" s="80">
        <v>0.9</v>
      </c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/>
      <c r="CM123" s="106"/>
      <c r="CN123" s="106"/>
      <c r="CO123" s="81"/>
      <c r="CP123"/>
      <c r="CQ123"/>
      <c r="CR123"/>
      <c r="CS123"/>
      <c r="CT123"/>
      <c r="CY123" s="338">
        <f t="shared" si="22"/>
        <v>39722</v>
      </c>
      <c r="CZ123" s="337">
        <f t="shared" si="23"/>
        <v>0.85000000000000009</v>
      </c>
      <c r="DA123" s="337">
        <f t="shared" si="24"/>
        <v>1.1000000000000001</v>
      </c>
      <c r="DB123" s="337">
        <f t="shared" si="25"/>
        <v>1.4000000000000001</v>
      </c>
      <c r="DD123" s="337">
        <f t="shared" si="26"/>
        <v>8.453372969214841E-2</v>
      </c>
      <c r="DE123" s="337">
        <f t="shared" si="27"/>
        <v>0.16906745938429682</v>
      </c>
      <c r="DF123" s="337">
        <f t="shared" si="28"/>
        <v>0.25360118907644524</v>
      </c>
      <c r="DH123" s="338">
        <f t="shared" si="29"/>
        <v>39722</v>
      </c>
      <c r="DI123" s="20">
        <v>0.9</v>
      </c>
    </row>
    <row r="124" spans="1:113">
      <c r="A124" s="34">
        <f t="shared" ca="1" si="21"/>
        <v>39995</v>
      </c>
      <c r="B124" s="20">
        <f>'Gas Curves'!C128</f>
        <v>7.4083859992293999E-2</v>
      </c>
      <c r="C124" s="20"/>
      <c r="D124" s="75">
        <v>38869</v>
      </c>
      <c r="E124" s="76">
        <v>44.16</v>
      </c>
      <c r="F124" s="76">
        <v>49</v>
      </c>
      <c r="G124" s="76">
        <v>53.84</v>
      </c>
      <c r="H124" s="56"/>
      <c r="I124" s="76">
        <v>17.134998779296872</v>
      </c>
      <c r="J124" s="76">
        <v>19.554998779296874</v>
      </c>
      <c r="K124" s="76">
        <v>21.974998779296875</v>
      </c>
      <c r="L124" s="27"/>
      <c r="M124" s="28">
        <v>39753</v>
      </c>
      <c r="N124" s="77">
        <v>24.067251586914058</v>
      </c>
      <c r="O124" s="77">
        <v>25.004751586914058</v>
      </c>
      <c r="P124" s="77">
        <v>25.942251586914058</v>
      </c>
      <c r="Q124" s="26"/>
      <c r="R124" s="77">
        <v>19.704499816894526</v>
      </c>
      <c r="S124" s="77">
        <v>23.004499816894526</v>
      </c>
      <c r="T124" s="77">
        <v>26.304499816894527</v>
      </c>
      <c r="U124" s="26"/>
      <c r="V124" s="77">
        <v>0.8</v>
      </c>
      <c r="W124" s="77">
        <v>0.8</v>
      </c>
      <c r="X124" s="77">
        <v>0.8</v>
      </c>
      <c r="Y124" s="26"/>
      <c r="Z124" s="77">
        <v>8.453372969214841E-2</v>
      </c>
      <c r="AA124" s="77">
        <v>0.16906745938429682</v>
      </c>
      <c r="AB124" s="77">
        <v>0.25360118907644524</v>
      </c>
      <c r="AC124" s="26"/>
      <c r="AD124" s="77">
        <v>2.5522890677453561E-2</v>
      </c>
      <c r="AE124" s="77">
        <v>5.1045781354907123E-2</v>
      </c>
      <c r="AF124" s="77">
        <v>7.6568672032360688E-2</v>
      </c>
      <c r="AG124" s="26"/>
      <c r="AH124" s="77">
        <v>-0.25</v>
      </c>
      <c r="AI124" s="77">
        <v>1.25</v>
      </c>
      <c r="AJ124" s="77">
        <v>0.3</v>
      </c>
      <c r="AK124" s="26"/>
      <c r="AL124" s="77">
        <v>-0.15</v>
      </c>
      <c r="AM124" s="77">
        <v>0.3</v>
      </c>
      <c r="AN124" s="77">
        <v>0.2</v>
      </c>
      <c r="AO124" s="26"/>
      <c r="AP124" s="27">
        <v>36</v>
      </c>
      <c r="AQ124" s="78">
        <v>0.4</v>
      </c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8">
        <v>39753</v>
      </c>
      <c r="BI124" s="80">
        <v>0.9</v>
      </c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/>
      <c r="CM124" s="106"/>
      <c r="CN124" s="106"/>
      <c r="CO124" s="81"/>
      <c r="CP124"/>
      <c r="CQ124"/>
      <c r="CR124"/>
      <c r="CS124"/>
      <c r="CT124"/>
      <c r="CY124" s="338">
        <f t="shared" si="22"/>
        <v>39753</v>
      </c>
      <c r="CZ124" s="337">
        <f t="shared" si="23"/>
        <v>1</v>
      </c>
      <c r="DA124" s="337">
        <f t="shared" si="24"/>
        <v>1.25</v>
      </c>
      <c r="DB124" s="337">
        <f t="shared" si="25"/>
        <v>1.55</v>
      </c>
      <c r="DD124" s="337">
        <f t="shared" si="26"/>
        <v>8.453372969214841E-2</v>
      </c>
      <c r="DE124" s="337">
        <f t="shared" si="27"/>
        <v>0.16906745938429682</v>
      </c>
      <c r="DF124" s="337">
        <f t="shared" si="28"/>
        <v>0.25360118907644524</v>
      </c>
      <c r="DH124" s="338">
        <f t="shared" si="29"/>
        <v>39753</v>
      </c>
      <c r="DI124" s="20">
        <v>0.9</v>
      </c>
    </row>
    <row r="125" spans="1:113">
      <c r="A125" s="34">
        <f t="shared" ca="1" si="21"/>
        <v>40026</v>
      </c>
      <c r="B125" s="20">
        <f>'Gas Curves'!C129</f>
        <v>7.4099145449646006E-2</v>
      </c>
      <c r="C125" s="20"/>
      <c r="D125" s="75">
        <v>38899</v>
      </c>
      <c r="E125" s="76">
        <v>66</v>
      </c>
      <c r="F125" s="76">
        <v>70</v>
      </c>
      <c r="G125" s="76">
        <v>74</v>
      </c>
      <c r="H125" s="56"/>
      <c r="I125" s="76">
        <v>22.049997711181639</v>
      </c>
      <c r="J125" s="76">
        <v>24.049997711181639</v>
      </c>
      <c r="K125" s="76">
        <v>26.049997711181639</v>
      </c>
      <c r="L125" s="27"/>
      <c r="M125" s="28">
        <v>39783</v>
      </c>
      <c r="N125" s="77">
        <v>25.517498397827143</v>
      </c>
      <c r="O125" s="77">
        <v>26.454998397827143</v>
      </c>
      <c r="P125" s="77">
        <v>27.392498397827143</v>
      </c>
      <c r="Q125" s="26"/>
      <c r="R125" s="77">
        <v>19.649999237060541</v>
      </c>
      <c r="S125" s="77">
        <v>22.949999237060542</v>
      </c>
      <c r="T125" s="77">
        <v>26.249999237060543</v>
      </c>
      <c r="U125" s="26"/>
      <c r="V125" s="77">
        <v>0.8</v>
      </c>
      <c r="W125" s="77">
        <v>0.8</v>
      </c>
      <c r="X125" s="77">
        <v>0.8</v>
      </c>
      <c r="Y125" s="26"/>
      <c r="Z125" s="77">
        <v>8.7550546811273416E-2</v>
      </c>
      <c r="AA125" s="77">
        <v>0.17510109362254683</v>
      </c>
      <c r="AB125" s="77">
        <v>0.26265164043382028</v>
      </c>
      <c r="AC125" s="26"/>
      <c r="AD125" s="77">
        <v>2.5522890677453561E-2</v>
      </c>
      <c r="AE125" s="77">
        <v>5.1045781354907123E-2</v>
      </c>
      <c r="AF125" s="77">
        <v>7.6568672032360688E-2</v>
      </c>
      <c r="AG125" s="26"/>
      <c r="AH125" s="77">
        <v>-0.25</v>
      </c>
      <c r="AI125" s="77">
        <v>1.25</v>
      </c>
      <c r="AJ125" s="77">
        <v>0.35</v>
      </c>
      <c r="AK125" s="26"/>
      <c r="AL125" s="77">
        <v>-0.15</v>
      </c>
      <c r="AM125" s="77">
        <v>0.3</v>
      </c>
      <c r="AN125" s="77">
        <v>0.2</v>
      </c>
      <c r="AO125" s="26"/>
      <c r="AP125" s="27">
        <v>36</v>
      </c>
      <c r="AQ125" s="78">
        <v>0.4</v>
      </c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8">
        <v>39783</v>
      </c>
      <c r="BI125" s="80">
        <v>0.9</v>
      </c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/>
      <c r="CM125" s="106"/>
      <c r="CN125" s="106"/>
      <c r="CO125" s="81"/>
      <c r="CP125"/>
      <c r="CQ125"/>
      <c r="CR125"/>
      <c r="CS125"/>
      <c r="CT125"/>
      <c r="CY125" s="338">
        <f t="shared" si="22"/>
        <v>39783</v>
      </c>
      <c r="CZ125" s="337">
        <f t="shared" si="23"/>
        <v>1</v>
      </c>
      <c r="DA125" s="337">
        <f t="shared" si="24"/>
        <v>1.25</v>
      </c>
      <c r="DB125" s="337">
        <f t="shared" si="25"/>
        <v>1.6</v>
      </c>
      <c r="DD125" s="337">
        <f t="shared" si="26"/>
        <v>8.7550546811273416E-2</v>
      </c>
      <c r="DE125" s="337">
        <f t="shared" si="27"/>
        <v>0.17510109362254683</v>
      </c>
      <c r="DF125" s="337">
        <f t="shared" si="28"/>
        <v>0.26265164043382028</v>
      </c>
      <c r="DH125" s="338">
        <f t="shared" si="29"/>
        <v>39783</v>
      </c>
      <c r="DI125" s="20">
        <v>0.9</v>
      </c>
    </row>
    <row r="126" spans="1:113">
      <c r="A126" s="34">
        <f t="shared" ca="1" si="21"/>
        <v>40057</v>
      </c>
      <c r="B126" s="20">
        <f>'Gas Curves'!C130</f>
        <v>7.4114430907077006E-2</v>
      </c>
      <c r="C126" s="20"/>
      <c r="D126" s="75">
        <v>38930</v>
      </c>
      <c r="E126" s="76">
        <v>61.5</v>
      </c>
      <c r="F126" s="76">
        <v>65.5</v>
      </c>
      <c r="G126" s="76">
        <v>69.5</v>
      </c>
      <c r="H126" s="56"/>
      <c r="I126" s="76">
        <v>22.399998092651366</v>
      </c>
      <c r="J126" s="76">
        <v>24.399998092651366</v>
      </c>
      <c r="K126" s="76">
        <v>26.399998092651366</v>
      </c>
      <c r="L126" s="27"/>
      <c r="M126" s="28">
        <v>39814</v>
      </c>
      <c r="N126" s="77">
        <v>28.798748397827143</v>
      </c>
      <c r="O126" s="77">
        <v>29.848748397827144</v>
      </c>
      <c r="P126" s="77">
        <v>30.898748397827145</v>
      </c>
      <c r="Q126" s="26"/>
      <c r="R126" s="77">
        <v>25.052500152587886</v>
      </c>
      <c r="S126" s="77">
        <v>28.352500152587886</v>
      </c>
      <c r="T126" s="77">
        <v>31.652500152587887</v>
      </c>
      <c r="U126" s="26"/>
      <c r="V126" s="77">
        <v>0.8</v>
      </c>
      <c r="W126" s="77">
        <v>0.8</v>
      </c>
      <c r="X126" s="77">
        <v>0.8</v>
      </c>
      <c r="Y126" s="26"/>
      <c r="Z126" s="77">
        <v>9.4205701243046863E-2</v>
      </c>
      <c r="AA126" s="77">
        <v>0.18841140248609373</v>
      </c>
      <c r="AB126" s="77">
        <v>0.28261710372914062</v>
      </c>
      <c r="AC126" s="26"/>
      <c r="AD126" s="77">
        <v>2.9181171674555251E-2</v>
      </c>
      <c r="AE126" s="77">
        <v>5.8362343349110501E-2</v>
      </c>
      <c r="AF126" s="77">
        <v>8.7543515023665752E-2</v>
      </c>
      <c r="AG126" s="26"/>
      <c r="AH126" s="77">
        <v>-0.75</v>
      </c>
      <c r="AI126" s="77">
        <v>2</v>
      </c>
      <c r="AJ126" s="77">
        <v>0.75</v>
      </c>
      <c r="AK126" s="26"/>
      <c r="AL126" s="77">
        <v>-0.15</v>
      </c>
      <c r="AM126" s="77">
        <v>0.5</v>
      </c>
      <c r="AN126" s="77">
        <v>0.2</v>
      </c>
      <c r="AO126" s="26"/>
      <c r="AP126" s="27">
        <v>36</v>
      </c>
      <c r="AQ126" s="78">
        <v>0.4</v>
      </c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8">
        <v>39814</v>
      </c>
      <c r="BI126" s="80">
        <v>0.9</v>
      </c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/>
      <c r="CM126" s="106"/>
      <c r="CN126" s="106"/>
      <c r="CO126" s="81"/>
      <c r="CP126"/>
      <c r="CQ126"/>
      <c r="CR126"/>
      <c r="CS126"/>
      <c r="CT126"/>
      <c r="CY126" s="338">
        <f t="shared" si="22"/>
        <v>39814</v>
      </c>
      <c r="CZ126" s="337">
        <f t="shared" si="23"/>
        <v>1.25</v>
      </c>
      <c r="DA126" s="337">
        <f t="shared" si="24"/>
        <v>2</v>
      </c>
      <c r="DB126" s="337">
        <f t="shared" si="25"/>
        <v>2.75</v>
      </c>
      <c r="DD126" s="337">
        <f t="shared" si="26"/>
        <v>9.4205701243046863E-2</v>
      </c>
      <c r="DE126" s="337">
        <f t="shared" si="27"/>
        <v>0.18841140248609373</v>
      </c>
      <c r="DF126" s="337">
        <f t="shared" si="28"/>
        <v>0.28261710372914062</v>
      </c>
      <c r="DH126" s="338">
        <f t="shared" si="29"/>
        <v>39814</v>
      </c>
      <c r="DI126" s="20">
        <v>0.9</v>
      </c>
    </row>
    <row r="127" spans="1:113">
      <c r="A127" s="34">
        <f t="shared" ca="1" si="21"/>
        <v>40087</v>
      </c>
      <c r="B127" s="20">
        <f>'Gas Curves'!C131</f>
        <v>7.4129223285309007E-2</v>
      </c>
      <c r="C127" s="20"/>
      <c r="D127" s="75">
        <v>38961</v>
      </c>
      <c r="E127" s="76">
        <v>31.65</v>
      </c>
      <c r="F127" s="76">
        <v>32.85</v>
      </c>
      <c r="G127" s="76">
        <v>34.049999999999997</v>
      </c>
      <c r="H127" s="56"/>
      <c r="I127" s="76">
        <v>19.349998092651365</v>
      </c>
      <c r="J127" s="76">
        <v>19.949998092651366</v>
      </c>
      <c r="K127" s="76">
        <v>20.549998092651368</v>
      </c>
      <c r="L127" s="27"/>
      <c r="M127" s="28">
        <v>39845</v>
      </c>
      <c r="N127" s="77">
        <v>27.796250152587884</v>
      </c>
      <c r="O127" s="77">
        <v>28.846250152587885</v>
      </c>
      <c r="P127" s="77">
        <v>29.896250152587886</v>
      </c>
      <c r="Q127" s="26"/>
      <c r="R127" s="77">
        <v>23.047499465942376</v>
      </c>
      <c r="S127" s="77">
        <v>26.347499465942377</v>
      </c>
      <c r="T127" s="77">
        <v>29.647499465942378</v>
      </c>
      <c r="U127" s="26"/>
      <c r="V127" s="77">
        <v>0.8</v>
      </c>
      <c r="W127" s="77">
        <v>0.8</v>
      </c>
      <c r="X127" s="77">
        <v>0.8</v>
      </c>
      <c r="Y127" s="26"/>
      <c r="Z127" s="77">
        <v>9.0888599086601546E-2</v>
      </c>
      <c r="AA127" s="77">
        <v>0.18177719817320309</v>
      </c>
      <c r="AB127" s="77">
        <v>0.27266579725980467</v>
      </c>
      <c r="AC127" s="26"/>
      <c r="AD127" s="77">
        <v>2.9181171674555251E-2</v>
      </c>
      <c r="AE127" s="77">
        <v>5.8362343349110501E-2</v>
      </c>
      <c r="AF127" s="77">
        <v>8.7543515023665752E-2</v>
      </c>
      <c r="AG127" s="26"/>
      <c r="AH127" s="77">
        <v>-0.75</v>
      </c>
      <c r="AI127" s="77">
        <v>2</v>
      </c>
      <c r="AJ127" s="77">
        <v>0.75</v>
      </c>
      <c r="AK127" s="26"/>
      <c r="AL127" s="77">
        <v>-0.15</v>
      </c>
      <c r="AM127" s="77">
        <v>0.5</v>
      </c>
      <c r="AN127" s="77">
        <v>0.2</v>
      </c>
      <c r="AO127" s="26"/>
      <c r="AP127" s="27">
        <v>37</v>
      </c>
      <c r="AQ127" s="78">
        <v>0.4</v>
      </c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8">
        <v>39845</v>
      </c>
      <c r="BI127" s="80">
        <v>0.9</v>
      </c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/>
      <c r="CM127" s="106"/>
      <c r="CN127" s="106"/>
      <c r="CO127" s="81"/>
      <c r="CP127"/>
      <c r="CQ127"/>
      <c r="CR127"/>
      <c r="CS127"/>
      <c r="CT127"/>
      <c r="CY127" s="338">
        <f t="shared" si="22"/>
        <v>39845</v>
      </c>
      <c r="CZ127" s="337">
        <f t="shared" si="23"/>
        <v>1.25</v>
      </c>
      <c r="DA127" s="337">
        <f t="shared" si="24"/>
        <v>2</v>
      </c>
      <c r="DB127" s="337">
        <f t="shared" si="25"/>
        <v>2.75</v>
      </c>
      <c r="DD127" s="337">
        <f t="shared" si="26"/>
        <v>9.0888599086601546E-2</v>
      </c>
      <c r="DE127" s="337">
        <f t="shared" si="27"/>
        <v>0.18177719817320309</v>
      </c>
      <c r="DF127" s="337">
        <f t="shared" si="28"/>
        <v>0.27266579725980467</v>
      </c>
      <c r="DH127" s="338">
        <f t="shared" si="29"/>
        <v>39845</v>
      </c>
      <c r="DI127" s="20">
        <v>0.9</v>
      </c>
    </row>
    <row r="128" spans="1:113">
      <c r="A128" s="34">
        <f t="shared" ca="1" si="21"/>
        <v>40118</v>
      </c>
      <c r="B128" s="20">
        <f>'Gas Curves'!C132</f>
        <v>7.4144508742889997E-2</v>
      </c>
      <c r="C128" s="20"/>
      <c r="D128" s="75">
        <v>38991</v>
      </c>
      <c r="E128" s="76">
        <v>29.55</v>
      </c>
      <c r="F128" s="76">
        <v>30.6</v>
      </c>
      <c r="G128" s="76">
        <v>31.65</v>
      </c>
      <c r="H128" s="56"/>
      <c r="I128" s="76">
        <v>19.124998855590821</v>
      </c>
      <c r="J128" s="76">
        <v>19.64999885559082</v>
      </c>
      <c r="K128" s="76">
        <v>20.174998855590818</v>
      </c>
      <c r="L128" s="27"/>
      <c r="M128" s="28">
        <v>39873</v>
      </c>
      <c r="N128" s="77">
        <v>21.434749603271477</v>
      </c>
      <c r="O128" s="77">
        <v>22.034749603271479</v>
      </c>
      <c r="P128" s="77">
        <v>22.63474960327148</v>
      </c>
      <c r="Q128" s="26"/>
      <c r="R128" s="77">
        <v>18.364498901367181</v>
      </c>
      <c r="S128" s="77">
        <v>21.664498901367182</v>
      </c>
      <c r="T128" s="77">
        <v>24.964498901367183</v>
      </c>
      <c r="U128" s="26"/>
      <c r="V128" s="77">
        <v>0.3</v>
      </c>
      <c r="W128" s="77">
        <v>0.3</v>
      </c>
      <c r="X128" s="77">
        <v>0.3</v>
      </c>
      <c r="Y128" s="26"/>
      <c r="Z128" s="77">
        <v>8.8591505843263169E-2</v>
      </c>
      <c r="AA128" s="77">
        <v>0.17718301168652634</v>
      </c>
      <c r="AB128" s="77">
        <v>0.26577451752978953</v>
      </c>
      <c r="AC128" s="26"/>
      <c r="AD128" s="77">
        <v>2.5012432863904491E-2</v>
      </c>
      <c r="AE128" s="77">
        <v>5.0024865727808981E-2</v>
      </c>
      <c r="AF128" s="77">
        <v>7.5037298591713472E-2</v>
      </c>
      <c r="AG128" s="26"/>
      <c r="AH128" s="77">
        <v>-0.25</v>
      </c>
      <c r="AI128" s="77">
        <v>1.3</v>
      </c>
      <c r="AJ128" s="77">
        <v>0.3</v>
      </c>
      <c r="AK128" s="26"/>
      <c r="AL128" s="77">
        <v>-0.15</v>
      </c>
      <c r="AM128" s="77">
        <v>0.35</v>
      </c>
      <c r="AN128" s="77">
        <v>0.2</v>
      </c>
      <c r="AO128" s="26"/>
      <c r="AP128" s="27">
        <v>37</v>
      </c>
      <c r="AQ128" s="78">
        <v>0.4</v>
      </c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8">
        <v>39873</v>
      </c>
      <c r="BI128" s="80">
        <v>0.9</v>
      </c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/>
      <c r="CM128" s="106"/>
      <c r="CN128" s="106"/>
      <c r="CO128" s="81"/>
      <c r="CP128"/>
      <c r="CQ128"/>
      <c r="CR128"/>
      <c r="CS128"/>
      <c r="CT128"/>
      <c r="CY128" s="338">
        <f t="shared" si="22"/>
        <v>39873</v>
      </c>
      <c r="CZ128" s="337">
        <f t="shared" si="23"/>
        <v>1.05</v>
      </c>
      <c r="DA128" s="337">
        <f t="shared" si="24"/>
        <v>1.3</v>
      </c>
      <c r="DB128" s="337">
        <f t="shared" si="25"/>
        <v>1.6</v>
      </c>
      <c r="DD128" s="337">
        <f t="shared" si="26"/>
        <v>8.8591505843263169E-2</v>
      </c>
      <c r="DE128" s="337">
        <f t="shared" si="27"/>
        <v>0.17718301168652634</v>
      </c>
      <c r="DF128" s="337">
        <f t="shared" si="28"/>
        <v>0.26577451752978953</v>
      </c>
      <c r="DH128" s="338">
        <f t="shared" si="29"/>
        <v>39873</v>
      </c>
      <c r="DI128" s="20">
        <v>0.9</v>
      </c>
    </row>
    <row r="129" spans="1:113">
      <c r="A129" s="34">
        <f t="shared" ca="1" si="21"/>
        <v>40148</v>
      </c>
      <c r="B129" s="20">
        <f>'Gas Curves'!C133</f>
        <v>7.4159301121269006E-2</v>
      </c>
      <c r="C129" s="20"/>
      <c r="D129" s="75">
        <v>39022</v>
      </c>
      <c r="E129" s="76">
        <v>29.925000000000001</v>
      </c>
      <c r="F129" s="76">
        <v>30.975000000000001</v>
      </c>
      <c r="G129" s="76">
        <v>32.024999999999999</v>
      </c>
      <c r="H129" s="56"/>
      <c r="I129" s="76">
        <v>19.049998092651368</v>
      </c>
      <c r="J129" s="76">
        <v>19.574998092651366</v>
      </c>
      <c r="K129" s="76">
        <v>20.099998092651365</v>
      </c>
      <c r="L129" s="27"/>
      <c r="M129" s="28">
        <v>39904</v>
      </c>
      <c r="N129" s="77">
        <v>22.230000305175775</v>
      </c>
      <c r="O129" s="77">
        <v>22.717500305175776</v>
      </c>
      <c r="P129" s="77">
        <v>23.205000305175776</v>
      </c>
      <c r="Q129" s="26"/>
      <c r="R129" s="77">
        <v>18.13499908447265</v>
      </c>
      <c r="S129" s="77">
        <v>21.434999084472651</v>
      </c>
      <c r="T129" s="77">
        <v>24.734999084472651</v>
      </c>
      <c r="U129" s="26"/>
      <c r="V129" s="77">
        <v>0.3</v>
      </c>
      <c r="W129" s="77">
        <v>0.3</v>
      </c>
      <c r="X129" s="77">
        <v>0.3</v>
      </c>
      <c r="Y129" s="26"/>
      <c r="Z129" s="77">
        <v>7.8963616834180628E-2</v>
      </c>
      <c r="AA129" s="77">
        <v>0.15792723366836126</v>
      </c>
      <c r="AB129" s="77">
        <v>0.23689085050254188</v>
      </c>
      <c r="AC129" s="26"/>
      <c r="AD129" s="77">
        <v>2.5012432863904491E-2</v>
      </c>
      <c r="AE129" s="77">
        <v>5.0024865727808981E-2</v>
      </c>
      <c r="AF129" s="77">
        <v>7.5037298591713472E-2</v>
      </c>
      <c r="AG129" s="26"/>
      <c r="AH129" s="77">
        <v>-0.25</v>
      </c>
      <c r="AI129" s="77">
        <v>1.1000000000000001</v>
      </c>
      <c r="AJ129" s="77">
        <v>0.3</v>
      </c>
      <c r="AK129" s="26"/>
      <c r="AL129" s="77">
        <v>-0.15</v>
      </c>
      <c r="AM129" s="77">
        <v>0.35</v>
      </c>
      <c r="AN129" s="77">
        <v>0.2</v>
      </c>
      <c r="AO129" s="26"/>
      <c r="AP129" s="27">
        <v>37</v>
      </c>
      <c r="AQ129" s="78">
        <v>0.4</v>
      </c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8">
        <v>39904</v>
      </c>
      <c r="BI129" s="80">
        <v>0.9</v>
      </c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/>
      <c r="CM129" s="106"/>
      <c r="CN129" s="106"/>
      <c r="CO129" s="81"/>
      <c r="CP129"/>
      <c r="CQ129"/>
      <c r="CR129"/>
      <c r="CS129"/>
      <c r="CT129"/>
      <c r="CY129" s="338">
        <f t="shared" si="22"/>
        <v>39904</v>
      </c>
      <c r="CZ129" s="337">
        <f t="shared" si="23"/>
        <v>0.85000000000000009</v>
      </c>
      <c r="DA129" s="337">
        <f t="shared" si="24"/>
        <v>1.1000000000000001</v>
      </c>
      <c r="DB129" s="337">
        <f t="shared" si="25"/>
        <v>1.4000000000000001</v>
      </c>
      <c r="DD129" s="337">
        <f t="shared" si="26"/>
        <v>7.8963616834180628E-2</v>
      </c>
      <c r="DE129" s="337">
        <f t="shared" si="27"/>
        <v>0.15792723366836126</v>
      </c>
      <c r="DF129" s="337">
        <f t="shared" si="28"/>
        <v>0.23689085050254188</v>
      </c>
      <c r="DH129" s="338">
        <f t="shared" si="29"/>
        <v>39904</v>
      </c>
      <c r="DI129" s="20">
        <v>0.9</v>
      </c>
    </row>
    <row r="130" spans="1:113">
      <c r="A130" s="34">
        <f t="shared" ca="1" si="21"/>
        <v>40179</v>
      </c>
      <c r="B130" s="20">
        <f>'Gas Curves'!C134</f>
        <v>7.4174586579002E-2</v>
      </c>
      <c r="C130" s="20"/>
      <c r="D130" s="75">
        <v>39052</v>
      </c>
      <c r="E130" s="76">
        <v>29.8</v>
      </c>
      <c r="F130" s="76">
        <v>30.85</v>
      </c>
      <c r="G130" s="76">
        <v>31.9</v>
      </c>
      <c r="H130" s="56"/>
      <c r="I130" s="76">
        <v>20.474999237060548</v>
      </c>
      <c r="J130" s="76">
        <v>20.999999237060546</v>
      </c>
      <c r="K130" s="76">
        <v>21.524999237060545</v>
      </c>
      <c r="L130" s="27"/>
      <c r="M130" s="28">
        <v>39934</v>
      </c>
      <c r="N130" s="77">
        <v>21.14500007629394</v>
      </c>
      <c r="O130" s="77">
        <v>22.83250007629394</v>
      </c>
      <c r="P130" s="77">
        <v>24.52000007629394</v>
      </c>
      <c r="Q130" s="26"/>
      <c r="R130" s="77">
        <v>18.664999771118158</v>
      </c>
      <c r="S130" s="77">
        <v>21.964999771118158</v>
      </c>
      <c r="T130" s="77">
        <v>25.264999771118159</v>
      </c>
      <c r="U130" s="26"/>
      <c r="V130" s="77">
        <v>0.3</v>
      </c>
      <c r="W130" s="77">
        <v>0.3</v>
      </c>
      <c r="X130" s="77">
        <v>0.3</v>
      </c>
      <c r="Y130" s="26"/>
      <c r="Z130" s="77">
        <v>9.0905184597383754E-2</v>
      </c>
      <c r="AA130" s="77">
        <v>0.18181036919476751</v>
      </c>
      <c r="AB130" s="77">
        <v>0.27271555379215129</v>
      </c>
      <c r="AC130" s="26"/>
      <c r="AD130" s="77">
        <v>2.9181171674555251E-2</v>
      </c>
      <c r="AE130" s="77">
        <v>5.8362343349110501E-2</v>
      </c>
      <c r="AF130" s="77">
        <v>8.7543515023665752E-2</v>
      </c>
      <c r="AG130" s="26"/>
      <c r="AH130" s="77">
        <v>-0.25</v>
      </c>
      <c r="AI130" s="77">
        <v>1.1000000000000001</v>
      </c>
      <c r="AJ130" s="77">
        <v>0.3</v>
      </c>
      <c r="AK130" s="26"/>
      <c r="AL130" s="77">
        <v>-0.15</v>
      </c>
      <c r="AM130" s="77">
        <v>0.5</v>
      </c>
      <c r="AN130" s="77">
        <v>0.2</v>
      </c>
      <c r="AO130" s="26"/>
      <c r="AP130" s="27">
        <v>38</v>
      </c>
      <c r="AQ130" s="78">
        <v>0.4</v>
      </c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8">
        <v>39934</v>
      </c>
      <c r="BI130" s="80">
        <v>0.9</v>
      </c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/>
      <c r="CM130" s="106"/>
      <c r="CN130" s="106"/>
      <c r="CO130" s="81"/>
      <c r="CP130"/>
      <c r="CQ130"/>
      <c r="CR130"/>
      <c r="CS130"/>
      <c r="CT130"/>
      <c r="CY130" s="338">
        <f t="shared" si="22"/>
        <v>39934</v>
      </c>
      <c r="CZ130" s="337">
        <f t="shared" si="23"/>
        <v>0.85000000000000009</v>
      </c>
      <c r="DA130" s="337">
        <f t="shared" si="24"/>
        <v>1.1000000000000001</v>
      </c>
      <c r="DB130" s="337">
        <f t="shared" si="25"/>
        <v>1.4000000000000001</v>
      </c>
      <c r="DD130" s="337">
        <f t="shared" si="26"/>
        <v>9.0905184597383754E-2</v>
      </c>
      <c r="DE130" s="337">
        <f t="shared" si="27"/>
        <v>0.18181036919476751</v>
      </c>
      <c r="DF130" s="337">
        <f t="shared" si="28"/>
        <v>0.27271555379215129</v>
      </c>
      <c r="DH130" s="338">
        <f t="shared" si="29"/>
        <v>39934</v>
      </c>
      <c r="DI130" s="20">
        <v>0.9</v>
      </c>
    </row>
    <row r="131" spans="1:113">
      <c r="A131" s="34">
        <f t="shared" ca="1" si="21"/>
        <v>40210</v>
      </c>
      <c r="B131" s="20">
        <f>'Gas Curves'!C135</f>
        <v>7.4189872036813001E-2</v>
      </c>
      <c r="C131" s="20"/>
      <c r="D131" s="75">
        <v>39083</v>
      </c>
      <c r="E131" s="76">
        <v>35.75</v>
      </c>
      <c r="F131" s="76">
        <v>36.950000000000003</v>
      </c>
      <c r="G131" s="76">
        <v>38.15</v>
      </c>
      <c r="H131" s="56"/>
      <c r="I131" s="76">
        <v>20.190000915527342</v>
      </c>
      <c r="J131" s="76">
        <v>20.790000915527344</v>
      </c>
      <c r="K131" s="76">
        <v>21.390000915527345</v>
      </c>
      <c r="L131" s="27"/>
      <c r="M131" s="28">
        <v>39965</v>
      </c>
      <c r="N131" s="77">
        <v>22.413750152587887</v>
      </c>
      <c r="O131" s="77">
        <v>27.258750152587886</v>
      </c>
      <c r="P131" s="77">
        <v>32.103750152587885</v>
      </c>
      <c r="Q131" s="26"/>
      <c r="R131" s="77">
        <v>17.442499542236323</v>
      </c>
      <c r="S131" s="77">
        <v>20.742499542236324</v>
      </c>
      <c r="T131" s="77">
        <v>24.042499542236325</v>
      </c>
      <c r="U131" s="26"/>
      <c r="V131" s="77">
        <v>0.3</v>
      </c>
      <c r="W131" s="77">
        <v>0.3</v>
      </c>
      <c r="X131" s="77">
        <v>0.3</v>
      </c>
      <c r="Y131" s="26"/>
      <c r="Z131" s="77">
        <v>0.11396733734006977</v>
      </c>
      <c r="AA131" s="77">
        <v>0.22793467468013953</v>
      </c>
      <c r="AB131" s="77">
        <v>0.34190201202020931</v>
      </c>
      <c r="AC131" s="26"/>
      <c r="AD131" s="77">
        <v>3.7518649295856743E-2</v>
      </c>
      <c r="AE131" s="77">
        <v>7.5037298591713486E-2</v>
      </c>
      <c r="AF131" s="77">
        <v>0.11255594788757023</v>
      </c>
      <c r="AG131" s="26"/>
      <c r="AH131" s="77">
        <v>-0.35</v>
      </c>
      <c r="AI131" s="77">
        <v>2</v>
      </c>
      <c r="AJ131" s="77">
        <v>0.3</v>
      </c>
      <c r="AK131" s="26"/>
      <c r="AL131" s="77">
        <v>-0.15</v>
      </c>
      <c r="AM131" s="77">
        <v>0.65</v>
      </c>
      <c r="AN131" s="77">
        <v>0.2</v>
      </c>
      <c r="AO131" s="26"/>
      <c r="AP131" s="27">
        <v>38</v>
      </c>
      <c r="AQ131" s="78">
        <v>0.4</v>
      </c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8">
        <v>39965</v>
      </c>
      <c r="BI131" s="80">
        <v>0.9</v>
      </c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/>
      <c r="CM131" s="106"/>
      <c r="CN131" s="106"/>
      <c r="CO131" s="81"/>
      <c r="CP131"/>
      <c r="CQ131"/>
      <c r="CR131"/>
      <c r="CS131"/>
      <c r="CT131"/>
      <c r="CY131" s="338">
        <f t="shared" si="22"/>
        <v>39965</v>
      </c>
      <c r="CZ131" s="337">
        <f t="shared" si="23"/>
        <v>1.65</v>
      </c>
      <c r="DA131" s="337">
        <f t="shared" si="24"/>
        <v>2</v>
      </c>
      <c r="DB131" s="337">
        <f t="shared" si="25"/>
        <v>2.2999999999999998</v>
      </c>
      <c r="DD131" s="337">
        <f t="shared" si="26"/>
        <v>0.11396733734006977</v>
      </c>
      <c r="DE131" s="337">
        <f t="shared" si="27"/>
        <v>0.22793467468013953</v>
      </c>
      <c r="DF131" s="337">
        <f t="shared" si="28"/>
        <v>0.34190201202020931</v>
      </c>
      <c r="DH131" s="338">
        <f t="shared" si="29"/>
        <v>39965</v>
      </c>
      <c r="DI131" s="20">
        <v>0.9</v>
      </c>
    </row>
    <row r="132" spans="1:113">
      <c r="A132" s="34">
        <f t="shared" ca="1" si="21"/>
        <v>40238</v>
      </c>
      <c r="B132" s="20">
        <f>'Gas Curves'!C136</f>
        <v>7.4203678256838004E-2</v>
      </c>
      <c r="C132" s="20"/>
      <c r="D132" s="75">
        <v>39114</v>
      </c>
      <c r="E132" s="76">
        <v>35.75</v>
      </c>
      <c r="F132" s="76">
        <v>36.950000000000003</v>
      </c>
      <c r="G132" s="76">
        <v>38.15</v>
      </c>
      <c r="H132" s="56"/>
      <c r="I132" s="76">
        <v>19.999997711181638</v>
      </c>
      <c r="J132" s="76">
        <v>20.59999771118164</v>
      </c>
      <c r="K132" s="76">
        <v>21.199997711181641</v>
      </c>
      <c r="L132" s="27"/>
      <c r="M132" s="28">
        <v>39995</v>
      </c>
      <c r="N132" s="77">
        <v>36.711249542236345</v>
      </c>
      <c r="O132" s="77">
        <v>40.461249542236345</v>
      </c>
      <c r="P132" s="77">
        <v>44.211249542236345</v>
      </c>
      <c r="Q132" s="26"/>
      <c r="R132" s="77">
        <v>26.647499465942378</v>
      </c>
      <c r="S132" s="77">
        <v>29.947499465942379</v>
      </c>
      <c r="T132" s="77">
        <v>33.247499465942376</v>
      </c>
      <c r="U132" s="26"/>
      <c r="V132" s="77">
        <v>0.3</v>
      </c>
      <c r="W132" s="77">
        <v>0.3</v>
      </c>
      <c r="X132" s="77">
        <v>0.3</v>
      </c>
      <c r="Y132" s="26"/>
      <c r="Z132" s="77">
        <v>0.13486508092567526</v>
      </c>
      <c r="AA132" s="77">
        <v>0.26973016185135051</v>
      </c>
      <c r="AB132" s="77">
        <v>0.40459524277702574</v>
      </c>
      <c r="AC132" s="26"/>
      <c r="AD132" s="77">
        <v>5.0024865727808981E-2</v>
      </c>
      <c r="AE132" s="77">
        <v>0.10004973145561796</v>
      </c>
      <c r="AF132" s="77">
        <v>0.15007459718342694</v>
      </c>
      <c r="AG132" s="26"/>
      <c r="AH132" s="77">
        <v>-0.35</v>
      </c>
      <c r="AI132" s="77">
        <v>3</v>
      </c>
      <c r="AJ132" s="77">
        <v>0.5</v>
      </c>
      <c r="AK132" s="26"/>
      <c r="AL132" s="77">
        <v>-0.15</v>
      </c>
      <c r="AM132" s="77">
        <v>0.75</v>
      </c>
      <c r="AN132" s="77">
        <v>0.2</v>
      </c>
      <c r="AO132" s="26"/>
      <c r="AP132" s="27">
        <v>38</v>
      </c>
      <c r="AQ132" s="78">
        <v>0.4</v>
      </c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8">
        <v>39995</v>
      </c>
      <c r="BI132" s="80">
        <v>0.9</v>
      </c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/>
      <c r="CM132" s="106"/>
      <c r="CN132" s="106"/>
      <c r="CO132" s="81"/>
      <c r="CP132"/>
      <c r="CQ132"/>
      <c r="CR132"/>
      <c r="CS132"/>
      <c r="CT132"/>
      <c r="CY132" s="338">
        <f t="shared" si="22"/>
        <v>39995</v>
      </c>
      <c r="CZ132" s="337">
        <f t="shared" si="23"/>
        <v>2.65</v>
      </c>
      <c r="DA132" s="337">
        <f t="shared" si="24"/>
        <v>3</v>
      </c>
      <c r="DB132" s="337">
        <f t="shared" si="25"/>
        <v>3.5</v>
      </c>
      <c r="DD132" s="337">
        <f t="shared" si="26"/>
        <v>0.13486508092567526</v>
      </c>
      <c r="DE132" s="337">
        <f t="shared" si="27"/>
        <v>0.26973016185135051</v>
      </c>
      <c r="DF132" s="337">
        <f t="shared" si="28"/>
        <v>0.40459524277702574</v>
      </c>
      <c r="DH132" s="338">
        <f t="shared" si="29"/>
        <v>39995</v>
      </c>
      <c r="DI132" s="20">
        <v>0.9</v>
      </c>
    </row>
    <row r="133" spans="1:113">
      <c r="A133" s="34">
        <f t="shared" ca="1" si="21"/>
        <v>40269</v>
      </c>
      <c r="B133" s="20">
        <f>'Gas Curves'!C137</f>
        <v>7.4204388711588007E-2</v>
      </c>
      <c r="C133" s="20"/>
      <c r="D133" s="75">
        <v>39142</v>
      </c>
      <c r="E133" s="76">
        <v>32.5</v>
      </c>
      <c r="F133" s="76">
        <v>33.200000000000003</v>
      </c>
      <c r="G133" s="76">
        <v>33.9</v>
      </c>
      <c r="H133" s="56"/>
      <c r="I133" s="76">
        <v>19.249999618530271</v>
      </c>
      <c r="J133" s="76">
        <v>19.599999618530273</v>
      </c>
      <c r="K133" s="76">
        <v>19.949999618530274</v>
      </c>
      <c r="L133" s="27"/>
      <c r="M133" s="28">
        <v>40026</v>
      </c>
      <c r="N133" s="77">
        <v>38.972499084472673</v>
      </c>
      <c r="O133" s="77">
        <v>42.722499084472673</v>
      </c>
      <c r="P133" s="77">
        <v>46.472499084472673</v>
      </c>
      <c r="Q133" s="26"/>
      <c r="R133" s="77">
        <v>28.145000839233393</v>
      </c>
      <c r="S133" s="77">
        <v>31.445000839233394</v>
      </c>
      <c r="T133" s="77">
        <v>34.745000839233391</v>
      </c>
      <c r="U133" s="26"/>
      <c r="V133" s="77">
        <v>0.3</v>
      </c>
      <c r="W133" s="77">
        <v>0.3</v>
      </c>
      <c r="X133" s="77">
        <v>0.3</v>
      </c>
      <c r="Y133" s="26"/>
      <c r="Z133" s="77">
        <v>0.13270067176859468</v>
      </c>
      <c r="AA133" s="77">
        <v>0.26540134353718936</v>
      </c>
      <c r="AB133" s="77">
        <v>0.39810201530578404</v>
      </c>
      <c r="AC133" s="26"/>
      <c r="AD133" s="77">
        <v>5.0024865727808981E-2</v>
      </c>
      <c r="AE133" s="77">
        <v>0.10004973145561796</v>
      </c>
      <c r="AF133" s="77">
        <v>0.15007459718342694</v>
      </c>
      <c r="AG133" s="26"/>
      <c r="AH133" s="77">
        <v>-0.35</v>
      </c>
      <c r="AI133" s="77">
        <v>3</v>
      </c>
      <c r="AJ133" s="77">
        <v>0.5</v>
      </c>
      <c r="AK133" s="26"/>
      <c r="AL133" s="77">
        <v>-0.15</v>
      </c>
      <c r="AM133" s="77">
        <v>0.75</v>
      </c>
      <c r="AN133" s="77">
        <v>0.2</v>
      </c>
      <c r="AO133" s="26"/>
      <c r="AP133" s="27">
        <v>39</v>
      </c>
      <c r="AQ133" s="78">
        <v>0.4</v>
      </c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8">
        <v>40026</v>
      </c>
      <c r="BI133" s="80">
        <v>0.9</v>
      </c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/>
      <c r="CM133" s="106"/>
      <c r="CN133" s="106"/>
      <c r="CO133" s="81"/>
      <c r="CP133"/>
      <c r="CQ133"/>
      <c r="CR133"/>
      <c r="CS133"/>
      <c r="CT133"/>
      <c r="CY133" s="338">
        <f t="shared" si="22"/>
        <v>40026</v>
      </c>
      <c r="CZ133" s="337">
        <f t="shared" si="23"/>
        <v>2.65</v>
      </c>
      <c r="DA133" s="337">
        <f t="shared" si="24"/>
        <v>3</v>
      </c>
      <c r="DB133" s="337">
        <f t="shared" si="25"/>
        <v>3.5</v>
      </c>
      <c r="DD133" s="337">
        <f t="shared" si="26"/>
        <v>0.13270067176859468</v>
      </c>
      <c r="DE133" s="337">
        <f t="shared" si="27"/>
        <v>0.26540134353718936</v>
      </c>
      <c r="DF133" s="337">
        <f t="shared" si="28"/>
        <v>0.39810201530578404</v>
      </c>
      <c r="DH133" s="338">
        <f t="shared" si="29"/>
        <v>40026</v>
      </c>
      <c r="DI133" s="20">
        <v>0.9</v>
      </c>
    </row>
    <row r="134" spans="1:113">
      <c r="A134" s="34">
        <f t="shared" ca="1" si="21"/>
        <v>40299</v>
      </c>
      <c r="B134" s="20">
        <f>'Gas Curves'!C138</f>
        <v>7.4204103500735002E-2</v>
      </c>
      <c r="C134" s="20"/>
      <c r="D134" s="75">
        <v>39173</v>
      </c>
      <c r="E134" s="76">
        <v>31.4</v>
      </c>
      <c r="F134" s="76">
        <v>31.95</v>
      </c>
      <c r="G134" s="76">
        <v>32.5</v>
      </c>
      <c r="H134" s="56"/>
      <c r="I134" s="76">
        <v>19.324997711181641</v>
      </c>
      <c r="J134" s="76">
        <v>19.59999771118164</v>
      </c>
      <c r="K134" s="76">
        <v>19.874997711181638</v>
      </c>
      <c r="L134" s="27"/>
      <c r="M134" s="28">
        <v>40057</v>
      </c>
      <c r="N134" s="77">
        <v>22.979999160766596</v>
      </c>
      <c r="O134" s="77">
        <v>24.104999160766596</v>
      </c>
      <c r="P134" s="77">
        <v>25.229999160766596</v>
      </c>
      <c r="Q134" s="26"/>
      <c r="R134" s="77">
        <v>21.3</v>
      </c>
      <c r="S134" s="77">
        <v>24.6</v>
      </c>
      <c r="T134" s="77">
        <v>27.9</v>
      </c>
      <c r="U134" s="26"/>
      <c r="V134" s="77">
        <v>0.8</v>
      </c>
      <c r="W134" s="77">
        <v>0.8</v>
      </c>
      <c r="X134" s="77">
        <v>0.8</v>
      </c>
      <c r="Y134" s="26"/>
      <c r="Z134" s="77">
        <v>8.7919792656582979E-2</v>
      </c>
      <c r="AA134" s="77">
        <v>0.17583958531316596</v>
      </c>
      <c r="AB134" s="77">
        <v>0.26375937796974891</v>
      </c>
      <c r="AC134" s="26"/>
      <c r="AD134" s="77">
        <v>3.3349910485205983E-2</v>
      </c>
      <c r="AE134" s="77">
        <v>6.6699820970411966E-2</v>
      </c>
      <c r="AF134" s="77">
        <v>0.10004973145561795</v>
      </c>
      <c r="AG134" s="26"/>
      <c r="AH134" s="77">
        <v>-0.35</v>
      </c>
      <c r="AI134" s="77">
        <v>1.5</v>
      </c>
      <c r="AJ134" s="77">
        <v>0.3</v>
      </c>
      <c r="AK134" s="26"/>
      <c r="AL134" s="77">
        <v>-0.15</v>
      </c>
      <c r="AM134" s="77">
        <v>0.4</v>
      </c>
      <c r="AN134" s="77">
        <v>0.2</v>
      </c>
      <c r="AO134" s="26"/>
      <c r="AP134" s="27">
        <v>39</v>
      </c>
      <c r="AQ134" s="78">
        <v>0.4</v>
      </c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8">
        <v>40057</v>
      </c>
      <c r="BI134" s="80">
        <v>0.9</v>
      </c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/>
      <c r="CM134" s="106"/>
      <c r="CN134" s="106"/>
      <c r="CO134" s="81"/>
      <c r="CP134"/>
      <c r="CQ134"/>
      <c r="CR134"/>
      <c r="CS134"/>
      <c r="CT134"/>
      <c r="CY134" s="338">
        <f t="shared" si="22"/>
        <v>40057</v>
      </c>
      <c r="CZ134" s="337">
        <f t="shared" si="23"/>
        <v>1.1499999999999999</v>
      </c>
      <c r="DA134" s="337">
        <f t="shared" si="24"/>
        <v>1.5</v>
      </c>
      <c r="DB134" s="337">
        <f t="shared" si="25"/>
        <v>1.8</v>
      </c>
      <c r="DD134" s="337">
        <f t="shared" si="26"/>
        <v>8.7919792656582979E-2</v>
      </c>
      <c r="DE134" s="337">
        <f t="shared" si="27"/>
        <v>0.17583958531316596</v>
      </c>
      <c r="DF134" s="337">
        <f t="shared" si="28"/>
        <v>0.26375937796974891</v>
      </c>
      <c r="DH134" s="338">
        <f t="shared" si="29"/>
        <v>40057</v>
      </c>
      <c r="DI134" s="20">
        <v>0.9</v>
      </c>
    </row>
    <row r="135" spans="1:113">
      <c r="A135" s="34">
        <f t="shared" ca="1" si="21"/>
        <v>40330</v>
      </c>
      <c r="B135" s="20">
        <f>'Gas Curves'!C139</f>
        <v>7.4203808782852002E-2</v>
      </c>
      <c r="C135" s="20"/>
      <c r="D135" s="75">
        <v>39203</v>
      </c>
      <c r="E135" s="76">
        <v>32.1</v>
      </c>
      <c r="F135" s="76">
        <v>33.950000000000003</v>
      </c>
      <c r="G135" s="76">
        <v>35.799999999999997</v>
      </c>
      <c r="H135" s="56"/>
      <c r="I135" s="76">
        <v>18.674997711181639</v>
      </c>
      <c r="J135" s="76">
        <v>19.59999771118164</v>
      </c>
      <c r="K135" s="76">
        <v>20.524997711181641</v>
      </c>
      <c r="L135" s="27"/>
      <c r="M135" s="28">
        <v>40087</v>
      </c>
      <c r="N135" s="77">
        <v>23.188000106811518</v>
      </c>
      <c r="O135" s="77">
        <v>24.200500106811518</v>
      </c>
      <c r="P135" s="77">
        <v>25.213000106811517</v>
      </c>
      <c r="Q135" s="26"/>
      <c r="R135" s="77">
        <v>18.900999832153314</v>
      </c>
      <c r="S135" s="77">
        <v>22.200999832153315</v>
      </c>
      <c r="T135" s="77">
        <v>25.500999832153315</v>
      </c>
      <c r="U135" s="26"/>
      <c r="V135" s="77">
        <v>0.8</v>
      </c>
      <c r="W135" s="77">
        <v>0.8</v>
      </c>
      <c r="X135" s="77">
        <v>0.8</v>
      </c>
      <c r="Y135" s="26"/>
      <c r="Z135" s="77">
        <v>8.0307043207540979E-2</v>
      </c>
      <c r="AA135" s="77">
        <v>0.16061408641508196</v>
      </c>
      <c r="AB135" s="77">
        <v>0.24092112962262294</v>
      </c>
      <c r="AC135" s="26"/>
      <c r="AD135" s="77">
        <v>2.5012432863904491E-2</v>
      </c>
      <c r="AE135" s="77">
        <v>5.0024865727808981E-2</v>
      </c>
      <c r="AF135" s="77">
        <v>7.5037298591713472E-2</v>
      </c>
      <c r="AG135" s="26"/>
      <c r="AH135" s="77">
        <v>-0.25</v>
      </c>
      <c r="AI135" s="77">
        <v>1.1000000000000001</v>
      </c>
      <c r="AJ135" s="77">
        <v>0.3</v>
      </c>
      <c r="AK135" s="26"/>
      <c r="AL135" s="77">
        <v>-0.15</v>
      </c>
      <c r="AM135" s="77">
        <v>0.35</v>
      </c>
      <c r="AN135" s="77">
        <v>0.2</v>
      </c>
      <c r="AO135" s="26"/>
      <c r="AP135" s="27">
        <v>39</v>
      </c>
      <c r="AQ135" s="78">
        <v>0.4</v>
      </c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8">
        <v>40087</v>
      </c>
      <c r="BI135" s="80">
        <v>0.9</v>
      </c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/>
      <c r="CM135" s="106"/>
      <c r="CN135" s="106"/>
      <c r="CO135" s="81"/>
      <c r="CP135"/>
      <c r="CQ135"/>
      <c r="CR135"/>
      <c r="CS135"/>
      <c r="CT135"/>
      <c r="CY135" s="338">
        <f t="shared" si="22"/>
        <v>40087</v>
      </c>
      <c r="CZ135" s="337">
        <f t="shared" si="23"/>
        <v>0.85000000000000009</v>
      </c>
      <c r="DA135" s="337">
        <f t="shared" si="24"/>
        <v>1.1000000000000001</v>
      </c>
      <c r="DB135" s="337">
        <f t="shared" si="25"/>
        <v>1.4000000000000001</v>
      </c>
      <c r="DD135" s="337">
        <f t="shared" si="26"/>
        <v>8.0307043207540979E-2</v>
      </c>
      <c r="DE135" s="337">
        <f t="shared" si="27"/>
        <v>0.16061408641508196</v>
      </c>
      <c r="DF135" s="337">
        <f t="shared" si="28"/>
        <v>0.24092112962262294</v>
      </c>
      <c r="DH135" s="338">
        <f t="shared" si="29"/>
        <v>40087</v>
      </c>
      <c r="DI135" s="20">
        <v>0.9</v>
      </c>
    </row>
    <row r="136" spans="1:113">
      <c r="A136" s="34">
        <f t="shared" ca="1" si="21"/>
        <v>40360</v>
      </c>
      <c r="B136" s="20">
        <f>'Gas Curves'!C140</f>
        <v>7.420352357200001E-2</v>
      </c>
      <c r="C136" s="20"/>
      <c r="D136" s="75">
        <v>39234</v>
      </c>
      <c r="E136" s="76">
        <v>44.17</v>
      </c>
      <c r="F136" s="76">
        <v>49.5</v>
      </c>
      <c r="G136" s="76">
        <v>54.83</v>
      </c>
      <c r="H136" s="56"/>
      <c r="I136" s="76">
        <v>16.889998779296874</v>
      </c>
      <c r="J136" s="76">
        <v>19.554998779296874</v>
      </c>
      <c r="K136" s="76">
        <v>22.219998779296873</v>
      </c>
      <c r="L136" s="27"/>
      <c r="M136" s="28">
        <v>40118</v>
      </c>
      <c r="N136" s="77">
        <v>24.192251586914058</v>
      </c>
      <c r="O136" s="77">
        <v>25.204751586914057</v>
      </c>
      <c r="P136" s="77">
        <v>26.217251586914056</v>
      </c>
      <c r="Q136" s="26"/>
      <c r="R136" s="77">
        <v>19.904499816894525</v>
      </c>
      <c r="S136" s="77">
        <v>23.204499816894526</v>
      </c>
      <c r="T136" s="77">
        <v>26.504499816894526</v>
      </c>
      <c r="U136" s="26"/>
      <c r="V136" s="77">
        <v>0.8</v>
      </c>
      <c r="W136" s="77">
        <v>0.8</v>
      </c>
      <c r="X136" s="77">
        <v>0.8</v>
      </c>
      <c r="Y136" s="26"/>
      <c r="Z136" s="77">
        <v>8.0307043207540979E-2</v>
      </c>
      <c r="AA136" s="77">
        <v>0.16061408641508196</v>
      </c>
      <c r="AB136" s="77">
        <v>0.24092112962262294</v>
      </c>
      <c r="AC136" s="26"/>
      <c r="AD136" s="77">
        <v>2.5012432863904491E-2</v>
      </c>
      <c r="AE136" s="77">
        <v>5.0024865727808981E-2</v>
      </c>
      <c r="AF136" s="77">
        <v>7.5037298591713472E-2</v>
      </c>
      <c r="AG136" s="26"/>
      <c r="AH136" s="77">
        <v>-0.25</v>
      </c>
      <c r="AI136" s="77">
        <v>1.25</v>
      </c>
      <c r="AJ136" s="77">
        <v>0.3</v>
      </c>
      <c r="AK136" s="26"/>
      <c r="AL136" s="77">
        <v>-0.15</v>
      </c>
      <c r="AM136" s="77">
        <v>0.3</v>
      </c>
      <c r="AN136" s="77">
        <v>0.2</v>
      </c>
      <c r="AO136" s="26"/>
      <c r="AP136" s="27">
        <v>40</v>
      </c>
      <c r="AQ136" s="78">
        <v>0.4</v>
      </c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8">
        <v>40118</v>
      </c>
      <c r="BI136" s="80">
        <v>0.9</v>
      </c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/>
      <c r="CM136" s="106"/>
      <c r="CN136" s="106"/>
      <c r="CO136" s="81"/>
      <c r="CP136"/>
      <c r="CQ136"/>
      <c r="CR136"/>
      <c r="CS136"/>
      <c r="CT136"/>
      <c r="CY136" s="338">
        <f t="shared" si="22"/>
        <v>40118</v>
      </c>
      <c r="CZ136" s="337">
        <f t="shared" si="23"/>
        <v>1</v>
      </c>
      <c r="DA136" s="337">
        <f t="shared" si="24"/>
        <v>1.25</v>
      </c>
      <c r="DB136" s="337">
        <f t="shared" si="25"/>
        <v>1.55</v>
      </c>
      <c r="DD136" s="337">
        <f t="shared" si="26"/>
        <v>8.0307043207540979E-2</v>
      </c>
      <c r="DE136" s="337">
        <f t="shared" si="27"/>
        <v>0.16061408641508196</v>
      </c>
      <c r="DF136" s="337">
        <f t="shared" si="28"/>
        <v>0.24092112962262294</v>
      </c>
      <c r="DH136" s="338">
        <f t="shared" si="29"/>
        <v>40118</v>
      </c>
      <c r="DI136" s="20">
        <v>0.9</v>
      </c>
    </row>
    <row r="137" spans="1:113">
      <c r="A137" s="34">
        <f t="shared" ca="1" si="21"/>
        <v>40391</v>
      </c>
      <c r="B137" s="20">
        <f>'Gas Curves'!C141</f>
        <v>7.4203228854115996E-2</v>
      </c>
      <c r="C137" s="20"/>
      <c r="D137" s="75">
        <v>39264</v>
      </c>
      <c r="E137" s="76">
        <v>66</v>
      </c>
      <c r="F137" s="76">
        <v>71</v>
      </c>
      <c r="G137" s="76">
        <v>76</v>
      </c>
      <c r="H137" s="56"/>
      <c r="I137" s="76">
        <v>21.549997711181639</v>
      </c>
      <c r="J137" s="76">
        <v>24.049997711181639</v>
      </c>
      <c r="K137" s="76">
        <v>26.549997711181639</v>
      </c>
      <c r="L137" s="27"/>
      <c r="M137" s="28">
        <v>40148</v>
      </c>
      <c r="N137" s="77">
        <v>25.642498397827143</v>
      </c>
      <c r="O137" s="77">
        <v>26.654998397827143</v>
      </c>
      <c r="P137" s="77">
        <v>27.667498397827142</v>
      </c>
      <c r="Q137" s="26"/>
      <c r="R137" s="77">
        <v>19.84999923706054</v>
      </c>
      <c r="S137" s="77">
        <v>23.149999237060541</v>
      </c>
      <c r="T137" s="77">
        <v>26.449999237060542</v>
      </c>
      <c r="U137" s="26"/>
      <c r="V137" s="77">
        <v>0.8</v>
      </c>
      <c r="W137" s="77">
        <v>0.8</v>
      </c>
      <c r="X137" s="77">
        <v>0.8</v>
      </c>
      <c r="Y137" s="26"/>
      <c r="Z137" s="77">
        <v>8.3173019470709736E-2</v>
      </c>
      <c r="AA137" s="77">
        <v>0.16634603894141947</v>
      </c>
      <c r="AB137" s="77">
        <v>0.24951905841212921</v>
      </c>
      <c r="AC137" s="26"/>
      <c r="AD137" s="77">
        <v>2.5012432863904491E-2</v>
      </c>
      <c r="AE137" s="77">
        <v>5.0024865727808981E-2</v>
      </c>
      <c r="AF137" s="77">
        <v>7.5037298591713472E-2</v>
      </c>
      <c r="AG137" s="26"/>
      <c r="AH137" s="77">
        <v>-0.25</v>
      </c>
      <c r="AI137" s="77">
        <v>1.25</v>
      </c>
      <c r="AJ137" s="77">
        <v>0.35</v>
      </c>
      <c r="AK137" s="26"/>
      <c r="AL137" s="77">
        <v>-0.15</v>
      </c>
      <c r="AM137" s="77">
        <v>0.3</v>
      </c>
      <c r="AN137" s="77">
        <v>0.2</v>
      </c>
      <c r="AO137" s="26"/>
      <c r="AP137" s="27">
        <v>40</v>
      </c>
      <c r="AQ137" s="78">
        <v>0.4</v>
      </c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8">
        <v>40148</v>
      </c>
      <c r="BI137" s="80">
        <v>0.9</v>
      </c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/>
      <c r="CM137" s="106"/>
      <c r="CN137" s="106"/>
      <c r="CO137" s="81"/>
      <c r="CP137"/>
      <c r="CQ137"/>
      <c r="CR137"/>
      <c r="CS137"/>
      <c r="CT137"/>
      <c r="CY137" s="338">
        <f t="shared" si="22"/>
        <v>40148</v>
      </c>
      <c r="CZ137" s="337">
        <f t="shared" si="23"/>
        <v>1</v>
      </c>
      <c r="DA137" s="337">
        <f t="shared" si="24"/>
        <v>1.25</v>
      </c>
      <c r="DB137" s="337">
        <f t="shared" si="25"/>
        <v>1.6</v>
      </c>
      <c r="DD137" s="337">
        <f t="shared" si="26"/>
        <v>8.3173019470709736E-2</v>
      </c>
      <c r="DE137" s="337">
        <f t="shared" si="27"/>
        <v>0.16634603894141947</v>
      </c>
      <c r="DF137" s="337">
        <f t="shared" si="28"/>
        <v>0.24951905841212921</v>
      </c>
      <c r="DH137" s="338">
        <f t="shared" si="29"/>
        <v>40148</v>
      </c>
      <c r="DI137" s="20">
        <v>0.9</v>
      </c>
    </row>
    <row r="138" spans="1:113">
      <c r="A138" s="34">
        <f t="shared" ca="1" si="21"/>
        <v>40422</v>
      </c>
      <c r="B138" s="20">
        <f>'Gas Curves'!C142</f>
        <v>7.4202934136234008E-2</v>
      </c>
      <c r="C138" s="20"/>
      <c r="D138" s="75">
        <v>39295</v>
      </c>
      <c r="E138" s="76">
        <v>61.5</v>
      </c>
      <c r="F138" s="76">
        <v>66.5</v>
      </c>
      <c r="G138" s="76">
        <v>71.5</v>
      </c>
      <c r="H138" s="56"/>
      <c r="I138" s="76">
        <v>21.899998092651366</v>
      </c>
      <c r="J138" s="76">
        <v>24.399998092651366</v>
      </c>
      <c r="K138" s="76">
        <v>26.899998092651366</v>
      </c>
      <c r="L138" s="27"/>
      <c r="M138" s="28">
        <v>40179</v>
      </c>
      <c r="N138" s="77">
        <v>28.923748397827143</v>
      </c>
      <c r="O138" s="77">
        <v>30.048748397827143</v>
      </c>
      <c r="P138" s="77">
        <v>31.173748397827143</v>
      </c>
      <c r="Q138" s="26"/>
      <c r="R138" s="77">
        <v>24.252500152587885</v>
      </c>
      <c r="S138" s="77">
        <v>28.552500152587886</v>
      </c>
      <c r="T138" s="77">
        <v>32.852500152587886</v>
      </c>
      <c r="U138" s="26"/>
      <c r="V138" s="77">
        <v>0.8</v>
      </c>
      <c r="W138" s="77">
        <v>0.8</v>
      </c>
      <c r="X138" s="77">
        <v>0.8</v>
      </c>
      <c r="Y138" s="26"/>
      <c r="Z138" s="77">
        <v>8.9495416180894516E-2</v>
      </c>
      <c r="AA138" s="77">
        <v>0.17899083236178903</v>
      </c>
      <c r="AB138" s="77">
        <v>0.26848624854268355</v>
      </c>
      <c r="AC138" s="26"/>
      <c r="AD138" s="77">
        <v>2.8597548241064145E-2</v>
      </c>
      <c r="AE138" s="77">
        <v>5.719509648212829E-2</v>
      </c>
      <c r="AF138" s="77">
        <v>8.5792644723192438E-2</v>
      </c>
      <c r="AG138" s="26"/>
      <c r="AH138" s="77">
        <v>-0.75</v>
      </c>
      <c r="AI138" s="77">
        <v>2</v>
      </c>
      <c r="AJ138" s="77">
        <v>0.75</v>
      </c>
      <c r="AK138" s="26"/>
      <c r="AL138" s="77">
        <v>-0.15</v>
      </c>
      <c r="AM138" s="77">
        <v>0.5</v>
      </c>
      <c r="AN138" s="77">
        <v>0.2</v>
      </c>
      <c r="AO138" s="26"/>
      <c r="AP138" s="27">
        <v>40</v>
      </c>
      <c r="AQ138" s="78">
        <v>0.4</v>
      </c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8">
        <v>40179</v>
      </c>
      <c r="BI138" s="80">
        <v>0.9</v>
      </c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/>
      <c r="CM138" s="106"/>
      <c r="CN138" s="106"/>
      <c r="CO138" s="81"/>
      <c r="CP138"/>
      <c r="CQ138"/>
      <c r="CR138"/>
      <c r="CS138"/>
      <c r="CT138"/>
      <c r="CY138" s="338">
        <f t="shared" si="22"/>
        <v>40179</v>
      </c>
      <c r="CZ138" s="337">
        <f t="shared" si="23"/>
        <v>1.25</v>
      </c>
      <c r="DA138" s="337">
        <f t="shared" si="24"/>
        <v>2</v>
      </c>
      <c r="DB138" s="337">
        <f t="shared" si="25"/>
        <v>2.75</v>
      </c>
      <c r="DD138" s="337">
        <f t="shared" si="26"/>
        <v>8.9495416180894516E-2</v>
      </c>
      <c r="DE138" s="337">
        <f t="shared" si="27"/>
        <v>0.17899083236178903</v>
      </c>
      <c r="DF138" s="337">
        <f t="shared" si="28"/>
        <v>0.26848624854268355</v>
      </c>
      <c r="DH138" s="338">
        <f t="shared" si="29"/>
        <v>40179</v>
      </c>
      <c r="DI138" s="20">
        <v>0.9</v>
      </c>
    </row>
    <row r="139" spans="1:113">
      <c r="A139" s="34">
        <f t="shared" ca="1" si="21"/>
        <v>40452</v>
      </c>
      <c r="B139" s="20">
        <f>'Gas Curves'!C143</f>
        <v>7.4202648925381004E-2</v>
      </c>
      <c r="C139" s="20"/>
      <c r="D139" s="75">
        <v>39326</v>
      </c>
      <c r="E139" s="76">
        <v>31.65</v>
      </c>
      <c r="F139" s="76">
        <v>32.950000000000003</v>
      </c>
      <c r="G139" s="76">
        <v>34.25</v>
      </c>
      <c r="H139" s="56"/>
      <c r="I139" s="76">
        <v>19.299998092651368</v>
      </c>
      <c r="J139" s="76">
        <v>19.949998092651366</v>
      </c>
      <c r="K139" s="76">
        <v>20.599998092651365</v>
      </c>
      <c r="L139" s="27"/>
      <c r="M139" s="28">
        <v>40210</v>
      </c>
      <c r="N139" s="77">
        <v>27.921250152587884</v>
      </c>
      <c r="O139" s="77">
        <v>29.046250152587884</v>
      </c>
      <c r="P139" s="77">
        <v>30.171250152587884</v>
      </c>
      <c r="Q139" s="26"/>
      <c r="R139" s="77">
        <v>22.247499465942376</v>
      </c>
      <c r="S139" s="77">
        <v>26.547499465942376</v>
      </c>
      <c r="T139" s="77">
        <v>30.847499465942377</v>
      </c>
      <c r="U139" s="26"/>
      <c r="V139" s="77">
        <v>0.8</v>
      </c>
      <c r="W139" s="77">
        <v>0.8</v>
      </c>
      <c r="X139" s="77">
        <v>0.8</v>
      </c>
      <c r="Y139" s="26"/>
      <c r="Z139" s="77">
        <v>8.634416913227147E-2</v>
      </c>
      <c r="AA139" s="77">
        <v>0.17268833826454294</v>
      </c>
      <c r="AB139" s="77">
        <v>0.25903250739681438</v>
      </c>
      <c r="AC139" s="26"/>
      <c r="AD139" s="77">
        <v>2.8597548241064145E-2</v>
      </c>
      <c r="AE139" s="77">
        <v>5.719509648212829E-2</v>
      </c>
      <c r="AF139" s="77">
        <v>8.5792644723192438E-2</v>
      </c>
      <c r="AG139" s="26"/>
      <c r="AH139" s="77">
        <v>-0.75</v>
      </c>
      <c r="AI139" s="77">
        <v>2</v>
      </c>
      <c r="AJ139" s="77">
        <v>0.75</v>
      </c>
      <c r="AK139" s="26"/>
      <c r="AL139" s="77">
        <v>-0.15</v>
      </c>
      <c r="AM139" s="77">
        <v>0.5</v>
      </c>
      <c r="AN139" s="77">
        <v>0.2</v>
      </c>
      <c r="AO139" s="26"/>
      <c r="AP139" s="27">
        <v>41</v>
      </c>
      <c r="AQ139" s="78">
        <v>0.4</v>
      </c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8">
        <v>40210</v>
      </c>
      <c r="BI139" s="80">
        <v>0.9</v>
      </c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/>
      <c r="CM139" s="106"/>
      <c r="CN139" s="106"/>
      <c r="CO139" s="81"/>
      <c r="CP139"/>
      <c r="CQ139"/>
      <c r="CR139"/>
      <c r="CS139"/>
      <c r="CT139"/>
      <c r="CY139" s="338">
        <f t="shared" si="22"/>
        <v>40210</v>
      </c>
      <c r="CZ139" s="337">
        <f t="shared" si="23"/>
        <v>1.25</v>
      </c>
      <c r="DA139" s="337">
        <f t="shared" si="24"/>
        <v>2</v>
      </c>
      <c r="DB139" s="337">
        <f t="shared" si="25"/>
        <v>2.75</v>
      </c>
      <c r="DD139" s="337">
        <f t="shared" si="26"/>
        <v>8.634416913227147E-2</v>
      </c>
      <c r="DE139" s="337">
        <f t="shared" si="27"/>
        <v>0.17268833826454294</v>
      </c>
      <c r="DF139" s="337">
        <f t="shared" si="28"/>
        <v>0.25903250739681438</v>
      </c>
      <c r="DH139" s="338">
        <f t="shared" si="29"/>
        <v>40210</v>
      </c>
      <c r="DI139" s="20">
        <v>0.9</v>
      </c>
    </row>
    <row r="140" spans="1:113">
      <c r="A140" s="34">
        <f t="shared" ca="1" si="21"/>
        <v>40483</v>
      </c>
      <c r="B140" s="20">
        <f>'Gas Curves'!C144</f>
        <v>7.4202354207498003E-2</v>
      </c>
      <c r="C140" s="20"/>
      <c r="D140" s="75">
        <v>39356</v>
      </c>
      <c r="E140" s="76">
        <v>29.55</v>
      </c>
      <c r="F140" s="76">
        <v>30.7</v>
      </c>
      <c r="G140" s="76">
        <v>31.85</v>
      </c>
      <c r="H140" s="56"/>
      <c r="I140" s="76">
        <v>19.07499885559082</v>
      </c>
      <c r="J140" s="76">
        <v>19.64999885559082</v>
      </c>
      <c r="K140" s="76">
        <v>20.224998855590819</v>
      </c>
      <c r="L140" s="27"/>
      <c r="M140" s="28">
        <v>40238</v>
      </c>
      <c r="N140" s="77">
        <v>21.597249603271479</v>
      </c>
      <c r="O140" s="77">
        <v>22.234749603271478</v>
      </c>
      <c r="P140" s="77">
        <v>22.872249603271477</v>
      </c>
      <c r="Q140" s="26"/>
      <c r="R140" s="77">
        <v>17.56449890136718</v>
      </c>
      <c r="S140" s="77">
        <v>21.864498901367181</v>
      </c>
      <c r="T140" s="77">
        <v>26.164498901367182</v>
      </c>
      <c r="U140" s="26"/>
      <c r="V140" s="77">
        <v>0.3</v>
      </c>
      <c r="W140" s="77">
        <v>0.3</v>
      </c>
      <c r="X140" s="77">
        <v>0.3</v>
      </c>
      <c r="Y140" s="26"/>
      <c r="Z140" s="77">
        <v>8.4161930551100009E-2</v>
      </c>
      <c r="AA140" s="77">
        <v>0.16832386110220002</v>
      </c>
      <c r="AB140" s="77">
        <v>0.25248579165330004</v>
      </c>
      <c r="AC140" s="26"/>
      <c r="AD140" s="77">
        <v>2.4512184206626399E-2</v>
      </c>
      <c r="AE140" s="77">
        <v>4.9024368413252799E-2</v>
      </c>
      <c r="AF140" s="77">
        <v>7.3536552619879195E-2</v>
      </c>
      <c r="AG140" s="26"/>
      <c r="AH140" s="77">
        <v>-0.25</v>
      </c>
      <c r="AI140" s="77">
        <v>1.3</v>
      </c>
      <c r="AJ140" s="77">
        <v>0.3</v>
      </c>
      <c r="AK140" s="26"/>
      <c r="AL140" s="77">
        <v>-0.15</v>
      </c>
      <c r="AM140" s="77">
        <v>0.35</v>
      </c>
      <c r="AN140" s="77">
        <v>0.2</v>
      </c>
      <c r="AO140" s="26"/>
      <c r="AP140" s="27">
        <v>41</v>
      </c>
      <c r="AQ140" s="78">
        <v>0.4</v>
      </c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8">
        <v>40238</v>
      </c>
      <c r="BI140" s="80">
        <v>0.9</v>
      </c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/>
      <c r="CM140" s="106"/>
      <c r="CN140" s="106"/>
      <c r="CO140" s="81"/>
      <c r="CP140"/>
      <c r="CQ140"/>
      <c r="CR140"/>
      <c r="CS140"/>
      <c r="CT140"/>
      <c r="CY140" s="338">
        <f t="shared" si="22"/>
        <v>40238</v>
      </c>
      <c r="CZ140" s="337">
        <f t="shared" si="23"/>
        <v>1.05</v>
      </c>
      <c r="DA140" s="337">
        <f t="shared" si="24"/>
        <v>1.3</v>
      </c>
      <c r="DB140" s="337">
        <f t="shared" si="25"/>
        <v>1.6</v>
      </c>
      <c r="DD140" s="337">
        <f t="shared" si="26"/>
        <v>8.4161930551100009E-2</v>
      </c>
      <c r="DE140" s="337">
        <f t="shared" si="27"/>
        <v>0.16832386110220002</v>
      </c>
      <c r="DF140" s="337">
        <f t="shared" si="28"/>
        <v>0.25248579165330004</v>
      </c>
      <c r="DH140" s="338">
        <f t="shared" si="29"/>
        <v>40238</v>
      </c>
      <c r="DI140" s="20">
        <v>0.9</v>
      </c>
    </row>
    <row r="141" spans="1:113">
      <c r="A141" s="34">
        <f t="shared" ca="1" si="21"/>
        <v>40513</v>
      </c>
      <c r="B141" s="20">
        <f>'Gas Curves'!C145</f>
        <v>7.4202068996643999E-2</v>
      </c>
      <c r="C141" s="20"/>
      <c r="D141" s="75">
        <v>39387</v>
      </c>
      <c r="E141" s="76">
        <v>29.925000000000001</v>
      </c>
      <c r="F141" s="76">
        <v>31.074999999999999</v>
      </c>
      <c r="G141" s="76">
        <v>32.225000000000001</v>
      </c>
      <c r="H141" s="56"/>
      <c r="I141" s="76">
        <v>18.999998092651367</v>
      </c>
      <c r="J141" s="76">
        <v>19.574998092651366</v>
      </c>
      <c r="K141" s="76">
        <v>20.149998092651366</v>
      </c>
      <c r="L141" s="27"/>
      <c r="M141" s="28">
        <v>40269</v>
      </c>
      <c r="N141" s="77">
        <v>22.392500305175776</v>
      </c>
      <c r="O141" s="77">
        <v>22.917500305175775</v>
      </c>
      <c r="P141" s="77">
        <v>23.442500305175773</v>
      </c>
      <c r="Q141" s="26"/>
      <c r="R141" s="77">
        <v>17.334999084472649</v>
      </c>
      <c r="S141" s="77">
        <v>21.63499908447265</v>
      </c>
      <c r="T141" s="77">
        <v>25.934999084472651</v>
      </c>
      <c r="U141" s="26"/>
      <c r="V141" s="77">
        <v>0.3</v>
      </c>
      <c r="W141" s="77">
        <v>0.3</v>
      </c>
      <c r="X141" s="77">
        <v>0.3</v>
      </c>
      <c r="Y141" s="26"/>
      <c r="Z141" s="77">
        <v>7.5015435992471596E-2</v>
      </c>
      <c r="AA141" s="77">
        <v>0.15003087198494319</v>
      </c>
      <c r="AB141" s="77">
        <v>0.22504630797741479</v>
      </c>
      <c r="AC141" s="26"/>
      <c r="AD141" s="77">
        <v>2.4512184206626399E-2</v>
      </c>
      <c r="AE141" s="77">
        <v>4.9024368413252799E-2</v>
      </c>
      <c r="AF141" s="77">
        <v>7.3536552619879195E-2</v>
      </c>
      <c r="AG141" s="26"/>
      <c r="AH141" s="77">
        <v>-0.25</v>
      </c>
      <c r="AI141" s="77">
        <v>1.1000000000000001</v>
      </c>
      <c r="AJ141" s="77">
        <v>0.3</v>
      </c>
      <c r="AK141" s="26"/>
      <c r="AL141" s="77">
        <v>-0.15</v>
      </c>
      <c r="AM141" s="77">
        <v>0.35</v>
      </c>
      <c r="AN141" s="77">
        <v>0.2</v>
      </c>
      <c r="AO141" s="26"/>
      <c r="AP141" s="27">
        <v>41</v>
      </c>
      <c r="AQ141" s="78">
        <v>0.4</v>
      </c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8">
        <v>40269</v>
      </c>
      <c r="BI141" s="80">
        <v>0.9</v>
      </c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/>
      <c r="CM141" s="106"/>
      <c r="CN141" s="106"/>
      <c r="CO141" s="81"/>
      <c r="CP141"/>
      <c r="CQ141"/>
      <c r="CR141"/>
      <c r="CS141"/>
      <c r="CT141"/>
      <c r="CY141" s="338">
        <f t="shared" si="22"/>
        <v>40269</v>
      </c>
      <c r="CZ141" s="337">
        <f t="shared" si="23"/>
        <v>0.85000000000000009</v>
      </c>
      <c r="DA141" s="337">
        <f t="shared" si="24"/>
        <v>1.1000000000000001</v>
      </c>
      <c r="DB141" s="337">
        <f t="shared" si="25"/>
        <v>1.4000000000000001</v>
      </c>
      <c r="DD141" s="337">
        <f t="shared" si="26"/>
        <v>7.5015435992471596E-2</v>
      </c>
      <c r="DE141" s="337">
        <f t="shared" si="27"/>
        <v>0.15003087198494319</v>
      </c>
      <c r="DF141" s="337">
        <f t="shared" si="28"/>
        <v>0.22504630797741479</v>
      </c>
      <c r="DH141" s="338">
        <f t="shared" si="29"/>
        <v>40269</v>
      </c>
      <c r="DI141" s="20">
        <v>0.9</v>
      </c>
    </row>
    <row r="142" spans="1:113">
      <c r="A142" s="34">
        <f t="shared" ref="A142:A205" ca="1" si="30">EOMONTH(A141,0)+1</f>
        <v>40544</v>
      </c>
      <c r="B142" s="20">
        <f>'Gas Curves'!C146</f>
        <v>7.4201774278761998E-2</v>
      </c>
      <c r="C142" s="20"/>
      <c r="D142" s="75">
        <v>39417</v>
      </c>
      <c r="E142" s="76">
        <v>29.8</v>
      </c>
      <c r="F142" s="76">
        <v>30.95</v>
      </c>
      <c r="G142" s="76">
        <v>32.1</v>
      </c>
      <c r="H142" s="56"/>
      <c r="I142" s="76">
        <v>20.424999237060547</v>
      </c>
      <c r="J142" s="76">
        <v>20.999999237060546</v>
      </c>
      <c r="K142" s="76">
        <v>21.574999237060545</v>
      </c>
      <c r="L142" s="27"/>
      <c r="M142" s="28">
        <v>40299</v>
      </c>
      <c r="N142" s="77">
        <v>21.172500076293939</v>
      </c>
      <c r="O142" s="77">
        <v>23.032500076293939</v>
      </c>
      <c r="P142" s="77">
        <v>24.892500076293938</v>
      </c>
      <c r="Q142" s="26"/>
      <c r="R142" s="77">
        <v>17.864999771118157</v>
      </c>
      <c r="S142" s="77">
        <v>22.164999771118158</v>
      </c>
      <c r="T142" s="77">
        <v>26.464999771118158</v>
      </c>
      <c r="U142" s="26"/>
      <c r="V142" s="77">
        <v>0.3</v>
      </c>
      <c r="W142" s="77">
        <v>0.3</v>
      </c>
      <c r="X142" s="77">
        <v>0.3</v>
      </c>
      <c r="Y142" s="26"/>
      <c r="Z142" s="77">
        <v>8.6359925367514564E-2</v>
      </c>
      <c r="AA142" s="77">
        <v>0.17271985073502913</v>
      </c>
      <c r="AB142" s="77">
        <v>0.25907977610254368</v>
      </c>
      <c r="AC142" s="26"/>
      <c r="AD142" s="77">
        <v>2.8597548241064145E-2</v>
      </c>
      <c r="AE142" s="77">
        <v>5.719509648212829E-2</v>
      </c>
      <c r="AF142" s="77">
        <v>8.5792644723192438E-2</v>
      </c>
      <c r="AG142" s="26"/>
      <c r="AH142" s="77">
        <v>-0.25</v>
      </c>
      <c r="AI142" s="77">
        <v>1.1000000000000001</v>
      </c>
      <c r="AJ142" s="77">
        <v>0.3</v>
      </c>
      <c r="AK142" s="26"/>
      <c r="AL142" s="77">
        <v>-0.15</v>
      </c>
      <c r="AM142" s="77">
        <v>0.5</v>
      </c>
      <c r="AN142" s="77">
        <v>0.2</v>
      </c>
      <c r="AO142" s="26"/>
      <c r="AP142" s="27">
        <v>42</v>
      </c>
      <c r="AQ142" s="78">
        <v>0.4</v>
      </c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8">
        <v>40299</v>
      </c>
      <c r="BI142" s="80">
        <v>0.9</v>
      </c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/>
      <c r="CM142" s="106"/>
      <c r="CN142" s="106"/>
      <c r="CO142" s="81"/>
      <c r="CP142"/>
      <c r="CQ142"/>
      <c r="CR142"/>
      <c r="CS142"/>
      <c r="CT142"/>
      <c r="CY142" s="338">
        <f t="shared" si="22"/>
        <v>40299</v>
      </c>
      <c r="CZ142" s="337">
        <f t="shared" si="23"/>
        <v>0.85000000000000009</v>
      </c>
      <c r="DA142" s="337">
        <f t="shared" si="24"/>
        <v>1.1000000000000001</v>
      </c>
      <c r="DB142" s="337">
        <f t="shared" si="25"/>
        <v>1.4000000000000001</v>
      </c>
      <c r="DD142" s="337">
        <f t="shared" si="26"/>
        <v>8.6359925367514564E-2</v>
      </c>
      <c r="DE142" s="337">
        <f t="shared" si="27"/>
        <v>0.17271985073502913</v>
      </c>
      <c r="DF142" s="337">
        <f t="shared" si="28"/>
        <v>0.25907977610254368</v>
      </c>
      <c r="DH142" s="338">
        <f t="shared" si="29"/>
        <v>40299</v>
      </c>
      <c r="DI142" s="20">
        <v>0.9</v>
      </c>
    </row>
    <row r="143" spans="1:113">
      <c r="A143" s="34">
        <f t="shared" ca="1" si="30"/>
        <v>40575</v>
      </c>
      <c r="B143" s="20">
        <f>'Gas Curves'!C147</f>
        <v>7.4201479560880995E-2</v>
      </c>
      <c r="C143" s="20"/>
      <c r="D143" s="75">
        <v>39448</v>
      </c>
      <c r="E143" s="76">
        <v>35.75</v>
      </c>
      <c r="F143" s="76">
        <v>37.049999999999997</v>
      </c>
      <c r="G143" s="76">
        <v>38.35</v>
      </c>
      <c r="H143" s="56"/>
      <c r="I143" s="76">
        <v>20.140000915527345</v>
      </c>
      <c r="J143" s="76">
        <v>20.790000915527344</v>
      </c>
      <c r="K143" s="76">
        <v>21.440000915527342</v>
      </c>
      <c r="L143" s="27"/>
      <c r="M143" s="28">
        <v>40330</v>
      </c>
      <c r="N143" s="77">
        <v>22.126250152587886</v>
      </c>
      <c r="O143" s="77">
        <v>27.458750152587886</v>
      </c>
      <c r="P143" s="77">
        <v>32.791250152587885</v>
      </c>
      <c r="Q143" s="26"/>
      <c r="R143" s="77">
        <v>16.642499542236322</v>
      </c>
      <c r="S143" s="77">
        <v>20.942499542236323</v>
      </c>
      <c r="T143" s="77">
        <v>25.242499542236324</v>
      </c>
      <c r="U143" s="26"/>
      <c r="V143" s="77">
        <v>0.3</v>
      </c>
      <c r="W143" s="77">
        <v>0.3</v>
      </c>
      <c r="X143" s="77">
        <v>0.3</v>
      </c>
      <c r="Y143" s="26"/>
      <c r="Z143" s="77">
        <v>0.10826897047306627</v>
      </c>
      <c r="AA143" s="77">
        <v>0.21653794094613255</v>
      </c>
      <c r="AB143" s="77">
        <v>0.32480691141919882</v>
      </c>
      <c r="AC143" s="26"/>
      <c r="AD143" s="77">
        <v>3.6768276309939604E-2</v>
      </c>
      <c r="AE143" s="77">
        <v>7.3536552619879209E-2</v>
      </c>
      <c r="AF143" s="77">
        <v>0.11030482892981881</v>
      </c>
      <c r="AG143" s="26"/>
      <c r="AH143" s="77">
        <v>-0.35</v>
      </c>
      <c r="AI143" s="77">
        <v>2</v>
      </c>
      <c r="AJ143" s="77">
        <v>0.3</v>
      </c>
      <c r="AK143" s="26"/>
      <c r="AL143" s="77">
        <v>-0.15</v>
      </c>
      <c r="AM143" s="77">
        <v>0.65</v>
      </c>
      <c r="AN143" s="77">
        <v>0.2</v>
      </c>
      <c r="AO143" s="26"/>
      <c r="AP143" s="27">
        <v>42</v>
      </c>
      <c r="AQ143" s="78">
        <v>0.4</v>
      </c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8">
        <v>40330</v>
      </c>
      <c r="BI143" s="80">
        <v>0.9</v>
      </c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/>
      <c r="CM143" s="106"/>
      <c r="CN143" s="106"/>
      <c r="CO143" s="81"/>
      <c r="CP143"/>
      <c r="CQ143"/>
      <c r="CR143"/>
      <c r="CS143"/>
      <c r="CT143"/>
      <c r="CY143" s="338">
        <f t="shared" si="22"/>
        <v>40330</v>
      </c>
      <c r="CZ143" s="337">
        <f t="shared" si="23"/>
        <v>1.65</v>
      </c>
      <c r="DA143" s="337">
        <f t="shared" si="24"/>
        <v>2</v>
      </c>
      <c r="DB143" s="337">
        <f t="shared" si="25"/>
        <v>2.2999999999999998</v>
      </c>
      <c r="DD143" s="337">
        <f t="shared" si="26"/>
        <v>0.10826897047306627</v>
      </c>
      <c r="DE143" s="337">
        <f t="shared" si="27"/>
        <v>0.21653794094613255</v>
      </c>
      <c r="DF143" s="337">
        <f t="shared" si="28"/>
        <v>0.32480691141919882</v>
      </c>
      <c r="DH143" s="338">
        <f t="shared" si="29"/>
        <v>40330</v>
      </c>
      <c r="DI143" s="20">
        <v>0.9</v>
      </c>
    </row>
    <row r="144" spans="1:113">
      <c r="A144" s="34">
        <f t="shared" ca="1" si="30"/>
        <v>40603</v>
      </c>
      <c r="B144" s="20">
        <f>'Gas Curves'!C148</f>
        <v>7.4201213364084001E-2</v>
      </c>
      <c r="C144" s="20"/>
      <c r="D144" s="75">
        <v>39479</v>
      </c>
      <c r="E144" s="76">
        <v>35.75</v>
      </c>
      <c r="F144" s="76">
        <v>37.049999999999997</v>
      </c>
      <c r="G144" s="76">
        <v>38.35</v>
      </c>
      <c r="H144" s="56"/>
      <c r="I144" s="76">
        <v>19.949997711181641</v>
      </c>
      <c r="J144" s="76">
        <v>20.59999771118164</v>
      </c>
      <c r="K144" s="76">
        <v>21.249997711181638</v>
      </c>
      <c r="L144" s="27"/>
      <c r="M144" s="28">
        <v>40360</v>
      </c>
      <c r="N144" s="77">
        <v>36.911249542236348</v>
      </c>
      <c r="O144" s="77">
        <v>40.661249542236348</v>
      </c>
      <c r="P144" s="77">
        <v>44.411249542236348</v>
      </c>
      <c r="Q144" s="26"/>
      <c r="R144" s="77">
        <v>25.847499465942377</v>
      </c>
      <c r="S144" s="77">
        <v>30.147499465942378</v>
      </c>
      <c r="T144" s="77">
        <v>34.447499465942379</v>
      </c>
      <c r="U144" s="26"/>
      <c r="V144" s="77">
        <v>0.3</v>
      </c>
      <c r="W144" s="77">
        <v>0.3</v>
      </c>
      <c r="X144" s="77">
        <v>0.3</v>
      </c>
      <c r="Y144" s="26"/>
      <c r="Z144" s="77">
        <v>0.1281218268793915</v>
      </c>
      <c r="AA144" s="77">
        <v>0.256243653758783</v>
      </c>
      <c r="AB144" s="77">
        <v>0.38436548063817449</v>
      </c>
      <c r="AC144" s="26"/>
      <c r="AD144" s="77">
        <v>4.9024368413252799E-2</v>
      </c>
      <c r="AE144" s="77">
        <v>9.8048736826505598E-2</v>
      </c>
      <c r="AF144" s="77">
        <v>0.14707310523975839</v>
      </c>
      <c r="AG144" s="26"/>
      <c r="AH144" s="77">
        <v>-0.35</v>
      </c>
      <c r="AI144" s="77">
        <v>3</v>
      </c>
      <c r="AJ144" s="77">
        <v>0.5</v>
      </c>
      <c r="AK144" s="26"/>
      <c r="AL144" s="77">
        <v>-0.15</v>
      </c>
      <c r="AM144" s="77">
        <v>0.75</v>
      </c>
      <c r="AN144" s="77">
        <v>0.2</v>
      </c>
      <c r="AO144" s="26"/>
      <c r="AP144" s="27">
        <v>42</v>
      </c>
      <c r="AQ144" s="78">
        <v>0.4</v>
      </c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8">
        <v>40360</v>
      </c>
      <c r="BI144" s="80">
        <v>0.9</v>
      </c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/>
      <c r="CM144" s="106"/>
      <c r="CN144" s="106"/>
      <c r="CO144" s="81"/>
      <c r="CP144"/>
      <c r="CQ144"/>
      <c r="CR144"/>
      <c r="CS144"/>
      <c r="CT144"/>
      <c r="CY144" s="338">
        <f t="shared" si="22"/>
        <v>40360</v>
      </c>
      <c r="CZ144" s="337">
        <f t="shared" si="23"/>
        <v>2.65</v>
      </c>
      <c r="DA144" s="337">
        <f t="shared" si="24"/>
        <v>3</v>
      </c>
      <c r="DB144" s="337">
        <f t="shared" si="25"/>
        <v>3.5</v>
      </c>
      <c r="DD144" s="337">
        <f t="shared" si="26"/>
        <v>0.1281218268793915</v>
      </c>
      <c r="DE144" s="337">
        <f t="shared" si="27"/>
        <v>0.256243653758783</v>
      </c>
      <c r="DF144" s="337">
        <f t="shared" si="28"/>
        <v>0.38436548063817449</v>
      </c>
      <c r="DH144" s="338">
        <f t="shared" si="29"/>
        <v>40360</v>
      </c>
      <c r="DI144" s="20">
        <v>0.9</v>
      </c>
    </row>
    <row r="145" spans="1:113">
      <c r="A145" s="34">
        <f t="shared" ca="1" si="30"/>
        <v>40634</v>
      </c>
      <c r="B145" s="20">
        <f>'Gas Curves'!C149</f>
        <v>7.4200918646201999E-2</v>
      </c>
      <c r="C145" s="20"/>
      <c r="D145" s="75">
        <v>39508</v>
      </c>
      <c r="E145" s="76">
        <v>32.549999999999997</v>
      </c>
      <c r="F145" s="76">
        <v>33.299999999999997</v>
      </c>
      <c r="G145" s="76">
        <v>34.049999999999997</v>
      </c>
      <c r="H145" s="56"/>
      <c r="I145" s="76">
        <v>19.224999618530273</v>
      </c>
      <c r="J145" s="76">
        <v>19.599999618530273</v>
      </c>
      <c r="K145" s="76">
        <v>19.974999618530273</v>
      </c>
      <c r="L145" s="27"/>
      <c r="M145" s="28">
        <v>40391</v>
      </c>
      <c r="N145" s="77">
        <v>39.172499084472676</v>
      </c>
      <c r="O145" s="77">
        <v>42.922499084472676</v>
      </c>
      <c r="P145" s="77">
        <v>46.672499084472676</v>
      </c>
      <c r="Q145" s="26"/>
      <c r="R145" s="77">
        <v>27.345000839233393</v>
      </c>
      <c r="S145" s="77">
        <v>31.645000839233393</v>
      </c>
      <c r="T145" s="77">
        <v>35.945000839233394</v>
      </c>
      <c r="U145" s="26"/>
      <c r="V145" s="77">
        <v>0.3</v>
      </c>
      <c r="W145" s="77">
        <v>0.3</v>
      </c>
      <c r="X145" s="77">
        <v>0.3</v>
      </c>
      <c r="Y145" s="26"/>
      <c r="Z145" s="77">
        <v>0.12606563818016495</v>
      </c>
      <c r="AA145" s="77">
        <v>0.25213127636032989</v>
      </c>
      <c r="AB145" s="77">
        <v>0.37819691454049487</v>
      </c>
      <c r="AC145" s="26"/>
      <c r="AD145" s="77">
        <v>4.9024368413252799E-2</v>
      </c>
      <c r="AE145" s="77">
        <v>9.8048736826505598E-2</v>
      </c>
      <c r="AF145" s="77">
        <v>0.14707310523975839</v>
      </c>
      <c r="AG145" s="26"/>
      <c r="AH145" s="77">
        <v>-0.35</v>
      </c>
      <c r="AI145" s="77">
        <v>3</v>
      </c>
      <c r="AJ145" s="77">
        <v>0.5</v>
      </c>
      <c r="AK145" s="26"/>
      <c r="AL145" s="77">
        <v>-0.15</v>
      </c>
      <c r="AM145" s="77">
        <v>0.75</v>
      </c>
      <c r="AN145" s="77">
        <v>0.2</v>
      </c>
      <c r="AO145" s="26"/>
      <c r="AP145" s="27">
        <v>43</v>
      </c>
      <c r="AQ145" s="78">
        <v>0.4</v>
      </c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8">
        <v>40391</v>
      </c>
      <c r="BI145" s="80">
        <v>0.9</v>
      </c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/>
      <c r="CM145" s="106"/>
      <c r="CN145" s="106"/>
      <c r="CO145" s="81"/>
      <c r="CP145"/>
      <c r="CQ145"/>
      <c r="CR145"/>
      <c r="CS145"/>
      <c r="CT145"/>
      <c r="CY145" s="338">
        <f t="shared" si="22"/>
        <v>40391</v>
      </c>
      <c r="CZ145" s="337">
        <f t="shared" si="23"/>
        <v>2.65</v>
      </c>
      <c r="DA145" s="337">
        <f t="shared" si="24"/>
        <v>3</v>
      </c>
      <c r="DB145" s="337">
        <f t="shared" si="25"/>
        <v>3.5</v>
      </c>
      <c r="DD145" s="337">
        <f t="shared" si="26"/>
        <v>0.12606563818016495</v>
      </c>
      <c r="DE145" s="337">
        <f t="shared" si="27"/>
        <v>0.25213127636032989</v>
      </c>
      <c r="DF145" s="337">
        <f t="shared" si="28"/>
        <v>0.37819691454049487</v>
      </c>
      <c r="DH145" s="338">
        <f t="shared" si="29"/>
        <v>40391</v>
      </c>
      <c r="DI145" s="20">
        <v>0.9</v>
      </c>
    </row>
    <row r="146" spans="1:113">
      <c r="A146" s="34">
        <f t="shared" ca="1" si="30"/>
        <v>40664</v>
      </c>
      <c r="B146" s="20">
        <f>'Gas Curves'!C150</f>
        <v>7.4200633435347996E-2</v>
      </c>
      <c r="C146" s="20"/>
      <c r="D146" s="75">
        <v>39539</v>
      </c>
      <c r="E146" s="76">
        <v>31.45</v>
      </c>
      <c r="F146" s="76">
        <v>32.049999999999997</v>
      </c>
      <c r="G146" s="76">
        <v>32.65</v>
      </c>
      <c r="H146" s="56"/>
      <c r="I146" s="76">
        <v>19.299997711181639</v>
      </c>
      <c r="J146" s="76">
        <v>19.59999771118164</v>
      </c>
      <c r="K146" s="76">
        <v>19.899997711181641</v>
      </c>
      <c r="L146" s="27"/>
      <c r="M146" s="28">
        <v>40422</v>
      </c>
      <c r="N146" s="77">
        <v>23.104999160766596</v>
      </c>
      <c r="O146" s="77">
        <v>24.304999160766595</v>
      </c>
      <c r="P146" s="77">
        <v>25.504999160766594</v>
      </c>
      <c r="Q146" s="26"/>
      <c r="R146" s="77">
        <v>20.5</v>
      </c>
      <c r="S146" s="77">
        <v>24.8</v>
      </c>
      <c r="T146" s="77">
        <v>29.1</v>
      </c>
      <c r="U146" s="26"/>
      <c r="V146" s="77">
        <v>0.8</v>
      </c>
      <c r="W146" s="77">
        <v>0.8</v>
      </c>
      <c r="X146" s="77">
        <v>0.8</v>
      </c>
      <c r="Y146" s="26"/>
      <c r="Z146" s="77">
        <v>8.3523803023753826E-2</v>
      </c>
      <c r="AA146" s="77">
        <v>0.16704760604750765</v>
      </c>
      <c r="AB146" s="77">
        <v>0.25057140907126146</v>
      </c>
      <c r="AC146" s="26"/>
      <c r="AD146" s="77">
        <v>3.2682912275501866E-2</v>
      </c>
      <c r="AE146" s="77">
        <v>6.5365824551003732E-2</v>
      </c>
      <c r="AF146" s="77">
        <v>9.8048736826505598E-2</v>
      </c>
      <c r="AG146" s="26"/>
      <c r="AH146" s="77">
        <v>-0.35</v>
      </c>
      <c r="AI146" s="77">
        <v>1.5</v>
      </c>
      <c r="AJ146" s="77">
        <v>0.3</v>
      </c>
      <c r="AK146" s="26"/>
      <c r="AL146" s="77">
        <v>-0.15</v>
      </c>
      <c r="AM146" s="77">
        <v>0.4</v>
      </c>
      <c r="AN146" s="77">
        <v>0.2</v>
      </c>
      <c r="AO146" s="26"/>
      <c r="AP146" s="27">
        <v>43</v>
      </c>
      <c r="AQ146" s="78">
        <v>0.4</v>
      </c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8">
        <v>40422</v>
      </c>
      <c r="BI146" s="80">
        <v>0.9</v>
      </c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/>
      <c r="CM146" s="106"/>
      <c r="CN146" s="106"/>
      <c r="CO146" s="81"/>
      <c r="CP146"/>
      <c r="CQ146"/>
      <c r="CR146"/>
      <c r="CS146"/>
      <c r="CT146"/>
      <c r="CY146" s="338">
        <f t="shared" si="22"/>
        <v>40422</v>
      </c>
      <c r="CZ146" s="337">
        <f t="shared" si="23"/>
        <v>1.1499999999999999</v>
      </c>
      <c r="DA146" s="337">
        <f t="shared" si="24"/>
        <v>1.5</v>
      </c>
      <c r="DB146" s="337">
        <f t="shared" si="25"/>
        <v>1.8</v>
      </c>
      <c r="DD146" s="337">
        <f t="shared" si="26"/>
        <v>8.3523803023753826E-2</v>
      </c>
      <c r="DE146" s="337">
        <f t="shared" si="27"/>
        <v>0.16704760604750765</v>
      </c>
      <c r="DF146" s="337">
        <f t="shared" si="28"/>
        <v>0.25057140907126146</v>
      </c>
      <c r="DH146" s="338">
        <f t="shared" si="29"/>
        <v>40422</v>
      </c>
      <c r="DI146" s="20">
        <v>0.9</v>
      </c>
    </row>
    <row r="147" spans="1:113">
      <c r="A147" s="34">
        <f t="shared" ca="1" si="30"/>
        <v>40695</v>
      </c>
      <c r="B147" s="20">
        <f>'Gas Curves'!C151</f>
        <v>7.4200338717466008E-2</v>
      </c>
      <c r="C147" s="20"/>
      <c r="D147" s="75">
        <v>39569</v>
      </c>
      <c r="E147" s="76">
        <v>32.01</v>
      </c>
      <c r="F147" s="76">
        <v>34.049999999999997</v>
      </c>
      <c r="G147" s="76">
        <v>36.090000000000003</v>
      </c>
      <c r="H147" s="56"/>
      <c r="I147" s="76">
        <v>18.57999771118164</v>
      </c>
      <c r="J147" s="76">
        <v>19.59999771118164</v>
      </c>
      <c r="K147" s="76">
        <v>20.619997711181639</v>
      </c>
      <c r="L147" s="27"/>
      <c r="M147" s="28">
        <v>40452</v>
      </c>
      <c r="N147" s="77">
        <v>23.313000106811518</v>
      </c>
      <c r="O147" s="77">
        <v>24.400500106811517</v>
      </c>
      <c r="P147" s="77">
        <v>25.488000106811516</v>
      </c>
      <c r="Q147" s="26"/>
      <c r="R147" s="77">
        <v>18.100999832153313</v>
      </c>
      <c r="S147" s="77">
        <v>22.400999832153314</v>
      </c>
      <c r="T147" s="77">
        <v>26.700999832153315</v>
      </c>
      <c r="U147" s="26"/>
      <c r="V147" s="77">
        <v>0.8</v>
      </c>
      <c r="W147" s="77">
        <v>0.8</v>
      </c>
      <c r="X147" s="77">
        <v>0.8</v>
      </c>
      <c r="Y147" s="26"/>
      <c r="Z147" s="77">
        <v>7.629169104716392E-2</v>
      </c>
      <c r="AA147" s="77">
        <v>0.15258338209432784</v>
      </c>
      <c r="AB147" s="77">
        <v>0.22887507314149175</v>
      </c>
      <c r="AC147" s="26"/>
      <c r="AD147" s="77">
        <v>2.4512184206626399E-2</v>
      </c>
      <c r="AE147" s="77">
        <v>4.9024368413252799E-2</v>
      </c>
      <c r="AF147" s="77">
        <v>7.3536552619879195E-2</v>
      </c>
      <c r="AG147" s="26"/>
      <c r="AH147" s="77">
        <v>-0.25</v>
      </c>
      <c r="AI147" s="77">
        <v>1.1000000000000001</v>
      </c>
      <c r="AJ147" s="77">
        <v>0.3</v>
      </c>
      <c r="AK147" s="26"/>
      <c r="AL147" s="77">
        <v>-0.15</v>
      </c>
      <c r="AM147" s="77">
        <v>0.35</v>
      </c>
      <c r="AN147" s="77">
        <v>0.2</v>
      </c>
      <c r="AO147" s="26"/>
      <c r="AP147" s="27">
        <v>43</v>
      </c>
      <c r="AQ147" s="78">
        <v>0.4</v>
      </c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8">
        <v>40452</v>
      </c>
      <c r="BI147" s="80">
        <v>0.9</v>
      </c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/>
      <c r="CM147" s="106"/>
      <c r="CN147" s="106"/>
      <c r="CO147" s="81"/>
      <c r="CP147"/>
      <c r="CQ147"/>
      <c r="CR147"/>
      <c r="CS147"/>
      <c r="CT147"/>
      <c r="CY147" s="338">
        <f t="shared" si="22"/>
        <v>40452</v>
      </c>
      <c r="CZ147" s="337">
        <f t="shared" si="23"/>
        <v>0.85000000000000009</v>
      </c>
      <c r="DA147" s="337">
        <f t="shared" si="24"/>
        <v>1.1000000000000001</v>
      </c>
      <c r="DB147" s="337">
        <f t="shared" si="25"/>
        <v>1.4000000000000001</v>
      </c>
      <c r="DD147" s="337">
        <f t="shared" si="26"/>
        <v>7.629169104716392E-2</v>
      </c>
      <c r="DE147" s="337">
        <f t="shared" si="27"/>
        <v>0.15258338209432784</v>
      </c>
      <c r="DF147" s="337">
        <f t="shared" si="28"/>
        <v>0.22887507314149175</v>
      </c>
      <c r="DH147" s="338">
        <f t="shared" si="29"/>
        <v>40452</v>
      </c>
      <c r="DI147" s="20">
        <v>0.9</v>
      </c>
    </row>
    <row r="148" spans="1:113">
      <c r="A148" s="34">
        <f t="shared" ca="1" si="30"/>
        <v>40725</v>
      </c>
      <c r="B148" s="20">
        <f>'Gas Curves'!C152</f>
        <v>7.4200053506613003E-2</v>
      </c>
      <c r="C148" s="20"/>
      <c r="D148" s="75">
        <v>39600</v>
      </c>
      <c r="E148" s="76">
        <v>44.38</v>
      </c>
      <c r="F148" s="76">
        <v>50.25</v>
      </c>
      <c r="G148" s="76">
        <v>56.12</v>
      </c>
      <c r="H148" s="56"/>
      <c r="I148" s="76">
        <v>16.619998779296875</v>
      </c>
      <c r="J148" s="76">
        <v>19.554998779296874</v>
      </c>
      <c r="K148" s="76">
        <v>22.489998779296872</v>
      </c>
      <c r="L148" s="27"/>
      <c r="M148" s="28">
        <v>40483</v>
      </c>
      <c r="N148" s="77">
        <v>24.317251586914058</v>
      </c>
      <c r="O148" s="77">
        <v>25.404751586914056</v>
      </c>
      <c r="P148" s="77">
        <v>26.492251586914055</v>
      </c>
      <c r="Q148" s="26"/>
      <c r="R148" s="77">
        <v>19.104499816894524</v>
      </c>
      <c r="S148" s="77">
        <v>23.404499816894525</v>
      </c>
      <c r="T148" s="77">
        <v>27.704499816894526</v>
      </c>
      <c r="U148" s="26"/>
      <c r="V148" s="77">
        <v>0.8</v>
      </c>
      <c r="W148" s="77">
        <v>0.8</v>
      </c>
      <c r="X148" s="77">
        <v>0.8</v>
      </c>
      <c r="Y148" s="26"/>
      <c r="Z148" s="77">
        <v>7.629169104716392E-2</v>
      </c>
      <c r="AA148" s="77">
        <v>0.15258338209432784</v>
      </c>
      <c r="AB148" s="77">
        <v>0.22887507314149175</v>
      </c>
      <c r="AC148" s="26"/>
      <c r="AD148" s="77">
        <v>2.4512184206626399E-2</v>
      </c>
      <c r="AE148" s="77">
        <v>4.9024368413252799E-2</v>
      </c>
      <c r="AF148" s="77">
        <v>7.3536552619879195E-2</v>
      </c>
      <c r="AG148" s="26"/>
      <c r="AH148" s="77">
        <v>-0.25</v>
      </c>
      <c r="AI148" s="77">
        <v>1.25</v>
      </c>
      <c r="AJ148" s="77">
        <v>0.3</v>
      </c>
      <c r="AK148" s="26"/>
      <c r="AL148" s="77">
        <v>-0.15</v>
      </c>
      <c r="AM148" s="77">
        <v>0.3</v>
      </c>
      <c r="AN148" s="77">
        <v>0.2</v>
      </c>
      <c r="AO148" s="26"/>
      <c r="AP148" s="27">
        <v>44</v>
      </c>
      <c r="AQ148" s="78">
        <v>0.4</v>
      </c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8">
        <v>40483</v>
      </c>
      <c r="BI148" s="80">
        <v>0.9</v>
      </c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/>
      <c r="CM148" s="106"/>
      <c r="CN148" s="106"/>
      <c r="CO148" s="81"/>
      <c r="CP148"/>
      <c r="CQ148"/>
      <c r="CR148"/>
      <c r="CS148"/>
      <c r="CT148"/>
      <c r="CY148" s="338">
        <f t="shared" ref="CY148:CY211" si="31">M148</f>
        <v>40483</v>
      </c>
      <c r="CZ148" s="337">
        <f t="shared" ref="CZ148:CZ211" si="32">AI148+AH148</f>
        <v>1</v>
      </c>
      <c r="DA148" s="337">
        <f t="shared" ref="DA148:DA211" si="33">AI148</f>
        <v>1.25</v>
      </c>
      <c r="DB148" s="337">
        <f t="shared" ref="DB148:DB211" si="34">AI148+AJ148</f>
        <v>1.55</v>
      </c>
      <c r="DD148" s="337">
        <f t="shared" ref="DD148:DD211" si="35">Z148</f>
        <v>7.629169104716392E-2</v>
      </c>
      <c r="DE148" s="337">
        <f t="shared" ref="DE148:DE211" si="36">AA148</f>
        <v>0.15258338209432784</v>
      </c>
      <c r="DF148" s="337">
        <f t="shared" ref="DF148:DF211" si="37">AB148</f>
        <v>0.22887507314149175</v>
      </c>
      <c r="DH148" s="338">
        <f t="shared" ref="DH148:DH211" si="38">BH148</f>
        <v>40483</v>
      </c>
      <c r="DI148" s="20">
        <v>0.9</v>
      </c>
    </row>
    <row r="149" spans="1:113">
      <c r="A149" s="34">
        <f t="shared" ca="1" si="30"/>
        <v>40756</v>
      </c>
      <c r="B149" s="20">
        <f>'Gas Curves'!C153</f>
        <v>7.4199758788731002E-2</v>
      </c>
      <c r="C149" s="20"/>
      <c r="D149" s="75">
        <v>39630</v>
      </c>
      <c r="E149" s="76">
        <v>67.5</v>
      </c>
      <c r="F149" s="76">
        <v>72.5</v>
      </c>
      <c r="G149" s="76">
        <v>77.5</v>
      </c>
      <c r="H149" s="56"/>
      <c r="I149" s="76">
        <v>21.549997711181639</v>
      </c>
      <c r="J149" s="76">
        <v>24.049997711181639</v>
      </c>
      <c r="K149" s="76">
        <v>26.549997711181639</v>
      </c>
      <c r="L149" s="27"/>
      <c r="M149" s="28">
        <v>40513</v>
      </c>
      <c r="N149" s="77">
        <v>25.767498397827143</v>
      </c>
      <c r="O149" s="77">
        <v>26.854998397827142</v>
      </c>
      <c r="P149" s="77">
        <v>27.942498397827141</v>
      </c>
      <c r="Q149" s="26"/>
      <c r="R149" s="77">
        <v>19.04999923706054</v>
      </c>
      <c r="S149" s="77">
        <v>23.34999923706054</v>
      </c>
      <c r="T149" s="77">
        <v>27.649999237060541</v>
      </c>
      <c r="U149" s="26"/>
      <c r="V149" s="77">
        <v>0.8</v>
      </c>
      <c r="W149" s="77">
        <v>0.8</v>
      </c>
      <c r="X149" s="77">
        <v>0.8</v>
      </c>
      <c r="Y149" s="26"/>
      <c r="Z149" s="77">
        <v>7.9014368497174248E-2</v>
      </c>
      <c r="AA149" s="77">
        <v>0.1580287369943485</v>
      </c>
      <c r="AB149" s="77">
        <v>0.23704310549152274</v>
      </c>
      <c r="AC149" s="26"/>
      <c r="AD149" s="77">
        <v>2.4512184206626399E-2</v>
      </c>
      <c r="AE149" s="77">
        <v>4.9024368413252799E-2</v>
      </c>
      <c r="AF149" s="77">
        <v>7.3536552619879195E-2</v>
      </c>
      <c r="AG149" s="26"/>
      <c r="AH149" s="77">
        <v>-0.25</v>
      </c>
      <c r="AI149" s="77">
        <v>1.25</v>
      </c>
      <c r="AJ149" s="77">
        <v>0.35</v>
      </c>
      <c r="AK149" s="26"/>
      <c r="AL149" s="77">
        <v>-0.15</v>
      </c>
      <c r="AM149" s="77">
        <v>0.3</v>
      </c>
      <c r="AN149" s="77">
        <v>0.2</v>
      </c>
      <c r="AO149" s="26"/>
      <c r="AP149" s="27">
        <v>44</v>
      </c>
      <c r="AQ149" s="78">
        <v>0.4</v>
      </c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8">
        <v>40513</v>
      </c>
      <c r="BI149" s="80">
        <v>0.9</v>
      </c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/>
      <c r="CM149" s="106"/>
      <c r="CN149" s="106"/>
      <c r="CO149" s="81"/>
      <c r="CP149"/>
      <c r="CQ149"/>
      <c r="CR149"/>
      <c r="CS149"/>
      <c r="CT149"/>
      <c r="CY149" s="338">
        <f t="shared" si="31"/>
        <v>40513</v>
      </c>
      <c r="CZ149" s="337">
        <f t="shared" si="32"/>
        <v>1</v>
      </c>
      <c r="DA149" s="337">
        <f t="shared" si="33"/>
        <v>1.25</v>
      </c>
      <c r="DB149" s="337">
        <f t="shared" si="34"/>
        <v>1.6</v>
      </c>
      <c r="DD149" s="337">
        <f t="shared" si="35"/>
        <v>7.9014368497174248E-2</v>
      </c>
      <c r="DE149" s="337">
        <f t="shared" si="36"/>
        <v>0.1580287369943485</v>
      </c>
      <c r="DF149" s="337">
        <f t="shared" si="37"/>
        <v>0.23704310549152274</v>
      </c>
      <c r="DH149" s="338">
        <f t="shared" si="38"/>
        <v>40513</v>
      </c>
      <c r="DI149" s="20">
        <v>0.9</v>
      </c>
    </row>
    <row r="150" spans="1:113">
      <c r="A150" s="34">
        <f t="shared" ca="1" si="30"/>
        <v>40787</v>
      </c>
      <c r="B150" s="20">
        <f>'Gas Curves'!C154</f>
        <v>7.4199464070849E-2</v>
      </c>
      <c r="C150" s="20"/>
      <c r="D150" s="75">
        <v>39661</v>
      </c>
      <c r="E150" s="76">
        <v>63</v>
      </c>
      <c r="F150" s="76">
        <v>68</v>
      </c>
      <c r="G150" s="76">
        <v>73</v>
      </c>
      <c r="H150" s="56"/>
      <c r="I150" s="76">
        <v>21.899998092651366</v>
      </c>
      <c r="J150" s="76">
        <v>24.399998092651366</v>
      </c>
      <c r="K150" s="76">
        <v>26.899998092651366</v>
      </c>
      <c r="L150" s="27"/>
      <c r="M150" s="28">
        <v>40544</v>
      </c>
      <c r="N150" s="77">
        <v>29.048748397827143</v>
      </c>
      <c r="O150" s="77">
        <v>30.248748397827143</v>
      </c>
      <c r="P150" s="77">
        <v>31.448748397827142</v>
      </c>
      <c r="Q150" s="26"/>
      <c r="R150" s="77">
        <v>24.452500152587884</v>
      </c>
      <c r="S150" s="77">
        <v>28.752500152587885</v>
      </c>
      <c r="T150" s="77">
        <v>33.052500152587882</v>
      </c>
      <c r="U150" s="26"/>
      <c r="V150" s="77">
        <v>0.8</v>
      </c>
      <c r="W150" s="77">
        <v>0.8</v>
      </c>
      <c r="X150" s="77">
        <v>0.8</v>
      </c>
      <c r="Y150" s="26"/>
      <c r="Z150" s="77">
        <v>8.5020645371849793E-2</v>
      </c>
      <c r="AA150" s="77">
        <v>0.17004129074369959</v>
      </c>
      <c r="AB150" s="77">
        <v>0.25506193611554939</v>
      </c>
      <c r="AC150" s="26"/>
      <c r="AD150" s="77">
        <v>2.8025597276242861E-2</v>
      </c>
      <c r="AE150" s="77">
        <v>5.6051194552485722E-2</v>
      </c>
      <c r="AF150" s="77">
        <v>8.4076791828728584E-2</v>
      </c>
      <c r="AG150" s="26"/>
      <c r="AH150" s="77">
        <v>-0.75</v>
      </c>
      <c r="AI150" s="77">
        <v>2</v>
      </c>
      <c r="AJ150" s="77">
        <v>0.75</v>
      </c>
      <c r="AK150" s="26"/>
      <c r="AL150" s="77">
        <v>-0.15</v>
      </c>
      <c r="AM150" s="77">
        <v>0.5</v>
      </c>
      <c r="AN150" s="77">
        <v>0.2</v>
      </c>
      <c r="AO150" s="26"/>
      <c r="AP150" s="27">
        <v>44</v>
      </c>
      <c r="AQ150" s="78">
        <v>0.4</v>
      </c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8">
        <v>40544</v>
      </c>
      <c r="BI150" s="80">
        <v>0.9</v>
      </c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/>
      <c r="CM150" s="106"/>
      <c r="CN150" s="106"/>
      <c r="CO150" s="81"/>
      <c r="CP150"/>
      <c r="CQ150"/>
      <c r="CR150"/>
      <c r="CS150"/>
      <c r="CT150"/>
      <c r="CY150" s="338">
        <f t="shared" si="31"/>
        <v>40544</v>
      </c>
      <c r="CZ150" s="337">
        <f t="shared" si="32"/>
        <v>1.25</v>
      </c>
      <c r="DA150" s="337">
        <f t="shared" si="33"/>
        <v>2</v>
      </c>
      <c r="DB150" s="337">
        <f t="shared" si="34"/>
        <v>2.75</v>
      </c>
      <c r="DD150" s="337">
        <f t="shared" si="35"/>
        <v>8.5020645371849793E-2</v>
      </c>
      <c r="DE150" s="337">
        <f t="shared" si="36"/>
        <v>0.17004129074369959</v>
      </c>
      <c r="DF150" s="337">
        <f t="shared" si="37"/>
        <v>0.25506193611554939</v>
      </c>
      <c r="DH150" s="338">
        <f t="shared" si="38"/>
        <v>40544</v>
      </c>
      <c r="DI150" s="20">
        <v>0.9</v>
      </c>
    </row>
    <row r="151" spans="1:113">
      <c r="A151" s="34">
        <f t="shared" ca="1" si="30"/>
        <v>40817</v>
      </c>
      <c r="B151" s="20">
        <f>'Gas Curves'!C155</f>
        <v>7.4199178860000006E-2</v>
      </c>
      <c r="C151" s="20"/>
      <c r="D151" s="75">
        <v>39692</v>
      </c>
      <c r="E151" s="76">
        <v>31.65</v>
      </c>
      <c r="F151" s="76">
        <v>33.049999999999997</v>
      </c>
      <c r="G151" s="76">
        <v>34.450000000000003</v>
      </c>
      <c r="H151" s="56"/>
      <c r="I151" s="76">
        <v>19.249998092651367</v>
      </c>
      <c r="J151" s="76">
        <v>19.949998092651366</v>
      </c>
      <c r="K151" s="76">
        <v>20.649998092651366</v>
      </c>
      <c r="L151" s="27"/>
      <c r="M151" s="28">
        <v>40575</v>
      </c>
      <c r="N151" s="77">
        <v>28.046250152587884</v>
      </c>
      <c r="O151" s="77">
        <v>29.246250152587884</v>
      </c>
      <c r="P151" s="77">
        <v>30.446250152587883</v>
      </c>
      <c r="Q151" s="26"/>
      <c r="R151" s="77">
        <v>22.447499465942375</v>
      </c>
      <c r="S151" s="77">
        <v>26.747499465942376</v>
      </c>
      <c r="T151" s="77">
        <v>31.047499465942376</v>
      </c>
      <c r="U151" s="26"/>
      <c r="V151" s="77">
        <v>0.8</v>
      </c>
      <c r="W151" s="77">
        <v>0.8</v>
      </c>
      <c r="X151" s="77">
        <v>0.8</v>
      </c>
      <c r="Y151" s="26"/>
      <c r="Z151" s="77">
        <v>8.2026960675657887E-2</v>
      </c>
      <c r="AA151" s="77">
        <v>0.16405392135131577</v>
      </c>
      <c r="AB151" s="77">
        <v>0.24608088202697365</v>
      </c>
      <c r="AC151" s="26"/>
      <c r="AD151" s="77">
        <v>2.8025597276242861E-2</v>
      </c>
      <c r="AE151" s="77">
        <v>5.6051194552485722E-2</v>
      </c>
      <c r="AF151" s="77">
        <v>8.4076791828728584E-2</v>
      </c>
      <c r="AG151" s="26"/>
      <c r="AH151" s="77">
        <v>-0.75</v>
      </c>
      <c r="AI151" s="77">
        <v>2</v>
      </c>
      <c r="AJ151" s="77">
        <v>0.75</v>
      </c>
      <c r="AK151" s="26"/>
      <c r="AL151" s="77">
        <v>-0.15</v>
      </c>
      <c r="AM151" s="77">
        <v>0.5</v>
      </c>
      <c r="AN151" s="77">
        <v>0.2</v>
      </c>
      <c r="AO151" s="26"/>
      <c r="AP151" s="27">
        <v>45</v>
      </c>
      <c r="AQ151" s="78">
        <v>0.4</v>
      </c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8">
        <v>40575</v>
      </c>
      <c r="BI151" s="80">
        <v>0.9</v>
      </c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/>
      <c r="CM151" s="106"/>
      <c r="CN151" s="106"/>
      <c r="CO151" s="81"/>
      <c r="CP151"/>
      <c r="CQ151"/>
      <c r="CR151"/>
      <c r="CS151"/>
      <c r="CT151"/>
      <c r="CY151" s="338">
        <f t="shared" si="31"/>
        <v>40575</v>
      </c>
      <c r="CZ151" s="337">
        <f t="shared" si="32"/>
        <v>1.25</v>
      </c>
      <c r="DA151" s="337">
        <f t="shared" si="33"/>
        <v>2</v>
      </c>
      <c r="DB151" s="337">
        <f t="shared" si="34"/>
        <v>2.75</v>
      </c>
      <c r="DD151" s="337">
        <f t="shared" si="35"/>
        <v>8.2026960675657887E-2</v>
      </c>
      <c r="DE151" s="337">
        <f t="shared" si="36"/>
        <v>0.16405392135131577</v>
      </c>
      <c r="DF151" s="337">
        <f t="shared" si="37"/>
        <v>0.24608088202697365</v>
      </c>
      <c r="DH151" s="338">
        <f t="shared" si="38"/>
        <v>40575</v>
      </c>
      <c r="DI151" s="20">
        <v>0.9</v>
      </c>
    </row>
    <row r="152" spans="1:113">
      <c r="A152" s="34">
        <f t="shared" ca="1" si="30"/>
        <v>40848</v>
      </c>
      <c r="B152" s="20">
        <f>'Gas Curves'!C156</f>
        <v>7.4198884142115007E-2</v>
      </c>
      <c r="C152" s="20"/>
      <c r="D152" s="75">
        <v>39722</v>
      </c>
      <c r="E152" s="76">
        <v>29.55</v>
      </c>
      <c r="F152" s="76">
        <v>30.8</v>
      </c>
      <c r="G152" s="76">
        <v>32.049999999999997</v>
      </c>
      <c r="H152" s="56"/>
      <c r="I152" s="76">
        <v>19.02499885559082</v>
      </c>
      <c r="J152" s="76">
        <v>19.64999885559082</v>
      </c>
      <c r="K152" s="76">
        <v>20.27499885559082</v>
      </c>
      <c r="L152" s="27"/>
      <c r="M152" s="28">
        <v>40603</v>
      </c>
      <c r="N152" s="77">
        <v>21.759749603271477</v>
      </c>
      <c r="O152" s="77">
        <v>22.434749603271477</v>
      </c>
      <c r="P152" s="77">
        <v>23.109749603271478</v>
      </c>
      <c r="Q152" s="26"/>
      <c r="R152" s="77">
        <v>17.76449890136718</v>
      </c>
      <c r="S152" s="77">
        <v>22.06449890136718</v>
      </c>
      <c r="T152" s="77">
        <v>26.364498901367181</v>
      </c>
      <c r="U152" s="26"/>
      <c r="V152" s="77">
        <v>0.3</v>
      </c>
      <c r="W152" s="77">
        <v>0.3</v>
      </c>
      <c r="X152" s="77">
        <v>0.3</v>
      </c>
      <c r="Y152" s="26"/>
      <c r="Z152" s="77">
        <v>7.9953834023545001E-2</v>
      </c>
      <c r="AA152" s="77">
        <v>0.15990766804709</v>
      </c>
      <c r="AB152" s="77">
        <v>0.239861502070635</v>
      </c>
      <c r="AC152" s="26"/>
      <c r="AD152" s="77">
        <v>2.402194052249387E-2</v>
      </c>
      <c r="AE152" s="77">
        <v>4.8043881044987739E-2</v>
      </c>
      <c r="AF152" s="77">
        <v>7.2065821567481606E-2</v>
      </c>
      <c r="AG152" s="26"/>
      <c r="AH152" s="77">
        <v>-0.25</v>
      </c>
      <c r="AI152" s="77">
        <v>1.3</v>
      </c>
      <c r="AJ152" s="77">
        <v>0.3</v>
      </c>
      <c r="AK152" s="26"/>
      <c r="AL152" s="77">
        <v>-0.15</v>
      </c>
      <c r="AM152" s="77">
        <v>0.35</v>
      </c>
      <c r="AN152" s="77">
        <v>0.2</v>
      </c>
      <c r="AO152" s="26"/>
      <c r="AP152" s="27">
        <v>45</v>
      </c>
      <c r="AQ152" s="78">
        <v>0.4</v>
      </c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8">
        <v>40603</v>
      </c>
      <c r="BI152" s="80">
        <v>0.9</v>
      </c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/>
      <c r="CM152" s="106"/>
      <c r="CN152" s="106"/>
      <c r="CO152" s="81"/>
      <c r="CP152"/>
      <c r="CQ152"/>
      <c r="CR152"/>
      <c r="CS152"/>
      <c r="CT152"/>
      <c r="CY152" s="338">
        <f t="shared" si="31"/>
        <v>40603</v>
      </c>
      <c r="CZ152" s="337">
        <f t="shared" si="32"/>
        <v>1.05</v>
      </c>
      <c r="DA152" s="337">
        <f t="shared" si="33"/>
        <v>1.3</v>
      </c>
      <c r="DB152" s="337">
        <f t="shared" si="34"/>
        <v>1.6</v>
      </c>
      <c r="DD152" s="337">
        <f t="shared" si="35"/>
        <v>7.9953834023545001E-2</v>
      </c>
      <c r="DE152" s="337">
        <f t="shared" si="36"/>
        <v>0.15990766804709</v>
      </c>
      <c r="DF152" s="337">
        <f t="shared" si="37"/>
        <v>0.239861502070635</v>
      </c>
      <c r="DH152" s="338">
        <f t="shared" si="38"/>
        <v>40603</v>
      </c>
      <c r="DI152" s="20">
        <v>0.9</v>
      </c>
    </row>
    <row r="153" spans="1:113">
      <c r="A153" s="34">
        <f t="shared" ca="1" si="30"/>
        <v>40878</v>
      </c>
      <c r="B153" s="20">
        <f>'Gas Curves'!C157</f>
        <v>7.4198598931261003E-2</v>
      </c>
      <c r="C153" s="20"/>
      <c r="D153" s="75">
        <v>39753</v>
      </c>
      <c r="E153" s="76">
        <v>29.925000000000001</v>
      </c>
      <c r="F153" s="76">
        <v>31.175000000000001</v>
      </c>
      <c r="G153" s="76">
        <v>32.424999999999997</v>
      </c>
      <c r="H153" s="56"/>
      <c r="I153" s="76">
        <v>18.949998092651366</v>
      </c>
      <c r="J153" s="76">
        <v>19.574998092651366</v>
      </c>
      <c r="K153" s="76">
        <v>20.199998092651366</v>
      </c>
      <c r="L153" s="27"/>
      <c r="M153" s="28">
        <v>40634</v>
      </c>
      <c r="N153" s="77">
        <v>22.555000305175774</v>
      </c>
      <c r="O153" s="77">
        <v>23.117500305175774</v>
      </c>
      <c r="P153" s="77">
        <v>23.680000305175774</v>
      </c>
      <c r="Q153" s="26"/>
      <c r="R153" s="77">
        <v>17.534999084472648</v>
      </c>
      <c r="S153" s="77">
        <v>21.834999084472649</v>
      </c>
      <c r="T153" s="77">
        <v>26.13499908447265</v>
      </c>
      <c r="U153" s="26"/>
      <c r="V153" s="77">
        <v>0.3</v>
      </c>
      <c r="W153" s="77">
        <v>0.3</v>
      </c>
      <c r="X153" s="77">
        <v>0.3</v>
      </c>
      <c r="Y153" s="26"/>
      <c r="Z153" s="77">
        <v>7.1264664192848007E-2</v>
      </c>
      <c r="AA153" s="77">
        <v>0.14252932838569601</v>
      </c>
      <c r="AB153" s="77">
        <v>0.21379399257854403</v>
      </c>
      <c r="AC153" s="26"/>
      <c r="AD153" s="77">
        <v>2.402194052249387E-2</v>
      </c>
      <c r="AE153" s="77">
        <v>4.8043881044987739E-2</v>
      </c>
      <c r="AF153" s="77">
        <v>7.2065821567481606E-2</v>
      </c>
      <c r="AG153" s="26"/>
      <c r="AH153" s="77">
        <v>-0.25</v>
      </c>
      <c r="AI153" s="77">
        <v>1.1000000000000001</v>
      </c>
      <c r="AJ153" s="77">
        <v>0.3</v>
      </c>
      <c r="AK153" s="26"/>
      <c r="AL153" s="77">
        <v>-0.15</v>
      </c>
      <c r="AM153" s="77">
        <v>0.35</v>
      </c>
      <c r="AN153" s="77">
        <v>0.2</v>
      </c>
      <c r="AO153" s="26"/>
      <c r="AP153" s="27">
        <v>45</v>
      </c>
      <c r="AQ153" s="78">
        <v>0.4</v>
      </c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8">
        <v>40634</v>
      </c>
      <c r="BI153" s="80">
        <v>0.9</v>
      </c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/>
      <c r="CM153" s="106"/>
      <c r="CN153" s="106"/>
      <c r="CO153" s="81"/>
      <c r="CP153"/>
      <c r="CQ153"/>
      <c r="CR153"/>
      <c r="CS153"/>
      <c r="CT153"/>
      <c r="CY153" s="338">
        <f t="shared" si="31"/>
        <v>40634</v>
      </c>
      <c r="CZ153" s="337">
        <f t="shared" si="32"/>
        <v>0.85000000000000009</v>
      </c>
      <c r="DA153" s="337">
        <f t="shared" si="33"/>
        <v>1.1000000000000001</v>
      </c>
      <c r="DB153" s="337">
        <f t="shared" si="34"/>
        <v>1.4000000000000001</v>
      </c>
      <c r="DD153" s="337">
        <f t="shared" si="35"/>
        <v>7.1264664192848007E-2</v>
      </c>
      <c r="DE153" s="337">
        <f t="shared" si="36"/>
        <v>0.14252932838569601</v>
      </c>
      <c r="DF153" s="337">
        <f t="shared" si="37"/>
        <v>0.21379399257854403</v>
      </c>
      <c r="DH153" s="338">
        <f t="shared" si="38"/>
        <v>40634</v>
      </c>
      <c r="DI153" s="20">
        <v>0.9</v>
      </c>
    </row>
    <row r="154" spans="1:113">
      <c r="A154" s="34">
        <f t="shared" ca="1" si="30"/>
        <v>40909</v>
      </c>
      <c r="B154" s="20">
        <f>'Gas Curves'!C158</f>
        <v>7.4198304213379002E-2</v>
      </c>
      <c r="C154" s="20"/>
      <c r="D154" s="75">
        <v>39783</v>
      </c>
      <c r="E154" s="76">
        <v>29.8</v>
      </c>
      <c r="F154" s="76">
        <v>31.05</v>
      </c>
      <c r="G154" s="76">
        <v>32.299999999999997</v>
      </c>
      <c r="H154" s="56"/>
      <c r="I154" s="76">
        <v>20.374999237060546</v>
      </c>
      <c r="J154" s="76">
        <v>20.999999237060546</v>
      </c>
      <c r="K154" s="76">
        <v>21.624999237060546</v>
      </c>
      <c r="L154" s="27"/>
      <c r="M154" s="28">
        <v>40664</v>
      </c>
      <c r="N154" s="77">
        <v>21.372500076293939</v>
      </c>
      <c r="O154" s="77">
        <v>23.232500076293938</v>
      </c>
      <c r="P154" s="77">
        <v>25.092500076293938</v>
      </c>
      <c r="Q154" s="26"/>
      <c r="R154" s="77">
        <v>18.064999771118156</v>
      </c>
      <c r="S154" s="77">
        <v>22.364999771118157</v>
      </c>
      <c r="T154" s="77">
        <v>26.664999771118158</v>
      </c>
      <c r="U154" s="26"/>
      <c r="V154" s="77">
        <v>0.3</v>
      </c>
      <c r="W154" s="77">
        <v>0.3</v>
      </c>
      <c r="X154" s="77">
        <v>0.3</v>
      </c>
      <c r="Y154" s="26"/>
      <c r="Z154" s="77">
        <v>8.2041929099138836E-2</v>
      </c>
      <c r="AA154" s="77">
        <v>0.16408385819827767</v>
      </c>
      <c r="AB154" s="77">
        <v>0.24612578729741652</v>
      </c>
      <c r="AC154" s="26"/>
      <c r="AD154" s="77">
        <v>2.8025597276242861E-2</v>
      </c>
      <c r="AE154" s="77">
        <v>5.6051194552485722E-2</v>
      </c>
      <c r="AF154" s="77">
        <v>8.4076791828728584E-2</v>
      </c>
      <c r="AG154" s="26"/>
      <c r="AH154" s="77">
        <v>-0.25</v>
      </c>
      <c r="AI154" s="77">
        <v>1.1000000000000001</v>
      </c>
      <c r="AJ154" s="77">
        <v>0.3</v>
      </c>
      <c r="AK154" s="26"/>
      <c r="AL154" s="77">
        <v>-0.15</v>
      </c>
      <c r="AM154" s="77">
        <v>0.5</v>
      </c>
      <c r="AN154" s="77">
        <v>0.2</v>
      </c>
      <c r="AO154" s="26"/>
      <c r="AP154" s="27">
        <v>46</v>
      </c>
      <c r="AQ154" s="78">
        <v>0.4</v>
      </c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8">
        <v>40664</v>
      </c>
      <c r="BI154" s="80">
        <v>0.9</v>
      </c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/>
      <c r="CM154" s="106"/>
      <c r="CN154" s="106"/>
      <c r="CO154" s="81"/>
      <c r="CP154"/>
      <c r="CQ154"/>
      <c r="CR154"/>
      <c r="CS154"/>
      <c r="CT154"/>
      <c r="CY154" s="338">
        <f t="shared" si="31"/>
        <v>40664</v>
      </c>
      <c r="CZ154" s="337">
        <f t="shared" si="32"/>
        <v>0.85000000000000009</v>
      </c>
      <c r="DA154" s="337">
        <f t="shared" si="33"/>
        <v>1.1000000000000001</v>
      </c>
      <c r="DB154" s="337">
        <f t="shared" si="34"/>
        <v>1.4000000000000001</v>
      </c>
      <c r="DD154" s="337">
        <f t="shared" si="35"/>
        <v>8.2041929099138836E-2</v>
      </c>
      <c r="DE154" s="337">
        <f t="shared" si="36"/>
        <v>0.16408385819827767</v>
      </c>
      <c r="DF154" s="337">
        <f t="shared" si="37"/>
        <v>0.24612578729741652</v>
      </c>
      <c r="DH154" s="338">
        <f t="shared" si="38"/>
        <v>40664</v>
      </c>
      <c r="DI154" s="20">
        <v>0.9</v>
      </c>
    </row>
    <row r="155" spans="1:113">
      <c r="A155" s="34">
        <f t="shared" ca="1" si="30"/>
        <v>40940</v>
      </c>
      <c r="B155" s="20">
        <f>'Gas Curves'!C159</f>
        <v>7.4198009495497999E-2</v>
      </c>
      <c r="C155" s="20"/>
      <c r="D155" s="75">
        <v>39814</v>
      </c>
      <c r="E155" s="76">
        <v>35.75</v>
      </c>
      <c r="F155" s="76">
        <v>37.15</v>
      </c>
      <c r="G155" s="76">
        <v>38.549999999999997</v>
      </c>
      <c r="H155" s="56"/>
      <c r="I155" s="76">
        <v>20.290000915527344</v>
      </c>
      <c r="J155" s="76">
        <v>20.990000915527343</v>
      </c>
      <c r="K155" s="76">
        <v>21.690000915527342</v>
      </c>
      <c r="L155" s="27"/>
      <c r="M155" s="28">
        <v>40695</v>
      </c>
      <c r="N155" s="77">
        <v>22.326250152587885</v>
      </c>
      <c r="O155" s="77">
        <v>27.658750152587885</v>
      </c>
      <c r="P155" s="77">
        <v>32.991250152587881</v>
      </c>
      <c r="Q155" s="26"/>
      <c r="R155" s="77">
        <v>16.842499542236322</v>
      </c>
      <c r="S155" s="77">
        <v>21.142499542236322</v>
      </c>
      <c r="T155" s="77">
        <v>25.442499542236323</v>
      </c>
      <c r="U155" s="26"/>
      <c r="V155" s="77">
        <v>0.3</v>
      </c>
      <c r="W155" s="77">
        <v>0.3</v>
      </c>
      <c r="X155" s="77">
        <v>0.3</v>
      </c>
      <c r="Y155" s="26"/>
      <c r="Z155" s="77">
        <v>0.10285552194941296</v>
      </c>
      <c r="AA155" s="77">
        <v>0.20571104389882591</v>
      </c>
      <c r="AB155" s="77">
        <v>0.30856656584823888</v>
      </c>
      <c r="AC155" s="26"/>
      <c r="AD155" s="77">
        <v>3.603291078374081E-2</v>
      </c>
      <c r="AE155" s="77">
        <v>7.2065821567481619E-2</v>
      </c>
      <c r="AF155" s="77">
        <v>0.10809873235122243</v>
      </c>
      <c r="AG155" s="26"/>
      <c r="AH155" s="77">
        <v>-0.35</v>
      </c>
      <c r="AI155" s="77">
        <v>2</v>
      </c>
      <c r="AJ155" s="77">
        <v>0.3</v>
      </c>
      <c r="AK155" s="26"/>
      <c r="AL155" s="77">
        <v>-0.15</v>
      </c>
      <c r="AM155" s="77">
        <v>0.65</v>
      </c>
      <c r="AN155" s="77">
        <v>0.2</v>
      </c>
      <c r="AO155" s="26"/>
      <c r="AP155" s="27">
        <v>46</v>
      </c>
      <c r="AQ155" s="78">
        <v>0.4</v>
      </c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8">
        <v>40695</v>
      </c>
      <c r="BI155" s="80">
        <v>0.9</v>
      </c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/>
      <c r="CM155" s="106"/>
      <c r="CN155" s="106"/>
      <c r="CO155" s="81"/>
      <c r="CP155"/>
      <c r="CQ155"/>
      <c r="CR155"/>
      <c r="CS155"/>
      <c r="CT155"/>
      <c r="CY155" s="338">
        <f t="shared" si="31"/>
        <v>40695</v>
      </c>
      <c r="CZ155" s="337">
        <f t="shared" si="32"/>
        <v>1.65</v>
      </c>
      <c r="DA155" s="337">
        <f t="shared" si="33"/>
        <v>2</v>
      </c>
      <c r="DB155" s="337">
        <f t="shared" si="34"/>
        <v>2.2999999999999998</v>
      </c>
      <c r="DD155" s="337">
        <f t="shared" si="35"/>
        <v>0.10285552194941296</v>
      </c>
      <c r="DE155" s="337">
        <f t="shared" si="36"/>
        <v>0.20571104389882591</v>
      </c>
      <c r="DF155" s="337">
        <f t="shared" si="37"/>
        <v>0.30856656584823888</v>
      </c>
      <c r="DH155" s="338">
        <f t="shared" si="38"/>
        <v>40695</v>
      </c>
      <c r="DI155" s="20">
        <v>0.9</v>
      </c>
    </row>
    <row r="156" spans="1:113">
      <c r="A156" s="34">
        <f t="shared" ca="1" si="30"/>
        <v>40969</v>
      </c>
      <c r="B156" s="20">
        <f>'Gas Curves'!C160</f>
        <v>7.4197733791673007E-2</v>
      </c>
      <c r="C156" s="20"/>
      <c r="D156" s="75">
        <v>39845</v>
      </c>
      <c r="E156" s="76">
        <v>35.75</v>
      </c>
      <c r="F156" s="76">
        <v>37.15</v>
      </c>
      <c r="G156" s="76">
        <v>38.549999999999997</v>
      </c>
      <c r="H156" s="56"/>
      <c r="I156" s="76">
        <v>20.09999771118164</v>
      </c>
      <c r="J156" s="76">
        <v>20.799997711181639</v>
      </c>
      <c r="K156" s="76">
        <v>21.499997711181638</v>
      </c>
      <c r="L156" s="27"/>
      <c r="M156" s="28">
        <v>40725</v>
      </c>
      <c r="N156" s="77">
        <v>37.111249542236351</v>
      </c>
      <c r="O156" s="77">
        <v>40.861249542236351</v>
      </c>
      <c r="P156" s="77">
        <v>44.611249542236351</v>
      </c>
      <c r="Q156" s="26"/>
      <c r="R156" s="77">
        <v>26.047499465942376</v>
      </c>
      <c r="S156" s="77">
        <v>30.347499465942377</v>
      </c>
      <c r="T156" s="77">
        <v>34.647499465942374</v>
      </c>
      <c r="U156" s="26"/>
      <c r="V156" s="77">
        <v>0.3</v>
      </c>
      <c r="W156" s="77">
        <v>0.3</v>
      </c>
      <c r="X156" s="77">
        <v>0.3</v>
      </c>
      <c r="Y156" s="26"/>
      <c r="Z156" s="77">
        <v>0.12171573553542192</v>
      </c>
      <c r="AA156" s="77">
        <v>0.24343147107084384</v>
      </c>
      <c r="AB156" s="77">
        <v>0.36514720660626576</v>
      </c>
      <c r="AC156" s="26"/>
      <c r="AD156" s="77">
        <v>4.8043881044987739E-2</v>
      </c>
      <c r="AE156" s="77">
        <v>9.6087762089975479E-2</v>
      </c>
      <c r="AF156" s="77">
        <v>0.14413164313496321</v>
      </c>
      <c r="AG156" s="26"/>
      <c r="AH156" s="77">
        <v>-0.35</v>
      </c>
      <c r="AI156" s="77">
        <v>3</v>
      </c>
      <c r="AJ156" s="77">
        <v>0.5</v>
      </c>
      <c r="AK156" s="26"/>
      <c r="AL156" s="77">
        <v>-0.15</v>
      </c>
      <c r="AM156" s="77">
        <v>0.75</v>
      </c>
      <c r="AN156" s="77">
        <v>0.2</v>
      </c>
      <c r="AO156" s="26"/>
      <c r="AP156" s="27">
        <v>46</v>
      </c>
      <c r="AQ156" s="78">
        <v>0.4</v>
      </c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8">
        <v>40725</v>
      </c>
      <c r="BI156" s="80">
        <v>0.9</v>
      </c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/>
      <c r="CM156" s="106"/>
      <c r="CN156" s="106"/>
      <c r="CO156" s="81"/>
      <c r="CP156"/>
      <c r="CQ156"/>
      <c r="CR156"/>
      <c r="CS156"/>
      <c r="CT156"/>
      <c r="CY156" s="338">
        <f t="shared" si="31"/>
        <v>40725</v>
      </c>
      <c r="CZ156" s="337">
        <f t="shared" si="32"/>
        <v>2.65</v>
      </c>
      <c r="DA156" s="337">
        <f t="shared" si="33"/>
        <v>3</v>
      </c>
      <c r="DB156" s="337">
        <f t="shared" si="34"/>
        <v>3.5</v>
      </c>
      <c r="DD156" s="337">
        <f t="shared" si="35"/>
        <v>0.12171573553542192</v>
      </c>
      <c r="DE156" s="337">
        <f t="shared" si="36"/>
        <v>0.24343147107084384</v>
      </c>
      <c r="DF156" s="337">
        <f t="shared" si="37"/>
        <v>0.36514720660626576</v>
      </c>
      <c r="DH156" s="338">
        <f t="shared" si="38"/>
        <v>40725</v>
      </c>
      <c r="DI156" s="20">
        <v>0.9</v>
      </c>
    </row>
    <row r="157" spans="1:113">
      <c r="A157" s="34">
        <f t="shared" ca="1" si="30"/>
        <v>41000</v>
      </c>
      <c r="B157" s="20">
        <f>'Gas Curves'!C161</f>
        <v>7.4197439073791005E-2</v>
      </c>
      <c r="C157" s="20"/>
      <c r="D157" s="75">
        <v>39873</v>
      </c>
      <c r="E157" s="76">
        <v>32.6</v>
      </c>
      <c r="F157" s="76">
        <v>33.4</v>
      </c>
      <c r="G157" s="76">
        <v>34.200000000000003</v>
      </c>
      <c r="H157" s="56"/>
      <c r="I157" s="76">
        <v>19.399999618530273</v>
      </c>
      <c r="J157" s="76">
        <v>19.799999618530272</v>
      </c>
      <c r="K157" s="76">
        <v>20.199999618530271</v>
      </c>
      <c r="L157" s="27"/>
      <c r="M157" s="28">
        <v>40756</v>
      </c>
      <c r="N157" s="77">
        <v>39.372499084472679</v>
      </c>
      <c r="O157" s="77">
        <v>43.122499084472679</v>
      </c>
      <c r="P157" s="77">
        <v>46.872499084472679</v>
      </c>
      <c r="Q157" s="26"/>
      <c r="R157" s="77">
        <v>27.545000839233392</v>
      </c>
      <c r="S157" s="77">
        <v>31.845000839233393</v>
      </c>
      <c r="T157" s="77">
        <v>36.14500083923339</v>
      </c>
      <c r="U157" s="26"/>
      <c r="V157" s="77">
        <v>0.3</v>
      </c>
      <c r="W157" s="77">
        <v>0.3</v>
      </c>
      <c r="X157" s="77">
        <v>0.3</v>
      </c>
      <c r="Y157" s="26"/>
      <c r="Z157" s="77">
        <v>0.11976235627115669</v>
      </c>
      <c r="AA157" s="77">
        <v>0.23952471254231339</v>
      </c>
      <c r="AB157" s="77">
        <v>0.35928706881347006</v>
      </c>
      <c r="AC157" s="26"/>
      <c r="AD157" s="77">
        <v>4.8043881044987739E-2</v>
      </c>
      <c r="AE157" s="77">
        <v>9.6087762089975479E-2</v>
      </c>
      <c r="AF157" s="77">
        <v>0.14413164313496321</v>
      </c>
      <c r="AG157" s="26"/>
      <c r="AH157" s="77">
        <v>-0.35</v>
      </c>
      <c r="AI157" s="77">
        <v>3</v>
      </c>
      <c r="AJ157" s="77">
        <v>0.5</v>
      </c>
      <c r="AK157" s="26"/>
      <c r="AL157" s="77">
        <v>-0.15</v>
      </c>
      <c r="AM157" s="77">
        <v>0.75</v>
      </c>
      <c r="AN157" s="77">
        <v>0.2</v>
      </c>
      <c r="AO157" s="26"/>
      <c r="AP157" s="27">
        <v>47</v>
      </c>
      <c r="AQ157" s="78">
        <v>0.4</v>
      </c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8">
        <v>40756</v>
      </c>
      <c r="BI157" s="80">
        <v>0.9</v>
      </c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/>
      <c r="CM157" s="106"/>
      <c r="CN157" s="106"/>
      <c r="CO157" s="81"/>
      <c r="CP157"/>
      <c r="CQ157"/>
      <c r="CR157"/>
      <c r="CS157"/>
      <c r="CT157"/>
      <c r="CY157" s="338">
        <f t="shared" si="31"/>
        <v>40756</v>
      </c>
      <c r="CZ157" s="337">
        <f t="shared" si="32"/>
        <v>2.65</v>
      </c>
      <c r="DA157" s="337">
        <f t="shared" si="33"/>
        <v>3</v>
      </c>
      <c r="DB157" s="337">
        <f t="shared" si="34"/>
        <v>3.5</v>
      </c>
      <c r="DD157" s="337">
        <f t="shared" si="35"/>
        <v>0.11976235627115669</v>
      </c>
      <c r="DE157" s="337">
        <f t="shared" si="36"/>
        <v>0.23952471254231339</v>
      </c>
      <c r="DF157" s="337">
        <f t="shared" si="37"/>
        <v>0.35928706881347006</v>
      </c>
      <c r="DH157" s="338">
        <f t="shared" si="38"/>
        <v>40756</v>
      </c>
      <c r="DI157" s="20">
        <v>0.9</v>
      </c>
    </row>
    <row r="158" spans="1:113">
      <c r="A158" s="34">
        <f t="shared" ca="1" si="30"/>
        <v>41030</v>
      </c>
      <c r="B158" s="20">
        <f>'Gas Curves'!C162</f>
        <v>7.4197153862938001E-2</v>
      </c>
      <c r="C158" s="20"/>
      <c r="D158" s="75">
        <v>39904</v>
      </c>
      <c r="E158" s="76">
        <v>31.5</v>
      </c>
      <c r="F158" s="76">
        <v>32.15</v>
      </c>
      <c r="G158" s="76">
        <v>32.799999999999997</v>
      </c>
      <c r="H158" s="56"/>
      <c r="I158" s="76">
        <v>19.47499771118164</v>
      </c>
      <c r="J158" s="76">
        <v>19.799997711181639</v>
      </c>
      <c r="K158" s="76">
        <v>20.124997711181638</v>
      </c>
      <c r="L158" s="27"/>
      <c r="M158" s="28">
        <v>40787</v>
      </c>
      <c r="N158" s="77">
        <v>23.229999160766596</v>
      </c>
      <c r="O158" s="77">
        <v>24.504999160766594</v>
      </c>
      <c r="P158" s="77">
        <v>25.779999160766593</v>
      </c>
      <c r="Q158" s="26"/>
      <c r="R158" s="77">
        <v>20.7</v>
      </c>
      <c r="S158" s="77">
        <v>25</v>
      </c>
      <c r="T158" s="77">
        <v>29.3</v>
      </c>
      <c r="U158" s="26"/>
      <c r="V158" s="77">
        <v>0.8</v>
      </c>
      <c r="W158" s="77">
        <v>0.8</v>
      </c>
      <c r="X158" s="77">
        <v>0.8</v>
      </c>
      <c r="Y158" s="26"/>
      <c r="Z158" s="77">
        <v>7.9347612872566128E-2</v>
      </c>
      <c r="AA158" s="77">
        <v>0.15869522574513226</v>
      </c>
      <c r="AB158" s="77">
        <v>0.23804283861769837</v>
      </c>
      <c r="AC158" s="26"/>
      <c r="AD158" s="77">
        <v>3.2029254029991829E-2</v>
      </c>
      <c r="AE158" s="77">
        <v>6.4058508059983657E-2</v>
      </c>
      <c r="AF158" s="77">
        <v>9.6087762089975493E-2</v>
      </c>
      <c r="AG158" s="26"/>
      <c r="AH158" s="77">
        <v>-0.35</v>
      </c>
      <c r="AI158" s="77">
        <v>1.5</v>
      </c>
      <c r="AJ158" s="77">
        <v>0.3</v>
      </c>
      <c r="AK158" s="26"/>
      <c r="AL158" s="77">
        <v>-0.15</v>
      </c>
      <c r="AM158" s="77">
        <v>0.4</v>
      </c>
      <c r="AN158" s="77">
        <v>0.2</v>
      </c>
      <c r="AO158" s="26"/>
      <c r="AP158" s="27">
        <v>47</v>
      </c>
      <c r="AQ158" s="78">
        <v>0.4</v>
      </c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8">
        <v>40787</v>
      </c>
      <c r="BI158" s="80">
        <v>0.9</v>
      </c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/>
      <c r="CM158" s="106"/>
      <c r="CN158" s="106"/>
      <c r="CO158" s="81"/>
      <c r="CP158"/>
      <c r="CQ158"/>
      <c r="CR158"/>
      <c r="CS158"/>
      <c r="CT158"/>
      <c r="CY158" s="338">
        <f t="shared" si="31"/>
        <v>40787</v>
      </c>
      <c r="CZ158" s="337">
        <f t="shared" si="32"/>
        <v>1.1499999999999999</v>
      </c>
      <c r="DA158" s="337">
        <f t="shared" si="33"/>
        <v>1.5</v>
      </c>
      <c r="DB158" s="337">
        <f t="shared" si="34"/>
        <v>1.8</v>
      </c>
      <c r="DD158" s="337">
        <f t="shared" si="35"/>
        <v>7.9347612872566128E-2</v>
      </c>
      <c r="DE158" s="337">
        <f t="shared" si="36"/>
        <v>0.15869522574513226</v>
      </c>
      <c r="DF158" s="337">
        <f t="shared" si="37"/>
        <v>0.23804283861769837</v>
      </c>
      <c r="DH158" s="338">
        <f t="shared" si="38"/>
        <v>40787</v>
      </c>
      <c r="DI158" s="20">
        <v>0.9</v>
      </c>
    </row>
    <row r="159" spans="1:113">
      <c r="A159" s="34">
        <f t="shared" ca="1" si="30"/>
        <v>41061</v>
      </c>
      <c r="B159" s="20">
        <f>'Gas Curves'!C163</f>
        <v>7.4196859145055999E-2</v>
      </c>
      <c r="C159" s="20"/>
      <c r="D159" s="75">
        <v>39934</v>
      </c>
      <c r="E159" s="76">
        <v>31.9</v>
      </c>
      <c r="F159" s="76">
        <v>34.15</v>
      </c>
      <c r="G159" s="76">
        <v>36.4</v>
      </c>
      <c r="H159" s="56"/>
      <c r="I159" s="76">
        <v>18.674997711181639</v>
      </c>
      <c r="J159" s="76">
        <v>19.799997711181639</v>
      </c>
      <c r="K159" s="76">
        <v>20.924997711181639</v>
      </c>
      <c r="L159" s="27"/>
      <c r="M159" s="28">
        <v>40817</v>
      </c>
      <c r="N159" s="77">
        <v>23.438000106811515</v>
      </c>
      <c r="O159" s="77">
        <v>24.600500106811516</v>
      </c>
      <c r="P159" s="77">
        <v>25.763000106811518</v>
      </c>
      <c r="Q159" s="26"/>
      <c r="R159" s="77">
        <v>18.300999832153312</v>
      </c>
      <c r="S159" s="77">
        <v>22.600999832153313</v>
      </c>
      <c r="T159" s="77">
        <v>26.900999832153314</v>
      </c>
      <c r="U159" s="26"/>
      <c r="V159" s="77">
        <v>0.8</v>
      </c>
      <c r="W159" s="77">
        <v>0.8</v>
      </c>
      <c r="X159" s="77">
        <v>0.8</v>
      </c>
      <c r="Y159" s="26"/>
      <c r="Z159" s="77">
        <v>7.2477106494805724E-2</v>
      </c>
      <c r="AA159" s="77">
        <v>0.14495421298961145</v>
      </c>
      <c r="AB159" s="77">
        <v>0.21743131948441718</v>
      </c>
      <c r="AC159" s="26"/>
      <c r="AD159" s="77">
        <v>2.402194052249387E-2</v>
      </c>
      <c r="AE159" s="77">
        <v>4.8043881044987739E-2</v>
      </c>
      <c r="AF159" s="77">
        <v>7.2065821567481606E-2</v>
      </c>
      <c r="AG159" s="26"/>
      <c r="AH159" s="77">
        <v>-0.25</v>
      </c>
      <c r="AI159" s="77">
        <v>1.1000000000000001</v>
      </c>
      <c r="AJ159" s="77">
        <v>0.3</v>
      </c>
      <c r="AK159" s="26"/>
      <c r="AL159" s="77">
        <v>-0.15</v>
      </c>
      <c r="AM159" s="77">
        <v>0.35</v>
      </c>
      <c r="AN159" s="77">
        <v>0.2</v>
      </c>
      <c r="AO159" s="26"/>
      <c r="AP159" s="27">
        <v>47</v>
      </c>
      <c r="AQ159" s="78">
        <v>0.4</v>
      </c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8">
        <v>40817</v>
      </c>
      <c r="BI159" s="80">
        <v>0.9</v>
      </c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/>
      <c r="CM159" s="106"/>
      <c r="CN159" s="106"/>
      <c r="CO159" s="81"/>
      <c r="CP159"/>
      <c r="CQ159"/>
      <c r="CR159"/>
      <c r="CS159"/>
      <c r="CT159"/>
      <c r="CY159" s="338">
        <f t="shared" si="31"/>
        <v>40817</v>
      </c>
      <c r="CZ159" s="337">
        <f t="shared" si="32"/>
        <v>0.85000000000000009</v>
      </c>
      <c r="DA159" s="337">
        <f t="shared" si="33"/>
        <v>1.1000000000000001</v>
      </c>
      <c r="DB159" s="337">
        <f t="shared" si="34"/>
        <v>1.4000000000000001</v>
      </c>
      <c r="DD159" s="337">
        <f t="shared" si="35"/>
        <v>7.2477106494805724E-2</v>
      </c>
      <c r="DE159" s="337">
        <f t="shared" si="36"/>
        <v>0.14495421298961145</v>
      </c>
      <c r="DF159" s="337">
        <f t="shared" si="37"/>
        <v>0.21743131948441718</v>
      </c>
      <c r="DH159" s="338">
        <f t="shared" si="38"/>
        <v>40817</v>
      </c>
      <c r="DI159" s="20">
        <v>0.9</v>
      </c>
    </row>
    <row r="160" spans="1:113">
      <c r="A160" s="34">
        <f t="shared" ca="1" si="30"/>
        <v>41091</v>
      </c>
      <c r="B160" s="20">
        <f>'Gas Curves'!C164</f>
        <v>7.4196573934203008E-2</v>
      </c>
      <c r="C160" s="20"/>
      <c r="D160" s="75">
        <v>39965</v>
      </c>
      <c r="E160" s="76">
        <v>44.79</v>
      </c>
      <c r="F160" s="76">
        <v>51.25</v>
      </c>
      <c r="G160" s="76">
        <v>57.71</v>
      </c>
      <c r="H160" s="56"/>
      <c r="I160" s="76">
        <v>16.524998779296872</v>
      </c>
      <c r="J160" s="76">
        <v>19.754998779296873</v>
      </c>
      <c r="K160" s="76">
        <v>22.984998779296873</v>
      </c>
      <c r="L160" s="27"/>
      <c r="M160" s="28">
        <v>40848</v>
      </c>
      <c r="N160" s="77">
        <v>24.442251586914054</v>
      </c>
      <c r="O160" s="77">
        <v>25.604751586914055</v>
      </c>
      <c r="P160" s="77">
        <v>26.767251586914057</v>
      </c>
      <c r="Q160" s="26"/>
      <c r="R160" s="77">
        <v>19.304499816894523</v>
      </c>
      <c r="S160" s="77">
        <v>23.604499816894524</v>
      </c>
      <c r="T160" s="77">
        <v>27.904499816894525</v>
      </c>
      <c r="U160" s="26"/>
      <c r="V160" s="77">
        <v>0.8</v>
      </c>
      <c r="W160" s="77">
        <v>0.8</v>
      </c>
      <c r="X160" s="77">
        <v>0.8</v>
      </c>
      <c r="Y160" s="26"/>
      <c r="Z160" s="77">
        <v>7.2477106494805724E-2</v>
      </c>
      <c r="AA160" s="77">
        <v>0.14495421298961145</v>
      </c>
      <c r="AB160" s="77">
        <v>0.21743131948441718</v>
      </c>
      <c r="AC160" s="26"/>
      <c r="AD160" s="77">
        <v>2.402194052249387E-2</v>
      </c>
      <c r="AE160" s="77">
        <v>4.8043881044987739E-2</v>
      </c>
      <c r="AF160" s="77">
        <v>7.2065821567481606E-2</v>
      </c>
      <c r="AG160" s="26"/>
      <c r="AH160" s="77">
        <v>-0.25</v>
      </c>
      <c r="AI160" s="77">
        <v>1.25</v>
      </c>
      <c r="AJ160" s="77">
        <v>0.3</v>
      </c>
      <c r="AK160" s="26"/>
      <c r="AL160" s="77">
        <v>-0.15</v>
      </c>
      <c r="AM160" s="77">
        <v>0.3</v>
      </c>
      <c r="AN160" s="77">
        <v>0.2</v>
      </c>
      <c r="AO160" s="26"/>
      <c r="AP160" s="27">
        <v>48</v>
      </c>
      <c r="AQ160" s="78">
        <v>0.4</v>
      </c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8">
        <v>40848</v>
      </c>
      <c r="BI160" s="80">
        <v>0.9</v>
      </c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/>
      <c r="CM160" s="106"/>
      <c r="CN160" s="106"/>
      <c r="CO160" s="81"/>
      <c r="CP160"/>
      <c r="CQ160"/>
      <c r="CR160"/>
      <c r="CS160"/>
      <c r="CT160"/>
      <c r="CY160" s="338">
        <f t="shared" si="31"/>
        <v>40848</v>
      </c>
      <c r="CZ160" s="337">
        <f t="shared" si="32"/>
        <v>1</v>
      </c>
      <c r="DA160" s="337">
        <f t="shared" si="33"/>
        <v>1.25</v>
      </c>
      <c r="DB160" s="337">
        <f t="shared" si="34"/>
        <v>1.55</v>
      </c>
      <c r="DD160" s="337">
        <f t="shared" si="35"/>
        <v>7.2477106494805724E-2</v>
      </c>
      <c r="DE160" s="337">
        <f t="shared" si="36"/>
        <v>0.14495421298961145</v>
      </c>
      <c r="DF160" s="337">
        <f t="shared" si="37"/>
        <v>0.21743131948441718</v>
      </c>
      <c r="DH160" s="338">
        <f t="shared" si="38"/>
        <v>40848</v>
      </c>
      <c r="DI160" s="20">
        <v>0.9</v>
      </c>
    </row>
    <row r="161" spans="1:113">
      <c r="A161" s="34">
        <f t="shared" ca="1" si="30"/>
        <v>41122</v>
      </c>
      <c r="B161" s="20">
        <f>'Gas Curves'!C165</f>
        <v>7.4196279216322006E-2</v>
      </c>
      <c r="C161" s="20"/>
      <c r="D161" s="75">
        <v>39995</v>
      </c>
      <c r="E161" s="76">
        <v>69.5</v>
      </c>
      <c r="F161" s="76">
        <v>74.5</v>
      </c>
      <c r="G161" s="76">
        <v>79.5</v>
      </c>
      <c r="H161" s="56"/>
      <c r="I161" s="76">
        <v>21.749997711181638</v>
      </c>
      <c r="J161" s="76">
        <v>24.249997711181638</v>
      </c>
      <c r="K161" s="76">
        <v>26.749997711181638</v>
      </c>
      <c r="L161" s="27"/>
      <c r="M161" s="28">
        <v>40878</v>
      </c>
      <c r="N161" s="77">
        <v>25.89249839782714</v>
      </c>
      <c r="O161" s="77">
        <v>27.054998397827141</v>
      </c>
      <c r="P161" s="77">
        <v>28.217498397827143</v>
      </c>
      <c r="Q161" s="26"/>
      <c r="R161" s="77">
        <v>19.249999237060539</v>
      </c>
      <c r="S161" s="77">
        <v>23.54999923706054</v>
      </c>
      <c r="T161" s="77">
        <v>27.84999923706054</v>
      </c>
      <c r="U161" s="26"/>
      <c r="V161" s="77">
        <v>0.8</v>
      </c>
      <c r="W161" s="77">
        <v>0.8</v>
      </c>
      <c r="X161" s="77">
        <v>0.8</v>
      </c>
      <c r="Y161" s="26"/>
      <c r="Z161" s="77">
        <v>7.5063650072315538E-2</v>
      </c>
      <c r="AA161" s="77">
        <v>0.15012730014463108</v>
      </c>
      <c r="AB161" s="77">
        <v>0.22519095021694663</v>
      </c>
      <c r="AC161" s="26"/>
      <c r="AD161" s="77">
        <v>2.402194052249387E-2</v>
      </c>
      <c r="AE161" s="77">
        <v>4.8043881044987739E-2</v>
      </c>
      <c r="AF161" s="77">
        <v>7.2065821567481606E-2</v>
      </c>
      <c r="AG161" s="26"/>
      <c r="AH161" s="77">
        <v>-0.25</v>
      </c>
      <c r="AI161" s="77">
        <v>1.25</v>
      </c>
      <c r="AJ161" s="77">
        <v>0.35</v>
      </c>
      <c r="AK161" s="26"/>
      <c r="AL161" s="77">
        <v>-0.15</v>
      </c>
      <c r="AM161" s="77">
        <v>0.3</v>
      </c>
      <c r="AN161" s="77">
        <v>0.2</v>
      </c>
      <c r="AO161" s="26"/>
      <c r="AP161" s="27">
        <v>48</v>
      </c>
      <c r="AQ161" s="78">
        <v>0.4</v>
      </c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8">
        <v>40878</v>
      </c>
      <c r="BI161" s="80">
        <v>0.9</v>
      </c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/>
      <c r="CM161" s="106"/>
      <c r="CN161" s="106"/>
      <c r="CO161" s="81"/>
      <c r="CP161"/>
      <c r="CQ161"/>
      <c r="CR161"/>
      <c r="CS161"/>
      <c r="CT161"/>
      <c r="CY161" s="338">
        <f t="shared" si="31"/>
        <v>40878</v>
      </c>
      <c r="CZ161" s="337">
        <f t="shared" si="32"/>
        <v>1</v>
      </c>
      <c r="DA161" s="337">
        <f t="shared" si="33"/>
        <v>1.25</v>
      </c>
      <c r="DB161" s="337">
        <f t="shared" si="34"/>
        <v>1.6</v>
      </c>
      <c r="DD161" s="337">
        <f t="shared" si="35"/>
        <v>7.5063650072315538E-2</v>
      </c>
      <c r="DE161" s="337">
        <f t="shared" si="36"/>
        <v>0.15012730014463108</v>
      </c>
      <c r="DF161" s="337">
        <f t="shared" si="37"/>
        <v>0.22519095021694663</v>
      </c>
      <c r="DH161" s="338">
        <f t="shared" si="38"/>
        <v>40878</v>
      </c>
      <c r="DI161" s="20">
        <v>0.9</v>
      </c>
    </row>
    <row r="162" spans="1:113">
      <c r="A162" s="34">
        <f t="shared" ca="1" si="30"/>
        <v>41153</v>
      </c>
      <c r="B162" s="20">
        <f>'Gas Curves'!C166</f>
        <v>7.4195984498441003E-2</v>
      </c>
      <c r="C162" s="20"/>
      <c r="D162" s="75">
        <v>40026</v>
      </c>
      <c r="E162" s="76">
        <v>65</v>
      </c>
      <c r="F162" s="76">
        <v>70</v>
      </c>
      <c r="G162" s="76">
        <v>75</v>
      </c>
      <c r="H162" s="56"/>
      <c r="I162" s="76">
        <v>22.099998092651365</v>
      </c>
      <c r="J162" s="76">
        <v>24.599998092651365</v>
      </c>
      <c r="K162" s="76">
        <v>27.099998092651365</v>
      </c>
      <c r="L162" s="27"/>
      <c r="M162" s="28">
        <v>40909</v>
      </c>
      <c r="N162" s="77">
        <v>29.17374839782714</v>
      </c>
      <c r="O162" s="77">
        <v>30.448748397827142</v>
      </c>
      <c r="P162" s="77">
        <v>31.723748397827144</v>
      </c>
      <c r="Q162" s="26"/>
      <c r="R162" s="77">
        <v>24.652500152587884</v>
      </c>
      <c r="S162" s="77">
        <v>28.952500152587884</v>
      </c>
      <c r="T162" s="77">
        <v>33.252500152587885</v>
      </c>
      <c r="U162" s="26"/>
      <c r="V162" s="77">
        <v>0.8</v>
      </c>
      <c r="W162" s="77">
        <v>0.8</v>
      </c>
      <c r="X162" s="77">
        <v>0.8</v>
      </c>
      <c r="Y162" s="26"/>
      <c r="Z162" s="77">
        <v>8.0769613103257296E-2</v>
      </c>
      <c r="AA162" s="77">
        <v>0.16153922620651459</v>
      </c>
      <c r="AB162" s="77">
        <v>0.24230883930977187</v>
      </c>
      <c r="AC162" s="26"/>
      <c r="AD162" s="77">
        <v>2.7465085330718002E-2</v>
      </c>
      <c r="AE162" s="77">
        <v>5.4930170661436004E-2</v>
      </c>
      <c r="AF162" s="77">
        <v>8.2395255992153998E-2</v>
      </c>
      <c r="AG162" s="26"/>
      <c r="AH162" s="77">
        <v>-0.75</v>
      </c>
      <c r="AI162" s="77">
        <v>2</v>
      </c>
      <c r="AJ162" s="77">
        <v>0.75</v>
      </c>
      <c r="AK162" s="26"/>
      <c r="AL162" s="77">
        <v>-0.15</v>
      </c>
      <c r="AM162" s="77">
        <v>0.5</v>
      </c>
      <c r="AN162" s="77">
        <v>0.2</v>
      </c>
      <c r="AO162" s="26"/>
      <c r="AP162" s="27">
        <v>48</v>
      </c>
      <c r="AQ162" s="78">
        <v>0.4</v>
      </c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8">
        <v>40909</v>
      </c>
      <c r="BI162" s="80">
        <v>0.9</v>
      </c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/>
      <c r="CM162" s="106"/>
      <c r="CN162" s="106"/>
      <c r="CO162" s="81"/>
      <c r="CP162"/>
      <c r="CQ162"/>
      <c r="CR162"/>
      <c r="CS162"/>
      <c r="CT162"/>
      <c r="CY162" s="338">
        <f t="shared" si="31"/>
        <v>40909</v>
      </c>
      <c r="CZ162" s="337">
        <f t="shared" si="32"/>
        <v>1.25</v>
      </c>
      <c r="DA162" s="337">
        <f t="shared" si="33"/>
        <v>2</v>
      </c>
      <c r="DB162" s="337">
        <f t="shared" si="34"/>
        <v>2.75</v>
      </c>
      <c r="DD162" s="337">
        <f t="shared" si="35"/>
        <v>8.0769613103257296E-2</v>
      </c>
      <c r="DE162" s="337">
        <f t="shared" si="36"/>
        <v>0.16153922620651459</v>
      </c>
      <c r="DF162" s="337">
        <f t="shared" si="37"/>
        <v>0.24230883930977187</v>
      </c>
      <c r="DH162" s="338">
        <f t="shared" si="38"/>
        <v>40909</v>
      </c>
      <c r="DI162" s="20">
        <v>0.9</v>
      </c>
    </row>
    <row r="163" spans="1:113">
      <c r="A163" s="34">
        <f t="shared" ca="1" si="30"/>
        <v>41183</v>
      </c>
      <c r="B163" s="20">
        <f>'Gas Curves'!C167</f>
        <v>7.4195699287587E-2</v>
      </c>
      <c r="C163" s="20"/>
      <c r="D163" s="75">
        <v>40057</v>
      </c>
      <c r="E163" s="76">
        <v>31.65</v>
      </c>
      <c r="F163" s="76">
        <v>33.15</v>
      </c>
      <c r="G163" s="76">
        <v>34.65</v>
      </c>
      <c r="H163" s="56"/>
      <c r="I163" s="76">
        <v>19.399998092651366</v>
      </c>
      <c r="J163" s="76">
        <v>20.149998092651366</v>
      </c>
      <c r="K163" s="76">
        <v>20.899998092651366</v>
      </c>
      <c r="L163" s="27"/>
      <c r="M163" s="28">
        <v>40940</v>
      </c>
      <c r="N163" s="77">
        <v>28.171250152587881</v>
      </c>
      <c r="O163" s="77">
        <v>29.446250152587883</v>
      </c>
      <c r="P163" s="77">
        <v>30.721250152587885</v>
      </c>
      <c r="Q163" s="26"/>
      <c r="R163" s="77">
        <v>22.647499465942374</v>
      </c>
      <c r="S163" s="77">
        <v>26.947499465942375</v>
      </c>
      <c r="T163" s="77">
        <v>31.247499465942376</v>
      </c>
      <c r="U163" s="26"/>
      <c r="V163" s="77">
        <v>0.8</v>
      </c>
      <c r="W163" s="77">
        <v>0.8</v>
      </c>
      <c r="X163" s="77">
        <v>0.8</v>
      </c>
      <c r="Y163" s="26"/>
      <c r="Z163" s="77">
        <v>7.7925612641874989E-2</v>
      </c>
      <c r="AA163" s="77">
        <v>0.15585122528374998</v>
      </c>
      <c r="AB163" s="77">
        <v>0.23377683792562498</v>
      </c>
      <c r="AC163" s="26"/>
      <c r="AD163" s="77">
        <v>2.7465085330718002E-2</v>
      </c>
      <c r="AE163" s="77">
        <v>5.4930170661436004E-2</v>
      </c>
      <c r="AF163" s="77">
        <v>8.2395255992153998E-2</v>
      </c>
      <c r="AG163" s="26"/>
      <c r="AH163" s="77">
        <v>-0.75</v>
      </c>
      <c r="AI163" s="77">
        <v>2</v>
      </c>
      <c r="AJ163" s="77">
        <v>0.75</v>
      </c>
      <c r="AK163" s="26"/>
      <c r="AL163" s="77">
        <v>-0.15</v>
      </c>
      <c r="AM163" s="77">
        <v>0.5</v>
      </c>
      <c r="AN163" s="77">
        <v>0.2</v>
      </c>
      <c r="AO163" s="26"/>
      <c r="AP163" s="27">
        <v>49</v>
      </c>
      <c r="AQ163" s="78">
        <v>0.4</v>
      </c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8">
        <v>40940</v>
      </c>
      <c r="BI163" s="80">
        <v>0.9</v>
      </c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/>
      <c r="CM163" s="106"/>
      <c r="CN163" s="106"/>
      <c r="CO163" s="81"/>
      <c r="CP163"/>
      <c r="CQ163"/>
      <c r="CR163"/>
      <c r="CS163"/>
      <c r="CT163"/>
      <c r="CY163" s="338">
        <f t="shared" si="31"/>
        <v>40940</v>
      </c>
      <c r="CZ163" s="337">
        <f t="shared" si="32"/>
        <v>1.25</v>
      </c>
      <c r="DA163" s="337">
        <f t="shared" si="33"/>
        <v>2</v>
      </c>
      <c r="DB163" s="337">
        <f t="shared" si="34"/>
        <v>2.75</v>
      </c>
      <c r="DD163" s="337">
        <f t="shared" si="35"/>
        <v>7.7925612641874989E-2</v>
      </c>
      <c r="DE163" s="337">
        <f t="shared" si="36"/>
        <v>0.15585122528374998</v>
      </c>
      <c r="DF163" s="337">
        <f t="shared" si="37"/>
        <v>0.23377683792562498</v>
      </c>
      <c r="DH163" s="338">
        <f t="shared" si="38"/>
        <v>40940</v>
      </c>
      <c r="DI163" s="20">
        <v>0.9</v>
      </c>
    </row>
    <row r="164" spans="1:113">
      <c r="A164" s="34">
        <f t="shared" ca="1" si="30"/>
        <v>41214</v>
      </c>
      <c r="B164" s="20">
        <f>'Gas Curves'!C168</f>
        <v>7.4195404569705997E-2</v>
      </c>
      <c r="C164" s="20"/>
      <c r="D164" s="75">
        <v>40087</v>
      </c>
      <c r="E164" s="76">
        <v>29.55</v>
      </c>
      <c r="F164" s="76">
        <v>30.9</v>
      </c>
      <c r="G164" s="76">
        <v>32.25</v>
      </c>
      <c r="H164" s="56"/>
      <c r="I164" s="76">
        <v>19.174998855590818</v>
      </c>
      <c r="J164" s="76">
        <v>19.849998855590819</v>
      </c>
      <c r="K164" s="76">
        <v>20.52499885559082</v>
      </c>
      <c r="L164" s="27"/>
      <c r="M164" s="28">
        <v>40969</v>
      </c>
      <c r="N164" s="77">
        <v>21.922249603271478</v>
      </c>
      <c r="O164" s="77">
        <v>22.634749603271477</v>
      </c>
      <c r="P164" s="77">
        <v>23.347249603271475</v>
      </c>
      <c r="Q164" s="26"/>
      <c r="R164" s="77">
        <v>17.964498901367179</v>
      </c>
      <c r="S164" s="77">
        <v>22.26449890136718</v>
      </c>
      <c r="T164" s="77">
        <v>26.56449890136718</v>
      </c>
      <c r="U164" s="26"/>
      <c r="V164" s="77">
        <v>0.3</v>
      </c>
      <c r="W164" s="77">
        <v>0.3</v>
      </c>
      <c r="X164" s="77">
        <v>0.3</v>
      </c>
      <c r="Y164" s="26"/>
      <c r="Z164" s="77">
        <v>7.5956142322367748E-2</v>
      </c>
      <c r="AA164" s="77">
        <v>0.1519122846447355</v>
      </c>
      <c r="AB164" s="77">
        <v>0.22786842696710324</v>
      </c>
      <c r="AC164" s="26"/>
      <c r="AD164" s="77">
        <v>2.3541501712043993E-2</v>
      </c>
      <c r="AE164" s="77">
        <v>4.7083003424087985E-2</v>
      </c>
      <c r="AF164" s="77">
        <v>7.0624505136131971E-2</v>
      </c>
      <c r="AG164" s="26"/>
      <c r="AH164" s="77">
        <v>-0.25</v>
      </c>
      <c r="AI164" s="77">
        <v>1.3</v>
      </c>
      <c r="AJ164" s="77">
        <v>0.3</v>
      </c>
      <c r="AK164" s="26"/>
      <c r="AL164" s="77">
        <v>-0.15</v>
      </c>
      <c r="AM164" s="77">
        <v>0.35</v>
      </c>
      <c r="AN164" s="77">
        <v>0.2</v>
      </c>
      <c r="AO164" s="26"/>
      <c r="AP164" s="27">
        <v>49</v>
      </c>
      <c r="AQ164" s="78">
        <v>0.4</v>
      </c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8">
        <v>40969</v>
      </c>
      <c r="BI164" s="80">
        <v>0.9</v>
      </c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/>
      <c r="CM164" s="106"/>
      <c r="CN164" s="106"/>
      <c r="CO164" s="81"/>
      <c r="CP164"/>
      <c r="CQ164"/>
      <c r="CR164"/>
      <c r="CS164"/>
      <c r="CT164"/>
      <c r="CY164" s="338">
        <f t="shared" si="31"/>
        <v>40969</v>
      </c>
      <c r="CZ164" s="337">
        <f t="shared" si="32"/>
        <v>1.05</v>
      </c>
      <c r="DA164" s="337">
        <f t="shared" si="33"/>
        <v>1.3</v>
      </c>
      <c r="DB164" s="337">
        <f t="shared" si="34"/>
        <v>1.6</v>
      </c>
      <c r="DD164" s="337">
        <f t="shared" si="35"/>
        <v>7.5956142322367748E-2</v>
      </c>
      <c r="DE164" s="337">
        <f t="shared" si="36"/>
        <v>0.1519122846447355</v>
      </c>
      <c r="DF164" s="337">
        <f t="shared" si="37"/>
        <v>0.22786842696710324</v>
      </c>
      <c r="DH164" s="338">
        <f t="shared" si="38"/>
        <v>40969</v>
      </c>
      <c r="DI164" s="20">
        <v>0.9</v>
      </c>
    </row>
    <row r="165" spans="1:113">
      <c r="A165" s="34">
        <f t="shared" ca="1" si="30"/>
        <v>41244</v>
      </c>
      <c r="B165" s="20">
        <f>'Gas Curves'!C169</f>
        <v>7.4195119358853007E-2</v>
      </c>
      <c r="C165" s="20"/>
      <c r="D165" s="75">
        <v>40118</v>
      </c>
      <c r="E165" s="76">
        <v>29.925000000000001</v>
      </c>
      <c r="F165" s="76">
        <v>31.274999999999999</v>
      </c>
      <c r="G165" s="76">
        <v>32.625</v>
      </c>
      <c r="H165" s="56"/>
      <c r="I165" s="76">
        <v>19.099998092651365</v>
      </c>
      <c r="J165" s="76">
        <v>19.774998092651366</v>
      </c>
      <c r="K165" s="76">
        <v>20.449998092651366</v>
      </c>
      <c r="L165" s="27"/>
      <c r="M165" s="28">
        <v>41000</v>
      </c>
      <c r="N165" s="77">
        <v>22.717500305175772</v>
      </c>
      <c r="O165" s="77">
        <v>23.317500305175773</v>
      </c>
      <c r="P165" s="77">
        <v>23.917500305175775</v>
      </c>
      <c r="Q165" s="26"/>
      <c r="R165" s="77">
        <v>17.734999084472648</v>
      </c>
      <c r="S165" s="77">
        <v>22.034999084472648</v>
      </c>
      <c r="T165" s="77">
        <v>26.334999084472649</v>
      </c>
      <c r="U165" s="26"/>
      <c r="V165" s="77">
        <v>0.3</v>
      </c>
      <c r="W165" s="77">
        <v>0.3</v>
      </c>
      <c r="X165" s="77">
        <v>0.3</v>
      </c>
      <c r="Y165" s="26"/>
      <c r="Z165" s="77">
        <v>6.7701430983205607E-2</v>
      </c>
      <c r="AA165" s="77">
        <v>0.13540286196641121</v>
      </c>
      <c r="AB165" s="77">
        <v>0.20310429294961682</v>
      </c>
      <c r="AC165" s="26"/>
      <c r="AD165" s="77">
        <v>2.3541501712043993E-2</v>
      </c>
      <c r="AE165" s="77">
        <v>4.7083003424087985E-2</v>
      </c>
      <c r="AF165" s="77">
        <v>7.0624505136131971E-2</v>
      </c>
      <c r="AG165" s="26"/>
      <c r="AH165" s="77">
        <v>-0.25</v>
      </c>
      <c r="AI165" s="77">
        <v>1.1000000000000001</v>
      </c>
      <c r="AJ165" s="77">
        <v>0.3</v>
      </c>
      <c r="AK165" s="26"/>
      <c r="AL165" s="77">
        <v>-0.15</v>
      </c>
      <c r="AM165" s="77">
        <v>0.35</v>
      </c>
      <c r="AN165" s="77">
        <v>0.2</v>
      </c>
      <c r="AO165" s="26"/>
      <c r="AP165" s="27">
        <v>49</v>
      </c>
      <c r="AQ165" s="78">
        <v>0.4</v>
      </c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8">
        <v>41000</v>
      </c>
      <c r="BI165" s="80">
        <v>0.9</v>
      </c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/>
      <c r="CM165" s="106"/>
      <c r="CN165" s="106"/>
      <c r="CO165" s="81"/>
      <c r="CP165"/>
      <c r="CQ165"/>
      <c r="CR165"/>
      <c r="CS165"/>
      <c r="CT165"/>
      <c r="CY165" s="338">
        <f t="shared" si="31"/>
        <v>41000</v>
      </c>
      <c r="CZ165" s="337">
        <f t="shared" si="32"/>
        <v>0.85000000000000009</v>
      </c>
      <c r="DA165" s="337">
        <f t="shared" si="33"/>
        <v>1.1000000000000001</v>
      </c>
      <c r="DB165" s="337">
        <f t="shared" si="34"/>
        <v>1.4000000000000001</v>
      </c>
      <c r="DD165" s="337">
        <f t="shared" si="35"/>
        <v>6.7701430983205607E-2</v>
      </c>
      <c r="DE165" s="337">
        <f t="shared" si="36"/>
        <v>0.13540286196641121</v>
      </c>
      <c r="DF165" s="337">
        <f t="shared" si="37"/>
        <v>0.20310429294961682</v>
      </c>
      <c r="DH165" s="338">
        <f t="shared" si="38"/>
        <v>41000</v>
      </c>
      <c r="DI165" s="20">
        <v>0.9</v>
      </c>
    </row>
    <row r="166" spans="1:113">
      <c r="A166" s="34">
        <f t="shared" ca="1" si="30"/>
        <v>41275</v>
      </c>
      <c r="B166" s="20">
        <f>'Gas Curves'!C170</f>
        <v>7.4194824640971005E-2</v>
      </c>
      <c r="C166" s="20"/>
      <c r="D166" s="75">
        <v>40148</v>
      </c>
      <c r="E166" s="76">
        <v>29.8</v>
      </c>
      <c r="F166" s="76">
        <v>31.15</v>
      </c>
      <c r="G166" s="76">
        <v>32.5</v>
      </c>
      <c r="H166" s="56"/>
      <c r="I166" s="76">
        <v>20.524999237060545</v>
      </c>
      <c r="J166" s="76">
        <v>21.199999237060545</v>
      </c>
      <c r="K166" s="76">
        <v>21.874999237060546</v>
      </c>
      <c r="L166" s="27"/>
      <c r="M166" s="28">
        <v>41030</v>
      </c>
      <c r="N166" s="77">
        <v>21.572500076293938</v>
      </c>
      <c r="O166" s="77">
        <v>23.432500076293937</v>
      </c>
      <c r="P166" s="77">
        <v>25.292500076293937</v>
      </c>
      <c r="Q166" s="26"/>
      <c r="R166" s="77">
        <v>18.264999771118156</v>
      </c>
      <c r="S166" s="77">
        <v>22.564999771118156</v>
      </c>
      <c r="T166" s="77">
        <v>26.864999771118157</v>
      </c>
      <c r="U166" s="26"/>
      <c r="V166" s="77">
        <v>0.3</v>
      </c>
      <c r="W166" s="77">
        <v>0.3</v>
      </c>
      <c r="X166" s="77">
        <v>0.3</v>
      </c>
      <c r="Y166" s="26"/>
      <c r="Z166" s="77">
        <v>7.7939832644181889E-2</v>
      </c>
      <c r="AA166" s="77">
        <v>0.15587966528836378</v>
      </c>
      <c r="AB166" s="77">
        <v>0.23381949793254567</v>
      </c>
      <c r="AC166" s="26"/>
      <c r="AD166" s="77">
        <v>2.7465085330718002E-2</v>
      </c>
      <c r="AE166" s="77">
        <v>5.4930170661436004E-2</v>
      </c>
      <c r="AF166" s="77">
        <v>8.2395255992153998E-2</v>
      </c>
      <c r="AG166" s="26"/>
      <c r="AH166" s="77">
        <v>-0.25</v>
      </c>
      <c r="AI166" s="77">
        <v>1.1000000000000001</v>
      </c>
      <c r="AJ166" s="77">
        <v>0.3</v>
      </c>
      <c r="AK166" s="26"/>
      <c r="AL166" s="77">
        <v>-0.15</v>
      </c>
      <c r="AM166" s="77">
        <v>0.5</v>
      </c>
      <c r="AN166" s="77">
        <v>0.2</v>
      </c>
      <c r="AO166" s="26"/>
      <c r="AP166" s="27">
        <v>50</v>
      </c>
      <c r="AQ166" s="78">
        <v>0.4</v>
      </c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8">
        <v>41030</v>
      </c>
      <c r="BI166" s="80">
        <v>0.9</v>
      </c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/>
      <c r="CM166" s="106"/>
      <c r="CN166" s="106"/>
      <c r="CO166" s="81"/>
      <c r="CP166"/>
      <c r="CQ166"/>
      <c r="CR166"/>
      <c r="CS166"/>
      <c r="CT166"/>
      <c r="CY166" s="338">
        <f t="shared" si="31"/>
        <v>41030</v>
      </c>
      <c r="CZ166" s="337">
        <f t="shared" si="32"/>
        <v>0.85000000000000009</v>
      </c>
      <c r="DA166" s="337">
        <f t="shared" si="33"/>
        <v>1.1000000000000001</v>
      </c>
      <c r="DB166" s="337">
        <f t="shared" si="34"/>
        <v>1.4000000000000001</v>
      </c>
      <c r="DD166" s="337">
        <f t="shared" si="35"/>
        <v>7.7939832644181889E-2</v>
      </c>
      <c r="DE166" s="337">
        <f t="shared" si="36"/>
        <v>0.15587966528836378</v>
      </c>
      <c r="DF166" s="337">
        <f t="shared" si="37"/>
        <v>0.23381949793254567</v>
      </c>
      <c r="DH166" s="338">
        <f t="shared" si="38"/>
        <v>41030</v>
      </c>
      <c r="DI166" s="20">
        <v>0.9</v>
      </c>
    </row>
    <row r="167" spans="1:113">
      <c r="A167" s="34">
        <f t="shared" ca="1" si="30"/>
        <v>41306</v>
      </c>
      <c r="B167" s="20">
        <f>'Gas Curves'!C171</f>
        <v>7.4194529923090002E-2</v>
      </c>
      <c r="C167" s="20"/>
      <c r="D167" s="75">
        <v>40179</v>
      </c>
      <c r="E167" s="76">
        <v>35.950000000000003</v>
      </c>
      <c r="F167" s="76">
        <v>37.450000000000003</v>
      </c>
      <c r="G167" s="76">
        <v>38.950000000000003</v>
      </c>
      <c r="H167" s="56"/>
      <c r="I167" s="76">
        <v>20.440000915527342</v>
      </c>
      <c r="J167" s="76">
        <v>21.190000915527342</v>
      </c>
      <c r="K167" s="76">
        <v>21.940000915527342</v>
      </c>
      <c r="L167" s="27"/>
      <c r="M167" s="28">
        <v>41061</v>
      </c>
      <c r="N167" s="77">
        <v>22.526250152587885</v>
      </c>
      <c r="O167" s="77">
        <v>27.858750152587884</v>
      </c>
      <c r="P167" s="77">
        <v>33.191250152587884</v>
      </c>
      <c r="Q167" s="26"/>
      <c r="R167" s="77">
        <v>17.042499542236321</v>
      </c>
      <c r="S167" s="77">
        <v>21.342499542236322</v>
      </c>
      <c r="T167" s="77">
        <v>25.642499542236322</v>
      </c>
      <c r="U167" s="26"/>
      <c r="V167" s="77">
        <v>0.3</v>
      </c>
      <c r="W167" s="77">
        <v>0.3</v>
      </c>
      <c r="X167" s="77">
        <v>0.3</v>
      </c>
      <c r="Y167" s="26"/>
      <c r="Z167" s="77">
        <v>9.7712745851942298E-2</v>
      </c>
      <c r="AA167" s="77">
        <v>0.1954254917038846</v>
      </c>
      <c r="AB167" s="77">
        <v>0.29313823755582691</v>
      </c>
      <c r="AC167" s="26"/>
      <c r="AD167" s="77">
        <v>3.5312252568065992E-2</v>
      </c>
      <c r="AE167" s="77">
        <v>7.0624505136131985E-2</v>
      </c>
      <c r="AF167" s="77">
        <v>0.10593675770419797</v>
      </c>
      <c r="AG167" s="26"/>
      <c r="AH167" s="77">
        <v>-0.35</v>
      </c>
      <c r="AI167" s="77">
        <v>2</v>
      </c>
      <c r="AJ167" s="77">
        <v>0.3</v>
      </c>
      <c r="AK167" s="26"/>
      <c r="AL167" s="77">
        <v>-0.15</v>
      </c>
      <c r="AM167" s="77">
        <v>0.65</v>
      </c>
      <c r="AN167" s="77">
        <v>0.2</v>
      </c>
      <c r="AO167" s="26"/>
      <c r="AP167" s="27">
        <v>50</v>
      </c>
      <c r="AQ167" s="78">
        <v>0.4</v>
      </c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8">
        <v>41061</v>
      </c>
      <c r="BI167" s="80">
        <v>0.9</v>
      </c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/>
      <c r="CM167" s="106"/>
      <c r="CN167" s="106"/>
      <c r="CO167" s="81"/>
      <c r="CP167"/>
      <c r="CQ167"/>
      <c r="CR167"/>
      <c r="CS167"/>
      <c r="CT167"/>
      <c r="CY167" s="338">
        <f t="shared" si="31"/>
        <v>41061</v>
      </c>
      <c r="CZ167" s="337">
        <f t="shared" si="32"/>
        <v>1.65</v>
      </c>
      <c r="DA167" s="337">
        <f t="shared" si="33"/>
        <v>2</v>
      </c>
      <c r="DB167" s="337">
        <f t="shared" si="34"/>
        <v>2.2999999999999998</v>
      </c>
      <c r="DD167" s="337">
        <f t="shared" si="35"/>
        <v>9.7712745851942298E-2</v>
      </c>
      <c r="DE167" s="337">
        <f t="shared" si="36"/>
        <v>0.1954254917038846</v>
      </c>
      <c r="DF167" s="337">
        <f t="shared" si="37"/>
        <v>0.29313823755582691</v>
      </c>
      <c r="DH167" s="338">
        <f t="shared" si="38"/>
        <v>41061</v>
      </c>
      <c r="DI167" s="20">
        <v>0.9</v>
      </c>
    </row>
    <row r="168" spans="1:113">
      <c r="A168" s="34">
        <f t="shared" ca="1" si="30"/>
        <v>41334</v>
      </c>
      <c r="B168" s="20">
        <f>'Gas Curves'!C172</f>
        <v>7.4194263726294007E-2</v>
      </c>
      <c r="C168" s="20"/>
      <c r="D168" s="75">
        <v>40210</v>
      </c>
      <c r="E168" s="76">
        <v>35.950000000000003</v>
      </c>
      <c r="F168" s="76">
        <v>37.450000000000003</v>
      </c>
      <c r="G168" s="76">
        <v>38.950000000000003</v>
      </c>
      <c r="H168" s="56"/>
      <c r="I168" s="76">
        <v>20.249997711181638</v>
      </c>
      <c r="J168" s="76">
        <v>20.999997711181638</v>
      </c>
      <c r="K168" s="76">
        <v>21.749997711181638</v>
      </c>
      <c r="L168" s="27"/>
      <c r="M168" s="28">
        <v>41091</v>
      </c>
      <c r="N168" s="77">
        <v>37.311249542236354</v>
      </c>
      <c r="O168" s="77">
        <v>41.061249542236354</v>
      </c>
      <c r="P168" s="77">
        <v>44.811249542236354</v>
      </c>
      <c r="Q168" s="26"/>
      <c r="R168" s="77">
        <v>26.247499465942376</v>
      </c>
      <c r="S168" s="77">
        <v>30.547499465942376</v>
      </c>
      <c r="T168" s="77">
        <v>34.847499465942377</v>
      </c>
      <c r="U168" s="26"/>
      <c r="V168" s="77">
        <v>0.3</v>
      </c>
      <c r="W168" s="77">
        <v>0.3</v>
      </c>
      <c r="X168" s="77">
        <v>0.3</v>
      </c>
      <c r="Y168" s="26"/>
      <c r="Z168" s="77">
        <v>0.11562994875865082</v>
      </c>
      <c r="AA168" s="77">
        <v>0.23125989751730164</v>
      </c>
      <c r="AB168" s="77">
        <v>0.34688984627595243</v>
      </c>
      <c r="AC168" s="26"/>
      <c r="AD168" s="77">
        <v>4.7083003424087985E-2</v>
      </c>
      <c r="AE168" s="77">
        <v>9.416600684817597E-2</v>
      </c>
      <c r="AF168" s="77">
        <v>0.14124901027226394</v>
      </c>
      <c r="AG168" s="26"/>
      <c r="AH168" s="77">
        <v>-0.35</v>
      </c>
      <c r="AI168" s="77">
        <v>3</v>
      </c>
      <c r="AJ168" s="77">
        <v>0.5</v>
      </c>
      <c r="AK168" s="26"/>
      <c r="AL168" s="77">
        <v>-0.15</v>
      </c>
      <c r="AM168" s="77">
        <v>0.75</v>
      </c>
      <c r="AN168" s="77">
        <v>0.2</v>
      </c>
      <c r="AO168" s="26"/>
      <c r="AP168" s="27">
        <v>50</v>
      </c>
      <c r="AQ168" s="78">
        <v>0.4</v>
      </c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8">
        <v>41091</v>
      </c>
      <c r="BI168" s="80">
        <v>0.9</v>
      </c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/>
      <c r="CM168" s="106"/>
      <c r="CN168" s="106"/>
      <c r="CO168" s="81"/>
      <c r="CP168"/>
      <c r="CQ168"/>
      <c r="CR168"/>
      <c r="CS168"/>
      <c r="CT168"/>
      <c r="CY168" s="338">
        <f t="shared" si="31"/>
        <v>41091</v>
      </c>
      <c r="CZ168" s="337">
        <f t="shared" si="32"/>
        <v>2.65</v>
      </c>
      <c r="DA168" s="337">
        <f t="shared" si="33"/>
        <v>3</v>
      </c>
      <c r="DB168" s="337">
        <f t="shared" si="34"/>
        <v>3.5</v>
      </c>
      <c r="DD168" s="337">
        <f t="shared" si="35"/>
        <v>0.11562994875865082</v>
      </c>
      <c r="DE168" s="337">
        <f t="shared" si="36"/>
        <v>0.23125989751730164</v>
      </c>
      <c r="DF168" s="337">
        <f t="shared" si="37"/>
        <v>0.34688984627595243</v>
      </c>
      <c r="DH168" s="338">
        <f t="shared" si="38"/>
        <v>41091</v>
      </c>
      <c r="DI168" s="20">
        <v>0.9</v>
      </c>
    </row>
    <row r="169" spans="1:113">
      <c r="A169" s="34">
        <f t="shared" ca="1" si="30"/>
        <v>41365</v>
      </c>
      <c r="B169" s="20">
        <f>'Gas Curves'!C173</f>
        <v>7.4193969008413005E-2</v>
      </c>
      <c r="C169" s="20"/>
      <c r="D169" s="75">
        <v>40238</v>
      </c>
      <c r="E169" s="76">
        <v>32.85</v>
      </c>
      <c r="F169" s="76">
        <v>33.700000000000003</v>
      </c>
      <c r="G169" s="76">
        <v>34.549999999999997</v>
      </c>
      <c r="H169" s="56"/>
      <c r="I169" s="76">
        <v>19.574999618530271</v>
      </c>
      <c r="J169" s="76">
        <v>19.999999618530271</v>
      </c>
      <c r="K169" s="76">
        <v>20.424999618530272</v>
      </c>
      <c r="L169" s="27"/>
      <c r="M169" s="28">
        <v>41122</v>
      </c>
      <c r="N169" s="77">
        <v>39.572499084472682</v>
      </c>
      <c r="O169" s="77">
        <v>43.322499084472682</v>
      </c>
      <c r="P169" s="77">
        <v>47.072499084472682</v>
      </c>
      <c r="Q169" s="26"/>
      <c r="R169" s="77">
        <v>27.745000839233395</v>
      </c>
      <c r="S169" s="77">
        <v>32.045000839233396</v>
      </c>
      <c r="T169" s="77">
        <v>36.345000839233393</v>
      </c>
      <c r="U169" s="26"/>
      <c r="V169" s="77">
        <v>0.3</v>
      </c>
      <c r="W169" s="77">
        <v>0.3</v>
      </c>
      <c r="X169" s="77">
        <v>0.3</v>
      </c>
      <c r="Y169" s="26"/>
      <c r="Z169" s="77">
        <v>0.11377423845759886</v>
      </c>
      <c r="AA169" s="77">
        <v>0.22754847691519772</v>
      </c>
      <c r="AB169" s="77">
        <v>0.34132271537279657</v>
      </c>
      <c r="AC169" s="26"/>
      <c r="AD169" s="77">
        <v>4.7083003424087985E-2</v>
      </c>
      <c r="AE169" s="77">
        <v>9.416600684817597E-2</v>
      </c>
      <c r="AF169" s="77">
        <v>0.14124901027226394</v>
      </c>
      <c r="AG169" s="26"/>
      <c r="AH169" s="77">
        <v>-0.35</v>
      </c>
      <c r="AI169" s="77">
        <v>3</v>
      </c>
      <c r="AJ169" s="77">
        <v>0.5</v>
      </c>
      <c r="AK169" s="26"/>
      <c r="AL169" s="77">
        <v>-0.15</v>
      </c>
      <c r="AM169" s="77">
        <v>0.75</v>
      </c>
      <c r="AN169" s="77">
        <v>0.2</v>
      </c>
      <c r="AO169" s="26"/>
      <c r="AP169" s="27">
        <v>51</v>
      </c>
      <c r="AQ169" s="78">
        <v>0.4</v>
      </c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8">
        <v>41122</v>
      </c>
      <c r="BI169" s="80">
        <v>0.9</v>
      </c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/>
      <c r="CM169" s="106"/>
      <c r="CN169" s="106"/>
      <c r="CO169" s="81"/>
      <c r="CP169"/>
      <c r="CQ169"/>
      <c r="CR169"/>
      <c r="CS169"/>
      <c r="CT169"/>
      <c r="CY169" s="338">
        <f t="shared" si="31"/>
        <v>41122</v>
      </c>
      <c r="CZ169" s="337">
        <f t="shared" si="32"/>
        <v>2.65</v>
      </c>
      <c r="DA169" s="337">
        <f t="shared" si="33"/>
        <v>3</v>
      </c>
      <c r="DB169" s="337">
        <f t="shared" si="34"/>
        <v>3.5</v>
      </c>
      <c r="DD169" s="337">
        <f t="shared" si="35"/>
        <v>0.11377423845759886</v>
      </c>
      <c r="DE169" s="337">
        <f t="shared" si="36"/>
        <v>0.22754847691519772</v>
      </c>
      <c r="DF169" s="337">
        <f t="shared" si="37"/>
        <v>0.34132271537279657</v>
      </c>
      <c r="DH169" s="338">
        <f t="shared" si="38"/>
        <v>41122</v>
      </c>
      <c r="DI169" s="20">
        <v>0.9</v>
      </c>
    </row>
    <row r="170" spans="1:113">
      <c r="A170" s="34">
        <f t="shared" ca="1" si="30"/>
        <v>41395</v>
      </c>
      <c r="B170" s="20">
        <f>'Gas Curves'!C174</f>
        <v>7.4193683797560001E-2</v>
      </c>
      <c r="C170" s="20"/>
      <c r="D170" s="75">
        <v>40269</v>
      </c>
      <c r="E170" s="76">
        <v>31.75</v>
      </c>
      <c r="F170" s="76">
        <v>32.450000000000003</v>
      </c>
      <c r="G170" s="76">
        <v>33.15</v>
      </c>
      <c r="H170" s="56"/>
      <c r="I170" s="76">
        <v>19.649997711181637</v>
      </c>
      <c r="J170" s="76">
        <v>19.999997711181638</v>
      </c>
      <c r="K170" s="76">
        <v>20.34999771118164</v>
      </c>
      <c r="L170" s="27"/>
      <c r="M170" s="28">
        <v>41153</v>
      </c>
      <c r="N170" s="77">
        <v>23.354999160766592</v>
      </c>
      <c r="O170" s="77">
        <v>24.704999160766594</v>
      </c>
      <c r="P170" s="77">
        <v>26.054999160766595</v>
      </c>
      <c r="Q170" s="26"/>
      <c r="R170" s="77">
        <v>20.9</v>
      </c>
      <c r="S170" s="77">
        <v>25.2</v>
      </c>
      <c r="T170" s="77">
        <v>29.5</v>
      </c>
      <c r="U170" s="26"/>
      <c r="V170" s="77">
        <v>0.8</v>
      </c>
      <c r="W170" s="77">
        <v>0.8</v>
      </c>
      <c r="X170" s="77">
        <v>0.8</v>
      </c>
      <c r="Y170" s="26"/>
      <c r="Z170" s="77">
        <v>7.5380232228937818E-2</v>
      </c>
      <c r="AA170" s="77">
        <v>0.15076046445787564</v>
      </c>
      <c r="AB170" s="77">
        <v>0.22614069668681347</v>
      </c>
      <c r="AC170" s="26"/>
      <c r="AD170" s="77">
        <v>3.138866894939199E-2</v>
      </c>
      <c r="AE170" s="77">
        <v>6.277733789878398E-2</v>
      </c>
      <c r="AF170" s="77">
        <v>9.416600684817597E-2</v>
      </c>
      <c r="AG170" s="26"/>
      <c r="AH170" s="77">
        <v>-0.35</v>
      </c>
      <c r="AI170" s="77">
        <v>1.5</v>
      </c>
      <c r="AJ170" s="77">
        <v>0.3</v>
      </c>
      <c r="AK170" s="26"/>
      <c r="AL170" s="77">
        <v>-0.15</v>
      </c>
      <c r="AM170" s="77">
        <v>0.4</v>
      </c>
      <c r="AN170" s="77">
        <v>0.2</v>
      </c>
      <c r="AO170" s="26"/>
      <c r="AP170" s="27">
        <v>51</v>
      </c>
      <c r="AQ170" s="78">
        <v>0.4</v>
      </c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8">
        <v>41153</v>
      </c>
      <c r="BI170" s="80">
        <v>0.9</v>
      </c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/>
      <c r="CM170" s="106"/>
      <c r="CN170" s="106"/>
      <c r="CO170" s="81"/>
      <c r="CP170"/>
      <c r="CQ170"/>
      <c r="CR170"/>
      <c r="CS170"/>
      <c r="CT170"/>
      <c r="CY170" s="338">
        <f t="shared" si="31"/>
        <v>41153</v>
      </c>
      <c r="CZ170" s="337">
        <f t="shared" si="32"/>
        <v>1.1499999999999999</v>
      </c>
      <c r="DA170" s="337">
        <f t="shared" si="33"/>
        <v>1.5</v>
      </c>
      <c r="DB170" s="337">
        <f t="shared" si="34"/>
        <v>1.8</v>
      </c>
      <c r="DD170" s="337">
        <f t="shared" si="35"/>
        <v>7.5380232228937818E-2</v>
      </c>
      <c r="DE170" s="337">
        <f t="shared" si="36"/>
        <v>0.15076046445787564</v>
      </c>
      <c r="DF170" s="337">
        <f t="shared" si="37"/>
        <v>0.22614069668681347</v>
      </c>
      <c r="DH170" s="338">
        <f t="shared" si="38"/>
        <v>41153</v>
      </c>
      <c r="DI170" s="20">
        <v>0.9</v>
      </c>
    </row>
    <row r="171" spans="1:113">
      <c r="A171" s="34">
        <f t="shared" ca="1" si="30"/>
        <v>41426</v>
      </c>
      <c r="B171" s="20">
        <f>'Gas Curves'!C175</f>
        <v>7.4193389079678998E-2</v>
      </c>
      <c r="C171" s="20"/>
      <c r="D171" s="75">
        <v>40299</v>
      </c>
      <c r="E171" s="76">
        <v>32.17</v>
      </c>
      <c r="F171" s="76">
        <v>34.65</v>
      </c>
      <c r="G171" s="76">
        <v>37.130000000000003</v>
      </c>
      <c r="H171" s="56"/>
      <c r="I171" s="76">
        <v>18.75999771118164</v>
      </c>
      <c r="J171" s="76">
        <v>19.999997711181638</v>
      </c>
      <c r="K171" s="76">
        <v>21.239997711181637</v>
      </c>
      <c r="L171" s="27"/>
      <c r="M171" s="28">
        <v>41183</v>
      </c>
      <c r="N171" s="77">
        <v>23.563000106811515</v>
      </c>
      <c r="O171" s="77">
        <v>24.800500106811516</v>
      </c>
      <c r="P171" s="77">
        <v>26.038000106811516</v>
      </c>
      <c r="Q171" s="26"/>
      <c r="R171" s="77">
        <v>18.500999832153312</v>
      </c>
      <c r="S171" s="77">
        <v>22.800999832153312</v>
      </c>
      <c r="T171" s="77">
        <v>27.100999832153313</v>
      </c>
      <c r="U171" s="26"/>
      <c r="V171" s="77">
        <v>0.8</v>
      </c>
      <c r="W171" s="77">
        <v>0.8</v>
      </c>
      <c r="X171" s="77">
        <v>0.8</v>
      </c>
      <c r="Y171" s="26"/>
      <c r="Z171" s="77">
        <v>6.8853251170065438E-2</v>
      </c>
      <c r="AA171" s="77">
        <v>0.13770650234013088</v>
      </c>
      <c r="AB171" s="77">
        <v>0.20655975351019631</v>
      </c>
      <c r="AC171" s="26"/>
      <c r="AD171" s="77">
        <v>2.3541501712043993E-2</v>
      </c>
      <c r="AE171" s="77">
        <v>4.7083003424087985E-2</v>
      </c>
      <c r="AF171" s="77">
        <v>7.0624505136131971E-2</v>
      </c>
      <c r="AG171" s="26"/>
      <c r="AH171" s="77">
        <v>-0.25</v>
      </c>
      <c r="AI171" s="77">
        <v>1.1000000000000001</v>
      </c>
      <c r="AJ171" s="77">
        <v>0.3</v>
      </c>
      <c r="AK171" s="26"/>
      <c r="AL171" s="77">
        <v>-0.15</v>
      </c>
      <c r="AM171" s="77">
        <v>0.35</v>
      </c>
      <c r="AN171" s="77">
        <v>0.2</v>
      </c>
      <c r="AO171" s="26"/>
      <c r="AP171" s="27">
        <v>51</v>
      </c>
      <c r="AQ171" s="78">
        <v>0.4</v>
      </c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8">
        <v>41183</v>
      </c>
      <c r="BI171" s="80">
        <v>0.9</v>
      </c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/>
      <c r="CM171" s="106"/>
      <c r="CN171" s="106"/>
      <c r="CO171" s="81"/>
      <c r="CP171"/>
      <c r="CQ171"/>
      <c r="CR171"/>
      <c r="CS171"/>
      <c r="CT171"/>
      <c r="CY171" s="338">
        <f t="shared" si="31"/>
        <v>41183</v>
      </c>
      <c r="CZ171" s="337">
        <f t="shared" si="32"/>
        <v>0.85000000000000009</v>
      </c>
      <c r="DA171" s="337">
        <f t="shared" si="33"/>
        <v>1.1000000000000001</v>
      </c>
      <c r="DB171" s="337">
        <f t="shared" si="34"/>
        <v>1.4000000000000001</v>
      </c>
      <c r="DD171" s="337">
        <f t="shared" si="35"/>
        <v>6.8853251170065438E-2</v>
      </c>
      <c r="DE171" s="337">
        <f t="shared" si="36"/>
        <v>0.13770650234013088</v>
      </c>
      <c r="DF171" s="337">
        <f t="shared" si="37"/>
        <v>0.20655975351019631</v>
      </c>
      <c r="DH171" s="338">
        <f t="shared" si="38"/>
        <v>41183</v>
      </c>
      <c r="DI171" s="20">
        <v>0.9</v>
      </c>
    </row>
    <row r="172" spans="1:113">
      <c r="A172" s="34">
        <f t="shared" ca="1" si="30"/>
        <v>41456</v>
      </c>
      <c r="B172" s="20">
        <f>'Gas Curves'!C176</f>
        <v>7.4193103868826007E-2</v>
      </c>
      <c r="C172" s="20"/>
      <c r="D172" s="75">
        <v>40330</v>
      </c>
      <c r="E172" s="76">
        <v>45.14</v>
      </c>
      <c r="F172" s="76">
        <v>52.25</v>
      </c>
      <c r="G172" s="76">
        <v>59.36</v>
      </c>
      <c r="H172" s="56"/>
      <c r="I172" s="76">
        <v>16.399998779296872</v>
      </c>
      <c r="J172" s="76">
        <v>19.954998779296872</v>
      </c>
      <c r="K172" s="76">
        <v>23.509998779296872</v>
      </c>
      <c r="L172" s="27"/>
      <c r="M172" s="28">
        <v>41214</v>
      </c>
      <c r="N172" s="77">
        <v>24.567251586914054</v>
      </c>
      <c r="O172" s="77">
        <v>25.804751586914055</v>
      </c>
      <c r="P172" s="77">
        <v>27.042251586914055</v>
      </c>
      <c r="Q172" s="26"/>
      <c r="R172" s="77">
        <v>19.504499816894523</v>
      </c>
      <c r="S172" s="77">
        <v>23.804499816894523</v>
      </c>
      <c r="T172" s="77">
        <v>28.104499816894524</v>
      </c>
      <c r="U172" s="26"/>
      <c r="V172" s="77">
        <v>0.8</v>
      </c>
      <c r="W172" s="77">
        <v>0.8</v>
      </c>
      <c r="X172" s="77">
        <v>0.8</v>
      </c>
      <c r="Y172" s="26"/>
      <c r="Z172" s="77">
        <v>6.8853251170065438E-2</v>
      </c>
      <c r="AA172" s="77">
        <v>0.13770650234013088</v>
      </c>
      <c r="AB172" s="77">
        <v>0.20655975351019631</v>
      </c>
      <c r="AC172" s="26"/>
      <c r="AD172" s="77">
        <v>2.3541501712043993E-2</v>
      </c>
      <c r="AE172" s="77">
        <v>4.7083003424087985E-2</v>
      </c>
      <c r="AF172" s="77">
        <v>7.0624505136131971E-2</v>
      </c>
      <c r="AG172" s="26"/>
      <c r="AH172" s="77">
        <v>-0.25</v>
      </c>
      <c r="AI172" s="77">
        <v>1.25</v>
      </c>
      <c r="AJ172" s="77">
        <v>0.3</v>
      </c>
      <c r="AK172" s="26"/>
      <c r="AL172" s="77">
        <v>-0.15</v>
      </c>
      <c r="AM172" s="77">
        <v>0.3</v>
      </c>
      <c r="AN172" s="77">
        <v>0.2</v>
      </c>
      <c r="AO172" s="26"/>
      <c r="AP172" s="27">
        <v>52</v>
      </c>
      <c r="AQ172" s="78">
        <v>0.4</v>
      </c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8">
        <v>41214</v>
      </c>
      <c r="BI172" s="80">
        <v>0.9</v>
      </c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/>
      <c r="CM172" s="106"/>
      <c r="CN172" s="106"/>
      <c r="CO172" s="81"/>
      <c r="CP172"/>
      <c r="CQ172"/>
      <c r="CR172"/>
      <c r="CS172"/>
      <c r="CT172"/>
      <c r="CY172" s="338">
        <f t="shared" si="31"/>
        <v>41214</v>
      </c>
      <c r="CZ172" s="337">
        <f t="shared" si="32"/>
        <v>1</v>
      </c>
      <c r="DA172" s="337">
        <f t="shared" si="33"/>
        <v>1.25</v>
      </c>
      <c r="DB172" s="337">
        <f t="shared" si="34"/>
        <v>1.55</v>
      </c>
      <c r="DD172" s="337">
        <f t="shared" si="35"/>
        <v>6.8853251170065438E-2</v>
      </c>
      <c r="DE172" s="337">
        <f t="shared" si="36"/>
        <v>0.13770650234013088</v>
      </c>
      <c r="DF172" s="337">
        <f t="shared" si="37"/>
        <v>0.20655975351019631</v>
      </c>
      <c r="DH172" s="338">
        <f t="shared" si="38"/>
        <v>41214</v>
      </c>
      <c r="DI172" s="20">
        <v>0.9</v>
      </c>
    </row>
    <row r="173" spans="1:113">
      <c r="A173" s="34">
        <f t="shared" ca="1" si="30"/>
        <v>41487</v>
      </c>
      <c r="B173" s="20">
        <f>'Gas Curves'!C177</f>
        <v>7.4192809150945005E-2</v>
      </c>
      <c r="C173" s="20"/>
      <c r="D173" s="75">
        <v>40360</v>
      </c>
      <c r="E173" s="76">
        <v>71.5</v>
      </c>
      <c r="F173" s="76">
        <v>76.5</v>
      </c>
      <c r="G173" s="76">
        <v>81.5</v>
      </c>
      <c r="H173" s="56"/>
      <c r="I173" s="76">
        <v>21.949997711181638</v>
      </c>
      <c r="J173" s="76">
        <v>24.449997711181638</v>
      </c>
      <c r="K173" s="76">
        <v>26.949997711181638</v>
      </c>
      <c r="L173" s="27"/>
      <c r="M173" s="28">
        <v>41244</v>
      </c>
      <c r="N173" s="77">
        <v>26.01749839782714</v>
      </c>
      <c r="O173" s="77">
        <v>27.254998397827141</v>
      </c>
      <c r="P173" s="77">
        <v>28.492498397827141</v>
      </c>
      <c r="Q173" s="26"/>
      <c r="R173" s="77">
        <v>19.449999237060538</v>
      </c>
      <c r="S173" s="77">
        <v>23.749999237060539</v>
      </c>
      <c r="T173" s="77">
        <v>28.04999923706054</v>
      </c>
      <c r="U173" s="26"/>
      <c r="V173" s="77">
        <v>0.8</v>
      </c>
      <c r="W173" s="77">
        <v>0.8</v>
      </c>
      <c r="X173" s="77">
        <v>0.8</v>
      </c>
      <c r="Y173" s="26"/>
      <c r="Z173" s="77">
        <v>7.1310467568699756E-2</v>
      </c>
      <c r="AA173" s="77">
        <v>0.14262093513739951</v>
      </c>
      <c r="AB173" s="77">
        <v>0.21393140270609928</v>
      </c>
      <c r="AC173" s="26"/>
      <c r="AD173" s="77">
        <v>2.3541501712043993E-2</v>
      </c>
      <c r="AE173" s="77">
        <v>4.7083003424087985E-2</v>
      </c>
      <c r="AF173" s="77">
        <v>7.0624505136131971E-2</v>
      </c>
      <c r="AG173" s="26"/>
      <c r="AH173" s="77">
        <v>-0.25</v>
      </c>
      <c r="AI173" s="77">
        <v>1.25</v>
      </c>
      <c r="AJ173" s="77">
        <v>0.35</v>
      </c>
      <c r="AK173" s="26"/>
      <c r="AL173" s="77">
        <v>-0.15</v>
      </c>
      <c r="AM173" s="77">
        <v>0.3</v>
      </c>
      <c r="AN173" s="77">
        <v>0.2</v>
      </c>
      <c r="AO173" s="26"/>
      <c r="AP173" s="27">
        <v>52</v>
      </c>
      <c r="AQ173" s="78">
        <v>0.4</v>
      </c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8">
        <v>41244</v>
      </c>
      <c r="BI173" s="80">
        <v>0.9</v>
      </c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/>
      <c r="CM173" s="106"/>
      <c r="CN173" s="106"/>
      <c r="CO173" s="81"/>
      <c r="CP173"/>
      <c r="CQ173"/>
      <c r="CR173"/>
      <c r="CS173"/>
      <c r="CT173"/>
      <c r="CY173" s="338">
        <f t="shared" si="31"/>
        <v>41244</v>
      </c>
      <c r="CZ173" s="337">
        <f t="shared" si="32"/>
        <v>1</v>
      </c>
      <c r="DA173" s="337">
        <f t="shared" si="33"/>
        <v>1.25</v>
      </c>
      <c r="DB173" s="337">
        <f t="shared" si="34"/>
        <v>1.6</v>
      </c>
      <c r="DD173" s="337">
        <f t="shared" si="35"/>
        <v>7.1310467568699756E-2</v>
      </c>
      <c r="DE173" s="337">
        <f t="shared" si="36"/>
        <v>0.14262093513739951</v>
      </c>
      <c r="DF173" s="337">
        <f t="shared" si="37"/>
        <v>0.21393140270609928</v>
      </c>
      <c r="DH173" s="338">
        <f t="shared" si="38"/>
        <v>41244</v>
      </c>
      <c r="DI173" s="20">
        <v>0.9</v>
      </c>
    </row>
    <row r="174" spans="1:113">
      <c r="A174" s="34">
        <f t="shared" ca="1" si="30"/>
        <v>41518</v>
      </c>
      <c r="B174" s="20">
        <f>'Gas Curves'!C178</f>
        <v>7.4192514433064002E-2</v>
      </c>
      <c r="C174" s="20"/>
      <c r="D174" s="75">
        <v>40391</v>
      </c>
      <c r="E174" s="76">
        <v>67</v>
      </c>
      <c r="F174" s="76">
        <v>72</v>
      </c>
      <c r="G174" s="76">
        <v>77</v>
      </c>
      <c r="H174" s="56"/>
      <c r="I174" s="76">
        <v>22.299998092651364</v>
      </c>
      <c r="J174" s="76">
        <v>24.799998092651364</v>
      </c>
      <c r="K174" s="76">
        <v>27.299998092651364</v>
      </c>
      <c r="L174" s="27"/>
      <c r="M174" s="28">
        <v>41275</v>
      </c>
      <c r="N174" s="77">
        <v>29.29874839782714</v>
      </c>
      <c r="O174" s="77">
        <v>30.648748397827141</v>
      </c>
      <c r="P174" s="77">
        <v>31.998748397827143</v>
      </c>
      <c r="Q174" s="26"/>
      <c r="R174" s="77">
        <v>24.852500152587883</v>
      </c>
      <c r="S174" s="77">
        <v>29.152500152587884</v>
      </c>
      <c r="T174" s="77">
        <v>33.452500152587881</v>
      </c>
      <c r="U174" s="26"/>
      <c r="V174" s="77">
        <v>0.8</v>
      </c>
      <c r="W174" s="77">
        <v>0.8</v>
      </c>
      <c r="X174" s="77">
        <v>0.8</v>
      </c>
      <c r="Y174" s="26"/>
      <c r="Z174" s="77">
        <v>7.673113244809443E-2</v>
      </c>
      <c r="AA174" s="77">
        <v>0.15346226489618886</v>
      </c>
      <c r="AB174" s="77">
        <v>0.23019339734428329</v>
      </c>
      <c r="AC174" s="26"/>
      <c r="AD174" s="77">
        <v>2.6915783624103642E-2</v>
      </c>
      <c r="AE174" s="77">
        <v>5.3831567248207285E-2</v>
      </c>
      <c r="AF174" s="77">
        <v>8.0747350872310927E-2</v>
      </c>
      <c r="AG174" s="26"/>
      <c r="AH174" s="77">
        <v>-0.75</v>
      </c>
      <c r="AI174" s="77">
        <v>2</v>
      </c>
      <c r="AJ174" s="77">
        <v>0.75</v>
      </c>
      <c r="AK174" s="26"/>
      <c r="AL174" s="77">
        <v>-0.15</v>
      </c>
      <c r="AM174" s="77">
        <v>0.5</v>
      </c>
      <c r="AN174" s="77">
        <v>0.2</v>
      </c>
      <c r="AO174" s="26"/>
      <c r="AP174" s="27">
        <v>52</v>
      </c>
      <c r="AQ174" s="78">
        <v>0.4</v>
      </c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8">
        <v>41275</v>
      </c>
      <c r="BI174" s="80">
        <v>0.9</v>
      </c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/>
      <c r="CM174" s="106"/>
      <c r="CN174" s="106"/>
      <c r="CO174" s="81"/>
      <c r="CP174"/>
      <c r="CQ174"/>
      <c r="CR174"/>
      <c r="CS174"/>
      <c r="CT174"/>
      <c r="CY174" s="338">
        <f t="shared" si="31"/>
        <v>41275</v>
      </c>
      <c r="CZ174" s="337">
        <f t="shared" si="32"/>
        <v>1.25</v>
      </c>
      <c r="DA174" s="337">
        <f t="shared" si="33"/>
        <v>2</v>
      </c>
      <c r="DB174" s="337">
        <f t="shared" si="34"/>
        <v>2.75</v>
      </c>
      <c r="DD174" s="337">
        <f t="shared" si="35"/>
        <v>7.673113244809443E-2</v>
      </c>
      <c r="DE174" s="337">
        <f t="shared" si="36"/>
        <v>0.15346226489618886</v>
      </c>
      <c r="DF174" s="337">
        <f t="shared" si="37"/>
        <v>0.23019339734428329</v>
      </c>
      <c r="DH174" s="338">
        <f t="shared" si="38"/>
        <v>41275</v>
      </c>
      <c r="DI174" s="20">
        <v>0.9</v>
      </c>
    </row>
    <row r="175" spans="1:113">
      <c r="A175" s="34">
        <f t="shared" ca="1" si="30"/>
        <v>41548</v>
      </c>
      <c r="B175" s="20">
        <f>'Gas Curves'!C179</f>
        <v>7.4192229222210998E-2</v>
      </c>
      <c r="C175" s="20"/>
      <c r="D175" s="75">
        <v>40422</v>
      </c>
      <c r="E175" s="76">
        <v>31.85</v>
      </c>
      <c r="F175" s="76">
        <v>33.450000000000003</v>
      </c>
      <c r="G175" s="76">
        <v>35.049999999999997</v>
      </c>
      <c r="H175" s="56"/>
      <c r="I175" s="76">
        <v>19.549998092651364</v>
      </c>
      <c r="J175" s="76">
        <v>20.349998092651365</v>
      </c>
      <c r="K175" s="76">
        <v>21.149998092651366</v>
      </c>
      <c r="L175" s="27"/>
      <c r="M175" s="28">
        <v>41306</v>
      </c>
      <c r="N175" s="77">
        <v>28.296250152587881</v>
      </c>
      <c r="O175" s="77">
        <v>29.646250152587882</v>
      </c>
      <c r="P175" s="77">
        <v>30.996250152587884</v>
      </c>
      <c r="Q175" s="26"/>
      <c r="R175" s="77">
        <v>22.847499465942374</v>
      </c>
      <c r="S175" s="77">
        <v>27.147499465942374</v>
      </c>
      <c r="T175" s="77">
        <v>31.447499465942375</v>
      </c>
      <c r="U175" s="26"/>
      <c r="V175" s="77">
        <v>0.8</v>
      </c>
      <c r="W175" s="77">
        <v>0.8</v>
      </c>
      <c r="X175" s="77">
        <v>0.8</v>
      </c>
      <c r="Y175" s="26"/>
      <c r="Z175" s="77">
        <v>7.4029332009781235E-2</v>
      </c>
      <c r="AA175" s="77">
        <v>0.14805866401956247</v>
      </c>
      <c r="AB175" s="77">
        <v>0.2220879960293437</v>
      </c>
      <c r="AC175" s="26"/>
      <c r="AD175" s="77">
        <v>2.6915783624103642E-2</v>
      </c>
      <c r="AE175" s="77">
        <v>5.3831567248207285E-2</v>
      </c>
      <c r="AF175" s="77">
        <v>8.0747350872310927E-2</v>
      </c>
      <c r="AG175" s="26"/>
      <c r="AH175" s="77">
        <v>-0.75</v>
      </c>
      <c r="AI175" s="77">
        <v>2</v>
      </c>
      <c r="AJ175" s="77">
        <v>0.75</v>
      </c>
      <c r="AK175" s="26"/>
      <c r="AL175" s="77">
        <v>-0.15</v>
      </c>
      <c r="AM175" s="77">
        <v>0.5</v>
      </c>
      <c r="AN175" s="77">
        <v>0.2</v>
      </c>
      <c r="AO175" s="26"/>
      <c r="AP175" s="27">
        <v>53</v>
      </c>
      <c r="AQ175" s="78">
        <v>0.4</v>
      </c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8">
        <v>41306</v>
      </c>
      <c r="BI175" s="80">
        <v>0.9</v>
      </c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/>
      <c r="CM175" s="106"/>
      <c r="CN175" s="106"/>
      <c r="CO175" s="81"/>
      <c r="CP175"/>
      <c r="CQ175"/>
      <c r="CR175"/>
      <c r="CS175"/>
      <c r="CT175"/>
      <c r="CY175" s="338">
        <f t="shared" si="31"/>
        <v>41306</v>
      </c>
      <c r="CZ175" s="337">
        <f t="shared" si="32"/>
        <v>1.25</v>
      </c>
      <c r="DA175" s="337">
        <f t="shared" si="33"/>
        <v>2</v>
      </c>
      <c r="DB175" s="337">
        <f t="shared" si="34"/>
        <v>2.75</v>
      </c>
      <c r="DD175" s="337">
        <f t="shared" si="35"/>
        <v>7.4029332009781235E-2</v>
      </c>
      <c r="DE175" s="337">
        <f t="shared" si="36"/>
        <v>0.14805866401956247</v>
      </c>
      <c r="DF175" s="337">
        <f t="shared" si="37"/>
        <v>0.2220879960293437</v>
      </c>
      <c r="DH175" s="338">
        <f t="shared" si="38"/>
        <v>41306</v>
      </c>
      <c r="DI175" s="20">
        <v>0.9</v>
      </c>
    </row>
    <row r="176" spans="1:113">
      <c r="A176" s="34">
        <f t="shared" ca="1" si="30"/>
        <v>41579</v>
      </c>
      <c r="B176" s="20">
        <f>'Gas Curves'!C180</f>
        <v>7.4191934504329995E-2</v>
      </c>
      <c r="C176" s="20"/>
      <c r="D176" s="75">
        <v>40452</v>
      </c>
      <c r="E176" s="76">
        <v>29.75</v>
      </c>
      <c r="F176" s="76">
        <v>31.2</v>
      </c>
      <c r="G176" s="76">
        <v>32.65</v>
      </c>
      <c r="H176" s="56"/>
      <c r="I176" s="76">
        <v>19.324998855590817</v>
      </c>
      <c r="J176" s="76">
        <v>20.049998855590818</v>
      </c>
      <c r="K176" s="76">
        <v>20.77499885559082</v>
      </c>
      <c r="L176" s="27"/>
      <c r="M176" s="28">
        <v>41334</v>
      </c>
      <c r="N176" s="77">
        <v>22.084749603271476</v>
      </c>
      <c r="O176" s="77">
        <v>22.834749603271476</v>
      </c>
      <c r="P176" s="77">
        <v>23.584749603271476</v>
      </c>
      <c r="Q176" s="26"/>
      <c r="R176" s="77">
        <v>18.164498901367178</v>
      </c>
      <c r="S176" s="77">
        <v>22.464498901367179</v>
      </c>
      <c r="T176" s="77">
        <v>26.76449890136718</v>
      </c>
      <c r="U176" s="26"/>
      <c r="V176" s="77">
        <v>0.3</v>
      </c>
      <c r="W176" s="77">
        <v>0.3</v>
      </c>
      <c r="X176" s="77">
        <v>0.3</v>
      </c>
      <c r="Y176" s="26"/>
      <c r="Z176" s="77">
        <v>7.2158335206249355E-2</v>
      </c>
      <c r="AA176" s="77">
        <v>0.14431667041249871</v>
      </c>
      <c r="AB176" s="77">
        <v>0.21647500561874805</v>
      </c>
      <c r="AC176" s="26"/>
      <c r="AD176" s="77">
        <v>2.3070671677803113E-2</v>
      </c>
      <c r="AE176" s="77">
        <v>4.6141343355606226E-2</v>
      </c>
      <c r="AF176" s="77">
        <v>6.9212015033409346E-2</v>
      </c>
      <c r="AG176" s="26"/>
      <c r="AH176" s="77">
        <v>-0.25</v>
      </c>
      <c r="AI176" s="77">
        <v>1.3</v>
      </c>
      <c r="AJ176" s="77">
        <v>0.3</v>
      </c>
      <c r="AK176" s="26"/>
      <c r="AL176" s="77">
        <v>-0.15</v>
      </c>
      <c r="AM176" s="77">
        <v>0.35</v>
      </c>
      <c r="AN176" s="77">
        <v>0.2</v>
      </c>
      <c r="AO176" s="26"/>
      <c r="AP176" s="27">
        <v>53</v>
      </c>
      <c r="AQ176" s="78">
        <v>0.4</v>
      </c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8">
        <v>41334</v>
      </c>
      <c r="BI176" s="80">
        <v>0.9</v>
      </c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/>
      <c r="CM176" s="106"/>
      <c r="CN176" s="106"/>
      <c r="CO176" s="81"/>
      <c r="CP176"/>
      <c r="CQ176"/>
      <c r="CR176"/>
      <c r="CS176"/>
      <c r="CT176"/>
      <c r="CY176" s="338">
        <f t="shared" si="31"/>
        <v>41334</v>
      </c>
      <c r="CZ176" s="337">
        <f t="shared" si="32"/>
        <v>1.05</v>
      </c>
      <c r="DA176" s="337">
        <f t="shared" si="33"/>
        <v>1.3</v>
      </c>
      <c r="DB176" s="337">
        <f t="shared" si="34"/>
        <v>1.6</v>
      </c>
      <c r="DD176" s="337">
        <f t="shared" si="35"/>
        <v>7.2158335206249355E-2</v>
      </c>
      <c r="DE176" s="337">
        <f t="shared" si="36"/>
        <v>0.14431667041249871</v>
      </c>
      <c r="DF176" s="337">
        <f t="shared" si="37"/>
        <v>0.21647500561874805</v>
      </c>
      <c r="DH176" s="338">
        <f t="shared" si="38"/>
        <v>41334</v>
      </c>
      <c r="DI176" s="20">
        <v>0.9</v>
      </c>
    </row>
    <row r="177" spans="1:113">
      <c r="A177" s="34">
        <f t="shared" ca="1" si="30"/>
        <v>41609</v>
      </c>
      <c r="B177" s="20">
        <f>'Gas Curves'!C181</f>
        <v>7.4191649293478004E-2</v>
      </c>
      <c r="C177" s="20"/>
      <c r="D177" s="75">
        <v>40483</v>
      </c>
      <c r="E177" s="76">
        <v>30.125</v>
      </c>
      <c r="F177" s="76">
        <v>31.574999999999999</v>
      </c>
      <c r="G177" s="76">
        <v>33.024999999999999</v>
      </c>
      <c r="H177" s="56"/>
      <c r="I177" s="76">
        <v>19.249998092651364</v>
      </c>
      <c r="J177" s="76">
        <v>19.974998092651365</v>
      </c>
      <c r="K177" s="76">
        <v>20.699998092651366</v>
      </c>
      <c r="L177" s="27"/>
      <c r="M177" s="28">
        <v>41365</v>
      </c>
      <c r="N177" s="77">
        <v>22.880000305175773</v>
      </c>
      <c r="O177" s="77">
        <v>23.517500305175773</v>
      </c>
      <c r="P177" s="77">
        <v>24.155000305175772</v>
      </c>
      <c r="Q177" s="26"/>
      <c r="R177" s="77">
        <v>17.934999084472647</v>
      </c>
      <c r="S177" s="77">
        <v>22.234999084472648</v>
      </c>
      <c r="T177" s="77">
        <v>26.534999084472648</v>
      </c>
      <c r="U177" s="26"/>
      <c r="V177" s="77">
        <v>0.3</v>
      </c>
      <c r="W177" s="77">
        <v>0.3</v>
      </c>
      <c r="X177" s="77">
        <v>0.3</v>
      </c>
      <c r="Y177" s="26"/>
      <c r="Z177" s="77">
        <v>6.4316359434045317E-2</v>
      </c>
      <c r="AA177" s="77">
        <v>0.12863271886809063</v>
      </c>
      <c r="AB177" s="77">
        <v>0.19294907830213595</v>
      </c>
      <c r="AC177" s="26"/>
      <c r="AD177" s="77">
        <v>2.3070671677803113E-2</v>
      </c>
      <c r="AE177" s="77">
        <v>4.6141343355606226E-2</v>
      </c>
      <c r="AF177" s="77">
        <v>6.9212015033409346E-2</v>
      </c>
      <c r="AG177" s="26"/>
      <c r="AH177" s="77">
        <v>-0.25</v>
      </c>
      <c r="AI177" s="77">
        <v>1.1000000000000001</v>
      </c>
      <c r="AJ177" s="77">
        <v>0.3</v>
      </c>
      <c r="AK177" s="26"/>
      <c r="AL177" s="77">
        <v>-0.15</v>
      </c>
      <c r="AM177" s="77">
        <v>0.35</v>
      </c>
      <c r="AN177" s="77">
        <v>0.2</v>
      </c>
      <c r="AO177" s="26"/>
      <c r="AP177" s="27">
        <v>53</v>
      </c>
      <c r="AQ177" s="78">
        <v>0.4</v>
      </c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8">
        <v>41365</v>
      </c>
      <c r="BI177" s="80">
        <v>0.9</v>
      </c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/>
      <c r="CM177" s="106"/>
      <c r="CN177" s="106"/>
      <c r="CO177" s="81"/>
      <c r="CP177"/>
      <c r="CQ177"/>
      <c r="CR177"/>
      <c r="CS177"/>
      <c r="CT177"/>
      <c r="CY177" s="338">
        <f t="shared" si="31"/>
        <v>41365</v>
      </c>
      <c r="CZ177" s="337">
        <f t="shared" si="32"/>
        <v>0.85000000000000009</v>
      </c>
      <c r="DA177" s="337">
        <f t="shared" si="33"/>
        <v>1.1000000000000001</v>
      </c>
      <c r="DB177" s="337">
        <f t="shared" si="34"/>
        <v>1.4000000000000001</v>
      </c>
      <c r="DD177" s="337">
        <f t="shared" si="35"/>
        <v>6.4316359434045317E-2</v>
      </c>
      <c r="DE177" s="337">
        <f t="shared" si="36"/>
        <v>0.12863271886809063</v>
      </c>
      <c r="DF177" s="337">
        <f t="shared" si="37"/>
        <v>0.19294907830213595</v>
      </c>
      <c r="DH177" s="338">
        <f t="shared" si="38"/>
        <v>41365</v>
      </c>
      <c r="DI177" s="20">
        <v>0.9</v>
      </c>
    </row>
    <row r="178" spans="1:113">
      <c r="A178" s="34">
        <f t="shared" ca="1" si="30"/>
        <v>41640</v>
      </c>
      <c r="B178" s="20">
        <f>'Gas Curves'!C182</f>
        <v>7.4191354575597002E-2</v>
      </c>
      <c r="C178" s="20"/>
      <c r="D178" s="75">
        <v>40513</v>
      </c>
      <c r="E178" s="76">
        <v>30</v>
      </c>
      <c r="F178" s="76">
        <v>31.45</v>
      </c>
      <c r="G178" s="76">
        <v>32.9</v>
      </c>
      <c r="H178" s="56"/>
      <c r="I178" s="76">
        <v>20.674999237060543</v>
      </c>
      <c r="J178" s="76">
        <v>21.399999237060545</v>
      </c>
      <c r="K178" s="76">
        <v>22.124999237060546</v>
      </c>
      <c r="L178" s="27"/>
      <c r="M178" s="28">
        <v>41395</v>
      </c>
      <c r="N178" s="77">
        <v>21.772500076293937</v>
      </c>
      <c r="O178" s="77">
        <v>23.632500076293937</v>
      </c>
      <c r="P178" s="77">
        <v>25.492500076293936</v>
      </c>
      <c r="Q178" s="26"/>
      <c r="R178" s="77">
        <v>18.464999771118155</v>
      </c>
      <c r="S178" s="77">
        <v>22.764999771118156</v>
      </c>
      <c r="T178" s="77">
        <v>27.064999771118156</v>
      </c>
      <c r="U178" s="26"/>
      <c r="V178" s="77">
        <v>0.3</v>
      </c>
      <c r="W178" s="77">
        <v>0.3</v>
      </c>
      <c r="X178" s="77">
        <v>0.3</v>
      </c>
      <c r="Y178" s="26"/>
      <c r="Z178" s="77">
        <v>7.4042841011972796E-2</v>
      </c>
      <c r="AA178" s="77">
        <v>0.14808568202394559</v>
      </c>
      <c r="AB178" s="77">
        <v>0.2221285230359184</v>
      </c>
      <c r="AC178" s="26"/>
      <c r="AD178" s="77">
        <v>2.6915783624103642E-2</v>
      </c>
      <c r="AE178" s="77">
        <v>5.3831567248207285E-2</v>
      </c>
      <c r="AF178" s="77">
        <v>8.0747350872310927E-2</v>
      </c>
      <c r="AG178" s="26"/>
      <c r="AH178" s="77">
        <v>-0.25</v>
      </c>
      <c r="AI178" s="77">
        <v>1.1000000000000001</v>
      </c>
      <c r="AJ178" s="77">
        <v>0.3</v>
      </c>
      <c r="AK178" s="26"/>
      <c r="AL178" s="77">
        <v>-0.15</v>
      </c>
      <c r="AM178" s="77">
        <v>0.5</v>
      </c>
      <c r="AN178" s="77">
        <v>0.2</v>
      </c>
      <c r="AO178" s="26"/>
      <c r="AP178" s="27">
        <v>54</v>
      </c>
      <c r="AQ178" s="78">
        <v>0.4</v>
      </c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8">
        <v>41395</v>
      </c>
      <c r="BI178" s="80">
        <v>0.9</v>
      </c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/>
      <c r="CM178" s="106"/>
      <c r="CN178" s="106"/>
      <c r="CO178" s="81"/>
      <c r="CP178"/>
      <c r="CQ178"/>
      <c r="CR178"/>
      <c r="CS178"/>
      <c r="CT178"/>
      <c r="CY178" s="338">
        <f t="shared" si="31"/>
        <v>41395</v>
      </c>
      <c r="CZ178" s="337">
        <f t="shared" si="32"/>
        <v>0.85000000000000009</v>
      </c>
      <c r="DA178" s="337">
        <f t="shared" si="33"/>
        <v>1.1000000000000001</v>
      </c>
      <c r="DB178" s="337">
        <f t="shared" si="34"/>
        <v>1.4000000000000001</v>
      </c>
      <c r="DD178" s="337">
        <f t="shared" si="35"/>
        <v>7.4042841011972796E-2</v>
      </c>
      <c r="DE178" s="337">
        <f t="shared" si="36"/>
        <v>0.14808568202394559</v>
      </c>
      <c r="DF178" s="337">
        <f t="shared" si="37"/>
        <v>0.2221285230359184</v>
      </c>
      <c r="DH178" s="338">
        <f t="shared" si="38"/>
        <v>41395</v>
      </c>
      <c r="DI178" s="20">
        <v>0.9</v>
      </c>
    </row>
    <row r="179" spans="1:113">
      <c r="A179" s="34">
        <f t="shared" ca="1" si="30"/>
        <v>41671</v>
      </c>
      <c r="B179" s="20">
        <f>'Gas Curves'!C183</f>
        <v>7.4191059857715E-2</v>
      </c>
      <c r="C179" s="20"/>
      <c r="D179" s="75">
        <v>40544</v>
      </c>
      <c r="E179" s="76">
        <v>36.15</v>
      </c>
      <c r="F179" s="76">
        <v>37.75</v>
      </c>
      <c r="G179" s="76">
        <v>39.35</v>
      </c>
      <c r="H179" s="56"/>
      <c r="I179" s="76">
        <v>20.590000915527341</v>
      </c>
      <c r="J179" s="76">
        <v>21.390000915527342</v>
      </c>
      <c r="K179" s="76">
        <v>22.190000915527342</v>
      </c>
      <c r="L179" s="27"/>
      <c r="M179" s="28">
        <v>41426</v>
      </c>
      <c r="N179" s="77">
        <v>22.726250152587884</v>
      </c>
      <c r="O179" s="77">
        <v>28.058750152587884</v>
      </c>
      <c r="P179" s="77">
        <v>33.391250152587887</v>
      </c>
      <c r="Q179" s="26"/>
      <c r="R179" s="77">
        <v>17.24249954223632</v>
      </c>
      <c r="S179" s="77">
        <v>21.542499542236321</v>
      </c>
      <c r="T179" s="77">
        <v>25.842499542236322</v>
      </c>
      <c r="U179" s="26"/>
      <c r="V179" s="77">
        <v>0.3</v>
      </c>
      <c r="W179" s="77">
        <v>0.3</v>
      </c>
      <c r="X179" s="77">
        <v>0.3</v>
      </c>
      <c r="Y179" s="26"/>
      <c r="Z179" s="77">
        <v>9.2827108559345173E-2</v>
      </c>
      <c r="AA179" s="77">
        <v>0.18565421711869035</v>
      </c>
      <c r="AB179" s="77">
        <v>0.27848132567803552</v>
      </c>
      <c r="AC179" s="26"/>
      <c r="AD179" s="77">
        <v>3.4606007516704673E-2</v>
      </c>
      <c r="AE179" s="77">
        <v>6.9212015033409346E-2</v>
      </c>
      <c r="AF179" s="77">
        <v>0.10381802255011402</v>
      </c>
      <c r="AG179" s="26"/>
      <c r="AH179" s="77">
        <v>-0.35</v>
      </c>
      <c r="AI179" s="77">
        <v>2</v>
      </c>
      <c r="AJ179" s="77">
        <v>0.3</v>
      </c>
      <c r="AK179" s="26"/>
      <c r="AL179" s="77">
        <v>-0.15</v>
      </c>
      <c r="AM179" s="77">
        <v>0.65</v>
      </c>
      <c r="AN179" s="77">
        <v>0.2</v>
      </c>
      <c r="AO179" s="26"/>
      <c r="AP179" s="27">
        <v>54</v>
      </c>
      <c r="AQ179" s="78">
        <v>0.4</v>
      </c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8">
        <v>41426</v>
      </c>
      <c r="BI179" s="80">
        <v>0.9</v>
      </c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/>
      <c r="CM179" s="106"/>
      <c r="CN179" s="106"/>
      <c r="CO179" s="81"/>
      <c r="CP179"/>
      <c r="CQ179"/>
      <c r="CR179"/>
      <c r="CS179"/>
      <c r="CT179"/>
      <c r="CY179" s="338">
        <f t="shared" si="31"/>
        <v>41426</v>
      </c>
      <c r="CZ179" s="337">
        <f t="shared" si="32"/>
        <v>1.65</v>
      </c>
      <c r="DA179" s="337">
        <f t="shared" si="33"/>
        <v>2</v>
      </c>
      <c r="DB179" s="337">
        <f t="shared" si="34"/>
        <v>2.2999999999999998</v>
      </c>
      <c r="DD179" s="337">
        <f t="shared" si="35"/>
        <v>9.2827108559345173E-2</v>
      </c>
      <c r="DE179" s="337">
        <f t="shared" si="36"/>
        <v>0.18565421711869035</v>
      </c>
      <c r="DF179" s="337">
        <f t="shared" si="37"/>
        <v>0.27848132567803552</v>
      </c>
      <c r="DH179" s="338">
        <f t="shared" si="38"/>
        <v>41426</v>
      </c>
      <c r="DI179" s="20">
        <v>0.9</v>
      </c>
    </row>
    <row r="180" spans="1:113">
      <c r="A180" s="34">
        <f t="shared" ca="1" si="30"/>
        <v>41699</v>
      </c>
      <c r="B180" s="20">
        <f>'Gas Curves'!C184</f>
        <v>7.419079366091999E-2</v>
      </c>
      <c r="C180" s="20"/>
      <c r="D180" s="75">
        <v>40575</v>
      </c>
      <c r="E180" s="76">
        <v>36.15</v>
      </c>
      <c r="F180" s="76">
        <v>37.75</v>
      </c>
      <c r="G180" s="76">
        <v>39.35</v>
      </c>
      <c r="H180" s="56"/>
      <c r="I180" s="76">
        <v>20.399997711181637</v>
      </c>
      <c r="J180" s="76">
        <v>21.199997711181638</v>
      </c>
      <c r="K180" s="76">
        <v>21.999997711181638</v>
      </c>
      <c r="L180" s="27"/>
      <c r="M180" s="28">
        <v>41456</v>
      </c>
      <c r="N180" s="77">
        <v>37.511249542236357</v>
      </c>
      <c r="O180" s="77">
        <v>41.261249542236357</v>
      </c>
      <c r="P180" s="77">
        <v>45.011249542236357</v>
      </c>
      <c r="Q180" s="26"/>
      <c r="R180" s="77">
        <v>26.447499465942375</v>
      </c>
      <c r="S180" s="77">
        <v>30.747499465942376</v>
      </c>
      <c r="T180" s="77">
        <v>35.047499465942373</v>
      </c>
      <c r="U180" s="26"/>
      <c r="V180" s="77">
        <v>0.3</v>
      </c>
      <c r="W180" s="77">
        <v>0.3</v>
      </c>
      <c r="X180" s="77">
        <v>0.3</v>
      </c>
      <c r="Y180" s="26"/>
      <c r="Z180" s="77">
        <v>0.10984845132071827</v>
      </c>
      <c r="AA180" s="77">
        <v>0.21969690264143654</v>
      </c>
      <c r="AB180" s="77">
        <v>0.32954535396215479</v>
      </c>
      <c r="AC180" s="26"/>
      <c r="AD180" s="77">
        <v>4.6141343355606226E-2</v>
      </c>
      <c r="AE180" s="77">
        <v>9.2282686711212453E-2</v>
      </c>
      <c r="AF180" s="77">
        <v>0.13842403006681869</v>
      </c>
      <c r="AG180" s="26"/>
      <c r="AH180" s="77">
        <v>-0.35</v>
      </c>
      <c r="AI180" s="77">
        <v>3</v>
      </c>
      <c r="AJ180" s="77">
        <v>0.5</v>
      </c>
      <c r="AK180" s="26"/>
      <c r="AL180" s="77">
        <v>-0.15</v>
      </c>
      <c r="AM180" s="77">
        <v>0.75</v>
      </c>
      <c r="AN180" s="77">
        <v>0.2</v>
      </c>
      <c r="AO180" s="26"/>
      <c r="AP180" s="27">
        <v>54</v>
      </c>
      <c r="AQ180" s="78">
        <v>0.4</v>
      </c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8">
        <v>41456</v>
      </c>
      <c r="BI180" s="80">
        <v>0.9</v>
      </c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/>
      <c r="CM180" s="106"/>
      <c r="CN180" s="106"/>
      <c r="CO180" s="81"/>
      <c r="CP180"/>
      <c r="CQ180"/>
      <c r="CR180"/>
      <c r="CS180"/>
      <c r="CT180"/>
      <c r="CY180" s="338">
        <f t="shared" si="31"/>
        <v>41456</v>
      </c>
      <c r="CZ180" s="337">
        <f t="shared" si="32"/>
        <v>2.65</v>
      </c>
      <c r="DA180" s="337">
        <f t="shared" si="33"/>
        <v>3</v>
      </c>
      <c r="DB180" s="337">
        <f t="shared" si="34"/>
        <v>3.5</v>
      </c>
      <c r="DD180" s="337">
        <f t="shared" si="35"/>
        <v>0.10984845132071827</v>
      </c>
      <c r="DE180" s="337">
        <f t="shared" si="36"/>
        <v>0.21969690264143654</v>
      </c>
      <c r="DF180" s="337">
        <f t="shared" si="37"/>
        <v>0.32954535396215479</v>
      </c>
      <c r="DH180" s="338">
        <f t="shared" si="38"/>
        <v>41456</v>
      </c>
      <c r="DI180" s="20">
        <v>0.9</v>
      </c>
    </row>
    <row r="181" spans="1:113">
      <c r="A181" s="34">
        <f t="shared" ca="1" si="30"/>
        <v>41730</v>
      </c>
      <c r="B181" s="20">
        <f>'Gas Curves'!C185</f>
        <v>7.4190498943039002E-2</v>
      </c>
      <c r="C181" s="20"/>
      <c r="D181" s="75">
        <v>40603</v>
      </c>
      <c r="E181" s="76">
        <v>33.1</v>
      </c>
      <c r="F181" s="76">
        <v>34</v>
      </c>
      <c r="G181" s="76">
        <v>34.9</v>
      </c>
      <c r="H181" s="56"/>
      <c r="I181" s="76">
        <v>19.749999618530271</v>
      </c>
      <c r="J181" s="76">
        <v>20.199999618530271</v>
      </c>
      <c r="K181" s="76">
        <v>20.64999961853027</v>
      </c>
      <c r="L181" s="27"/>
      <c r="M181" s="28">
        <v>41487</v>
      </c>
      <c r="N181" s="77">
        <v>39.772499084472685</v>
      </c>
      <c r="O181" s="77">
        <v>43.522499084472685</v>
      </c>
      <c r="P181" s="77">
        <v>47.272499084472685</v>
      </c>
      <c r="Q181" s="26"/>
      <c r="R181" s="77">
        <v>27.945000839233398</v>
      </c>
      <c r="S181" s="77">
        <v>32.245000839233398</v>
      </c>
      <c r="T181" s="77">
        <v>36.545000839233396</v>
      </c>
      <c r="U181" s="26"/>
      <c r="V181" s="77">
        <v>0.3</v>
      </c>
      <c r="W181" s="77">
        <v>0.3</v>
      </c>
      <c r="X181" s="77">
        <v>0.3</v>
      </c>
      <c r="Y181" s="26"/>
      <c r="Z181" s="77">
        <v>0.10808552653471891</v>
      </c>
      <c r="AA181" s="77">
        <v>0.21617105306943782</v>
      </c>
      <c r="AB181" s="77">
        <v>0.32425657960415671</v>
      </c>
      <c r="AC181" s="26"/>
      <c r="AD181" s="77">
        <v>4.6141343355606226E-2</v>
      </c>
      <c r="AE181" s="77">
        <v>9.2282686711212453E-2</v>
      </c>
      <c r="AF181" s="77">
        <v>0.13842403006681869</v>
      </c>
      <c r="AG181" s="26"/>
      <c r="AH181" s="77">
        <v>-0.35</v>
      </c>
      <c r="AI181" s="77">
        <v>3</v>
      </c>
      <c r="AJ181" s="77">
        <v>0.5</v>
      </c>
      <c r="AK181" s="26"/>
      <c r="AL181" s="77">
        <v>-0.15</v>
      </c>
      <c r="AM181" s="77">
        <v>0.75</v>
      </c>
      <c r="AN181" s="77">
        <v>0.2</v>
      </c>
      <c r="AO181" s="26"/>
      <c r="AP181" s="27">
        <v>55</v>
      </c>
      <c r="AQ181" s="78">
        <v>0.4</v>
      </c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8">
        <v>41487</v>
      </c>
      <c r="BI181" s="80">
        <v>0.9</v>
      </c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/>
      <c r="CM181" s="106"/>
      <c r="CN181" s="106"/>
      <c r="CO181" s="81"/>
      <c r="CP181"/>
      <c r="CQ181"/>
      <c r="CR181"/>
      <c r="CS181"/>
      <c r="CT181"/>
      <c r="CY181" s="338">
        <f t="shared" si="31"/>
        <v>41487</v>
      </c>
      <c r="CZ181" s="337">
        <f t="shared" si="32"/>
        <v>2.65</v>
      </c>
      <c r="DA181" s="337">
        <f t="shared" si="33"/>
        <v>3</v>
      </c>
      <c r="DB181" s="337">
        <f t="shared" si="34"/>
        <v>3.5</v>
      </c>
      <c r="DD181" s="337">
        <f t="shared" si="35"/>
        <v>0.10808552653471891</v>
      </c>
      <c r="DE181" s="337">
        <f t="shared" si="36"/>
        <v>0.21617105306943782</v>
      </c>
      <c r="DF181" s="337">
        <f t="shared" si="37"/>
        <v>0.32425657960415671</v>
      </c>
      <c r="DH181" s="338">
        <f t="shared" si="38"/>
        <v>41487</v>
      </c>
      <c r="DI181" s="20">
        <v>0.9</v>
      </c>
    </row>
    <row r="182" spans="1:113">
      <c r="A182" s="34">
        <f t="shared" ca="1" si="30"/>
        <v>41760</v>
      </c>
      <c r="B182" s="20">
        <f>'Gas Curves'!C186</f>
        <v>7.4190213732185997E-2</v>
      </c>
      <c r="C182" s="20"/>
      <c r="D182" s="75">
        <v>40634</v>
      </c>
      <c r="E182" s="76">
        <v>32</v>
      </c>
      <c r="F182" s="76">
        <v>32.75</v>
      </c>
      <c r="G182" s="76">
        <v>33.5</v>
      </c>
      <c r="H182" s="56"/>
      <c r="I182" s="76">
        <v>19.824997711181638</v>
      </c>
      <c r="J182" s="76">
        <v>20.199997711181638</v>
      </c>
      <c r="K182" s="76">
        <v>20.574997711181638</v>
      </c>
      <c r="L182" s="27"/>
      <c r="M182" s="28">
        <v>41518</v>
      </c>
      <c r="N182" s="77">
        <v>23.479999160766592</v>
      </c>
      <c r="O182" s="77">
        <v>24.904999160766593</v>
      </c>
      <c r="P182" s="77">
        <v>26.329999160766594</v>
      </c>
      <c r="Q182" s="26"/>
      <c r="R182" s="77">
        <v>21.1</v>
      </c>
      <c r="S182" s="77">
        <v>25.4</v>
      </c>
      <c r="T182" s="77">
        <v>29.7</v>
      </c>
      <c r="U182" s="26"/>
      <c r="V182" s="77">
        <v>0.8</v>
      </c>
      <c r="W182" s="77">
        <v>0.8</v>
      </c>
      <c r="X182" s="77">
        <v>0.8</v>
      </c>
      <c r="Y182" s="26"/>
      <c r="Z182" s="77">
        <v>7.1611220617490923E-2</v>
      </c>
      <c r="AA182" s="77">
        <v>0.14322244123498185</v>
      </c>
      <c r="AB182" s="77">
        <v>0.21483366185247277</v>
      </c>
      <c r="AC182" s="26"/>
      <c r="AD182" s="77">
        <v>3.0760895570404151E-2</v>
      </c>
      <c r="AE182" s="77">
        <v>6.1521791140808302E-2</v>
      </c>
      <c r="AF182" s="77">
        <v>9.2282686711212453E-2</v>
      </c>
      <c r="AG182" s="26"/>
      <c r="AH182" s="77">
        <v>-0.35</v>
      </c>
      <c r="AI182" s="77">
        <v>1.5</v>
      </c>
      <c r="AJ182" s="77">
        <v>0.3</v>
      </c>
      <c r="AK182" s="26"/>
      <c r="AL182" s="77">
        <v>-0.15</v>
      </c>
      <c r="AM182" s="77">
        <v>0.4</v>
      </c>
      <c r="AN182" s="77">
        <v>0.2</v>
      </c>
      <c r="AO182" s="26"/>
      <c r="AP182" s="27">
        <v>55</v>
      </c>
      <c r="AQ182" s="78">
        <v>0.4</v>
      </c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8">
        <v>41518</v>
      </c>
      <c r="BI182" s="80">
        <v>0.9</v>
      </c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/>
      <c r="CM182" s="106"/>
      <c r="CN182" s="106"/>
      <c r="CO182" s="81"/>
      <c r="CP182"/>
      <c r="CQ182"/>
      <c r="CR182"/>
      <c r="CS182"/>
      <c r="CT182"/>
      <c r="CY182" s="338">
        <f t="shared" si="31"/>
        <v>41518</v>
      </c>
      <c r="CZ182" s="337">
        <f t="shared" si="32"/>
        <v>1.1499999999999999</v>
      </c>
      <c r="DA182" s="337">
        <f t="shared" si="33"/>
        <v>1.5</v>
      </c>
      <c r="DB182" s="337">
        <f t="shared" si="34"/>
        <v>1.8</v>
      </c>
      <c r="DD182" s="337">
        <f t="shared" si="35"/>
        <v>7.1611220617490923E-2</v>
      </c>
      <c r="DE182" s="337">
        <f t="shared" si="36"/>
        <v>0.14322244123498185</v>
      </c>
      <c r="DF182" s="337">
        <f t="shared" si="37"/>
        <v>0.21483366185247277</v>
      </c>
      <c r="DH182" s="338">
        <f t="shared" si="38"/>
        <v>41518</v>
      </c>
      <c r="DI182" s="20">
        <v>0.9</v>
      </c>
    </row>
    <row r="183" spans="1:113">
      <c r="A183" s="34">
        <f t="shared" ca="1" si="30"/>
        <v>41791</v>
      </c>
      <c r="B183" s="20">
        <f>'Gas Curves'!C187</f>
        <v>7.4189919014306008E-2</v>
      </c>
      <c r="C183" s="20"/>
      <c r="D183" s="75">
        <v>40664</v>
      </c>
      <c r="E183" s="76">
        <v>32.67</v>
      </c>
      <c r="F183" s="76">
        <v>35.15</v>
      </c>
      <c r="G183" s="76">
        <v>37.630000000000003</v>
      </c>
      <c r="H183" s="56"/>
      <c r="I183" s="76">
        <v>18.959997711181639</v>
      </c>
      <c r="J183" s="76">
        <v>20.199997711181638</v>
      </c>
      <c r="K183" s="76">
        <v>21.439997711181636</v>
      </c>
      <c r="L183" s="27"/>
      <c r="M183" s="28">
        <v>41548</v>
      </c>
      <c r="N183" s="77">
        <v>23.688000106811515</v>
      </c>
      <c r="O183" s="77">
        <v>25.000500106811515</v>
      </c>
      <c r="P183" s="77">
        <v>26.313000106811515</v>
      </c>
      <c r="Q183" s="26"/>
      <c r="R183" s="77">
        <v>18.700999832153311</v>
      </c>
      <c r="S183" s="77">
        <v>23.000999832153312</v>
      </c>
      <c r="T183" s="77">
        <v>27.300999832153312</v>
      </c>
      <c r="U183" s="26"/>
      <c r="V183" s="77">
        <v>0.8</v>
      </c>
      <c r="W183" s="77">
        <v>0.8</v>
      </c>
      <c r="X183" s="77">
        <v>0.8</v>
      </c>
      <c r="Y183" s="26"/>
      <c r="Z183" s="77">
        <v>6.5410588611562168E-2</v>
      </c>
      <c r="AA183" s="77">
        <v>0.13082117722312434</v>
      </c>
      <c r="AB183" s="77">
        <v>0.19623176583468649</v>
      </c>
      <c r="AC183" s="26"/>
      <c r="AD183" s="77">
        <v>2.3070671677803113E-2</v>
      </c>
      <c r="AE183" s="77">
        <v>4.6141343355606226E-2</v>
      </c>
      <c r="AF183" s="77">
        <v>6.9212015033409346E-2</v>
      </c>
      <c r="AG183" s="26"/>
      <c r="AH183" s="77">
        <v>-0.25</v>
      </c>
      <c r="AI183" s="77">
        <v>1.1000000000000001</v>
      </c>
      <c r="AJ183" s="77">
        <v>0.3</v>
      </c>
      <c r="AK183" s="26"/>
      <c r="AL183" s="77">
        <v>-0.15</v>
      </c>
      <c r="AM183" s="77">
        <v>0.35</v>
      </c>
      <c r="AN183" s="77">
        <v>0.2</v>
      </c>
      <c r="AO183" s="26"/>
      <c r="AP183" s="27">
        <v>55</v>
      </c>
      <c r="AQ183" s="78">
        <v>0.4</v>
      </c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8">
        <v>41548</v>
      </c>
      <c r="BI183" s="80">
        <v>0.9</v>
      </c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/>
      <c r="CM183" s="106"/>
      <c r="CN183" s="106"/>
      <c r="CO183" s="81"/>
      <c r="CP183"/>
      <c r="CQ183"/>
      <c r="CR183"/>
      <c r="CS183"/>
      <c r="CT183"/>
      <c r="CY183" s="338">
        <f t="shared" si="31"/>
        <v>41548</v>
      </c>
      <c r="CZ183" s="337">
        <f t="shared" si="32"/>
        <v>0.85000000000000009</v>
      </c>
      <c r="DA183" s="337">
        <f t="shared" si="33"/>
        <v>1.1000000000000001</v>
      </c>
      <c r="DB183" s="337">
        <f t="shared" si="34"/>
        <v>1.4000000000000001</v>
      </c>
      <c r="DD183" s="337">
        <f t="shared" si="35"/>
        <v>6.5410588611562168E-2</v>
      </c>
      <c r="DE183" s="337">
        <f t="shared" si="36"/>
        <v>0.13082117722312434</v>
      </c>
      <c r="DF183" s="337">
        <f t="shared" si="37"/>
        <v>0.19623176583468649</v>
      </c>
      <c r="DH183" s="338">
        <f t="shared" si="38"/>
        <v>41548</v>
      </c>
      <c r="DI183" s="20">
        <v>0.9</v>
      </c>
    </row>
    <row r="184" spans="1:113">
      <c r="A184" s="34">
        <f t="shared" ca="1" si="30"/>
        <v>41821</v>
      </c>
      <c r="B184" s="20">
        <f>'Gas Curves'!C188</f>
        <v>7.4189633803453003E-2</v>
      </c>
      <c r="C184" s="20"/>
      <c r="D184" s="75">
        <v>40695</v>
      </c>
      <c r="E184" s="76">
        <v>46.14</v>
      </c>
      <c r="F184" s="76">
        <v>53.25</v>
      </c>
      <c r="G184" s="76">
        <v>60.36</v>
      </c>
      <c r="H184" s="56"/>
      <c r="I184" s="76">
        <v>16.599998779296872</v>
      </c>
      <c r="J184" s="76">
        <v>20.154998779296871</v>
      </c>
      <c r="K184" s="76">
        <v>23.709998779296871</v>
      </c>
      <c r="L184" s="27"/>
      <c r="M184" s="28">
        <v>41579</v>
      </c>
      <c r="N184" s="77">
        <v>24.692251586914054</v>
      </c>
      <c r="O184" s="77">
        <v>26.004751586914054</v>
      </c>
      <c r="P184" s="77">
        <v>27.317251586914054</v>
      </c>
      <c r="Q184" s="26"/>
      <c r="R184" s="77">
        <v>19.704499816894522</v>
      </c>
      <c r="S184" s="77">
        <v>24.004499816894523</v>
      </c>
      <c r="T184" s="77">
        <v>28.304499816894523</v>
      </c>
      <c r="U184" s="26"/>
      <c r="V184" s="77">
        <v>0.8</v>
      </c>
      <c r="W184" s="77">
        <v>0.8</v>
      </c>
      <c r="X184" s="77">
        <v>0.8</v>
      </c>
      <c r="Y184" s="26"/>
      <c r="Z184" s="77">
        <v>6.5410588611562168E-2</v>
      </c>
      <c r="AA184" s="77">
        <v>0.13082117722312434</v>
      </c>
      <c r="AB184" s="77">
        <v>0.19623176583468649</v>
      </c>
      <c r="AC184" s="26"/>
      <c r="AD184" s="77">
        <v>2.3070671677803113E-2</v>
      </c>
      <c r="AE184" s="77">
        <v>4.6141343355606226E-2</v>
      </c>
      <c r="AF184" s="77">
        <v>6.9212015033409346E-2</v>
      </c>
      <c r="AG184" s="26"/>
      <c r="AH184" s="77">
        <v>-0.25</v>
      </c>
      <c r="AI184" s="77">
        <v>1.25</v>
      </c>
      <c r="AJ184" s="77">
        <v>0.3</v>
      </c>
      <c r="AK184" s="26"/>
      <c r="AL184" s="77">
        <v>-0.15</v>
      </c>
      <c r="AM184" s="77">
        <v>0.3</v>
      </c>
      <c r="AN184" s="77">
        <v>0.2</v>
      </c>
      <c r="AO184" s="26"/>
      <c r="AP184" s="27">
        <v>56</v>
      </c>
      <c r="AQ184" s="78">
        <v>0.4</v>
      </c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8">
        <v>41579</v>
      </c>
      <c r="BI184" s="80">
        <v>0.9</v>
      </c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/>
      <c r="CM184" s="106"/>
      <c r="CN184" s="106"/>
      <c r="CO184" s="81"/>
      <c r="CP184"/>
      <c r="CQ184"/>
      <c r="CR184"/>
      <c r="CS184"/>
      <c r="CT184"/>
      <c r="CY184" s="338">
        <f t="shared" si="31"/>
        <v>41579</v>
      </c>
      <c r="CZ184" s="337">
        <f t="shared" si="32"/>
        <v>1</v>
      </c>
      <c r="DA184" s="337">
        <f t="shared" si="33"/>
        <v>1.25</v>
      </c>
      <c r="DB184" s="337">
        <f t="shared" si="34"/>
        <v>1.55</v>
      </c>
      <c r="DD184" s="337">
        <f t="shared" si="35"/>
        <v>6.5410588611562168E-2</v>
      </c>
      <c r="DE184" s="337">
        <f t="shared" si="36"/>
        <v>0.13082117722312434</v>
      </c>
      <c r="DF184" s="337">
        <f t="shared" si="37"/>
        <v>0.19623176583468649</v>
      </c>
      <c r="DH184" s="338">
        <f t="shared" si="38"/>
        <v>41579</v>
      </c>
      <c r="DI184" s="20">
        <v>0.9</v>
      </c>
    </row>
    <row r="185" spans="1:113">
      <c r="A185" s="34">
        <f t="shared" ca="1" si="30"/>
        <v>41852</v>
      </c>
      <c r="B185" s="20">
        <f>'Gas Curves'!C189</f>
        <v>7.4189339085572001E-2</v>
      </c>
      <c r="C185" s="20"/>
      <c r="D185" s="75">
        <v>40725</v>
      </c>
      <c r="E185" s="76">
        <v>73.5</v>
      </c>
      <c r="F185" s="76">
        <v>78.5</v>
      </c>
      <c r="G185" s="76">
        <v>83.5</v>
      </c>
      <c r="H185" s="56"/>
      <c r="I185" s="76">
        <v>22.149997711181637</v>
      </c>
      <c r="J185" s="76">
        <v>24.649997711181637</v>
      </c>
      <c r="K185" s="76">
        <v>27.149997711181637</v>
      </c>
      <c r="L185" s="27"/>
      <c r="M185" s="28">
        <v>41609</v>
      </c>
      <c r="N185" s="77">
        <v>26.14249839782714</v>
      </c>
      <c r="O185" s="77">
        <v>27.45499839782714</v>
      </c>
      <c r="P185" s="77">
        <v>28.76749839782714</v>
      </c>
      <c r="Q185" s="26"/>
      <c r="R185" s="77">
        <v>19.649999237060538</v>
      </c>
      <c r="S185" s="77">
        <v>23.949999237060538</v>
      </c>
      <c r="T185" s="77">
        <v>28.249999237060539</v>
      </c>
      <c r="U185" s="26"/>
      <c r="V185" s="77">
        <v>0.8</v>
      </c>
      <c r="W185" s="77">
        <v>0.8</v>
      </c>
      <c r="X185" s="77">
        <v>0.8</v>
      </c>
      <c r="Y185" s="26"/>
      <c r="Z185" s="77">
        <v>6.7744944190264764E-2</v>
      </c>
      <c r="AA185" s="77">
        <v>0.13548988838052953</v>
      </c>
      <c r="AB185" s="77">
        <v>0.20323483257079428</v>
      </c>
      <c r="AC185" s="26"/>
      <c r="AD185" s="77">
        <v>2.3070671677803113E-2</v>
      </c>
      <c r="AE185" s="77">
        <v>4.6141343355606226E-2</v>
      </c>
      <c r="AF185" s="77">
        <v>6.9212015033409346E-2</v>
      </c>
      <c r="AG185" s="26"/>
      <c r="AH185" s="77">
        <v>-0.25</v>
      </c>
      <c r="AI185" s="77">
        <v>1.25</v>
      </c>
      <c r="AJ185" s="77">
        <v>0.35</v>
      </c>
      <c r="AK185" s="26"/>
      <c r="AL185" s="77">
        <v>-0.15</v>
      </c>
      <c r="AM185" s="77">
        <v>0.3</v>
      </c>
      <c r="AN185" s="77">
        <v>0.2</v>
      </c>
      <c r="AO185" s="26"/>
      <c r="AP185" s="27">
        <v>56</v>
      </c>
      <c r="AQ185" s="78">
        <v>0.4</v>
      </c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8">
        <v>41609</v>
      </c>
      <c r="BI185" s="80">
        <v>0.9</v>
      </c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/>
      <c r="CM185" s="106"/>
      <c r="CN185" s="106"/>
      <c r="CO185" s="81"/>
      <c r="CP185"/>
      <c r="CQ185"/>
      <c r="CR185"/>
      <c r="CS185"/>
      <c r="CT185"/>
      <c r="CY185" s="338">
        <f t="shared" si="31"/>
        <v>41609</v>
      </c>
      <c r="CZ185" s="337">
        <f t="shared" si="32"/>
        <v>1</v>
      </c>
      <c r="DA185" s="337">
        <f t="shared" si="33"/>
        <v>1.25</v>
      </c>
      <c r="DB185" s="337">
        <f t="shared" si="34"/>
        <v>1.6</v>
      </c>
      <c r="DD185" s="337">
        <f t="shared" si="35"/>
        <v>6.7744944190264764E-2</v>
      </c>
      <c r="DE185" s="337">
        <f t="shared" si="36"/>
        <v>0.13548988838052953</v>
      </c>
      <c r="DF185" s="337">
        <f t="shared" si="37"/>
        <v>0.20323483257079428</v>
      </c>
      <c r="DH185" s="338">
        <f t="shared" si="38"/>
        <v>41609</v>
      </c>
      <c r="DI185" s="20">
        <v>0.9</v>
      </c>
    </row>
    <row r="186" spans="1:113">
      <c r="A186" s="34">
        <f t="shared" ca="1" si="30"/>
        <v>41883</v>
      </c>
      <c r="B186" s="20">
        <f>'Gas Curves'!C190</f>
        <v>7.4189044367690998E-2</v>
      </c>
      <c r="C186" s="20"/>
      <c r="D186" s="75">
        <v>40756</v>
      </c>
      <c r="E186" s="76">
        <v>69</v>
      </c>
      <c r="F186" s="76">
        <v>74</v>
      </c>
      <c r="G186" s="76">
        <v>79</v>
      </c>
      <c r="H186" s="56"/>
      <c r="I186" s="76">
        <v>22.499998092651364</v>
      </c>
      <c r="J186" s="76">
        <v>24.999998092651364</v>
      </c>
      <c r="K186" s="76">
        <v>27.499998092651364</v>
      </c>
      <c r="L186" s="27"/>
      <c r="M186" s="28">
        <v>41640</v>
      </c>
      <c r="N186" s="77">
        <v>29.42374839782714</v>
      </c>
      <c r="O186" s="77">
        <v>30.848748397827141</v>
      </c>
      <c r="P186" s="77">
        <v>32.273748397827141</v>
      </c>
      <c r="Q186" s="26"/>
      <c r="R186" s="77">
        <v>25.052500152587882</v>
      </c>
      <c r="S186" s="77">
        <v>29.352500152587883</v>
      </c>
      <c r="T186" s="77">
        <v>33.652500152587884</v>
      </c>
      <c r="U186" s="26"/>
      <c r="V186" s="77">
        <v>0.8</v>
      </c>
      <c r="W186" s="77">
        <v>0.8</v>
      </c>
      <c r="X186" s="77">
        <v>0.8</v>
      </c>
      <c r="Y186" s="26"/>
      <c r="Z186" s="77">
        <v>7.28945758256897E-2</v>
      </c>
      <c r="AA186" s="77">
        <v>0.1457891516513794</v>
      </c>
      <c r="AB186" s="77">
        <v>0.2186837274770691</v>
      </c>
      <c r="AC186" s="26"/>
      <c r="AD186" s="77">
        <v>2.6377467951621568E-2</v>
      </c>
      <c r="AE186" s="77">
        <v>5.2754935903243136E-2</v>
      </c>
      <c r="AF186" s="77">
        <v>7.9132403854864697E-2</v>
      </c>
      <c r="AG186" s="26"/>
      <c r="AH186" s="77">
        <v>-0.75</v>
      </c>
      <c r="AI186" s="77">
        <v>2</v>
      </c>
      <c r="AJ186" s="77">
        <v>0.75</v>
      </c>
      <c r="AK186" s="26"/>
      <c r="AL186" s="77">
        <v>-0.15</v>
      </c>
      <c r="AM186" s="77">
        <v>0.5</v>
      </c>
      <c r="AN186" s="77">
        <v>0.2</v>
      </c>
      <c r="AO186" s="26"/>
      <c r="AP186" s="27">
        <v>56</v>
      </c>
      <c r="AQ186" s="78">
        <v>0.4</v>
      </c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8">
        <v>41640</v>
      </c>
      <c r="BI186" s="80">
        <v>0.9</v>
      </c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/>
      <c r="CM186" s="106"/>
      <c r="CN186" s="106"/>
      <c r="CO186" s="81"/>
      <c r="CP186"/>
      <c r="CQ186"/>
      <c r="CR186"/>
      <c r="CS186"/>
      <c r="CT186"/>
      <c r="CY186" s="338">
        <f t="shared" si="31"/>
        <v>41640</v>
      </c>
      <c r="CZ186" s="337">
        <f t="shared" si="32"/>
        <v>1.25</v>
      </c>
      <c r="DA186" s="337">
        <f t="shared" si="33"/>
        <v>2</v>
      </c>
      <c r="DB186" s="337">
        <f t="shared" si="34"/>
        <v>2.75</v>
      </c>
      <c r="DD186" s="337">
        <f t="shared" si="35"/>
        <v>7.28945758256897E-2</v>
      </c>
      <c r="DE186" s="337">
        <f t="shared" si="36"/>
        <v>0.1457891516513794</v>
      </c>
      <c r="DF186" s="337">
        <f t="shared" si="37"/>
        <v>0.2186837274770691</v>
      </c>
      <c r="DH186" s="338">
        <f t="shared" si="38"/>
        <v>41640</v>
      </c>
      <c r="DI186" s="20">
        <v>0.9</v>
      </c>
    </row>
    <row r="187" spans="1:113">
      <c r="A187" s="34">
        <f t="shared" ca="1" si="30"/>
        <v>41913</v>
      </c>
      <c r="B187" s="20">
        <f>'Gas Curves'!C191</f>
        <v>7.4188759156839007E-2</v>
      </c>
      <c r="C187" s="20"/>
      <c r="D187" s="75">
        <v>40787</v>
      </c>
      <c r="E187" s="76">
        <v>32.049999999999997</v>
      </c>
      <c r="F187" s="76">
        <v>33.75</v>
      </c>
      <c r="G187" s="76">
        <v>35.450000000000003</v>
      </c>
      <c r="H187" s="56"/>
      <c r="I187" s="76">
        <v>19.699998092651363</v>
      </c>
      <c r="J187" s="76">
        <v>20.549998092651364</v>
      </c>
      <c r="K187" s="76">
        <v>21.399998092651366</v>
      </c>
      <c r="L187" s="27"/>
      <c r="M187" s="28">
        <v>41671</v>
      </c>
      <c r="N187" s="77">
        <v>28.421250152587881</v>
      </c>
      <c r="O187" s="77">
        <v>29.846250152587881</v>
      </c>
      <c r="P187" s="77">
        <v>31.271250152587882</v>
      </c>
      <c r="Q187" s="26"/>
      <c r="R187" s="77">
        <v>23.047499465942373</v>
      </c>
      <c r="S187" s="77">
        <v>27.347499465942374</v>
      </c>
      <c r="T187" s="77">
        <v>31.647499465942374</v>
      </c>
      <c r="U187" s="26"/>
      <c r="V187" s="77">
        <v>0.8</v>
      </c>
      <c r="W187" s="77">
        <v>0.8</v>
      </c>
      <c r="X187" s="77">
        <v>0.8</v>
      </c>
      <c r="Y187" s="26"/>
      <c r="Z187" s="77">
        <v>7.0327865409292173E-2</v>
      </c>
      <c r="AA187" s="77">
        <v>0.14065573081858435</v>
      </c>
      <c r="AB187" s="77">
        <v>0.21098359622787652</v>
      </c>
      <c r="AC187" s="26"/>
      <c r="AD187" s="77">
        <v>2.6377467951621568E-2</v>
      </c>
      <c r="AE187" s="77">
        <v>5.2754935903243136E-2</v>
      </c>
      <c r="AF187" s="77">
        <v>7.9132403854864697E-2</v>
      </c>
      <c r="AG187" s="26"/>
      <c r="AH187" s="77">
        <v>-0.75</v>
      </c>
      <c r="AI187" s="77">
        <v>2</v>
      </c>
      <c r="AJ187" s="77">
        <v>0.75</v>
      </c>
      <c r="AK187" s="26"/>
      <c r="AL187" s="77">
        <v>-0.15</v>
      </c>
      <c r="AM187" s="77">
        <v>0.5</v>
      </c>
      <c r="AN187" s="77">
        <v>0.2</v>
      </c>
      <c r="AO187" s="26"/>
      <c r="AP187" s="27">
        <v>57</v>
      </c>
      <c r="AQ187" s="78">
        <v>0.4</v>
      </c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8">
        <v>41671</v>
      </c>
      <c r="BI187" s="80">
        <v>0.9</v>
      </c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/>
      <c r="CM187" s="106"/>
      <c r="CN187" s="106"/>
      <c r="CO187" s="81"/>
      <c r="CP187"/>
      <c r="CQ187"/>
      <c r="CR187"/>
      <c r="CS187"/>
      <c r="CT187"/>
      <c r="CY187" s="338">
        <f t="shared" si="31"/>
        <v>41671</v>
      </c>
      <c r="CZ187" s="337">
        <f t="shared" si="32"/>
        <v>1.25</v>
      </c>
      <c r="DA187" s="337">
        <f t="shared" si="33"/>
        <v>2</v>
      </c>
      <c r="DB187" s="337">
        <f t="shared" si="34"/>
        <v>2.75</v>
      </c>
      <c r="DD187" s="337">
        <f t="shared" si="35"/>
        <v>7.0327865409292173E-2</v>
      </c>
      <c r="DE187" s="337">
        <f t="shared" si="36"/>
        <v>0.14065573081858435</v>
      </c>
      <c r="DF187" s="337">
        <f t="shared" si="37"/>
        <v>0.21098359622787652</v>
      </c>
      <c r="DH187" s="338">
        <f t="shared" si="38"/>
        <v>41671</v>
      </c>
      <c r="DI187" s="20">
        <v>0.9</v>
      </c>
    </row>
    <row r="188" spans="1:113">
      <c r="A188" s="34">
        <f t="shared" ca="1" si="30"/>
        <v>41944</v>
      </c>
      <c r="B188" s="20">
        <f>'Gas Curves'!C192</f>
        <v>7.4188464438958004E-2</v>
      </c>
      <c r="C188" s="20"/>
      <c r="D188" s="75">
        <v>40817</v>
      </c>
      <c r="E188" s="76">
        <v>29.95</v>
      </c>
      <c r="F188" s="76">
        <v>31.5</v>
      </c>
      <c r="G188" s="76">
        <v>33.049999999999997</v>
      </c>
      <c r="H188" s="56"/>
      <c r="I188" s="76">
        <v>19.474998855590819</v>
      </c>
      <c r="J188" s="76">
        <v>20.249998855590817</v>
      </c>
      <c r="K188" s="76">
        <v>21.024998855590816</v>
      </c>
      <c r="L188" s="27"/>
      <c r="M188" s="28">
        <v>41699</v>
      </c>
      <c r="N188" s="77">
        <v>22.247249603271474</v>
      </c>
      <c r="O188" s="77">
        <v>23.034749603271475</v>
      </c>
      <c r="P188" s="77">
        <v>23.822249603271477</v>
      </c>
      <c r="Q188" s="26"/>
      <c r="R188" s="77">
        <v>18.364498901367178</v>
      </c>
      <c r="S188" s="77">
        <v>22.664498901367178</v>
      </c>
      <c r="T188" s="77">
        <v>26.964498901367179</v>
      </c>
      <c r="U188" s="26"/>
      <c r="V188" s="77">
        <v>0.3</v>
      </c>
      <c r="W188" s="77">
        <v>0.3</v>
      </c>
      <c r="X188" s="77">
        <v>0.3</v>
      </c>
      <c r="Y188" s="26"/>
      <c r="Z188" s="77">
        <v>6.8550418445936886E-2</v>
      </c>
      <c r="AA188" s="77">
        <v>0.13710083689187377</v>
      </c>
      <c r="AB188" s="77">
        <v>0.20565125533781065</v>
      </c>
      <c r="AC188" s="26"/>
      <c r="AD188" s="77">
        <v>2.260925824424705E-2</v>
      </c>
      <c r="AE188" s="77">
        <v>4.52185164884941E-2</v>
      </c>
      <c r="AF188" s="77">
        <v>6.7827774732741153E-2</v>
      </c>
      <c r="AG188" s="26"/>
      <c r="AH188" s="77">
        <v>-0.25</v>
      </c>
      <c r="AI188" s="77">
        <v>1.3</v>
      </c>
      <c r="AJ188" s="77">
        <v>0.3</v>
      </c>
      <c r="AK188" s="26"/>
      <c r="AL188" s="77">
        <v>-0.15</v>
      </c>
      <c r="AM188" s="77">
        <v>0.35</v>
      </c>
      <c r="AN188" s="77">
        <v>0.2</v>
      </c>
      <c r="AO188" s="26"/>
      <c r="AP188" s="27">
        <v>57</v>
      </c>
      <c r="AQ188" s="78">
        <v>0.4</v>
      </c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8">
        <v>41699</v>
      </c>
      <c r="BI188" s="80">
        <v>0.9</v>
      </c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/>
      <c r="CM188" s="106"/>
      <c r="CN188" s="106"/>
      <c r="CO188" s="81"/>
      <c r="CP188"/>
      <c r="CQ188"/>
      <c r="CR188"/>
      <c r="CS188"/>
      <c r="CT188"/>
      <c r="CY188" s="338">
        <f t="shared" si="31"/>
        <v>41699</v>
      </c>
      <c r="CZ188" s="337">
        <f t="shared" si="32"/>
        <v>1.05</v>
      </c>
      <c r="DA188" s="337">
        <f t="shared" si="33"/>
        <v>1.3</v>
      </c>
      <c r="DB188" s="337">
        <f t="shared" si="34"/>
        <v>1.6</v>
      </c>
      <c r="DD188" s="337">
        <f t="shared" si="35"/>
        <v>6.8550418445936886E-2</v>
      </c>
      <c r="DE188" s="337">
        <f t="shared" si="36"/>
        <v>0.13710083689187377</v>
      </c>
      <c r="DF188" s="337">
        <f t="shared" si="37"/>
        <v>0.20565125533781065</v>
      </c>
      <c r="DH188" s="338">
        <f t="shared" si="38"/>
        <v>41699</v>
      </c>
      <c r="DI188" s="20">
        <v>0.9</v>
      </c>
    </row>
    <row r="189" spans="1:113">
      <c r="A189" s="34">
        <f t="shared" ca="1" si="30"/>
        <v>41974</v>
      </c>
      <c r="B189" s="20">
        <f>'Gas Curves'!C193</f>
        <v>7.4188179228105999E-2</v>
      </c>
      <c r="C189" s="20"/>
      <c r="D189" s="75">
        <v>40848</v>
      </c>
      <c r="E189" s="76">
        <v>30.324999999999999</v>
      </c>
      <c r="F189" s="76">
        <v>31.875</v>
      </c>
      <c r="G189" s="76">
        <v>33.424999999999997</v>
      </c>
      <c r="H189" s="56"/>
      <c r="I189" s="76">
        <v>19.399998092651366</v>
      </c>
      <c r="J189" s="76">
        <v>20.174998092651364</v>
      </c>
      <c r="K189" s="76">
        <v>20.949998092651363</v>
      </c>
      <c r="L189" s="27"/>
      <c r="M189" s="28">
        <v>41730</v>
      </c>
      <c r="N189" s="77">
        <v>23.042500305175771</v>
      </c>
      <c r="O189" s="77">
        <v>23.717500305175772</v>
      </c>
      <c r="P189" s="77">
        <v>24.392500305175773</v>
      </c>
      <c r="Q189" s="26"/>
      <c r="R189" s="77">
        <v>18.134999084472646</v>
      </c>
      <c r="S189" s="77">
        <v>22.434999084472647</v>
      </c>
      <c r="T189" s="77">
        <v>26.734999084472648</v>
      </c>
      <c r="U189" s="26"/>
      <c r="V189" s="77">
        <v>0.3</v>
      </c>
      <c r="W189" s="77">
        <v>0.3</v>
      </c>
      <c r="X189" s="77">
        <v>0.3</v>
      </c>
      <c r="Y189" s="26"/>
      <c r="Z189" s="77">
        <v>6.1100541462343047E-2</v>
      </c>
      <c r="AA189" s="77">
        <v>0.12220108292468609</v>
      </c>
      <c r="AB189" s="77">
        <v>0.18330162438702913</v>
      </c>
      <c r="AC189" s="26"/>
      <c r="AD189" s="77">
        <v>2.260925824424705E-2</v>
      </c>
      <c r="AE189" s="77">
        <v>4.52185164884941E-2</v>
      </c>
      <c r="AF189" s="77">
        <v>6.7827774732741153E-2</v>
      </c>
      <c r="AG189" s="26"/>
      <c r="AH189" s="77">
        <v>-0.25</v>
      </c>
      <c r="AI189" s="77">
        <v>1.1000000000000001</v>
      </c>
      <c r="AJ189" s="77">
        <v>0.3</v>
      </c>
      <c r="AK189" s="26"/>
      <c r="AL189" s="77">
        <v>-0.15</v>
      </c>
      <c r="AM189" s="77">
        <v>0.35</v>
      </c>
      <c r="AN189" s="77">
        <v>0.2</v>
      </c>
      <c r="AO189" s="26"/>
      <c r="AP189" s="27">
        <v>57</v>
      </c>
      <c r="AQ189" s="78">
        <v>0.4</v>
      </c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8">
        <v>41730</v>
      </c>
      <c r="BI189" s="80">
        <v>0.9</v>
      </c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/>
      <c r="CM189" s="106"/>
      <c r="CN189" s="106"/>
      <c r="CO189" s="81"/>
      <c r="CP189"/>
      <c r="CQ189"/>
      <c r="CR189"/>
      <c r="CS189"/>
      <c r="CT189"/>
      <c r="CY189" s="338">
        <f t="shared" si="31"/>
        <v>41730</v>
      </c>
      <c r="CZ189" s="337">
        <f t="shared" si="32"/>
        <v>0.85000000000000009</v>
      </c>
      <c r="DA189" s="337">
        <f t="shared" si="33"/>
        <v>1.1000000000000001</v>
      </c>
      <c r="DB189" s="337">
        <f t="shared" si="34"/>
        <v>1.4000000000000001</v>
      </c>
      <c r="DD189" s="337">
        <f t="shared" si="35"/>
        <v>6.1100541462343047E-2</v>
      </c>
      <c r="DE189" s="337">
        <f t="shared" si="36"/>
        <v>0.12220108292468609</v>
      </c>
      <c r="DF189" s="337">
        <f t="shared" si="37"/>
        <v>0.18330162438702913</v>
      </c>
      <c r="DH189" s="338">
        <f t="shared" si="38"/>
        <v>41730</v>
      </c>
      <c r="DI189" s="20">
        <v>0.9</v>
      </c>
    </row>
    <row r="190" spans="1:113">
      <c r="A190" s="34">
        <f t="shared" ca="1" si="30"/>
        <v>42005</v>
      </c>
      <c r="B190" s="20">
        <f>'Gas Curves'!C194</f>
        <v>7.4187884510224997E-2</v>
      </c>
      <c r="C190" s="20"/>
      <c r="D190" s="75">
        <v>40878</v>
      </c>
      <c r="E190" s="76">
        <v>30.2</v>
      </c>
      <c r="F190" s="76">
        <v>31.75</v>
      </c>
      <c r="G190" s="76">
        <v>33.299999999999997</v>
      </c>
      <c r="H190" s="56"/>
      <c r="I190" s="76">
        <v>20.824999237060545</v>
      </c>
      <c r="J190" s="76">
        <v>21.599999237060544</v>
      </c>
      <c r="K190" s="76">
        <v>22.374999237060543</v>
      </c>
      <c r="L190" s="27"/>
      <c r="M190" s="28">
        <v>41760</v>
      </c>
      <c r="N190" s="77">
        <v>21.972500076293937</v>
      </c>
      <c r="O190" s="77">
        <v>23.832500076293936</v>
      </c>
      <c r="P190" s="77">
        <v>25.692500076293936</v>
      </c>
      <c r="Q190" s="26"/>
      <c r="R190" s="77">
        <v>18.664999771118154</v>
      </c>
      <c r="S190" s="77">
        <v>22.964999771118155</v>
      </c>
      <c r="T190" s="77">
        <v>27.264999771118156</v>
      </c>
      <c r="U190" s="26"/>
      <c r="V190" s="77">
        <v>0.3</v>
      </c>
      <c r="W190" s="77">
        <v>0.3</v>
      </c>
      <c r="X190" s="77">
        <v>0.3</v>
      </c>
      <c r="Y190" s="26"/>
      <c r="Z190" s="77">
        <v>7.0340698961374154E-2</v>
      </c>
      <c r="AA190" s="77">
        <v>0.14068139792274831</v>
      </c>
      <c r="AB190" s="77">
        <v>0.21102209688412246</v>
      </c>
      <c r="AC190" s="26"/>
      <c r="AD190" s="77">
        <v>2.6377467951621568E-2</v>
      </c>
      <c r="AE190" s="77">
        <v>5.2754935903243136E-2</v>
      </c>
      <c r="AF190" s="77">
        <v>7.9132403854864697E-2</v>
      </c>
      <c r="AG190" s="26"/>
      <c r="AH190" s="77">
        <v>-0.25</v>
      </c>
      <c r="AI190" s="77">
        <v>1.1000000000000001</v>
      </c>
      <c r="AJ190" s="77">
        <v>0.3</v>
      </c>
      <c r="AK190" s="26"/>
      <c r="AL190" s="77">
        <v>-0.15</v>
      </c>
      <c r="AM190" s="77">
        <v>0.5</v>
      </c>
      <c r="AN190" s="77">
        <v>0.2</v>
      </c>
      <c r="AO190" s="26"/>
      <c r="AP190" s="27">
        <v>58</v>
      </c>
      <c r="AQ190" s="78">
        <v>0.4</v>
      </c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8">
        <v>41760</v>
      </c>
      <c r="BI190" s="80">
        <v>0.9</v>
      </c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/>
      <c r="CM190" s="106"/>
      <c r="CN190" s="106"/>
      <c r="CO190" s="81"/>
      <c r="CP190"/>
      <c r="CQ190"/>
      <c r="CR190"/>
      <c r="CS190"/>
      <c r="CT190"/>
      <c r="CY190" s="338">
        <f t="shared" si="31"/>
        <v>41760</v>
      </c>
      <c r="CZ190" s="337">
        <f t="shared" si="32"/>
        <v>0.85000000000000009</v>
      </c>
      <c r="DA190" s="337">
        <f t="shared" si="33"/>
        <v>1.1000000000000001</v>
      </c>
      <c r="DB190" s="337">
        <f t="shared" si="34"/>
        <v>1.4000000000000001</v>
      </c>
      <c r="DD190" s="337">
        <f t="shared" si="35"/>
        <v>7.0340698961374154E-2</v>
      </c>
      <c r="DE190" s="337">
        <f t="shared" si="36"/>
        <v>0.14068139792274831</v>
      </c>
      <c r="DF190" s="337">
        <f t="shared" si="37"/>
        <v>0.21102209688412246</v>
      </c>
      <c r="DH190" s="338">
        <f t="shared" si="38"/>
        <v>41760</v>
      </c>
      <c r="DI190" s="20">
        <v>0.9</v>
      </c>
    </row>
    <row r="191" spans="1:113">
      <c r="A191" s="34">
        <f t="shared" ca="1" si="30"/>
        <v>42036</v>
      </c>
      <c r="B191" s="20">
        <f>'Gas Curves'!C195</f>
        <v>7.4187589792344008E-2</v>
      </c>
      <c r="C191" s="20"/>
      <c r="D191" s="75">
        <v>40909</v>
      </c>
      <c r="E191" s="76">
        <v>36.35</v>
      </c>
      <c r="F191" s="76">
        <v>38.049999999999997</v>
      </c>
      <c r="G191" s="76">
        <v>39.75</v>
      </c>
      <c r="H191" s="56"/>
      <c r="I191" s="76">
        <v>20.740000915527339</v>
      </c>
      <c r="J191" s="76">
        <v>21.590000915527341</v>
      </c>
      <c r="K191" s="76">
        <v>22.440000915527342</v>
      </c>
      <c r="L191" s="27"/>
      <c r="M191" s="28">
        <v>41791</v>
      </c>
      <c r="N191" s="77">
        <v>22.926250152587883</v>
      </c>
      <c r="O191" s="77">
        <v>28.258750152587883</v>
      </c>
      <c r="P191" s="77">
        <v>33.591250152587882</v>
      </c>
      <c r="Q191" s="26"/>
      <c r="R191" s="77">
        <v>17.44249954223632</v>
      </c>
      <c r="S191" s="77">
        <v>21.74249954223632</v>
      </c>
      <c r="T191" s="77">
        <v>26.042499542236321</v>
      </c>
      <c r="U191" s="26"/>
      <c r="V191" s="77">
        <v>0.3</v>
      </c>
      <c r="W191" s="77">
        <v>0.3</v>
      </c>
      <c r="X191" s="77">
        <v>0.3</v>
      </c>
      <c r="Y191" s="26"/>
      <c r="Z191" s="77">
        <v>8.8185753131377914E-2</v>
      </c>
      <c r="AA191" s="77">
        <v>0.17637150626275583</v>
      </c>
      <c r="AB191" s="77">
        <v>0.26455725939413377</v>
      </c>
      <c r="AC191" s="26"/>
      <c r="AD191" s="77">
        <v>3.3913887366370576E-2</v>
      </c>
      <c r="AE191" s="77">
        <v>6.7827774732741153E-2</v>
      </c>
      <c r="AF191" s="77">
        <v>0.10174166209911173</v>
      </c>
      <c r="AG191" s="26"/>
      <c r="AH191" s="77">
        <v>-0.35</v>
      </c>
      <c r="AI191" s="77">
        <v>2</v>
      </c>
      <c r="AJ191" s="77">
        <v>0.3</v>
      </c>
      <c r="AK191" s="26"/>
      <c r="AL191" s="77">
        <v>-0.15</v>
      </c>
      <c r="AM191" s="77">
        <v>0.65</v>
      </c>
      <c r="AN191" s="77">
        <v>0.2</v>
      </c>
      <c r="AO191" s="26"/>
      <c r="AP191" s="27">
        <v>58</v>
      </c>
      <c r="AQ191" s="78">
        <v>0.4</v>
      </c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8">
        <v>41791</v>
      </c>
      <c r="BI191" s="80">
        <v>0.9</v>
      </c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/>
      <c r="CM191" s="106"/>
      <c r="CN191" s="106"/>
      <c r="CO191" s="81"/>
      <c r="CP191"/>
      <c r="CQ191"/>
      <c r="CR191"/>
      <c r="CS191"/>
      <c r="CT191"/>
      <c r="CY191" s="338">
        <f t="shared" si="31"/>
        <v>41791</v>
      </c>
      <c r="CZ191" s="337">
        <f t="shared" si="32"/>
        <v>1.65</v>
      </c>
      <c r="DA191" s="337">
        <f t="shared" si="33"/>
        <v>2</v>
      </c>
      <c r="DB191" s="337">
        <f t="shared" si="34"/>
        <v>2.2999999999999998</v>
      </c>
      <c r="DD191" s="337">
        <f t="shared" si="35"/>
        <v>8.8185753131377914E-2</v>
      </c>
      <c r="DE191" s="337">
        <f t="shared" si="36"/>
        <v>0.17637150626275583</v>
      </c>
      <c r="DF191" s="337">
        <f t="shared" si="37"/>
        <v>0.26455725939413377</v>
      </c>
      <c r="DH191" s="338">
        <f t="shared" si="38"/>
        <v>41791</v>
      </c>
      <c r="DI191" s="20">
        <v>0.9</v>
      </c>
    </row>
    <row r="192" spans="1:113">
      <c r="A192" s="34">
        <f t="shared" ca="1" si="30"/>
        <v>42064</v>
      </c>
      <c r="B192" s="20">
        <f>'Gas Curves'!C196</f>
        <v>7.4187323595548998E-2</v>
      </c>
      <c r="C192" s="20"/>
      <c r="D192" s="75">
        <v>40940</v>
      </c>
      <c r="E192" s="76">
        <v>36.35</v>
      </c>
      <c r="F192" s="76">
        <v>38.049999999999997</v>
      </c>
      <c r="G192" s="76">
        <v>39.75</v>
      </c>
      <c r="H192" s="56"/>
      <c r="I192" s="76">
        <v>20.549997711181636</v>
      </c>
      <c r="J192" s="76">
        <v>21.399997711181637</v>
      </c>
      <c r="K192" s="76">
        <v>22.249997711181638</v>
      </c>
      <c r="L192" s="27"/>
      <c r="M192" s="28">
        <v>41821</v>
      </c>
      <c r="N192" s="77">
        <v>37.711249542236359</v>
      </c>
      <c r="O192" s="77">
        <v>41.461249542236359</v>
      </c>
      <c r="P192" s="77">
        <v>45.211249542236359</v>
      </c>
      <c r="Q192" s="26"/>
      <c r="R192" s="77">
        <v>26.647499465942374</v>
      </c>
      <c r="S192" s="77">
        <v>30.947499465942375</v>
      </c>
      <c r="T192" s="77">
        <v>35.247499465942376</v>
      </c>
      <c r="U192" s="26"/>
      <c r="V192" s="77">
        <v>0.3</v>
      </c>
      <c r="W192" s="77">
        <v>0.3</v>
      </c>
      <c r="X192" s="77">
        <v>0.3</v>
      </c>
      <c r="Y192" s="26"/>
      <c r="Z192" s="77">
        <v>0.10435602875468235</v>
      </c>
      <c r="AA192" s="77">
        <v>0.2087120575093647</v>
      </c>
      <c r="AB192" s="77">
        <v>0.31306808626404703</v>
      </c>
      <c r="AC192" s="26"/>
      <c r="AD192" s="77">
        <v>4.52185164884941E-2</v>
      </c>
      <c r="AE192" s="77">
        <v>9.0437032976988199E-2</v>
      </c>
      <c r="AF192" s="77">
        <v>0.13565554946548231</v>
      </c>
      <c r="AG192" s="26"/>
      <c r="AH192" s="77">
        <v>-0.35</v>
      </c>
      <c r="AI192" s="77">
        <v>3</v>
      </c>
      <c r="AJ192" s="77">
        <v>0.5</v>
      </c>
      <c r="AK192" s="26"/>
      <c r="AL192" s="77">
        <v>-0.15</v>
      </c>
      <c r="AM192" s="77">
        <v>0.75</v>
      </c>
      <c r="AN192" s="77">
        <v>0.2</v>
      </c>
      <c r="AO192" s="26"/>
      <c r="AP192" s="27">
        <v>58</v>
      </c>
      <c r="AQ192" s="78">
        <v>0.4</v>
      </c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8">
        <v>41821</v>
      </c>
      <c r="BI192" s="80">
        <v>0.9</v>
      </c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/>
      <c r="CM192" s="106"/>
      <c r="CN192" s="106"/>
      <c r="CO192" s="81"/>
      <c r="CP192"/>
      <c r="CQ192"/>
      <c r="CR192"/>
      <c r="CS192"/>
      <c r="CT192"/>
      <c r="CY192" s="338">
        <f t="shared" si="31"/>
        <v>41821</v>
      </c>
      <c r="CZ192" s="337">
        <f t="shared" si="32"/>
        <v>2.65</v>
      </c>
      <c r="DA192" s="337">
        <f t="shared" si="33"/>
        <v>3</v>
      </c>
      <c r="DB192" s="337">
        <f t="shared" si="34"/>
        <v>3.5</v>
      </c>
      <c r="DD192" s="337">
        <f t="shared" si="35"/>
        <v>0.10435602875468235</v>
      </c>
      <c r="DE192" s="337">
        <f t="shared" si="36"/>
        <v>0.2087120575093647</v>
      </c>
      <c r="DF192" s="337">
        <f t="shared" si="37"/>
        <v>0.31306808626404703</v>
      </c>
      <c r="DH192" s="338">
        <f t="shared" si="38"/>
        <v>41821</v>
      </c>
      <c r="DI192" s="20">
        <v>0.9</v>
      </c>
    </row>
    <row r="193" spans="1:113">
      <c r="A193" s="34">
        <f t="shared" ca="1" si="30"/>
        <v>42095</v>
      </c>
      <c r="B193" s="20">
        <f>'Gas Curves'!C197</f>
        <v>7.4187028877668995E-2</v>
      </c>
      <c r="C193" s="20"/>
      <c r="D193" s="75">
        <v>40969</v>
      </c>
      <c r="E193" s="76">
        <v>33.35</v>
      </c>
      <c r="F193" s="76">
        <v>34.299999999999997</v>
      </c>
      <c r="G193" s="76">
        <v>35.25</v>
      </c>
      <c r="H193" s="56"/>
      <c r="I193" s="76">
        <v>19.924999618530268</v>
      </c>
      <c r="J193" s="76">
        <v>20.39999961853027</v>
      </c>
      <c r="K193" s="76">
        <v>20.874999618530271</v>
      </c>
      <c r="L193" s="27"/>
      <c r="M193" s="28">
        <v>41852</v>
      </c>
      <c r="N193" s="77">
        <v>39.972499084472688</v>
      </c>
      <c r="O193" s="77">
        <v>43.722499084472688</v>
      </c>
      <c r="P193" s="77">
        <v>47.472499084472688</v>
      </c>
      <c r="Q193" s="26"/>
      <c r="R193" s="77">
        <v>28.145000839233401</v>
      </c>
      <c r="S193" s="77">
        <v>32.445000839233401</v>
      </c>
      <c r="T193" s="77">
        <v>36.745000839233398</v>
      </c>
      <c r="U193" s="26"/>
      <c r="V193" s="77">
        <v>0.3</v>
      </c>
      <c r="W193" s="77">
        <v>0.3</v>
      </c>
      <c r="X193" s="77">
        <v>0.3</v>
      </c>
      <c r="Y193" s="26"/>
      <c r="Z193" s="77">
        <v>0.10268125020798297</v>
      </c>
      <c r="AA193" s="77">
        <v>0.20536250041596593</v>
      </c>
      <c r="AB193" s="77">
        <v>0.3080437506239489</v>
      </c>
      <c r="AC193" s="26"/>
      <c r="AD193" s="77">
        <v>4.52185164884941E-2</v>
      </c>
      <c r="AE193" s="77">
        <v>9.0437032976988199E-2</v>
      </c>
      <c r="AF193" s="77">
        <v>0.13565554946548231</v>
      </c>
      <c r="AG193" s="26"/>
      <c r="AH193" s="77">
        <v>-0.35</v>
      </c>
      <c r="AI193" s="77">
        <v>3</v>
      </c>
      <c r="AJ193" s="77">
        <v>0.5</v>
      </c>
      <c r="AK193" s="26"/>
      <c r="AL193" s="77">
        <v>-0.15</v>
      </c>
      <c r="AM193" s="77">
        <v>0.75</v>
      </c>
      <c r="AN193" s="77">
        <v>0.2</v>
      </c>
      <c r="AO193" s="26"/>
      <c r="AP193" s="27">
        <v>59</v>
      </c>
      <c r="AQ193" s="78">
        <v>0.4</v>
      </c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8">
        <v>41852</v>
      </c>
      <c r="BI193" s="80">
        <v>0.9</v>
      </c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/>
      <c r="CM193" s="106"/>
      <c r="CN193" s="106"/>
      <c r="CO193" s="81"/>
      <c r="CP193"/>
      <c r="CQ193"/>
      <c r="CR193"/>
      <c r="CS193"/>
      <c r="CT193"/>
      <c r="CY193" s="338">
        <f t="shared" si="31"/>
        <v>41852</v>
      </c>
      <c r="CZ193" s="337">
        <f t="shared" si="32"/>
        <v>2.65</v>
      </c>
      <c r="DA193" s="337">
        <f t="shared" si="33"/>
        <v>3</v>
      </c>
      <c r="DB193" s="337">
        <f t="shared" si="34"/>
        <v>3.5</v>
      </c>
      <c r="DD193" s="337">
        <f t="shared" si="35"/>
        <v>0.10268125020798297</v>
      </c>
      <c r="DE193" s="337">
        <f t="shared" si="36"/>
        <v>0.20536250041596593</v>
      </c>
      <c r="DF193" s="337">
        <f t="shared" si="37"/>
        <v>0.3080437506239489</v>
      </c>
      <c r="DH193" s="338">
        <f t="shared" si="38"/>
        <v>41852</v>
      </c>
      <c r="DI193" s="20">
        <v>0.9</v>
      </c>
    </row>
    <row r="194" spans="1:113">
      <c r="A194" s="34">
        <f t="shared" ca="1" si="30"/>
        <v>42125</v>
      </c>
      <c r="B194" s="20">
        <f>'Gas Curves'!C198</f>
        <v>7.4186743666816005E-2</v>
      </c>
      <c r="C194" s="20"/>
      <c r="D194" s="75">
        <v>41000</v>
      </c>
      <c r="E194" s="76">
        <v>32.25</v>
      </c>
      <c r="F194" s="76">
        <v>33.049999999999997</v>
      </c>
      <c r="G194" s="76">
        <v>33.85</v>
      </c>
      <c r="H194" s="56"/>
      <c r="I194" s="76">
        <v>19.999997711181638</v>
      </c>
      <c r="J194" s="76">
        <v>20.399997711181637</v>
      </c>
      <c r="K194" s="76">
        <v>20.799997711181636</v>
      </c>
      <c r="L194" s="27"/>
      <c r="M194" s="28">
        <v>41883</v>
      </c>
      <c r="N194" s="77">
        <v>23.604999160766592</v>
      </c>
      <c r="O194" s="77">
        <v>25.104999160766592</v>
      </c>
      <c r="P194" s="77">
        <v>26.604999160766592</v>
      </c>
      <c r="Q194" s="26"/>
      <c r="R194" s="77">
        <v>21.3</v>
      </c>
      <c r="S194" s="77">
        <v>25.6</v>
      </c>
      <c r="T194" s="77">
        <v>29.9</v>
      </c>
      <c r="U194" s="26"/>
      <c r="V194" s="77">
        <v>0.8</v>
      </c>
      <c r="W194" s="77">
        <v>0.8</v>
      </c>
      <c r="X194" s="77">
        <v>0.8</v>
      </c>
      <c r="Y194" s="26"/>
      <c r="Z194" s="77">
        <v>6.8030659586616374E-2</v>
      </c>
      <c r="AA194" s="77">
        <v>0.13606131917323275</v>
      </c>
      <c r="AB194" s="77">
        <v>0.20409197875984914</v>
      </c>
      <c r="AC194" s="26"/>
      <c r="AD194" s="77">
        <v>3.0145677658996069E-2</v>
      </c>
      <c r="AE194" s="77">
        <v>6.0291355317992137E-2</v>
      </c>
      <c r="AF194" s="77">
        <v>9.0437032976988213E-2</v>
      </c>
      <c r="AG194" s="26"/>
      <c r="AH194" s="77">
        <v>-0.35</v>
      </c>
      <c r="AI194" s="77">
        <v>1.5</v>
      </c>
      <c r="AJ194" s="77">
        <v>0.3</v>
      </c>
      <c r="AK194" s="26"/>
      <c r="AL194" s="77">
        <v>-0.15</v>
      </c>
      <c r="AM194" s="77">
        <v>0.4</v>
      </c>
      <c r="AN194" s="77">
        <v>0.2</v>
      </c>
      <c r="AO194" s="26"/>
      <c r="AP194" s="27">
        <v>59</v>
      </c>
      <c r="AQ194" s="78">
        <v>0.4</v>
      </c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8">
        <v>41883</v>
      </c>
      <c r="BI194" s="80">
        <v>0.9</v>
      </c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/>
      <c r="CM194" s="106"/>
      <c r="CN194" s="106"/>
      <c r="CO194" s="81"/>
      <c r="CP194"/>
      <c r="CQ194"/>
      <c r="CR194"/>
      <c r="CS194"/>
      <c r="CT194"/>
      <c r="CY194" s="338">
        <f t="shared" si="31"/>
        <v>41883</v>
      </c>
      <c r="CZ194" s="337">
        <f t="shared" si="32"/>
        <v>1.1499999999999999</v>
      </c>
      <c r="DA194" s="337">
        <f t="shared" si="33"/>
        <v>1.5</v>
      </c>
      <c r="DB194" s="337">
        <f t="shared" si="34"/>
        <v>1.8</v>
      </c>
      <c r="DD194" s="337">
        <f t="shared" si="35"/>
        <v>6.8030659586616374E-2</v>
      </c>
      <c r="DE194" s="337">
        <f t="shared" si="36"/>
        <v>0.13606131917323275</v>
      </c>
      <c r="DF194" s="337">
        <f t="shared" si="37"/>
        <v>0.20409197875984914</v>
      </c>
      <c r="DH194" s="338">
        <f t="shared" si="38"/>
        <v>41883</v>
      </c>
      <c r="DI194" s="20">
        <v>0.9</v>
      </c>
    </row>
    <row r="195" spans="1:113">
      <c r="A195" s="34">
        <f t="shared" ca="1" si="30"/>
        <v>42156</v>
      </c>
      <c r="B195" s="20">
        <f>'Gas Curves'!C199</f>
        <v>7.4186448948936001E-2</v>
      </c>
      <c r="C195" s="20"/>
      <c r="D195" s="75">
        <v>41030</v>
      </c>
      <c r="E195" s="76">
        <v>33.17</v>
      </c>
      <c r="F195" s="76">
        <v>35.65</v>
      </c>
      <c r="G195" s="76">
        <v>38.130000000000003</v>
      </c>
      <c r="H195" s="56"/>
      <c r="I195" s="76">
        <v>19.159997711181639</v>
      </c>
      <c r="J195" s="76">
        <v>20.399997711181637</v>
      </c>
      <c r="K195" s="76">
        <v>21.639997711181636</v>
      </c>
      <c r="L195" s="27"/>
      <c r="M195" s="28">
        <v>41913</v>
      </c>
      <c r="N195" s="77">
        <v>23.813000106811515</v>
      </c>
      <c r="O195" s="77">
        <v>25.200500106811514</v>
      </c>
      <c r="P195" s="77">
        <v>26.588000106811513</v>
      </c>
      <c r="Q195" s="26"/>
      <c r="R195" s="77">
        <v>18.90099983215331</v>
      </c>
      <c r="S195" s="77">
        <v>23.200999832153311</v>
      </c>
      <c r="T195" s="77">
        <v>27.500999832153312</v>
      </c>
      <c r="U195" s="26"/>
      <c r="V195" s="77">
        <v>0.8</v>
      </c>
      <c r="W195" s="77">
        <v>0.8</v>
      </c>
      <c r="X195" s="77">
        <v>0.8</v>
      </c>
      <c r="Y195" s="26"/>
      <c r="Z195" s="77">
        <v>6.2140059180984059E-2</v>
      </c>
      <c r="AA195" s="77">
        <v>0.12428011836196812</v>
      </c>
      <c r="AB195" s="77">
        <v>0.18642017754295218</v>
      </c>
      <c r="AC195" s="26"/>
      <c r="AD195" s="77">
        <v>2.260925824424705E-2</v>
      </c>
      <c r="AE195" s="77">
        <v>4.52185164884941E-2</v>
      </c>
      <c r="AF195" s="77">
        <v>6.7827774732741153E-2</v>
      </c>
      <c r="AG195" s="26"/>
      <c r="AH195" s="77">
        <v>-0.25</v>
      </c>
      <c r="AI195" s="77">
        <v>1.1000000000000001</v>
      </c>
      <c r="AJ195" s="77">
        <v>0.3</v>
      </c>
      <c r="AK195" s="26"/>
      <c r="AL195" s="77">
        <v>-0.15</v>
      </c>
      <c r="AM195" s="77">
        <v>0.35</v>
      </c>
      <c r="AN195" s="77">
        <v>0.2</v>
      </c>
      <c r="AO195" s="26"/>
      <c r="AP195" s="27">
        <v>59</v>
      </c>
      <c r="AQ195" s="78">
        <v>0.4</v>
      </c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8">
        <v>41913</v>
      </c>
      <c r="BI195" s="80">
        <v>0.9</v>
      </c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/>
      <c r="CM195" s="106"/>
      <c r="CN195" s="106"/>
      <c r="CO195" s="81"/>
      <c r="CP195"/>
      <c r="CQ195"/>
      <c r="CR195"/>
      <c r="CS195"/>
      <c r="CT195"/>
      <c r="CY195" s="338">
        <f t="shared" si="31"/>
        <v>41913</v>
      </c>
      <c r="CZ195" s="337">
        <f t="shared" si="32"/>
        <v>0.85000000000000009</v>
      </c>
      <c r="DA195" s="337">
        <f t="shared" si="33"/>
        <v>1.1000000000000001</v>
      </c>
      <c r="DB195" s="337">
        <f t="shared" si="34"/>
        <v>1.4000000000000001</v>
      </c>
      <c r="DD195" s="337">
        <f t="shared" si="35"/>
        <v>6.2140059180984059E-2</v>
      </c>
      <c r="DE195" s="337">
        <f t="shared" si="36"/>
        <v>0.12428011836196812</v>
      </c>
      <c r="DF195" s="337">
        <f t="shared" si="37"/>
        <v>0.18642017754295218</v>
      </c>
      <c r="DH195" s="338">
        <f t="shared" si="38"/>
        <v>41913</v>
      </c>
      <c r="DI195" s="20">
        <v>0.9</v>
      </c>
    </row>
    <row r="196" spans="1:113">
      <c r="A196" s="34">
        <f t="shared" ca="1" si="30"/>
        <v>42186</v>
      </c>
      <c r="B196" s="20">
        <f>'Gas Curves'!C200</f>
        <v>7.4186163738083996E-2</v>
      </c>
      <c r="C196" s="20"/>
      <c r="D196" s="75">
        <v>41061</v>
      </c>
      <c r="E196" s="76">
        <v>47.14</v>
      </c>
      <c r="F196" s="76">
        <v>54.25</v>
      </c>
      <c r="G196" s="76">
        <v>61.36</v>
      </c>
      <c r="H196" s="56"/>
      <c r="I196" s="76">
        <v>16.799998779296871</v>
      </c>
      <c r="J196" s="76">
        <v>20.354998779296871</v>
      </c>
      <c r="K196" s="76">
        <v>23.90999877929687</v>
      </c>
      <c r="L196" s="27"/>
      <c r="M196" s="28">
        <v>41944</v>
      </c>
      <c r="N196" s="77">
        <v>24.817251586914054</v>
      </c>
      <c r="O196" s="77">
        <v>26.204751586914053</v>
      </c>
      <c r="P196" s="77">
        <v>27.592251586914053</v>
      </c>
      <c r="Q196" s="26"/>
      <c r="R196" s="77">
        <v>19.904499816894521</v>
      </c>
      <c r="S196" s="77">
        <v>24.204499816894522</v>
      </c>
      <c r="T196" s="77">
        <v>28.504499816894523</v>
      </c>
      <c r="U196" s="26"/>
      <c r="V196" s="77">
        <v>0.8</v>
      </c>
      <c r="W196" s="77">
        <v>0.8</v>
      </c>
      <c r="X196" s="77">
        <v>0.8</v>
      </c>
      <c r="Y196" s="26"/>
      <c r="Z196" s="77">
        <v>6.2140059180984059E-2</v>
      </c>
      <c r="AA196" s="77">
        <v>0.12428011836196812</v>
      </c>
      <c r="AB196" s="77">
        <v>0.18642017754295218</v>
      </c>
      <c r="AC196" s="26"/>
      <c r="AD196" s="77">
        <v>2.260925824424705E-2</v>
      </c>
      <c r="AE196" s="77">
        <v>4.52185164884941E-2</v>
      </c>
      <c r="AF196" s="77">
        <v>6.7827774732741153E-2</v>
      </c>
      <c r="AG196" s="26"/>
      <c r="AH196" s="77">
        <v>-0.25</v>
      </c>
      <c r="AI196" s="77">
        <v>1.25</v>
      </c>
      <c r="AJ196" s="77">
        <v>0.3</v>
      </c>
      <c r="AK196" s="26"/>
      <c r="AL196" s="77">
        <v>-0.15</v>
      </c>
      <c r="AM196" s="77">
        <v>0.3</v>
      </c>
      <c r="AN196" s="77">
        <v>0.2</v>
      </c>
      <c r="AO196" s="26"/>
      <c r="AP196" s="27">
        <v>60</v>
      </c>
      <c r="AQ196" s="78">
        <v>0.4</v>
      </c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8">
        <v>41944</v>
      </c>
      <c r="BI196" s="80">
        <v>0.9</v>
      </c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/>
      <c r="CM196" s="106"/>
      <c r="CN196" s="106"/>
      <c r="CO196" s="81"/>
      <c r="CP196"/>
      <c r="CQ196"/>
      <c r="CR196"/>
      <c r="CS196"/>
      <c r="CT196"/>
      <c r="CY196" s="338">
        <f t="shared" si="31"/>
        <v>41944</v>
      </c>
      <c r="CZ196" s="337">
        <f t="shared" si="32"/>
        <v>1</v>
      </c>
      <c r="DA196" s="337">
        <f t="shared" si="33"/>
        <v>1.25</v>
      </c>
      <c r="DB196" s="337">
        <f t="shared" si="34"/>
        <v>1.55</v>
      </c>
      <c r="DD196" s="337">
        <f t="shared" si="35"/>
        <v>6.2140059180984059E-2</v>
      </c>
      <c r="DE196" s="337">
        <f t="shared" si="36"/>
        <v>0.12428011836196812</v>
      </c>
      <c r="DF196" s="337">
        <f t="shared" si="37"/>
        <v>0.18642017754295218</v>
      </c>
      <c r="DH196" s="338">
        <f t="shared" si="38"/>
        <v>41944</v>
      </c>
      <c r="DI196" s="20">
        <v>0.9</v>
      </c>
    </row>
    <row r="197" spans="1:113">
      <c r="A197" s="34">
        <f t="shared" ca="1" si="30"/>
        <v>42217</v>
      </c>
      <c r="B197" s="20">
        <f>'Gas Curves'!C201</f>
        <v>7.4185869020203007E-2</v>
      </c>
      <c r="C197" s="20"/>
      <c r="D197" s="75">
        <v>41091</v>
      </c>
      <c r="E197" s="76">
        <v>75.5</v>
      </c>
      <c r="F197" s="76">
        <v>80.5</v>
      </c>
      <c r="G197" s="76">
        <v>85.5</v>
      </c>
      <c r="H197" s="56"/>
      <c r="I197" s="76">
        <v>22.349997711181636</v>
      </c>
      <c r="J197" s="76">
        <v>24.849997711181636</v>
      </c>
      <c r="K197" s="76">
        <v>27.349997711181636</v>
      </c>
      <c r="L197" s="27"/>
      <c r="M197" s="28">
        <v>41974</v>
      </c>
      <c r="N197" s="77">
        <v>26.26749839782714</v>
      </c>
      <c r="O197" s="77">
        <v>27.654998397827139</v>
      </c>
      <c r="P197" s="77">
        <v>29.042498397827138</v>
      </c>
      <c r="Q197" s="26"/>
      <c r="R197" s="77">
        <v>19.849999237060537</v>
      </c>
      <c r="S197" s="77">
        <v>24.149999237060538</v>
      </c>
      <c r="T197" s="77">
        <v>28.449999237060538</v>
      </c>
      <c r="U197" s="26"/>
      <c r="V197" s="77">
        <v>0.8</v>
      </c>
      <c r="W197" s="77">
        <v>0.8</v>
      </c>
      <c r="X197" s="77">
        <v>0.8</v>
      </c>
      <c r="Y197" s="26"/>
      <c r="Z197" s="77">
        <v>6.4357696980751528E-2</v>
      </c>
      <c r="AA197" s="77">
        <v>0.12871539396150306</v>
      </c>
      <c r="AB197" s="77">
        <v>0.19307309094225458</v>
      </c>
      <c r="AC197" s="26"/>
      <c r="AD197" s="77">
        <v>2.260925824424705E-2</v>
      </c>
      <c r="AE197" s="77">
        <v>4.52185164884941E-2</v>
      </c>
      <c r="AF197" s="77">
        <v>6.7827774732741153E-2</v>
      </c>
      <c r="AG197" s="26"/>
      <c r="AH197" s="77">
        <v>-0.25</v>
      </c>
      <c r="AI197" s="77">
        <v>1.25</v>
      </c>
      <c r="AJ197" s="77">
        <v>0.35</v>
      </c>
      <c r="AK197" s="26"/>
      <c r="AL197" s="77">
        <v>-0.15</v>
      </c>
      <c r="AM197" s="77">
        <v>0.3</v>
      </c>
      <c r="AN197" s="77">
        <v>0.2</v>
      </c>
      <c r="AO197" s="26"/>
      <c r="AP197" s="27">
        <v>60</v>
      </c>
      <c r="AQ197" s="78">
        <v>0.4</v>
      </c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8">
        <v>41974</v>
      </c>
      <c r="BI197" s="80">
        <v>0.9</v>
      </c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/>
      <c r="CM197" s="106"/>
      <c r="CN197" s="106"/>
      <c r="CO197" s="81"/>
      <c r="CP197"/>
      <c r="CQ197"/>
      <c r="CR197"/>
      <c r="CS197"/>
      <c r="CT197"/>
      <c r="CY197" s="338">
        <f t="shared" si="31"/>
        <v>41974</v>
      </c>
      <c r="CZ197" s="337">
        <f t="shared" si="32"/>
        <v>1</v>
      </c>
      <c r="DA197" s="337">
        <f t="shared" si="33"/>
        <v>1.25</v>
      </c>
      <c r="DB197" s="337">
        <f t="shared" si="34"/>
        <v>1.6</v>
      </c>
      <c r="DD197" s="337">
        <f t="shared" si="35"/>
        <v>6.4357696980751528E-2</v>
      </c>
      <c r="DE197" s="337">
        <f t="shared" si="36"/>
        <v>0.12871539396150306</v>
      </c>
      <c r="DF197" s="337">
        <f t="shared" si="37"/>
        <v>0.19307309094225458</v>
      </c>
      <c r="DH197" s="338">
        <f t="shared" si="38"/>
        <v>41974</v>
      </c>
      <c r="DI197" s="20">
        <v>0.9</v>
      </c>
    </row>
    <row r="198" spans="1:113">
      <c r="A198" s="34">
        <f t="shared" ca="1" si="30"/>
        <v>42248</v>
      </c>
      <c r="B198" s="20">
        <f>'Gas Curves'!C202</f>
        <v>7.4185574302323004E-2</v>
      </c>
      <c r="C198" s="20"/>
      <c r="D198" s="75">
        <v>41122</v>
      </c>
      <c r="E198" s="76">
        <v>71</v>
      </c>
      <c r="F198" s="76">
        <v>76</v>
      </c>
      <c r="G198" s="76">
        <v>81</v>
      </c>
      <c r="H198" s="56"/>
      <c r="I198" s="76">
        <v>22.699998092651363</v>
      </c>
      <c r="J198" s="76">
        <v>25.199998092651363</v>
      </c>
      <c r="K198" s="76">
        <v>27.699998092651363</v>
      </c>
      <c r="L198" s="27"/>
      <c r="M198" s="28">
        <v>42005</v>
      </c>
      <c r="N198" s="77">
        <v>29.54874839782714</v>
      </c>
      <c r="O198" s="77">
        <v>31.04874839782714</v>
      </c>
      <c r="P198" s="77">
        <v>32.54874839782714</v>
      </c>
      <c r="Q198" s="26"/>
      <c r="R198" s="77">
        <v>25.252500152587881</v>
      </c>
      <c r="S198" s="77">
        <v>29.552500152587882</v>
      </c>
      <c r="T198" s="77">
        <v>33.852500152587879</v>
      </c>
      <c r="U198" s="26"/>
      <c r="V198" s="77">
        <v>0.8</v>
      </c>
      <c r="W198" s="77">
        <v>0.8</v>
      </c>
      <c r="X198" s="77">
        <v>0.8</v>
      </c>
      <c r="Y198" s="26"/>
      <c r="Z198" s="77">
        <v>6.9249847034405218E-2</v>
      </c>
      <c r="AA198" s="77">
        <v>0.13849969406881044</v>
      </c>
      <c r="AB198" s="77">
        <v>0.20774954110321564</v>
      </c>
      <c r="AC198" s="26"/>
      <c r="AD198" s="77">
        <v>2.5849918592589137E-2</v>
      </c>
      <c r="AE198" s="77">
        <v>5.1699837185178274E-2</v>
      </c>
      <c r="AF198" s="77">
        <v>7.7549755777767404E-2</v>
      </c>
      <c r="AG198" s="26"/>
      <c r="AH198" s="77">
        <v>-0.75</v>
      </c>
      <c r="AI198" s="77">
        <v>2</v>
      </c>
      <c r="AJ198" s="77">
        <v>0.75</v>
      </c>
      <c r="AK198" s="26"/>
      <c r="AL198" s="77">
        <v>-0.15</v>
      </c>
      <c r="AM198" s="77">
        <v>0.5</v>
      </c>
      <c r="AN198" s="77">
        <v>0.2</v>
      </c>
      <c r="AO198" s="26"/>
      <c r="AP198" s="27">
        <v>60</v>
      </c>
      <c r="AQ198" s="78">
        <v>0.4</v>
      </c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8">
        <v>42005</v>
      </c>
      <c r="BI198" s="80">
        <v>0.9</v>
      </c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/>
      <c r="CM198" s="106"/>
      <c r="CN198" s="106"/>
      <c r="CO198" s="81"/>
      <c r="CP198"/>
      <c r="CQ198"/>
      <c r="CR198"/>
      <c r="CS198"/>
      <c r="CT198"/>
      <c r="CY198" s="338">
        <f t="shared" si="31"/>
        <v>42005</v>
      </c>
      <c r="CZ198" s="337">
        <f t="shared" si="32"/>
        <v>1.25</v>
      </c>
      <c r="DA198" s="337">
        <f t="shared" si="33"/>
        <v>2</v>
      </c>
      <c r="DB198" s="337">
        <f t="shared" si="34"/>
        <v>2.75</v>
      </c>
      <c r="DD198" s="337">
        <f t="shared" si="35"/>
        <v>6.9249847034405218E-2</v>
      </c>
      <c r="DE198" s="337">
        <f t="shared" si="36"/>
        <v>0.13849969406881044</v>
      </c>
      <c r="DF198" s="337">
        <f t="shared" si="37"/>
        <v>0.20774954110321564</v>
      </c>
      <c r="DH198" s="338">
        <f t="shared" si="38"/>
        <v>42005</v>
      </c>
      <c r="DI198" s="20">
        <v>0.9</v>
      </c>
    </row>
    <row r="199" spans="1:113">
      <c r="A199" s="34">
        <f t="shared" ca="1" si="30"/>
        <v>42278</v>
      </c>
      <c r="B199" s="20">
        <f>'Gas Curves'!C203</f>
        <v>7.4185289091470999E-2</v>
      </c>
      <c r="C199" s="20"/>
      <c r="D199" s="75">
        <v>41153</v>
      </c>
      <c r="E199" s="76">
        <v>32.25</v>
      </c>
      <c r="F199" s="76">
        <v>34.049999999999997</v>
      </c>
      <c r="G199" s="76">
        <v>35.85</v>
      </c>
      <c r="H199" s="56"/>
      <c r="I199" s="76">
        <v>19.849998092651365</v>
      </c>
      <c r="J199" s="76">
        <v>20.749998092651364</v>
      </c>
      <c r="K199" s="76">
        <v>21.649998092651362</v>
      </c>
      <c r="L199" s="27"/>
      <c r="M199" s="28">
        <v>42036</v>
      </c>
      <c r="N199" s="77">
        <v>28.546250152587881</v>
      </c>
      <c r="O199" s="77">
        <v>30.046250152587881</v>
      </c>
      <c r="P199" s="77">
        <v>31.546250152587881</v>
      </c>
      <c r="Q199" s="26"/>
      <c r="R199" s="77">
        <v>23.247499465942372</v>
      </c>
      <c r="S199" s="77">
        <v>27.547499465942373</v>
      </c>
      <c r="T199" s="77">
        <v>31.847499465942374</v>
      </c>
      <c r="U199" s="26"/>
      <c r="V199" s="77">
        <v>0.8</v>
      </c>
      <c r="W199" s="77">
        <v>0.8</v>
      </c>
      <c r="X199" s="77">
        <v>0.8</v>
      </c>
      <c r="Y199" s="26"/>
      <c r="Z199" s="77">
        <v>6.6811472138827557E-2</v>
      </c>
      <c r="AA199" s="77">
        <v>0.13362294427765511</v>
      </c>
      <c r="AB199" s="77">
        <v>0.20043441641648269</v>
      </c>
      <c r="AC199" s="26"/>
      <c r="AD199" s="77">
        <v>2.5849918592589137E-2</v>
      </c>
      <c r="AE199" s="77">
        <v>5.1699837185178274E-2</v>
      </c>
      <c r="AF199" s="77">
        <v>7.7549755777767404E-2</v>
      </c>
      <c r="AG199" s="26"/>
      <c r="AH199" s="77">
        <v>-0.75</v>
      </c>
      <c r="AI199" s="77">
        <v>2</v>
      </c>
      <c r="AJ199" s="77">
        <v>0.75</v>
      </c>
      <c r="AK199" s="26"/>
      <c r="AL199" s="77">
        <v>-0.15</v>
      </c>
      <c r="AM199" s="77">
        <v>0.5</v>
      </c>
      <c r="AN199" s="77">
        <v>0.2</v>
      </c>
      <c r="AO199" s="26"/>
      <c r="AP199" s="27">
        <v>61</v>
      </c>
      <c r="AQ199" s="78">
        <v>0.4</v>
      </c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8">
        <v>42036</v>
      </c>
      <c r="BI199" s="80">
        <v>0.9</v>
      </c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/>
      <c r="CM199" s="106"/>
      <c r="CN199" s="106"/>
      <c r="CO199" s="81"/>
      <c r="CP199"/>
      <c r="CQ199"/>
      <c r="CR199"/>
      <c r="CS199"/>
      <c r="CT199"/>
      <c r="CY199" s="338">
        <f t="shared" si="31"/>
        <v>42036</v>
      </c>
      <c r="CZ199" s="337">
        <f t="shared" si="32"/>
        <v>1.25</v>
      </c>
      <c r="DA199" s="337">
        <f t="shared" si="33"/>
        <v>2</v>
      </c>
      <c r="DB199" s="337">
        <f t="shared" si="34"/>
        <v>2.75</v>
      </c>
      <c r="DD199" s="337">
        <f t="shared" si="35"/>
        <v>6.6811472138827557E-2</v>
      </c>
      <c r="DE199" s="337">
        <f t="shared" si="36"/>
        <v>0.13362294427765511</v>
      </c>
      <c r="DF199" s="337">
        <f t="shared" si="37"/>
        <v>0.20043441641648269</v>
      </c>
      <c r="DH199" s="338">
        <f t="shared" si="38"/>
        <v>42036</v>
      </c>
      <c r="DI199" s="20">
        <v>0.9</v>
      </c>
    </row>
    <row r="200" spans="1:113">
      <c r="A200" s="34">
        <f t="shared" ca="1" si="30"/>
        <v>42309</v>
      </c>
      <c r="B200" s="20">
        <f>'Gas Curves'!C204</f>
        <v>7.4184994373589996E-2</v>
      </c>
      <c r="C200" s="20"/>
      <c r="D200" s="75">
        <v>41183</v>
      </c>
      <c r="E200" s="76">
        <v>30.15</v>
      </c>
      <c r="F200" s="76">
        <v>31.8</v>
      </c>
      <c r="G200" s="76">
        <v>33.450000000000003</v>
      </c>
      <c r="H200" s="56"/>
      <c r="I200" s="76">
        <v>19.624998855590817</v>
      </c>
      <c r="J200" s="76">
        <v>20.449998855590817</v>
      </c>
      <c r="K200" s="76">
        <v>21.274998855590816</v>
      </c>
      <c r="L200" s="27"/>
      <c r="M200" s="28">
        <v>42064</v>
      </c>
      <c r="N200" s="77">
        <v>22.409749603271475</v>
      </c>
      <c r="O200" s="77">
        <v>23.234749603271474</v>
      </c>
      <c r="P200" s="77">
        <v>24.059749603271474</v>
      </c>
      <c r="Q200" s="26"/>
      <c r="R200" s="77">
        <v>18.564498901367177</v>
      </c>
      <c r="S200" s="77">
        <v>22.864498901367178</v>
      </c>
      <c r="T200" s="77">
        <v>27.164498901367178</v>
      </c>
      <c r="U200" s="26"/>
      <c r="V200" s="77">
        <v>0.3</v>
      </c>
      <c r="W200" s="77">
        <v>0.3</v>
      </c>
      <c r="X200" s="77">
        <v>0.3</v>
      </c>
      <c r="Y200" s="26"/>
      <c r="Z200" s="77">
        <v>6.5122897523640033E-2</v>
      </c>
      <c r="AA200" s="77">
        <v>0.13024579504728007</v>
      </c>
      <c r="AB200" s="77">
        <v>0.1953686925709201</v>
      </c>
      <c r="AC200" s="26"/>
      <c r="AD200" s="77">
        <v>2.215707307936211E-2</v>
      </c>
      <c r="AE200" s="77">
        <v>4.431414615872422E-2</v>
      </c>
      <c r="AF200" s="77">
        <v>6.6471219238086326E-2</v>
      </c>
      <c r="AG200" s="26"/>
      <c r="AH200" s="77">
        <v>-0.25</v>
      </c>
      <c r="AI200" s="77">
        <v>1.3</v>
      </c>
      <c r="AJ200" s="77">
        <v>0.3</v>
      </c>
      <c r="AK200" s="26"/>
      <c r="AL200" s="77">
        <v>-0.15</v>
      </c>
      <c r="AM200" s="77">
        <v>0.35</v>
      </c>
      <c r="AN200" s="77">
        <v>0.2</v>
      </c>
      <c r="AO200" s="26"/>
      <c r="AP200" s="27">
        <v>61</v>
      </c>
      <c r="AQ200" s="78">
        <v>0.4</v>
      </c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8">
        <v>42064</v>
      </c>
      <c r="BI200" s="80">
        <v>0.9</v>
      </c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/>
      <c r="CM200" s="106"/>
      <c r="CN200" s="106"/>
      <c r="CO200" s="81"/>
      <c r="CP200"/>
      <c r="CQ200"/>
      <c r="CR200"/>
      <c r="CS200"/>
      <c r="CT200"/>
      <c r="CY200" s="338">
        <f t="shared" si="31"/>
        <v>42064</v>
      </c>
      <c r="CZ200" s="337">
        <f t="shared" si="32"/>
        <v>1.05</v>
      </c>
      <c r="DA200" s="337">
        <f t="shared" si="33"/>
        <v>1.3</v>
      </c>
      <c r="DB200" s="337">
        <f t="shared" si="34"/>
        <v>1.6</v>
      </c>
      <c r="DD200" s="337">
        <f t="shared" si="35"/>
        <v>6.5122897523640033E-2</v>
      </c>
      <c r="DE200" s="337">
        <f t="shared" si="36"/>
        <v>0.13024579504728007</v>
      </c>
      <c r="DF200" s="337">
        <f t="shared" si="37"/>
        <v>0.1953686925709201</v>
      </c>
      <c r="DH200" s="338">
        <f t="shared" si="38"/>
        <v>42064</v>
      </c>
      <c r="DI200" s="20">
        <v>0.9</v>
      </c>
    </row>
    <row r="201" spans="1:113">
      <c r="A201" s="34">
        <f t="shared" ca="1" si="30"/>
        <v>42339</v>
      </c>
      <c r="B201" s="20">
        <f>'Gas Curves'!C205</f>
        <v>7.4184709162739004E-2</v>
      </c>
      <c r="C201" s="20"/>
      <c r="D201" s="75">
        <v>41214</v>
      </c>
      <c r="E201" s="76">
        <v>30.524999999999999</v>
      </c>
      <c r="F201" s="76">
        <v>32.174999999999997</v>
      </c>
      <c r="G201" s="76">
        <v>33.825000000000003</v>
      </c>
      <c r="H201" s="56"/>
      <c r="I201" s="76">
        <v>19.549998092651364</v>
      </c>
      <c r="J201" s="76">
        <v>20.374998092651364</v>
      </c>
      <c r="K201" s="76">
        <v>21.199998092651363</v>
      </c>
      <c r="L201" s="27"/>
      <c r="M201" s="28">
        <v>42095</v>
      </c>
      <c r="N201" s="77">
        <v>23.205000305175773</v>
      </c>
      <c r="O201" s="77">
        <v>23.917500305175771</v>
      </c>
      <c r="P201" s="77">
        <v>24.63000030517577</v>
      </c>
      <c r="Q201" s="26"/>
      <c r="R201" s="77">
        <v>18.334999084472646</v>
      </c>
      <c r="S201" s="77">
        <v>22.634999084472646</v>
      </c>
      <c r="T201" s="77">
        <v>26.934999084472647</v>
      </c>
      <c r="U201" s="26"/>
      <c r="V201" s="77">
        <v>0.3</v>
      </c>
      <c r="W201" s="77">
        <v>0.3</v>
      </c>
      <c r="X201" s="77">
        <v>0.3</v>
      </c>
      <c r="Y201" s="26"/>
      <c r="Z201" s="77">
        <v>5.8045514389225894E-2</v>
      </c>
      <c r="AA201" s="77">
        <v>0.11609102877845179</v>
      </c>
      <c r="AB201" s="77">
        <v>0.17413654316767768</v>
      </c>
      <c r="AC201" s="26"/>
      <c r="AD201" s="77">
        <v>2.215707307936211E-2</v>
      </c>
      <c r="AE201" s="77">
        <v>4.431414615872422E-2</v>
      </c>
      <c r="AF201" s="77">
        <v>6.6471219238086326E-2</v>
      </c>
      <c r="AG201" s="26"/>
      <c r="AH201" s="77">
        <v>-0.25</v>
      </c>
      <c r="AI201" s="77">
        <v>1.1000000000000001</v>
      </c>
      <c r="AJ201" s="77">
        <v>0.3</v>
      </c>
      <c r="AK201" s="26"/>
      <c r="AL201" s="77">
        <v>-0.15</v>
      </c>
      <c r="AM201" s="77">
        <v>0.35</v>
      </c>
      <c r="AN201" s="77">
        <v>0.2</v>
      </c>
      <c r="AO201" s="26"/>
      <c r="AP201" s="27">
        <v>61</v>
      </c>
      <c r="AQ201" s="78">
        <v>0.4</v>
      </c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8">
        <v>42095</v>
      </c>
      <c r="BI201" s="80">
        <v>0.9</v>
      </c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/>
      <c r="CP201"/>
      <c r="CQ201"/>
      <c r="CR201"/>
      <c r="CS201"/>
      <c r="CT201"/>
      <c r="CY201" s="338">
        <f t="shared" si="31"/>
        <v>42095</v>
      </c>
      <c r="CZ201" s="337">
        <f t="shared" si="32"/>
        <v>0.85000000000000009</v>
      </c>
      <c r="DA201" s="337">
        <f t="shared" si="33"/>
        <v>1.1000000000000001</v>
      </c>
      <c r="DB201" s="337">
        <f t="shared" si="34"/>
        <v>1.4000000000000001</v>
      </c>
      <c r="DD201" s="337">
        <f t="shared" si="35"/>
        <v>5.8045514389225894E-2</v>
      </c>
      <c r="DE201" s="337">
        <f t="shared" si="36"/>
        <v>0.11609102877845179</v>
      </c>
      <c r="DF201" s="337">
        <f t="shared" si="37"/>
        <v>0.17413654316767768</v>
      </c>
      <c r="DH201" s="338">
        <f t="shared" si="38"/>
        <v>42095</v>
      </c>
      <c r="DI201" s="20">
        <v>0.9</v>
      </c>
    </row>
    <row r="202" spans="1:113">
      <c r="A202" s="34">
        <f t="shared" ca="1" si="30"/>
        <v>42370</v>
      </c>
      <c r="B202" s="20">
        <f>'Gas Curves'!C206</f>
        <v>7.4184414444858002E-2</v>
      </c>
      <c r="C202" s="20"/>
      <c r="D202" s="75">
        <v>41244</v>
      </c>
      <c r="E202" s="76">
        <v>30.4</v>
      </c>
      <c r="F202" s="76">
        <v>32.049999999999997</v>
      </c>
      <c r="G202" s="76">
        <v>33.700000000000003</v>
      </c>
      <c r="H202" s="56"/>
      <c r="I202" s="76">
        <v>20.974999237060544</v>
      </c>
      <c r="J202" s="76">
        <v>21.799999237060543</v>
      </c>
      <c r="K202" s="76">
        <v>22.624999237060543</v>
      </c>
      <c r="L202" s="27"/>
      <c r="M202" s="28">
        <v>42125</v>
      </c>
      <c r="N202" s="77">
        <v>22.172500076293936</v>
      </c>
      <c r="O202" s="77">
        <v>24.032500076293935</v>
      </c>
      <c r="P202" s="77">
        <v>25.892500076293935</v>
      </c>
      <c r="Q202" s="26"/>
      <c r="R202" s="77">
        <v>18.864999771118153</v>
      </c>
      <c r="S202" s="77">
        <v>23.164999771118154</v>
      </c>
      <c r="T202" s="77">
        <v>27.464999771118155</v>
      </c>
      <c r="U202" s="26"/>
      <c r="V202" s="77">
        <v>0.3</v>
      </c>
      <c r="W202" s="77">
        <v>0.3</v>
      </c>
      <c r="X202" s="77">
        <v>0.3</v>
      </c>
      <c r="Y202" s="26"/>
      <c r="Z202" s="77">
        <v>6.6823664013305445E-2</v>
      </c>
      <c r="AA202" s="77">
        <v>0.13364732802661089</v>
      </c>
      <c r="AB202" s="77">
        <v>0.20047099203991633</v>
      </c>
      <c r="AC202" s="26"/>
      <c r="AD202" s="77">
        <v>2.5849918592589137E-2</v>
      </c>
      <c r="AE202" s="77">
        <v>5.1699837185178274E-2</v>
      </c>
      <c r="AF202" s="77">
        <v>7.7549755777767404E-2</v>
      </c>
      <c r="AG202" s="26"/>
      <c r="AH202" s="77">
        <v>-0.25</v>
      </c>
      <c r="AI202" s="77">
        <v>1.1000000000000001</v>
      </c>
      <c r="AJ202" s="77">
        <v>0.3</v>
      </c>
      <c r="AK202" s="26"/>
      <c r="AL202" s="77">
        <v>-0.15</v>
      </c>
      <c r="AM202" s="77">
        <v>0.5</v>
      </c>
      <c r="AN202" s="77">
        <v>0.2</v>
      </c>
      <c r="AO202" s="26"/>
      <c r="AP202" s="27">
        <v>62</v>
      </c>
      <c r="AQ202" s="78">
        <v>0.4</v>
      </c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8">
        <v>42125</v>
      </c>
      <c r="BI202" s="80">
        <v>0.9</v>
      </c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/>
      <c r="CP202"/>
      <c r="CQ202"/>
      <c r="CR202"/>
      <c r="CS202"/>
      <c r="CT202"/>
      <c r="CY202" s="338">
        <f t="shared" si="31"/>
        <v>42125</v>
      </c>
      <c r="CZ202" s="337">
        <f t="shared" si="32"/>
        <v>0.85000000000000009</v>
      </c>
      <c r="DA202" s="337">
        <f t="shared" si="33"/>
        <v>1.1000000000000001</v>
      </c>
      <c r="DB202" s="337">
        <f t="shared" si="34"/>
        <v>1.4000000000000001</v>
      </c>
      <c r="DD202" s="337">
        <f t="shared" si="35"/>
        <v>6.6823664013305445E-2</v>
      </c>
      <c r="DE202" s="337">
        <f t="shared" si="36"/>
        <v>0.13364732802661089</v>
      </c>
      <c r="DF202" s="337">
        <f t="shared" si="37"/>
        <v>0.20047099203991633</v>
      </c>
      <c r="DH202" s="338">
        <f t="shared" si="38"/>
        <v>42125</v>
      </c>
      <c r="DI202" s="20">
        <v>0.9</v>
      </c>
    </row>
    <row r="203" spans="1:113">
      <c r="A203" s="34">
        <f t="shared" ca="1" si="30"/>
        <v>42401</v>
      </c>
      <c r="B203" s="20">
        <f>'Gas Curves'!C207</f>
        <v>7.4184119726977998E-2</v>
      </c>
      <c r="C203" s="20"/>
      <c r="D203" s="75">
        <v>41275</v>
      </c>
      <c r="E203" s="76">
        <v>36.549999999999997</v>
      </c>
      <c r="F203" s="76">
        <v>38.35</v>
      </c>
      <c r="G203" s="76">
        <v>40.15</v>
      </c>
      <c r="H203" s="56"/>
      <c r="I203" s="76">
        <v>20.890000915527342</v>
      </c>
      <c r="J203" s="76">
        <v>21.79000091552734</v>
      </c>
      <c r="K203" s="76">
        <v>22.690000915527339</v>
      </c>
      <c r="L203" s="27"/>
      <c r="M203" s="28">
        <v>42156</v>
      </c>
      <c r="N203" s="77">
        <v>23.126250152587883</v>
      </c>
      <c r="O203" s="77">
        <v>28.458750152587882</v>
      </c>
      <c r="P203" s="77">
        <v>33.791250152587878</v>
      </c>
      <c r="Q203" s="26"/>
      <c r="R203" s="77">
        <v>17.642499542236319</v>
      </c>
      <c r="S203" s="77">
        <v>21.94249954223632</v>
      </c>
      <c r="T203" s="77">
        <v>26.24249954223632</v>
      </c>
      <c r="U203" s="26"/>
      <c r="V203" s="77">
        <v>0.3</v>
      </c>
      <c r="W203" s="77">
        <v>0.3</v>
      </c>
      <c r="X203" s="77">
        <v>0.3</v>
      </c>
      <c r="Y203" s="26"/>
      <c r="Z203" s="77">
        <v>8.377646547480902E-2</v>
      </c>
      <c r="AA203" s="77">
        <v>0.16755293094961804</v>
      </c>
      <c r="AB203" s="77">
        <v>0.25132939642442709</v>
      </c>
      <c r="AC203" s="26"/>
      <c r="AD203" s="77">
        <v>3.3235609619043163E-2</v>
      </c>
      <c r="AE203" s="77">
        <v>6.6471219238086326E-2</v>
      </c>
      <c r="AF203" s="77">
        <v>9.970682885712949E-2</v>
      </c>
      <c r="AG203" s="26"/>
      <c r="AH203" s="77">
        <v>-0.35</v>
      </c>
      <c r="AI203" s="77">
        <v>2</v>
      </c>
      <c r="AJ203" s="77">
        <v>0.3</v>
      </c>
      <c r="AK203" s="26"/>
      <c r="AL203" s="77">
        <v>-0.15</v>
      </c>
      <c r="AM203" s="77">
        <v>0.65</v>
      </c>
      <c r="AN203" s="77">
        <v>0.2</v>
      </c>
      <c r="AO203" s="26"/>
      <c r="AP203" s="27">
        <v>62</v>
      </c>
      <c r="AQ203" s="78">
        <v>0.4</v>
      </c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8">
        <v>42156</v>
      </c>
      <c r="BI203" s="80">
        <v>0.9</v>
      </c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/>
      <c r="CP203"/>
      <c r="CQ203"/>
      <c r="CR203"/>
      <c r="CS203"/>
      <c r="CT203"/>
      <c r="CY203" s="338">
        <f t="shared" si="31"/>
        <v>42156</v>
      </c>
      <c r="CZ203" s="337">
        <f t="shared" si="32"/>
        <v>1.65</v>
      </c>
      <c r="DA203" s="337">
        <f t="shared" si="33"/>
        <v>2</v>
      </c>
      <c r="DB203" s="337">
        <f t="shared" si="34"/>
        <v>2.2999999999999998</v>
      </c>
      <c r="DD203" s="337">
        <f t="shared" si="35"/>
        <v>8.377646547480902E-2</v>
      </c>
      <c r="DE203" s="337">
        <f t="shared" si="36"/>
        <v>0.16755293094961804</v>
      </c>
      <c r="DF203" s="337">
        <f t="shared" si="37"/>
        <v>0.25132939642442709</v>
      </c>
      <c r="DH203" s="338">
        <f t="shared" si="38"/>
        <v>42156</v>
      </c>
      <c r="DI203" s="20">
        <v>0.9</v>
      </c>
    </row>
    <row r="204" spans="1:113">
      <c r="A204" s="34">
        <f t="shared" ca="1" si="30"/>
        <v>42430</v>
      </c>
      <c r="B204" s="20">
        <f>'Gas Curves'!C208</f>
        <v>7.4183844023154005E-2</v>
      </c>
      <c r="C204" s="20"/>
      <c r="D204" s="75">
        <v>41306</v>
      </c>
      <c r="E204" s="76">
        <v>36.549999999999997</v>
      </c>
      <c r="F204" s="76">
        <v>38.35</v>
      </c>
      <c r="G204" s="76">
        <v>40.15</v>
      </c>
      <c r="H204" s="56"/>
      <c r="I204" s="76">
        <v>20.699997711181638</v>
      </c>
      <c r="J204" s="76">
        <v>21.599997711181636</v>
      </c>
      <c r="K204" s="76">
        <v>22.499997711181635</v>
      </c>
      <c r="L204" s="27"/>
      <c r="M204" s="28">
        <v>42186</v>
      </c>
      <c r="N204" s="77">
        <v>37.911249542236362</v>
      </c>
      <c r="O204" s="77">
        <v>41.661249542236362</v>
      </c>
      <c r="P204" s="77">
        <v>45.411249542236362</v>
      </c>
      <c r="Q204" s="26"/>
      <c r="R204" s="77">
        <v>26.847499465942374</v>
      </c>
      <c r="S204" s="77">
        <v>31.147499465942374</v>
      </c>
      <c r="T204" s="77">
        <v>35.447499465942371</v>
      </c>
      <c r="U204" s="26"/>
      <c r="V204" s="77">
        <v>0.3</v>
      </c>
      <c r="W204" s="77">
        <v>0.3</v>
      </c>
      <c r="X204" s="77">
        <v>0.3</v>
      </c>
      <c r="Y204" s="26"/>
      <c r="Z204" s="77">
        <v>9.9138227316948227E-2</v>
      </c>
      <c r="AA204" s="77">
        <v>0.19827645463389645</v>
      </c>
      <c r="AB204" s="77">
        <v>0.29741468195084469</v>
      </c>
      <c r="AC204" s="26"/>
      <c r="AD204" s="77">
        <v>4.431414615872422E-2</v>
      </c>
      <c r="AE204" s="77">
        <v>8.862829231744844E-2</v>
      </c>
      <c r="AF204" s="77">
        <v>0.13294243847617265</v>
      </c>
      <c r="AG204" s="26"/>
      <c r="AH204" s="77">
        <v>-0.35</v>
      </c>
      <c r="AI204" s="77">
        <v>3</v>
      </c>
      <c r="AJ204" s="77">
        <v>0.5</v>
      </c>
      <c r="AK204" s="26"/>
      <c r="AL204" s="77">
        <v>-0.15</v>
      </c>
      <c r="AM204" s="77">
        <v>0.75</v>
      </c>
      <c r="AN204" s="77">
        <v>0.2</v>
      </c>
      <c r="AO204" s="26"/>
      <c r="AP204" s="27">
        <v>62</v>
      </c>
      <c r="AQ204" s="78">
        <v>0.4</v>
      </c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8">
        <v>42186</v>
      </c>
      <c r="BI204" s="80">
        <v>0.9</v>
      </c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/>
      <c r="CP204"/>
      <c r="CQ204"/>
      <c r="CR204"/>
      <c r="CS204"/>
      <c r="CT204"/>
      <c r="CY204" s="338">
        <f t="shared" si="31"/>
        <v>42186</v>
      </c>
      <c r="CZ204" s="337">
        <f t="shared" si="32"/>
        <v>2.65</v>
      </c>
      <c r="DA204" s="337">
        <f t="shared" si="33"/>
        <v>3</v>
      </c>
      <c r="DB204" s="337">
        <f t="shared" si="34"/>
        <v>3.5</v>
      </c>
      <c r="DD204" s="337">
        <f t="shared" si="35"/>
        <v>9.9138227316948227E-2</v>
      </c>
      <c r="DE204" s="337">
        <f t="shared" si="36"/>
        <v>0.19827645463389645</v>
      </c>
      <c r="DF204" s="337">
        <f t="shared" si="37"/>
        <v>0.29741468195084469</v>
      </c>
      <c r="DH204" s="338">
        <f t="shared" si="38"/>
        <v>42186</v>
      </c>
      <c r="DI204" s="20">
        <v>0.9</v>
      </c>
    </row>
    <row r="205" spans="1:113">
      <c r="A205" s="34">
        <f t="shared" ca="1" si="30"/>
        <v>42461</v>
      </c>
      <c r="B205" s="20">
        <f>'Gas Curves'!C209</f>
        <v>7.4183549305274002E-2</v>
      </c>
      <c r="C205" s="20"/>
      <c r="D205" s="75">
        <v>41334</v>
      </c>
      <c r="E205" s="76">
        <v>33.6</v>
      </c>
      <c r="F205" s="76">
        <v>34.6</v>
      </c>
      <c r="G205" s="76">
        <v>35.6</v>
      </c>
      <c r="H205" s="56"/>
      <c r="I205" s="76">
        <v>20.099999618530269</v>
      </c>
      <c r="J205" s="76">
        <v>20.599999618530269</v>
      </c>
      <c r="K205" s="76">
        <v>21.099999618530269</v>
      </c>
      <c r="L205" s="27"/>
      <c r="M205" s="28">
        <v>42217</v>
      </c>
      <c r="N205" s="77">
        <v>40.17249908447269</v>
      </c>
      <c r="O205" s="77">
        <v>43.92249908447269</v>
      </c>
      <c r="P205" s="77">
        <v>47.67249908447269</v>
      </c>
      <c r="Q205" s="26"/>
      <c r="R205" s="77">
        <v>28.345000839233403</v>
      </c>
      <c r="S205" s="77">
        <v>32.645000839233404</v>
      </c>
      <c r="T205" s="77">
        <v>36.945000839233401</v>
      </c>
      <c r="U205" s="26"/>
      <c r="V205" s="77">
        <v>0.3</v>
      </c>
      <c r="W205" s="77">
        <v>0.3</v>
      </c>
      <c r="X205" s="77">
        <v>0.3</v>
      </c>
      <c r="Y205" s="26"/>
      <c r="Z205" s="77">
        <v>9.7547187697583818E-2</v>
      </c>
      <c r="AA205" s="77">
        <v>0.19509437539516764</v>
      </c>
      <c r="AB205" s="77">
        <v>0.29264156309275147</v>
      </c>
      <c r="AC205" s="26"/>
      <c r="AD205" s="77">
        <v>4.431414615872422E-2</v>
      </c>
      <c r="AE205" s="77">
        <v>8.862829231744844E-2</v>
      </c>
      <c r="AF205" s="77">
        <v>0.13294243847617265</v>
      </c>
      <c r="AG205" s="26"/>
      <c r="AH205" s="77">
        <v>-0.35</v>
      </c>
      <c r="AI205" s="77">
        <v>3</v>
      </c>
      <c r="AJ205" s="77">
        <v>0.5</v>
      </c>
      <c r="AK205" s="26"/>
      <c r="AL205" s="77">
        <v>-0.15</v>
      </c>
      <c r="AM205" s="77">
        <v>0.75</v>
      </c>
      <c r="AN205" s="77">
        <v>0.2</v>
      </c>
      <c r="AO205" s="26"/>
      <c r="AP205" s="27">
        <v>63</v>
      </c>
      <c r="AQ205" s="78">
        <v>0.4</v>
      </c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8">
        <v>42217</v>
      </c>
      <c r="BI205" s="80">
        <v>0.9</v>
      </c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/>
      <c r="CP205"/>
      <c r="CQ205"/>
      <c r="CR205"/>
      <c r="CS205"/>
      <c r="CT205"/>
      <c r="CY205" s="338">
        <f t="shared" si="31"/>
        <v>42217</v>
      </c>
      <c r="CZ205" s="337">
        <f t="shared" si="32"/>
        <v>2.65</v>
      </c>
      <c r="DA205" s="337">
        <f t="shared" si="33"/>
        <v>3</v>
      </c>
      <c r="DB205" s="337">
        <f t="shared" si="34"/>
        <v>3.5</v>
      </c>
      <c r="DD205" s="337">
        <f t="shared" si="35"/>
        <v>9.7547187697583818E-2</v>
      </c>
      <c r="DE205" s="337">
        <f t="shared" si="36"/>
        <v>0.19509437539516764</v>
      </c>
      <c r="DF205" s="337">
        <f t="shared" si="37"/>
        <v>0.29264156309275147</v>
      </c>
      <c r="DH205" s="338">
        <f t="shared" si="38"/>
        <v>42217</v>
      </c>
      <c r="DI205" s="20">
        <v>0.9</v>
      </c>
    </row>
    <row r="206" spans="1:113">
      <c r="A206" s="34">
        <f t="shared" ref="A206:A269" ca="1" si="39">EOMONTH(A205,0)+1</f>
        <v>42491</v>
      </c>
      <c r="B206" s="20">
        <f>'Gas Curves'!C210</f>
        <v>7.4183264094421997E-2</v>
      </c>
      <c r="C206" s="20"/>
      <c r="D206" s="75">
        <v>41365</v>
      </c>
      <c r="E206" s="76">
        <v>32.5</v>
      </c>
      <c r="F206" s="76">
        <v>33.35</v>
      </c>
      <c r="G206" s="76">
        <v>34.200000000000003</v>
      </c>
      <c r="H206" s="56"/>
      <c r="I206" s="76">
        <v>20.174997711181636</v>
      </c>
      <c r="J206" s="76">
        <v>20.599997711181636</v>
      </c>
      <c r="K206" s="76">
        <v>21.024997711181637</v>
      </c>
      <c r="L206" s="27"/>
      <c r="M206" s="28">
        <v>42248</v>
      </c>
      <c r="N206" s="77">
        <v>23.729999160766592</v>
      </c>
      <c r="O206" s="77">
        <v>25.304999160766592</v>
      </c>
      <c r="P206" s="77">
        <v>26.879999160766591</v>
      </c>
      <c r="Q206" s="26"/>
      <c r="R206" s="77">
        <v>21.5</v>
      </c>
      <c r="S206" s="77">
        <v>25.8</v>
      </c>
      <c r="T206" s="77">
        <v>30.1</v>
      </c>
      <c r="U206" s="26"/>
      <c r="V206" s="77">
        <v>0.8</v>
      </c>
      <c r="W206" s="77">
        <v>0.8</v>
      </c>
      <c r="X206" s="77">
        <v>0.8</v>
      </c>
      <c r="Y206" s="26"/>
      <c r="Z206" s="77">
        <v>6.462912660728555E-2</v>
      </c>
      <c r="AA206" s="77">
        <v>0.1292582532145711</v>
      </c>
      <c r="AB206" s="77">
        <v>0.19388737982185666</v>
      </c>
      <c r="AC206" s="26"/>
      <c r="AD206" s="77">
        <v>2.9542764105816147E-2</v>
      </c>
      <c r="AE206" s="77">
        <v>5.9085528211632293E-2</v>
      </c>
      <c r="AF206" s="77">
        <v>8.862829231744844E-2</v>
      </c>
      <c r="AG206" s="26"/>
      <c r="AH206" s="77">
        <v>-0.35</v>
      </c>
      <c r="AI206" s="77">
        <v>1.5</v>
      </c>
      <c r="AJ206" s="77">
        <v>0.3</v>
      </c>
      <c r="AK206" s="26"/>
      <c r="AL206" s="77">
        <v>-0.15</v>
      </c>
      <c r="AM206" s="77">
        <v>0.4</v>
      </c>
      <c r="AN206" s="77">
        <v>0.2</v>
      </c>
      <c r="AO206" s="26"/>
      <c r="AP206" s="27">
        <v>63</v>
      </c>
      <c r="AQ206" s="78">
        <v>0.4</v>
      </c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8">
        <v>42248</v>
      </c>
      <c r="BI206" s="80">
        <v>0.9</v>
      </c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/>
      <c r="CP206"/>
      <c r="CQ206"/>
      <c r="CR206"/>
      <c r="CS206"/>
      <c r="CT206"/>
      <c r="CY206" s="338">
        <f t="shared" si="31"/>
        <v>42248</v>
      </c>
      <c r="CZ206" s="337">
        <f t="shared" si="32"/>
        <v>1.1499999999999999</v>
      </c>
      <c r="DA206" s="337">
        <f t="shared" si="33"/>
        <v>1.5</v>
      </c>
      <c r="DB206" s="337">
        <f t="shared" si="34"/>
        <v>1.8</v>
      </c>
      <c r="DD206" s="337">
        <f t="shared" si="35"/>
        <v>6.462912660728555E-2</v>
      </c>
      <c r="DE206" s="337">
        <f t="shared" si="36"/>
        <v>0.1292582532145711</v>
      </c>
      <c r="DF206" s="337">
        <f t="shared" si="37"/>
        <v>0.19388737982185666</v>
      </c>
      <c r="DH206" s="338">
        <f t="shared" si="38"/>
        <v>42248</v>
      </c>
      <c r="DI206" s="20">
        <v>0.9</v>
      </c>
    </row>
    <row r="207" spans="1:113">
      <c r="A207" s="34">
        <f t="shared" ca="1" si="39"/>
        <v>42522</v>
      </c>
      <c r="B207" s="20">
        <f>'Gas Curves'!C211</f>
        <v>7.4182969376542007E-2</v>
      </c>
      <c r="C207" s="20"/>
      <c r="D207" s="75">
        <v>41395</v>
      </c>
      <c r="E207" s="76">
        <v>33.67</v>
      </c>
      <c r="F207" s="76">
        <v>36.15</v>
      </c>
      <c r="G207" s="76">
        <v>38.630000000000003</v>
      </c>
      <c r="H207" s="56"/>
      <c r="I207" s="76">
        <v>19.359997711181638</v>
      </c>
      <c r="J207" s="76">
        <v>20.599997711181636</v>
      </c>
      <c r="K207" s="76">
        <v>21.839997711181635</v>
      </c>
      <c r="L207" s="27"/>
      <c r="M207" s="28">
        <v>42278</v>
      </c>
      <c r="N207" s="77">
        <v>23.938000106811515</v>
      </c>
      <c r="O207" s="77">
        <v>25.400500106811513</v>
      </c>
      <c r="P207" s="77">
        <v>26.863000106811512</v>
      </c>
      <c r="Q207" s="26"/>
      <c r="R207" s="77">
        <v>19.10099983215331</v>
      </c>
      <c r="S207" s="77">
        <v>23.40099983215331</v>
      </c>
      <c r="T207" s="77">
        <v>27.700999832153311</v>
      </c>
      <c r="U207" s="26"/>
      <c r="V207" s="77">
        <v>0.8</v>
      </c>
      <c r="W207" s="77">
        <v>0.8</v>
      </c>
      <c r="X207" s="77">
        <v>0.8</v>
      </c>
      <c r="Y207" s="26"/>
      <c r="Z207" s="77">
        <v>5.9033056221934853E-2</v>
      </c>
      <c r="AA207" s="77">
        <v>0.11806611244386971</v>
      </c>
      <c r="AB207" s="77">
        <v>0.17709916866580455</v>
      </c>
      <c r="AC207" s="26"/>
      <c r="AD207" s="77">
        <v>2.215707307936211E-2</v>
      </c>
      <c r="AE207" s="77">
        <v>4.431414615872422E-2</v>
      </c>
      <c r="AF207" s="77">
        <v>6.6471219238086326E-2</v>
      </c>
      <c r="AG207" s="26"/>
      <c r="AH207" s="77">
        <v>-0.25</v>
      </c>
      <c r="AI207" s="77">
        <v>1.1000000000000001</v>
      </c>
      <c r="AJ207" s="77">
        <v>0.3</v>
      </c>
      <c r="AK207" s="26"/>
      <c r="AL207" s="77">
        <v>-0.15</v>
      </c>
      <c r="AM207" s="77">
        <v>0.35</v>
      </c>
      <c r="AN207" s="77">
        <v>0.2</v>
      </c>
      <c r="AO207" s="26"/>
      <c r="AP207" s="27">
        <v>63</v>
      </c>
      <c r="AQ207" s="78">
        <v>0.4</v>
      </c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8">
        <v>42278</v>
      </c>
      <c r="BI207" s="80">
        <v>0.9</v>
      </c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/>
      <c r="CP207"/>
      <c r="CQ207"/>
      <c r="CR207"/>
      <c r="CS207"/>
      <c r="CT207"/>
      <c r="CY207" s="338">
        <f t="shared" si="31"/>
        <v>42278</v>
      </c>
      <c r="CZ207" s="337">
        <f t="shared" si="32"/>
        <v>0.85000000000000009</v>
      </c>
      <c r="DA207" s="337">
        <f t="shared" si="33"/>
        <v>1.1000000000000001</v>
      </c>
      <c r="DB207" s="337">
        <f t="shared" si="34"/>
        <v>1.4000000000000001</v>
      </c>
      <c r="DD207" s="337">
        <f t="shared" si="35"/>
        <v>5.9033056221934853E-2</v>
      </c>
      <c r="DE207" s="337">
        <f t="shared" si="36"/>
        <v>0.11806611244386971</v>
      </c>
      <c r="DF207" s="337">
        <f t="shared" si="37"/>
        <v>0.17709916866580455</v>
      </c>
      <c r="DH207" s="338">
        <f t="shared" si="38"/>
        <v>42278</v>
      </c>
      <c r="DI207" s="20">
        <v>0.9</v>
      </c>
    </row>
    <row r="208" spans="1:113">
      <c r="A208" s="34">
        <f t="shared" ca="1" si="39"/>
        <v>42552</v>
      </c>
      <c r="B208" s="20">
        <f>'Gas Curves'!C212</f>
        <v>7.4182684165690002E-2</v>
      </c>
      <c r="C208" s="20"/>
      <c r="D208" s="75">
        <v>41426</v>
      </c>
      <c r="E208" s="76">
        <v>48.14</v>
      </c>
      <c r="F208" s="76">
        <v>55.25</v>
      </c>
      <c r="G208" s="76">
        <v>62.36</v>
      </c>
      <c r="H208" s="56"/>
      <c r="I208" s="76">
        <v>16.99999877929687</v>
      </c>
      <c r="J208" s="76">
        <v>20.55499877929687</v>
      </c>
      <c r="K208" s="76">
        <v>24.10999877929687</v>
      </c>
      <c r="L208" s="27"/>
      <c r="M208" s="28">
        <v>42309</v>
      </c>
      <c r="N208" s="77">
        <v>24.942251586914054</v>
      </c>
      <c r="O208" s="77">
        <v>26.404751586914053</v>
      </c>
      <c r="P208" s="77">
        <v>27.867251586914051</v>
      </c>
      <c r="Q208" s="26"/>
      <c r="R208" s="77">
        <v>20.104499816894521</v>
      </c>
      <c r="S208" s="77">
        <v>24.404499816894521</v>
      </c>
      <c r="T208" s="77">
        <v>28.704499816894522</v>
      </c>
      <c r="U208" s="26"/>
      <c r="V208" s="77">
        <v>0.8</v>
      </c>
      <c r="W208" s="77">
        <v>0.8</v>
      </c>
      <c r="X208" s="77">
        <v>0.8</v>
      </c>
      <c r="Y208" s="26"/>
      <c r="Z208" s="77">
        <v>5.9033056221934853E-2</v>
      </c>
      <c r="AA208" s="77">
        <v>0.11806611244386971</v>
      </c>
      <c r="AB208" s="77">
        <v>0.17709916866580455</v>
      </c>
      <c r="AC208" s="26"/>
      <c r="AD208" s="77">
        <v>2.215707307936211E-2</v>
      </c>
      <c r="AE208" s="77">
        <v>4.431414615872422E-2</v>
      </c>
      <c r="AF208" s="77">
        <v>6.6471219238086326E-2</v>
      </c>
      <c r="AG208" s="26"/>
      <c r="AH208" s="77">
        <v>-0.25</v>
      </c>
      <c r="AI208" s="77">
        <v>1.25</v>
      </c>
      <c r="AJ208" s="77">
        <v>0.3</v>
      </c>
      <c r="AK208" s="26"/>
      <c r="AL208" s="77">
        <v>-0.15</v>
      </c>
      <c r="AM208" s="77">
        <v>0.3</v>
      </c>
      <c r="AN208" s="77">
        <v>0.2</v>
      </c>
      <c r="AO208" s="26"/>
      <c r="AP208" s="27">
        <v>64</v>
      </c>
      <c r="AQ208" s="78">
        <v>0.4</v>
      </c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8">
        <v>42309</v>
      </c>
      <c r="BI208" s="80">
        <v>0.9</v>
      </c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/>
      <c r="CP208"/>
      <c r="CQ208"/>
      <c r="CR208"/>
      <c r="CS208"/>
      <c r="CT208"/>
      <c r="CY208" s="338">
        <f t="shared" si="31"/>
        <v>42309</v>
      </c>
      <c r="CZ208" s="337">
        <f t="shared" si="32"/>
        <v>1</v>
      </c>
      <c r="DA208" s="337">
        <f t="shared" si="33"/>
        <v>1.25</v>
      </c>
      <c r="DB208" s="337">
        <f t="shared" si="34"/>
        <v>1.55</v>
      </c>
      <c r="DD208" s="337">
        <f t="shared" si="35"/>
        <v>5.9033056221934853E-2</v>
      </c>
      <c r="DE208" s="337">
        <f t="shared" si="36"/>
        <v>0.11806611244386971</v>
      </c>
      <c r="DF208" s="337">
        <f t="shared" si="37"/>
        <v>0.17709916866580455</v>
      </c>
      <c r="DH208" s="338">
        <f t="shared" si="38"/>
        <v>42309</v>
      </c>
      <c r="DI208" s="20">
        <v>0.9</v>
      </c>
    </row>
    <row r="209" spans="1:113">
      <c r="A209" s="34">
        <f t="shared" ca="1" si="39"/>
        <v>42583</v>
      </c>
      <c r="B209" s="20">
        <f>'Gas Curves'!C213</f>
        <v>7.4182389447809999E-2</v>
      </c>
      <c r="C209" s="20"/>
      <c r="D209" s="75">
        <v>41456</v>
      </c>
      <c r="E209" s="76">
        <v>77.5</v>
      </c>
      <c r="F209" s="76">
        <v>82.5</v>
      </c>
      <c r="G209" s="76">
        <v>87.5</v>
      </c>
      <c r="H209" s="56"/>
      <c r="I209" s="76">
        <v>22.549997711181636</v>
      </c>
      <c r="J209" s="76">
        <v>25.049997711181636</v>
      </c>
      <c r="K209" s="76">
        <v>27.549997711181636</v>
      </c>
      <c r="L209" s="27"/>
      <c r="M209" s="28">
        <v>42339</v>
      </c>
      <c r="N209" s="77">
        <v>26.39249839782714</v>
      </c>
      <c r="O209" s="77">
        <v>27.854998397827138</v>
      </c>
      <c r="P209" s="77">
        <v>29.317498397827137</v>
      </c>
      <c r="Q209" s="26"/>
      <c r="R209" s="77">
        <v>20.049999237060536</v>
      </c>
      <c r="S209" s="77">
        <v>24.349999237060537</v>
      </c>
      <c r="T209" s="77">
        <v>28.649999237060538</v>
      </c>
      <c r="U209" s="26"/>
      <c r="V209" s="77">
        <v>0.8</v>
      </c>
      <c r="W209" s="77">
        <v>0.8</v>
      </c>
      <c r="X209" s="77">
        <v>0.8</v>
      </c>
      <c r="Y209" s="26"/>
      <c r="Z209" s="77">
        <v>6.1139812131713947E-2</v>
      </c>
      <c r="AA209" s="77">
        <v>0.12227962426342789</v>
      </c>
      <c r="AB209" s="77">
        <v>0.18341943639514185</v>
      </c>
      <c r="AC209" s="26"/>
      <c r="AD209" s="77">
        <v>2.215707307936211E-2</v>
      </c>
      <c r="AE209" s="77">
        <v>4.431414615872422E-2</v>
      </c>
      <c r="AF209" s="77">
        <v>6.6471219238086326E-2</v>
      </c>
      <c r="AG209" s="26"/>
      <c r="AH209" s="77">
        <v>-0.25</v>
      </c>
      <c r="AI209" s="77">
        <v>1.25</v>
      </c>
      <c r="AJ209" s="77">
        <v>0.35</v>
      </c>
      <c r="AK209" s="26"/>
      <c r="AL209" s="77">
        <v>-0.15</v>
      </c>
      <c r="AM209" s="77">
        <v>0.3</v>
      </c>
      <c r="AN209" s="77">
        <v>0.2</v>
      </c>
      <c r="AO209" s="26"/>
      <c r="AP209" s="27">
        <v>64</v>
      </c>
      <c r="AQ209" s="78">
        <v>0.4</v>
      </c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8">
        <v>42339</v>
      </c>
      <c r="BI209" s="80">
        <v>0.9</v>
      </c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/>
      <c r="CP209"/>
      <c r="CQ209"/>
      <c r="CR209"/>
      <c r="CS209"/>
      <c r="CT209"/>
      <c r="CY209" s="338">
        <f t="shared" si="31"/>
        <v>42339</v>
      </c>
      <c r="CZ209" s="337">
        <f t="shared" si="32"/>
        <v>1</v>
      </c>
      <c r="DA209" s="337">
        <f t="shared" si="33"/>
        <v>1.25</v>
      </c>
      <c r="DB209" s="337">
        <f t="shared" si="34"/>
        <v>1.6</v>
      </c>
      <c r="DD209" s="337">
        <f t="shared" si="35"/>
        <v>6.1139812131713947E-2</v>
      </c>
      <c r="DE209" s="337">
        <f t="shared" si="36"/>
        <v>0.12227962426342789</v>
      </c>
      <c r="DF209" s="337">
        <f t="shared" si="37"/>
        <v>0.18341943639514185</v>
      </c>
      <c r="DH209" s="338">
        <f t="shared" si="38"/>
        <v>42339</v>
      </c>
      <c r="DI209" s="20">
        <v>0.9</v>
      </c>
    </row>
    <row r="210" spans="1:113">
      <c r="A210" s="34">
        <f t="shared" ca="1" si="39"/>
        <v>42614</v>
      </c>
      <c r="B210" s="20">
        <f>'Gas Curves'!C214</f>
        <v>7.4182094729929995E-2</v>
      </c>
      <c r="C210" s="20"/>
      <c r="D210" s="75">
        <v>41487</v>
      </c>
      <c r="E210" s="76">
        <v>73</v>
      </c>
      <c r="F210" s="76">
        <v>78</v>
      </c>
      <c r="G210" s="76">
        <v>83</v>
      </c>
      <c r="H210" s="56"/>
      <c r="I210" s="76">
        <v>22.899998092651362</v>
      </c>
      <c r="J210" s="76">
        <v>25.399998092651362</v>
      </c>
      <c r="K210" s="76">
        <v>27.899998092651362</v>
      </c>
      <c r="L210" s="27"/>
      <c r="M210" s="28">
        <v>42370</v>
      </c>
      <c r="N210" s="77">
        <v>29.67374839782714</v>
      </c>
      <c r="O210" s="77">
        <v>31.248748397827139</v>
      </c>
      <c r="P210" s="77">
        <v>32.823748397827138</v>
      </c>
      <c r="Q210" s="26"/>
      <c r="R210" s="77">
        <v>25.452500152587881</v>
      </c>
      <c r="S210" s="77">
        <v>29.752500152587881</v>
      </c>
      <c r="T210" s="77">
        <v>34.052500152587882</v>
      </c>
      <c r="U210" s="26"/>
      <c r="V210" s="77">
        <v>0.8</v>
      </c>
      <c r="W210" s="77">
        <v>0.8</v>
      </c>
      <c r="X210" s="77">
        <v>0.8</v>
      </c>
      <c r="Y210" s="26"/>
      <c r="Z210" s="77">
        <v>6.5787354682684956E-2</v>
      </c>
      <c r="AA210" s="77">
        <v>0.13157470936536991</v>
      </c>
      <c r="AB210" s="77">
        <v>0.19736206404805487</v>
      </c>
      <c r="AC210" s="26"/>
      <c r="AD210" s="77">
        <v>2.5332920220737354E-2</v>
      </c>
      <c r="AE210" s="77">
        <v>5.0665840441474708E-2</v>
      </c>
      <c r="AF210" s="77">
        <v>7.5998760662212062E-2</v>
      </c>
      <c r="AG210" s="26"/>
      <c r="AH210" s="77">
        <v>-0.75</v>
      </c>
      <c r="AI210" s="77">
        <v>2</v>
      </c>
      <c r="AJ210" s="77">
        <v>0.75</v>
      </c>
      <c r="AK210" s="26"/>
      <c r="AL210" s="77">
        <v>-0.15</v>
      </c>
      <c r="AM210" s="77">
        <v>0.5</v>
      </c>
      <c r="AN210" s="77">
        <v>0.2</v>
      </c>
      <c r="AO210" s="26"/>
      <c r="AP210" s="27">
        <v>64</v>
      </c>
      <c r="AQ210" s="78">
        <v>0.4</v>
      </c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8">
        <v>42370</v>
      </c>
      <c r="BI210" s="80">
        <v>0.9</v>
      </c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/>
      <c r="CP210"/>
      <c r="CQ210"/>
      <c r="CR210"/>
      <c r="CS210"/>
      <c r="CT210"/>
      <c r="CY210" s="338">
        <f t="shared" si="31"/>
        <v>42370</v>
      </c>
      <c r="CZ210" s="337">
        <f t="shared" si="32"/>
        <v>1.25</v>
      </c>
      <c r="DA210" s="337">
        <f t="shared" si="33"/>
        <v>2</v>
      </c>
      <c r="DB210" s="337">
        <f t="shared" si="34"/>
        <v>2.75</v>
      </c>
      <c r="DD210" s="337">
        <f t="shared" si="35"/>
        <v>6.5787354682684956E-2</v>
      </c>
      <c r="DE210" s="337">
        <f t="shared" si="36"/>
        <v>0.13157470936536991</v>
      </c>
      <c r="DF210" s="337">
        <f t="shared" si="37"/>
        <v>0.19736206404805487</v>
      </c>
      <c r="DH210" s="338">
        <f t="shared" si="38"/>
        <v>42370</v>
      </c>
      <c r="DI210" s="20">
        <v>0.9</v>
      </c>
    </row>
    <row r="211" spans="1:113">
      <c r="A211" s="34">
        <f t="shared" ca="1" si="39"/>
        <v>42644</v>
      </c>
      <c r="B211" s="20">
        <f>'Gas Curves'!C215</f>
        <v>7.4181809519078004E-2</v>
      </c>
      <c r="C211" s="20"/>
      <c r="D211" s="75">
        <v>41518</v>
      </c>
      <c r="E211" s="76">
        <v>32.450000000000003</v>
      </c>
      <c r="F211" s="76">
        <v>34.35</v>
      </c>
      <c r="G211" s="76">
        <v>36.25</v>
      </c>
      <c r="H211" s="56"/>
      <c r="I211" s="76">
        <v>19.999998092651364</v>
      </c>
      <c r="J211" s="76">
        <v>20.949998092651363</v>
      </c>
      <c r="K211" s="76">
        <v>21.899998092651362</v>
      </c>
      <c r="L211" s="27"/>
      <c r="M211" s="28">
        <v>42401</v>
      </c>
      <c r="N211" s="77">
        <v>28.671250152587881</v>
      </c>
      <c r="O211" s="77">
        <v>30.24625015258788</v>
      </c>
      <c r="P211" s="77">
        <v>31.821250152587879</v>
      </c>
      <c r="Q211" s="26"/>
      <c r="R211" s="77">
        <v>23.447499465942371</v>
      </c>
      <c r="S211" s="77">
        <v>27.747499465942372</v>
      </c>
      <c r="T211" s="77">
        <v>32.047499465942373</v>
      </c>
      <c r="U211" s="26"/>
      <c r="V211" s="77">
        <v>0.8</v>
      </c>
      <c r="W211" s="77">
        <v>0.8</v>
      </c>
      <c r="X211" s="77">
        <v>0.8</v>
      </c>
      <c r="Y211" s="26"/>
      <c r="Z211" s="77">
        <v>6.3470898531886172E-2</v>
      </c>
      <c r="AA211" s="77">
        <v>0.12694179706377234</v>
      </c>
      <c r="AB211" s="77">
        <v>0.19041269559565852</v>
      </c>
      <c r="AC211" s="26"/>
      <c r="AD211" s="77">
        <v>2.5332920220737354E-2</v>
      </c>
      <c r="AE211" s="77">
        <v>5.0665840441474708E-2</v>
      </c>
      <c r="AF211" s="77">
        <v>7.5998760662212062E-2</v>
      </c>
      <c r="AG211" s="26"/>
      <c r="AH211" s="77">
        <v>-0.75</v>
      </c>
      <c r="AI211" s="77">
        <v>2</v>
      </c>
      <c r="AJ211" s="77">
        <v>0.75</v>
      </c>
      <c r="AK211" s="26"/>
      <c r="AL211" s="77">
        <v>-0.15</v>
      </c>
      <c r="AM211" s="77">
        <v>0.5</v>
      </c>
      <c r="AN211" s="77">
        <v>0.2</v>
      </c>
      <c r="AO211" s="26"/>
      <c r="AP211" s="27">
        <v>65</v>
      </c>
      <c r="AQ211" s="78">
        <v>0.4</v>
      </c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8">
        <v>42401</v>
      </c>
      <c r="BI211" s="80">
        <v>0.9</v>
      </c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/>
      <c r="CP211"/>
      <c r="CQ211"/>
      <c r="CR211"/>
      <c r="CS211"/>
      <c r="CT211"/>
      <c r="CY211" s="338">
        <f t="shared" si="31"/>
        <v>42401</v>
      </c>
      <c r="CZ211" s="337">
        <f t="shared" si="32"/>
        <v>1.25</v>
      </c>
      <c r="DA211" s="337">
        <f t="shared" si="33"/>
        <v>2</v>
      </c>
      <c r="DB211" s="337">
        <f t="shared" si="34"/>
        <v>2.75</v>
      </c>
      <c r="DD211" s="337">
        <f t="shared" si="35"/>
        <v>6.3470898531886172E-2</v>
      </c>
      <c r="DE211" s="337">
        <f t="shared" si="36"/>
        <v>0.12694179706377234</v>
      </c>
      <c r="DF211" s="337">
        <f t="shared" si="37"/>
        <v>0.19041269559565852</v>
      </c>
      <c r="DH211" s="338">
        <f t="shared" si="38"/>
        <v>42401</v>
      </c>
      <c r="DI211" s="20">
        <v>0.9</v>
      </c>
    </row>
    <row r="212" spans="1:113">
      <c r="A212" s="34">
        <f t="shared" ca="1" si="39"/>
        <v>42675</v>
      </c>
      <c r="B212" s="20">
        <f>'Gas Curves'!C216</f>
        <v>7.4181514801198001E-2</v>
      </c>
      <c r="C212" s="20"/>
      <c r="D212" s="75">
        <v>41548</v>
      </c>
      <c r="E212" s="76">
        <v>30.35</v>
      </c>
      <c r="F212" s="76">
        <v>32.1</v>
      </c>
      <c r="G212" s="76">
        <v>33.85</v>
      </c>
      <c r="H212" s="56"/>
      <c r="I212" s="76">
        <v>19.774998855590816</v>
      </c>
      <c r="J212" s="76">
        <v>20.649998855590816</v>
      </c>
      <c r="K212" s="76">
        <v>21.524998855590816</v>
      </c>
      <c r="L212" s="27"/>
      <c r="M212" s="28">
        <v>42430</v>
      </c>
      <c r="N212" s="77">
        <v>22.572249603271473</v>
      </c>
      <c r="O212" s="77">
        <v>23.434749603271474</v>
      </c>
      <c r="P212" s="77">
        <v>24.297249603271474</v>
      </c>
      <c r="Q212" s="26"/>
      <c r="R212" s="77">
        <v>18.764498901367176</v>
      </c>
      <c r="S212" s="77">
        <v>23.064498901367177</v>
      </c>
      <c r="T212" s="77">
        <v>27.364498901367178</v>
      </c>
      <c r="U212" s="26"/>
      <c r="V212" s="77">
        <v>0.3</v>
      </c>
      <c r="W212" s="77">
        <v>0.3</v>
      </c>
      <c r="X212" s="77">
        <v>0.3</v>
      </c>
      <c r="Y212" s="26"/>
      <c r="Z212" s="77">
        <v>6.1866752647458029E-2</v>
      </c>
      <c r="AA212" s="77">
        <v>0.12373350529491606</v>
      </c>
      <c r="AB212" s="77">
        <v>0.18560025794237409</v>
      </c>
      <c r="AC212" s="26"/>
      <c r="AD212" s="77">
        <v>2.1713931617774868E-2</v>
      </c>
      <c r="AE212" s="77">
        <v>4.3427863235549737E-2</v>
      </c>
      <c r="AF212" s="77">
        <v>6.5141794853324608E-2</v>
      </c>
      <c r="AG212" s="26"/>
      <c r="AH212" s="77">
        <v>-0.25</v>
      </c>
      <c r="AI212" s="77">
        <v>1.3</v>
      </c>
      <c r="AJ212" s="77">
        <v>0.3</v>
      </c>
      <c r="AK212" s="26"/>
      <c r="AL212" s="77">
        <v>-0.15</v>
      </c>
      <c r="AM212" s="77">
        <v>0.35</v>
      </c>
      <c r="AN212" s="77">
        <v>0.2</v>
      </c>
      <c r="AO212" s="26"/>
      <c r="AP212" s="27">
        <v>65</v>
      </c>
      <c r="AQ212" s="78">
        <v>0.4</v>
      </c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8">
        <v>42430</v>
      </c>
      <c r="BI212" s="80">
        <v>0.9</v>
      </c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/>
      <c r="CP212"/>
      <c r="CQ212"/>
      <c r="CR212"/>
      <c r="CS212"/>
      <c r="CT212"/>
      <c r="CY212" s="338">
        <f t="shared" ref="CY212:CY242" si="40">M212</f>
        <v>42430</v>
      </c>
      <c r="CZ212" s="337">
        <f t="shared" ref="CZ212:CZ242" si="41">AI212+AH212</f>
        <v>1.05</v>
      </c>
      <c r="DA212" s="337">
        <f t="shared" ref="DA212:DA242" si="42">AI212</f>
        <v>1.3</v>
      </c>
      <c r="DB212" s="337">
        <f t="shared" ref="DB212:DB242" si="43">AI212+AJ212</f>
        <v>1.6</v>
      </c>
      <c r="DD212" s="337">
        <f t="shared" ref="DD212:DD242" si="44">Z212</f>
        <v>6.1866752647458029E-2</v>
      </c>
      <c r="DE212" s="337">
        <f t="shared" ref="DE212:DE242" si="45">AA212</f>
        <v>0.12373350529491606</v>
      </c>
      <c r="DF212" s="337">
        <f t="shared" ref="DF212:DF242" si="46">AB212</f>
        <v>0.18560025794237409</v>
      </c>
      <c r="DH212" s="338">
        <f t="shared" ref="DH212:DH242" si="47">BH212</f>
        <v>42430</v>
      </c>
      <c r="DI212" s="20">
        <v>0.9</v>
      </c>
    </row>
    <row r="213" spans="1:113">
      <c r="A213" s="34">
        <f t="shared" ca="1" si="39"/>
        <v>42705</v>
      </c>
      <c r="B213" s="20">
        <f>'Gas Curves'!C217</f>
        <v>7.4181229590345996E-2</v>
      </c>
      <c r="C213" s="20"/>
      <c r="D213" s="75">
        <v>41579</v>
      </c>
      <c r="E213" s="76">
        <v>30.725000000000001</v>
      </c>
      <c r="F213" s="76">
        <v>32.475000000000001</v>
      </c>
      <c r="G213" s="76">
        <v>34.225000000000001</v>
      </c>
      <c r="H213" s="56"/>
      <c r="I213" s="76">
        <v>19.699998092651363</v>
      </c>
      <c r="J213" s="76">
        <v>20.574998092651363</v>
      </c>
      <c r="K213" s="76">
        <v>21.449998092651363</v>
      </c>
      <c r="L213" s="27"/>
      <c r="M213" s="28">
        <v>42461</v>
      </c>
      <c r="N213" s="77">
        <v>23.367500305175771</v>
      </c>
      <c r="O213" s="77">
        <v>24.117500305175771</v>
      </c>
      <c r="P213" s="77">
        <v>24.867500305175771</v>
      </c>
      <c r="Q213" s="26"/>
      <c r="R213" s="77">
        <v>18.534999084472645</v>
      </c>
      <c r="S213" s="77">
        <v>22.834999084472646</v>
      </c>
      <c r="T213" s="77">
        <v>27.134999084472646</v>
      </c>
      <c r="U213" s="26"/>
      <c r="V213" s="77">
        <v>0.3</v>
      </c>
      <c r="W213" s="77">
        <v>0.3</v>
      </c>
      <c r="X213" s="77">
        <v>0.3</v>
      </c>
      <c r="Y213" s="26"/>
      <c r="Z213" s="77">
        <v>5.5143238669764595E-2</v>
      </c>
      <c r="AA213" s="77">
        <v>0.11028647733952919</v>
      </c>
      <c r="AB213" s="77">
        <v>0.16542971600929379</v>
      </c>
      <c r="AC213" s="26"/>
      <c r="AD213" s="77">
        <v>2.1713931617774868E-2</v>
      </c>
      <c r="AE213" s="77">
        <v>4.3427863235549737E-2</v>
      </c>
      <c r="AF213" s="77">
        <v>6.5141794853324608E-2</v>
      </c>
      <c r="AG213" s="26"/>
      <c r="AH213" s="77">
        <v>-0.25</v>
      </c>
      <c r="AI213" s="77">
        <v>1.1000000000000001</v>
      </c>
      <c r="AJ213" s="77">
        <v>0.3</v>
      </c>
      <c r="AK213" s="26"/>
      <c r="AL213" s="77">
        <v>-0.15</v>
      </c>
      <c r="AM213" s="77">
        <v>0.35</v>
      </c>
      <c r="AN213" s="77">
        <v>0.2</v>
      </c>
      <c r="AO213" s="26"/>
      <c r="AP213" s="27">
        <v>65</v>
      </c>
      <c r="AQ213" s="78">
        <v>0.4</v>
      </c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8">
        <v>42461</v>
      </c>
      <c r="BI213" s="80">
        <v>0.9</v>
      </c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/>
      <c r="CP213"/>
      <c r="CQ213"/>
      <c r="CR213"/>
      <c r="CS213"/>
      <c r="CT213"/>
      <c r="CY213" s="338">
        <f t="shared" si="40"/>
        <v>42461</v>
      </c>
      <c r="CZ213" s="337">
        <f t="shared" si="41"/>
        <v>0.85000000000000009</v>
      </c>
      <c r="DA213" s="337">
        <f t="shared" si="42"/>
        <v>1.1000000000000001</v>
      </c>
      <c r="DB213" s="337">
        <f t="shared" si="43"/>
        <v>1.4000000000000001</v>
      </c>
      <c r="DD213" s="337">
        <f t="shared" si="44"/>
        <v>5.5143238669764595E-2</v>
      </c>
      <c r="DE213" s="337">
        <f t="shared" si="45"/>
        <v>0.11028647733952919</v>
      </c>
      <c r="DF213" s="337">
        <f t="shared" si="46"/>
        <v>0.16542971600929379</v>
      </c>
      <c r="DH213" s="338">
        <f t="shared" si="47"/>
        <v>42461</v>
      </c>
      <c r="DI213" s="20">
        <v>0.9</v>
      </c>
    </row>
    <row r="214" spans="1:113">
      <c r="A214" s="34">
        <f t="shared" ca="1" si="39"/>
        <v>42736</v>
      </c>
      <c r="B214" s="20">
        <f>'Gas Curves'!C218</f>
        <v>7.4180934872467005E-2</v>
      </c>
      <c r="C214" s="20"/>
      <c r="D214" s="75">
        <v>41609</v>
      </c>
      <c r="E214" s="76">
        <v>30.6</v>
      </c>
      <c r="F214" s="76">
        <v>32.35</v>
      </c>
      <c r="G214" s="76">
        <v>34.1</v>
      </c>
      <c r="H214" s="56"/>
      <c r="I214" s="76">
        <v>21.124999237060543</v>
      </c>
      <c r="J214" s="76">
        <v>21.999999237060543</v>
      </c>
      <c r="K214" s="76">
        <v>22.874999237060543</v>
      </c>
      <c r="L214" s="27"/>
      <c r="M214" s="28">
        <v>42491</v>
      </c>
      <c r="N214" s="77">
        <v>22.372500076293935</v>
      </c>
      <c r="O214" s="77">
        <v>24.232500076293935</v>
      </c>
      <c r="P214" s="77">
        <v>26.092500076293934</v>
      </c>
      <c r="Q214" s="26"/>
      <c r="R214" s="77">
        <v>19.064999771118153</v>
      </c>
      <c r="S214" s="77">
        <v>23.364999771118153</v>
      </c>
      <c r="T214" s="77">
        <v>27.664999771118154</v>
      </c>
      <c r="U214" s="26"/>
      <c r="V214" s="77">
        <v>0.3</v>
      </c>
      <c r="W214" s="77">
        <v>0.3</v>
      </c>
      <c r="X214" s="77">
        <v>0.3</v>
      </c>
      <c r="Y214" s="26"/>
      <c r="Z214" s="77">
        <v>6.3482480812640171E-2</v>
      </c>
      <c r="AA214" s="77">
        <v>0.12696496162528034</v>
      </c>
      <c r="AB214" s="77">
        <v>0.1904474424379205</v>
      </c>
      <c r="AC214" s="26"/>
      <c r="AD214" s="77">
        <v>2.5332920220737354E-2</v>
      </c>
      <c r="AE214" s="77">
        <v>5.0665840441474708E-2</v>
      </c>
      <c r="AF214" s="77">
        <v>7.5998760662212062E-2</v>
      </c>
      <c r="AG214" s="26"/>
      <c r="AH214" s="77">
        <v>-0.25</v>
      </c>
      <c r="AI214" s="77">
        <v>1.1000000000000001</v>
      </c>
      <c r="AJ214" s="77">
        <v>0.3</v>
      </c>
      <c r="AK214" s="26"/>
      <c r="AL214" s="77">
        <v>-0.15</v>
      </c>
      <c r="AM214" s="77">
        <v>0.5</v>
      </c>
      <c r="AN214" s="77">
        <v>0.2</v>
      </c>
      <c r="AO214" s="26"/>
      <c r="AP214" s="27">
        <v>66</v>
      </c>
      <c r="AQ214" s="78">
        <v>0.4</v>
      </c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8">
        <v>42491</v>
      </c>
      <c r="BI214" s="80">
        <v>0.9</v>
      </c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/>
      <c r="CP214"/>
      <c r="CQ214"/>
      <c r="CR214"/>
      <c r="CS214"/>
      <c r="CT214"/>
      <c r="CY214" s="338">
        <f t="shared" si="40"/>
        <v>42491</v>
      </c>
      <c r="CZ214" s="337">
        <f t="shared" si="41"/>
        <v>0.85000000000000009</v>
      </c>
      <c r="DA214" s="337">
        <f t="shared" si="42"/>
        <v>1.1000000000000001</v>
      </c>
      <c r="DB214" s="337">
        <f t="shared" si="43"/>
        <v>1.4000000000000001</v>
      </c>
      <c r="DD214" s="337">
        <f t="shared" si="44"/>
        <v>6.3482480812640171E-2</v>
      </c>
      <c r="DE214" s="337">
        <f t="shared" si="45"/>
        <v>0.12696496162528034</v>
      </c>
      <c r="DF214" s="337">
        <f t="shared" si="46"/>
        <v>0.1904474424379205</v>
      </c>
      <c r="DH214" s="338">
        <f t="shared" si="47"/>
        <v>42491</v>
      </c>
      <c r="DI214" s="20">
        <v>0.9</v>
      </c>
    </row>
    <row r="215" spans="1:113">
      <c r="A215" s="34">
        <f t="shared" ca="1" si="39"/>
        <v>42767</v>
      </c>
      <c r="B215" s="20">
        <f>'Gas Curves'!C219</f>
        <v>7.4180640154587002E-2</v>
      </c>
      <c r="C215" s="20"/>
      <c r="D215" s="75">
        <v>41640</v>
      </c>
      <c r="E215" s="76">
        <v>36.75</v>
      </c>
      <c r="F215" s="76">
        <v>38.65</v>
      </c>
      <c r="G215" s="76">
        <v>40.549999999999997</v>
      </c>
      <c r="H215" s="56"/>
      <c r="I215" s="76">
        <v>21.04000091552734</v>
      </c>
      <c r="J215" s="76">
        <v>21.990000915527339</v>
      </c>
      <c r="K215" s="76">
        <v>22.940000915527339</v>
      </c>
      <c r="L215" s="27"/>
      <c r="M215" s="28">
        <v>42522</v>
      </c>
      <c r="N215" s="77">
        <v>23.326250152587882</v>
      </c>
      <c r="O215" s="77">
        <v>28.658750152587881</v>
      </c>
      <c r="P215" s="77">
        <v>33.991250152587881</v>
      </c>
      <c r="Q215" s="26"/>
      <c r="R215" s="77">
        <v>17.842499542236318</v>
      </c>
      <c r="S215" s="77">
        <v>22.142499542236319</v>
      </c>
      <c r="T215" s="77">
        <v>26.44249954223632</v>
      </c>
      <c r="U215" s="26"/>
      <c r="V215" s="77">
        <v>0.3</v>
      </c>
      <c r="W215" s="77">
        <v>0.3</v>
      </c>
      <c r="X215" s="77">
        <v>0.3</v>
      </c>
      <c r="Y215" s="26"/>
      <c r="Z215" s="77">
        <v>7.9587642201068565E-2</v>
      </c>
      <c r="AA215" s="77">
        <v>0.15917528440213713</v>
      </c>
      <c r="AB215" s="77">
        <v>0.23876292660320569</v>
      </c>
      <c r="AC215" s="26"/>
      <c r="AD215" s="77">
        <v>3.2570897426662297E-2</v>
      </c>
      <c r="AE215" s="77">
        <v>6.5141794853324594E-2</v>
      </c>
      <c r="AF215" s="77">
        <v>9.7712692279986885E-2</v>
      </c>
      <c r="AG215" s="26"/>
      <c r="AH215" s="77">
        <v>-0.35</v>
      </c>
      <c r="AI215" s="77">
        <v>2</v>
      </c>
      <c r="AJ215" s="77">
        <v>0.3</v>
      </c>
      <c r="AK215" s="26"/>
      <c r="AL215" s="77">
        <v>-0.15</v>
      </c>
      <c r="AM215" s="77">
        <v>0.65</v>
      </c>
      <c r="AN215" s="77">
        <v>0.2</v>
      </c>
      <c r="AO215" s="26"/>
      <c r="AP215" s="27">
        <v>66</v>
      </c>
      <c r="AQ215" s="78">
        <v>0.4</v>
      </c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8">
        <v>42522</v>
      </c>
      <c r="BI215" s="80">
        <v>0.9</v>
      </c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/>
      <c r="CP215"/>
      <c r="CQ215"/>
      <c r="CR215"/>
      <c r="CS215"/>
      <c r="CT215"/>
      <c r="CY215" s="338">
        <f t="shared" si="40"/>
        <v>42522</v>
      </c>
      <c r="CZ215" s="337">
        <f t="shared" si="41"/>
        <v>1.65</v>
      </c>
      <c r="DA215" s="337">
        <f t="shared" si="42"/>
        <v>2</v>
      </c>
      <c r="DB215" s="337">
        <f t="shared" si="43"/>
        <v>2.2999999999999998</v>
      </c>
      <c r="DD215" s="337">
        <f t="shared" si="44"/>
        <v>7.9587642201068565E-2</v>
      </c>
      <c r="DE215" s="337">
        <f t="shared" si="45"/>
        <v>0.15917528440213713</v>
      </c>
      <c r="DF215" s="337">
        <f t="shared" si="46"/>
        <v>0.23876292660320569</v>
      </c>
      <c r="DH215" s="338">
        <f t="shared" si="47"/>
        <v>42522</v>
      </c>
      <c r="DI215" s="20">
        <v>0.9</v>
      </c>
    </row>
    <row r="216" spans="1:113">
      <c r="A216" s="34">
        <f t="shared" ca="1" si="39"/>
        <v>42795</v>
      </c>
      <c r="B216" s="20">
        <f>'Gas Curves'!C220</f>
        <v>7.4180373957792006E-2</v>
      </c>
      <c r="C216" s="20"/>
      <c r="D216" s="75">
        <v>41671</v>
      </c>
      <c r="E216" s="76">
        <v>36.75</v>
      </c>
      <c r="F216" s="76">
        <v>38.65</v>
      </c>
      <c r="G216" s="76">
        <v>40.549999999999997</v>
      </c>
      <c r="H216" s="56"/>
      <c r="I216" s="76">
        <v>20.849997711181636</v>
      </c>
      <c r="J216" s="76">
        <v>21.799997711181636</v>
      </c>
      <c r="K216" s="76">
        <v>22.749997711181635</v>
      </c>
      <c r="L216" s="27"/>
      <c r="M216" s="28">
        <v>42552</v>
      </c>
      <c r="N216" s="77">
        <v>38.111249542236365</v>
      </c>
      <c r="O216" s="77">
        <v>41.861249542236365</v>
      </c>
      <c r="P216" s="77">
        <v>45.611249542236365</v>
      </c>
      <c r="Q216" s="26"/>
      <c r="R216" s="77">
        <v>27.047499465942373</v>
      </c>
      <c r="S216" s="77">
        <v>31.347499465942374</v>
      </c>
      <c r="T216" s="77">
        <v>35.647499465942374</v>
      </c>
      <c r="U216" s="26"/>
      <c r="V216" s="77">
        <v>0.3</v>
      </c>
      <c r="W216" s="77">
        <v>0.3</v>
      </c>
      <c r="X216" s="77">
        <v>0.3</v>
      </c>
      <c r="Y216" s="26"/>
      <c r="Z216" s="77">
        <v>9.4181315951100811E-2</v>
      </c>
      <c r="AA216" s="77">
        <v>0.18836263190220162</v>
      </c>
      <c r="AB216" s="77">
        <v>0.28254394785330245</v>
      </c>
      <c r="AC216" s="26"/>
      <c r="AD216" s="77">
        <v>4.3427863235549737E-2</v>
      </c>
      <c r="AE216" s="77">
        <v>8.6855726471099473E-2</v>
      </c>
      <c r="AF216" s="77">
        <v>0.13028358970664922</v>
      </c>
      <c r="AG216" s="26"/>
      <c r="AH216" s="77">
        <v>-0.35</v>
      </c>
      <c r="AI216" s="77">
        <v>3</v>
      </c>
      <c r="AJ216" s="77">
        <v>0.5</v>
      </c>
      <c r="AK216" s="26"/>
      <c r="AL216" s="77">
        <v>-0.15</v>
      </c>
      <c r="AM216" s="77">
        <v>0.75</v>
      </c>
      <c r="AN216" s="77">
        <v>0.2</v>
      </c>
      <c r="AO216" s="26"/>
      <c r="AP216" s="27">
        <v>66</v>
      </c>
      <c r="AQ216" s="78">
        <v>0.4</v>
      </c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8">
        <v>42552</v>
      </c>
      <c r="BI216" s="80">
        <v>0.9</v>
      </c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/>
      <c r="CP216"/>
      <c r="CQ216"/>
      <c r="CR216"/>
      <c r="CS216"/>
      <c r="CT216"/>
      <c r="CY216" s="338">
        <f t="shared" si="40"/>
        <v>42552</v>
      </c>
      <c r="CZ216" s="337">
        <f t="shared" si="41"/>
        <v>2.65</v>
      </c>
      <c r="DA216" s="337">
        <f t="shared" si="42"/>
        <v>3</v>
      </c>
      <c r="DB216" s="337">
        <f t="shared" si="43"/>
        <v>3.5</v>
      </c>
      <c r="DD216" s="337">
        <f t="shared" si="44"/>
        <v>9.4181315951100811E-2</v>
      </c>
      <c r="DE216" s="337">
        <f t="shared" si="45"/>
        <v>0.18836263190220162</v>
      </c>
      <c r="DF216" s="337">
        <f t="shared" si="46"/>
        <v>0.28254394785330245</v>
      </c>
      <c r="DH216" s="338">
        <f t="shared" si="47"/>
        <v>42552</v>
      </c>
      <c r="DI216" s="20">
        <v>0.9</v>
      </c>
    </row>
    <row r="217" spans="1:113">
      <c r="A217" s="34">
        <f t="shared" ca="1" si="39"/>
        <v>42826</v>
      </c>
      <c r="B217" s="20">
        <f>'Gas Curves'!C221</f>
        <v>7.4180079239912003E-2</v>
      </c>
      <c r="C217" s="20"/>
      <c r="D217" s="75">
        <v>41699</v>
      </c>
      <c r="E217" s="76">
        <v>33.85</v>
      </c>
      <c r="F217" s="76">
        <v>34.9</v>
      </c>
      <c r="G217" s="76">
        <v>35.950000000000003</v>
      </c>
      <c r="H217" s="56"/>
      <c r="I217" s="76">
        <v>20.27499961853027</v>
      </c>
      <c r="J217" s="76">
        <v>20.799999618530268</v>
      </c>
      <c r="K217" s="76">
        <v>21.324999618530267</v>
      </c>
      <c r="L217" s="27"/>
      <c r="M217" s="28">
        <v>42583</v>
      </c>
      <c r="N217" s="77">
        <v>40.372499084472693</v>
      </c>
      <c r="O217" s="77">
        <v>44.122499084472693</v>
      </c>
      <c r="P217" s="77">
        <v>47.872499084472693</v>
      </c>
      <c r="Q217" s="26"/>
      <c r="R217" s="77">
        <v>28.545000839233406</v>
      </c>
      <c r="S217" s="77">
        <v>32.845000839233407</v>
      </c>
      <c r="T217" s="77">
        <v>37.145000839233404</v>
      </c>
      <c r="U217" s="26"/>
      <c r="V217" s="77">
        <v>0.3</v>
      </c>
      <c r="W217" s="77">
        <v>0.3</v>
      </c>
      <c r="X217" s="77">
        <v>0.3</v>
      </c>
      <c r="Y217" s="26"/>
      <c r="Z217" s="77">
        <v>9.2669828312704622E-2</v>
      </c>
      <c r="AA217" s="77">
        <v>0.18533965662540924</v>
      </c>
      <c r="AB217" s="77">
        <v>0.27800948493811384</v>
      </c>
      <c r="AC217" s="26"/>
      <c r="AD217" s="77">
        <v>4.3427863235549737E-2</v>
      </c>
      <c r="AE217" s="77">
        <v>8.6855726471099473E-2</v>
      </c>
      <c r="AF217" s="77">
        <v>0.13028358970664922</v>
      </c>
      <c r="AG217" s="26"/>
      <c r="AH217" s="77">
        <v>-0.35</v>
      </c>
      <c r="AI217" s="77">
        <v>3</v>
      </c>
      <c r="AJ217" s="77">
        <v>0.5</v>
      </c>
      <c r="AK217" s="26"/>
      <c r="AL217" s="77">
        <v>-0.15</v>
      </c>
      <c r="AM217" s="77">
        <v>0.75</v>
      </c>
      <c r="AN217" s="77">
        <v>0.2</v>
      </c>
      <c r="AO217" s="26"/>
      <c r="AP217" s="27">
        <v>67</v>
      </c>
      <c r="AQ217" s="78">
        <v>0.4</v>
      </c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8">
        <v>42583</v>
      </c>
      <c r="BI217" s="80">
        <v>0.9</v>
      </c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/>
      <c r="CP217"/>
      <c r="CQ217"/>
      <c r="CR217"/>
      <c r="CS217"/>
      <c r="CT217"/>
      <c r="CY217" s="338">
        <f t="shared" si="40"/>
        <v>42583</v>
      </c>
      <c r="CZ217" s="337">
        <f t="shared" si="41"/>
        <v>2.65</v>
      </c>
      <c r="DA217" s="337">
        <f t="shared" si="42"/>
        <v>3</v>
      </c>
      <c r="DB217" s="337">
        <f t="shared" si="43"/>
        <v>3.5</v>
      </c>
      <c r="DD217" s="337">
        <f t="shared" si="44"/>
        <v>9.2669828312704622E-2</v>
      </c>
      <c r="DE217" s="337">
        <f t="shared" si="45"/>
        <v>0.18533965662540924</v>
      </c>
      <c r="DF217" s="337">
        <f t="shared" si="46"/>
        <v>0.27800948493811384</v>
      </c>
      <c r="DH217" s="338">
        <f t="shared" si="47"/>
        <v>42583</v>
      </c>
      <c r="DI217" s="20">
        <v>0.9</v>
      </c>
    </row>
    <row r="218" spans="1:113">
      <c r="A218" s="34">
        <f t="shared" ca="1" si="39"/>
        <v>42856</v>
      </c>
      <c r="B218" s="20">
        <f>'Gas Curves'!C222</f>
        <v>7.4179794029059998E-2</v>
      </c>
      <c r="C218" s="20"/>
      <c r="D218" s="75">
        <v>41730</v>
      </c>
      <c r="E218" s="76">
        <v>32.75</v>
      </c>
      <c r="F218" s="76">
        <v>33.65</v>
      </c>
      <c r="G218" s="76">
        <v>34.549999999999997</v>
      </c>
      <c r="H218" s="56"/>
      <c r="I218" s="76">
        <v>20.349997711181636</v>
      </c>
      <c r="J218" s="76">
        <v>20.799997711181636</v>
      </c>
      <c r="K218" s="76">
        <v>21.249997711181635</v>
      </c>
      <c r="L218" s="27"/>
      <c r="M218" s="28">
        <v>42614</v>
      </c>
      <c r="N218" s="77">
        <v>23.854999160766589</v>
      </c>
      <c r="O218" s="77">
        <v>25.504999160766591</v>
      </c>
      <c r="P218" s="77">
        <v>27.154999160766593</v>
      </c>
      <c r="Q218" s="26"/>
      <c r="R218" s="77">
        <v>21.7</v>
      </c>
      <c r="S218" s="77">
        <v>26</v>
      </c>
      <c r="T218" s="77">
        <v>30.3</v>
      </c>
      <c r="U218" s="26"/>
      <c r="V218" s="77">
        <v>0.8</v>
      </c>
      <c r="W218" s="77">
        <v>0.8</v>
      </c>
      <c r="X218" s="77">
        <v>0.8</v>
      </c>
      <c r="Y218" s="26"/>
      <c r="Z218" s="77">
        <v>6.1397670276921272E-2</v>
      </c>
      <c r="AA218" s="77">
        <v>0.12279534055384254</v>
      </c>
      <c r="AB218" s="77">
        <v>0.18419301083076381</v>
      </c>
      <c r="AC218" s="26"/>
      <c r="AD218" s="77">
        <v>2.8951908823699822E-2</v>
      </c>
      <c r="AE218" s="77">
        <v>5.7903817647399644E-2</v>
      </c>
      <c r="AF218" s="77">
        <v>8.6855726471099459E-2</v>
      </c>
      <c r="AG218" s="26"/>
      <c r="AH218" s="77">
        <v>-0.35</v>
      </c>
      <c r="AI218" s="77">
        <v>1.5</v>
      </c>
      <c r="AJ218" s="77">
        <v>0.3</v>
      </c>
      <c r="AK218" s="26"/>
      <c r="AL218" s="77">
        <v>-0.15</v>
      </c>
      <c r="AM218" s="77">
        <v>0.4</v>
      </c>
      <c r="AN218" s="77">
        <v>0.2</v>
      </c>
      <c r="AO218" s="26"/>
      <c r="AP218" s="27">
        <v>67</v>
      </c>
      <c r="AQ218" s="78">
        <v>0.4</v>
      </c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8">
        <v>42614</v>
      </c>
      <c r="BI218" s="80">
        <v>0.9</v>
      </c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/>
      <c r="CP218"/>
      <c r="CQ218"/>
      <c r="CR218"/>
      <c r="CS218"/>
      <c r="CT218"/>
      <c r="CY218" s="338">
        <f t="shared" si="40"/>
        <v>42614</v>
      </c>
      <c r="CZ218" s="337">
        <f t="shared" si="41"/>
        <v>1.1499999999999999</v>
      </c>
      <c r="DA218" s="337">
        <f t="shared" si="42"/>
        <v>1.5</v>
      </c>
      <c r="DB218" s="337">
        <f t="shared" si="43"/>
        <v>1.8</v>
      </c>
      <c r="DD218" s="337">
        <f t="shared" si="44"/>
        <v>6.1397670276921272E-2</v>
      </c>
      <c r="DE218" s="337">
        <f t="shared" si="45"/>
        <v>0.12279534055384254</v>
      </c>
      <c r="DF218" s="337">
        <f t="shared" si="46"/>
        <v>0.18419301083076381</v>
      </c>
      <c r="DH218" s="338">
        <f t="shared" si="47"/>
        <v>42614</v>
      </c>
      <c r="DI218" s="20">
        <v>0.9</v>
      </c>
    </row>
    <row r="219" spans="1:113">
      <c r="A219" s="34">
        <f t="shared" ca="1" si="39"/>
        <v>42887</v>
      </c>
      <c r="B219" s="20">
        <f>'Gas Curves'!C223</f>
        <v>7.4179499311179994E-2</v>
      </c>
      <c r="C219" s="20"/>
      <c r="D219" s="75">
        <v>41760</v>
      </c>
      <c r="E219" s="76">
        <v>34.17</v>
      </c>
      <c r="F219" s="76">
        <v>36.65</v>
      </c>
      <c r="G219" s="76">
        <v>39.130000000000003</v>
      </c>
      <c r="H219" s="56"/>
      <c r="I219" s="76">
        <v>19.559997711181637</v>
      </c>
      <c r="J219" s="76">
        <v>20.799997711181636</v>
      </c>
      <c r="K219" s="76">
        <v>22.039997711181634</v>
      </c>
      <c r="L219" s="27"/>
      <c r="M219" s="28">
        <v>42644</v>
      </c>
      <c r="N219" s="77">
        <v>24.063000106811511</v>
      </c>
      <c r="O219" s="77">
        <v>25.600500106811513</v>
      </c>
      <c r="P219" s="77">
        <v>27.138000106811514</v>
      </c>
      <c r="Q219" s="26"/>
      <c r="R219" s="77">
        <v>19.300999832153309</v>
      </c>
      <c r="S219" s="77">
        <v>23.60099983215331</v>
      </c>
      <c r="T219" s="77">
        <v>27.90099983215331</v>
      </c>
      <c r="U219" s="26"/>
      <c r="V219" s="77">
        <v>0.8</v>
      </c>
      <c r="W219" s="77">
        <v>0.8</v>
      </c>
      <c r="X219" s="77">
        <v>0.8</v>
      </c>
      <c r="Y219" s="26"/>
      <c r="Z219" s="77">
        <v>5.6081403410838108E-2</v>
      </c>
      <c r="AA219" s="77">
        <v>0.11216280682167622</v>
      </c>
      <c r="AB219" s="77">
        <v>0.16824421023251432</v>
      </c>
      <c r="AC219" s="26"/>
      <c r="AD219" s="77">
        <v>2.1713931617774868E-2</v>
      </c>
      <c r="AE219" s="77">
        <v>4.3427863235549737E-2</v>
      </c>
      <c r="AF219" s="77">
        <v>6.5141794853324608E-2</v>
      </c>
      <c r="AG219" s="26"/>
      <c r="AH219" s="77">
        <v>-0.25</v>
      </c>
      <c r="AI219" s="77">
        <v>1.1000000000000001</v>
      </c>
      <c r="AJ219" s="77">
        <v>0.3</v>
      </c>
      <c r="AK219" s="26"/>
      <c r="AL219" s="77">
        <v>-0.15</v>
      </c>
      <c r="AM219" s="77">
        <v>0.35</v>
      </c>
      <c r="AN219" s="77">
        <v>0.2</v>
      </c>
      <c r="AO219" s="26"/>
      <c r="AP219" s="27">
        <v>67</v>
      </c>
      <c r="AQ219" s="78">
        <v>0.4</v>
      </c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8">
        <v>42644</v>
      </c>
      <c r="BI219" s="80">
        <v>0.9</v>
      </c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/>
      <c r="CP219"/>
      <c r="CQ219"/>
      <c r="CR219"/>
      <c r="CS219"/>
      <c r="CT219"/>
      <c r="CY219" s="338">
        <f t="shared" si="40"/>
        <v>42644</v>
      </c>
      <c r="CZ219" s="337">
        <f t="shared" si="41"/>
        <v>0.85000000000000009</v>
      </c>
      <c r="DA219" s="337">
        <f t="shared" si="42"/>
        <v>1.1000000000000001</v>
      </c>
      <c r="DB219" s="337">
        <f t="shared" si="43"/>
        <v>1.4000000000000001</v>
      </c>
      <c r="DD219" s="337">
        <f t="shared" si="44"/>
        <v>5.6081403410838108E-2</v>
      </c>
      <c r="DE219" s="337">
        <f t="shared" si="45"/>
        <v>0.11216280682167622</v>
      </c>
      <c r="DF219" s="337">
        <f t="shared" si="46"/>
        <v>0.16824421023251432</v>
      </c>
      <c r="DH219" s="338">
        <f t="shared" si="47"/>
        <v>42644</v>
      </c>
      <c r="DI219" s="20">
        <v>0.9</v>
      </c>
    </row>
    <row r="220" spans="1:113">
      <c r="A220" s="34">
        <f t="shared" ca="1" si="39"/>
        <v>42917</v>
      </c>
      <c r="B220" s="20">
        <f>'Gas Curves'!C224</f>
        <v>7.4179214100328003E-2</v>
      </c>
      <c r="C220" s="20"/>
      <c r="D220" s="75">
        <v>41791</v>
      </c>
      <c r="E220" s="76">
        <v>49.14</v>
      </c>
      <c r="F220" s="76">
        <v>56.25</v>
      </c>
      <c r="G220" s="76">
        <v>63.36</v>
      </c>
      <c r="H220" s="56"/>
      <c r="I220" s="76">
        <v>17.19999877929687</v>
      </c>
      <c r="J220" s="76">
        <v>20.754998779296869</v>
      </c>
      <c r="K220" s="76">
        <v>24.309998779296869</v>
      </c>
      <c r="L220" s="27"/>
      <c r="M220" s="28">
        <v>42675</v>
      </c>
      <c r="N220" s="77">
        <v>25.06725158691405</v>
      </c>
      <c r="O220" s="77">
        <v>26.604751586914052</v>
      </c>
      <c r="P220" s="77">
        <v>28.142251586914053</v>
      </c>
      <c r="Q220" s="26"/>
      <c r="R220" s="77">
        <v>20.30449981689452</v>
      </c>
      <c r="S220" s="77">
        <v>24.604499816894521</v>
      </c>
      <c r="T220" s="77">
        <v>28.904499816894521</v>
      </c>
      <c r="U220" s="26"/>
      <c r="V220" s="77">
        <v>0.8</v>
      </c>
      <c r="W220" s="77">
        <v>0.8</v>
      </c>
      <c r="X220" s="77">
        <v>0.8</v>
      </c>
      <c r="Y220" s="26"/>
      <c r="Z220" s="77">
        <v>5.6081403410838108E-2</v>
      </c>
      <c r="AA220" s="77">
        <v>0.11216280682167622</v>
      </c>
      <c r="AB220" s="77">
        <v>0.16824421023251432</v>
      </c>
      <c r="AC220" s="26"/>
      <c r="AD220" s="77">
        <v>2.1713931617774868E-2</v>
      </c>
      <c r="AE220" s="77">
        <v>4.3427863235549737E-2</v>
      </c>
      <c r="AF220" s="77">
        <v>6.5141794853324608E-2</v>
      </c>
      <c r="AG220" s="26"/>
      <c r="AH220" s="77">
        <v>-0.25</v>
      </c>
      <c r="AI220" s="77">
        <v>1.25</v>
      </c>
      <c r="AJ220" s="77">
        <v>0.3</v>
      </c>
      <c r="AK220" s="26"/>
      <c r="AL220" s="77">
        <v>-0.15</v>
      </c>
      <c r="AM220" s="77">
        <v>0.3</v>
      </c>
      <c r="AN220" s="77">
        <v>0.2</v>
      </c>
      <c r="AO220" s="26"/>
      <c r="AP220" s="27">
        <v>68</v>
      </c>
      <c r="AQ220" s="78">
        <v>0.4</v>
      </c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8">
        <v>42675</v>
      </c>
      <c r="BI220" s="80">
        <v>0.9</v>
      </c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/>
      <c r="CP220"/>
      <c r="CQ220"/>
      <c r="CR220"/>
      <c r="CS220"/>
      <c r="CT220"/>
      <c r="CY220" s="338">
        <f t="shared" si="40"/>
        <v>42675</v>
      </c>
      <c r="CZ220" s="337">
        <f t="shared" si="41"/>
        <v>1</v>
      </c>
      <c r="DA220" s="337">
        <f t="shared" si="42"/>
        <v>1.25</v>
      </c>
      <c r="DB220" s="337">
        <f t="shared" si="43"/>
        <v>1.55</v>
      </c>
      <c r="DD220" s="337">
        <f t="shared" si="44"/>
        <v>5.6081403410838108E-2</v>
      </c>
      <c r="DE220" s="337">
        <f t="shared" si="45"/>
        <v>0.11216280682167622</v>
      </c>
      <c r="DF220" s="337">
        <f t="shared" si="46"/>
        <v>0.16824421023251432</v>
      </c>
      <c r="DH220" s="338">
        <f t="shared" si="47"/>
        <v>42675</v>
      </c>
      <c r="DI220" s="20">
        <v>0.9</v>
      </c>
    </row>
    <row r="221" spans="1:113">
      <c r="A221" s="34">
        <f t="shared" ca="1" si="39"/>
        <v>42948</v>
      </c>
      <c r="B221" s="20">
        <f>'Gas Curves'!C225</f>
        <v>7.4178919382448999E-2</v>
      </c>
      <c r="C221" s="20"/>
      <c r="D221" s="75">
        <v>41821</v>
      </c>
      <c r="E221" s="76">
        <v>79.5</v>
      </c>
      <c r="F221" s="76">
        <v>84.5</v>
      </c>
      <c r="G221" s="76">
        <v>89.5</v>
      </c>
      <c r="H221" s="56"/>
      <c r="I221" s="76">
        <v>22.749997711181635</v>
      </c>
      <c r="J221" s="76">
        <v>25.249997711181635</v>
      </c>
      <c r="K221" s="76">
        <v>27.749997711181635</v>
      </c>
      <c r="L221" s="27"/>
      <c r="M221" s="28">
        <v>42705</v>
      </c>
      <c r="N221" s="77">
        <v>26.517498397827136</v>
      </c>
      <c r="O221" s="77">
        <v>28.054998397827138</v>
      </c>
      <c r="P221" s="77">
        <v>29.592498397827139</v>
      </c>
      <c r="Q221" s="26"/>
      <c r="R221" s="77">
        <v>20.249999237060536</v>
      </c>
      <c r="S221" s="77">
        <v>24.549999237060536</v>
      </c>
      <c r="T221" s="77">
        <v>28.849999237060537</v>
      </c>
      <c r="U221" s="26"/>
      <c r="V221" s="77">
        <v>0.8</v>
      </c>
      <c r="W221" s="77">
        <v>0.8</v>
      </c>
      <c r="X221" s="77">
        <v>0.8</v>
      </c>
      <c r="Y221" s="26"/>
      <c r="Z221" s="77">
        <v>5.8082821525128246E-2</v>
      </c>
      <c r="AA221" s="77">
        <v>0.11616564305025649</v>
      </c>
      <c r="AB221" s="77">
        <v>0.17424846457538473</v>
      </c>
      <c r="AC221" s="26"/>
      <c r="AD221" s="77">
        <v>2.1713931617774868E-2</v>
      </c>
      <c r="AE221" s="77">
        <v>4.3427863235549737E-2</v>
      </c>
      <c r="AF221" s="77">
        <v>6.5141794853324608E-2</v>
      </c>
      <c r="AG221" s="26"/>
      <c r="AH221" s="77">
        <v>-0.25</v>
      </c>
      <c r="AI221" s="77">
        <v>1.25</v>
      </c>
      <c r="AJ221" s="77">
        <v>0.35</v>
      </c>
      <c r="AK221" s="26"/>
      <c r="AL221" s="77">
        <v>-0.15</v>
      </c>
      <c r="AM221" s="77">
        <v>0.3</v>
      </c>
      <c r="AN221" s="77">
        <v>0.2</v>
      </c>
      <c r="AO221" s="26"/>
      <c r="AP221" s="27">
        <v>68</v>
      </c>
      <c r="AQ221" s="78">
        <v>0.4</v>
      </c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8">
        <v>42705</v>
      </c>
      <c r="BI221" s="80">
        <v>0.9</v>
      </c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/>
      <c r="CP221"/>
      <c r="CQ221"/>
      <c r="CR221"/>
      <c r="CS221"/>
      <c r="CT221"/>
      <c r="CY221" s="338">
        <f t="shared" si="40"/>
        <v>42705</v>
      </c>
      <c r="CZ221" s="337">
        <f t="shared" si="41"/>
        <v>1</v>
      </c>
      <c r="DA221" s="337">
        <f t="shared" si="42"/>
        <v>1.25</v>
      </c>
      <c r="DB221" s="337">
        <f t="shared" si="43"/>
        <v>1.6</v>
      </c>
      <c r="DD221" s="337">
        <f t="shared" si="44"/>
        <v>5.8082821525128246E-2</v>
      </c>
      <c r="DE221" s="337">
        <f t="shared" si="45"/>
        <v>0.11616564305025649</v>
      </c>
      <c r="DF221" s="337">
        <f t="shared" si="46"/>
        <v>0.17424846457538473</v>
      </c>
      <c r="DH221" s="338">
        <f t="shared" si="47"/>
        <v>42705</v>
      </c>
      <c r="DI221" s="20">
        <v>0.9</v>
      </c>
    </row>
    <row r="222" spans="1:113">
      <c r="A222" s="34">
        <f t="shared" ca="1" si="39"/>
        <v>42979</v>
      </c>
      <c r="B222" s="20">
        <f>'Gas Curves'!C226</f>
        <v>7.4178624664568996E-2</v>
      </c>
      <c r="C222" s="20"/>
      <c r="D222" s="75">
        <v>41852</v>
      </c>
      <c r="E222" s="76">
        <v>75</v>
      </c>
      <c r="F222" s="76">
        <v>80</v>
      </c>
      <c r="G222" s="76">
        <v>85</v>
      </c>
      <c r="H222" s="56"/>
      <c r="I222" s="76">
        <v>23.099998092651362</v>
      </c>
      <c r="J222" s="76">
        <v>25.599998092651362</v>
      </c>
      <c r="K222" s="76">
        <v>28.099998092651362</v>
      </c>
      <c r="L222" s="27"/>
      <c r="M222" s="28">
        <v>42736</v>
      </c>
      <c r="N222" s="77">
        <v>29.79874839782714</v>
      </c>
      <c r="O222" s="77">
        <v>31.448748397827138</v>
      </c>
      <c r="P222" s="77">
        <v>33.098748397827137</v>
      </c>
      <c r="Q222" s="26"/>
      <c r="R222" s="77">
        <v>25.65250015258788</v>
      </c>
      <c r="S222" s="77">
        <v>29.952500152587881</v>
      </c>
      <c r="T222" s="77">
        <v>34.252500152587878</v>
      </c>
      <c r="U222" s="26"/>
      <c r="V222" s="77">
        <v>0.8</v>
      </c>
      <c r="W222" s="77">
        <v>0.8</v>
      </c>
      <c r="X222" s="77">
        <v>0.8</v>
      </c>
      <c r="Y222" s="26"/>
      <c r="Z222" s="77">
        <v>6.2497986948550709E-2</v>
      </c>
      <c r="AA222" s="77">
        <v>0.12499597389710142</v>
      </c>
      <c r="AB222" s="77">
        <v>0.18749396084565212</v>
      </c>
      <c r="AC222" s="26"/>
      <c r="AD222" s="77">
        <v>2.4826261816322606E-2</v>
      </c>
      <c r="AE222" s="77">
        <v>4.9652523632645211E-2</v>
      </c>
      <c r="AF222" s="77">
        <v>7.4478785448967813E-2</v>
      </c>
      <c r="AG222" s="26"/>
      <c r="AH222" s="77">
        <v>-0.75</v>
      </c>
      <c r="AI222" s="77">
        <v>2</v>
      </c>
      <c r="AJ222" s="77">
        <v>0.75</v>
      </c>
      <c r="AK222" s="26"/>
      <c r="AL222" s="77">
        <v>-0.15</v>
      </c>
      <c r="AM222" s="77">
        <v>0.5</v>
      </c>
      <c r="AN222" s="77">
        <v>0.2</v>
      </c>
      <c r="AO222" s="26"/>
      <c r="AP222" s="27">
        <v>68</v>
      </c>
      <c r="AQ222" s="78">
        <v>0.4</v>
      </c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8">
        <v>42736</v>
      </c>
      <c r="BI222" s="80">
        <v>0.9</v>
      </c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/>
      <c r="CP222"/>
      <c r="CQ222"/>
      <c r="CR222"/>
      <c r="CS222"/>
      <c r="CT222"/>
      <c r="CY222" s="338">
        <f t="shared" si="40"/>
        <v>42736</v>
      </c>
      <c r="CZ222" s="337">
        <f t="shared" si="41"/>
        <v>1.25</v>
      </c>
      <c r="DA222" s="337">
        <f t="shared" si="42"/>
        <v>2</v>
      </c>
      <c r="DB222" s="337">
        <f t="shared" si="43"/>
        <v>2.75</v>
      </c>
      <c r="DD222" s="337">
        <f t="shared" si="44"/>
        <v>6.2497986948550709E-2</v>
      </c>
      <c r="DE222" s="337">
        <f t="shared" si="45"/>
        <v>0.12499597389710142</v>
      </c>
      <c r="DF222" s="337">
        <f t="shared" si="46"/>
        <v>0.18749396084565212</v>
      </c>
      <c r="DH222" s="338">
        <f t="shared" si="47"/>
        <v>42736</v>
      </c>
      <c r="DI222" s="20">
        <v>0.9</v>
      </c>
    </row>
    <row r="223" spans="1:113">
      <c r="A223" s="34">
        <f t="shared" ca="1" si="39"/>
        <v>43009</v>
      </c>
      <c r="B223" s="20">
        <f>'Gas Curves'!C227</f>
        <v>7.4178339453718004E-2</v>
      </c>
      <c r="C223" s="20"/>
      <c r="D223" s="75">
        <v>41883</v>
      </c>
      <c r="E223" s="76">
        <v>32.65</v>
      </c>
      <c r="F223" s="76">
        <v>34.65</v>
      </c>
      <c r="G223" s="76">
        <v>36.65</v>
      </c>
      <c r="H223" s="56"/>
      <c r="I223" s="76">
        <v>20.149998092651362</v>
      </c>
      <c r="J223" s="76">
        <v>21.149998092651362</v>
      </c>
      <c r="K223" s="76">
        <v>22.149998092651362</v>
      </c>
      <c r="L223" s="27"/>
      <c r="M223" s="28">
        <v>42767</v>
      </c>
      <c r="N223" s="77">
        <v>28.796250152587881</v>
      </c>
      <c r="O223" s="77">
        <v>30.446250152587879</v>
      </c>
      <c r="P223" s="77">
        <v>32.096250152587878</v>
      </c>
      <c r="Q223" s="26"/>
      <c r="R223" s="77">
        <v>23.647499465942371</v>
      </c>
      <c r="S223" s="77">
        <v>27.947499465942371</v>
      </c>
      <c r="T223" s="77">
        <v>32.247499465942369</v>
      </c>
      <c r="U223" s="26"/>
      <c r="V223" s="77">
        <v>0.8</v>
      </c>
      <c r="W223" s="77">
        <v>0.8</v>
      </c>
      <c r="X223" s="77">
        <v>0.8</v>
      </c>
      <c r="Y223" s="26"/>
      <c r="Z223" s="77">
        <v>6.0297353605291863E-2</v>
      </c>
      <c r="AA223" s="77">
        <v>0.12059470721058373</v>
      </c>
      <c r="AB223" s="77">
        <v>0.18089206081587558</v>
      </c>
      <c r="AC223" s="26"/>
      <c r="AD223" s="77">
        <v>2.4826261816322606E-2</v>
      </c>
      <c r="AE223" s="77">
        <v>4.9652523632645211E-2</v>
      </c>
      <c r="AF223" s="77">
        <v>7.4478785448967813E-2</v>
      </c>
      <c r="AG223" s="26"/>
      <c r="AH223" s="77">
        <v>-0.75</v>
      </c>
      <c r="AI223" s="77">
        <v>2</v>
      </c>
      <c r="AJ223" s="77">
        <v>0.75</v>
      </c>
      <c r="AK223" s="26"/>
      <c r="AL223" s="77">
        <v>-0.15</v>
      </c>
      <c r="AM223" s="77">
        <v>0.5</v>
      </c>
      <c r="AN223" s="77">
        <v>0.2</v>
      </c>
      <c r="AO223" s="26"/>
      <c r="AP223" s="27">
        <v>69</v>
      </c>
      <c r="AQ223" s="78">
        <v>0.4</v>
      </c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8">
        <v>42767</v>
      </c>
      <c r="BI223" s="80">
        <v>0.9</v>
      </c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/>
      <c r="CP223"/>
      <c r="CQ223"/>
      <c r="CR223"/>
      <c r="CS223"/>
      <c r="CT223"/>
      <c r="CY223" s="338">
        <f t="shared" si="40"/>
        <v>42767</v>
      </c>
      <c r="CZ223" s="337">
        <f t="shared" si="41"/>
        <v>1.25</v>
      </c>
      <c r="DA223" s="337">
        <f t="shared" si="42"/>
        <v>2</v>
      </c>
      <c r="DB223" s="337">
        <f t="shared" si="43"/>
        <v>2.75</v>
      </c>
      <c r="DD223" s="337">
        <f t="shared" si="44"/>
        <v>6.0297353605291863E-2</v>
      </c>
      <c r="DE223" s="337">
        <f t="shared" si="45"/>
        <v>0.12059470721058373</v>
      </c>
      <c r="DF223" s="337">
        <f t="shared" si="46"/>
        <v>0.18089206081587558</v>
      </c>
      <c r="DH223" s="338">
        <f t="shared" si="47"/>
        <v>42767</v>
      </c>
      <c r="DI223" s="20">
        <v>0.9</v>
      </c>
    </row>
    <row r="224" spans="1:113">
      <c r="A224" s="34">
        <f t="shared" ca="1" si="39"/>
        <v>43040</v>
      </c>
      <c r="B224" s="20">
        <f>'Gas Curves'!C228</f>
        <v>7.4178044735838E-2</v>
      </c>
      <c r="C224" s="20"/>
      <c r="D224" s="75">
        <v>41913</v>
      </c>
      <c r="E224" s="76">
        <v>30.55</v>
      </c>
      <c r="F224" s="76">
        <v>32.4</v>
      </c>
      <c r="G224" s="76">
        <v>34.25</v>
      </c>
      <c r="H224" s="56"/>
      <c r="I224" s="76">
        <v>19.924998855590815</v>
      </c>
      <c r="J224" s="76">
        <v>20.849998855590815</v>
      </c>
      <c r="K224" s="76">
        <v>21.774998855590816</v>
      </c>
      <c r="L224" s="27"/>
      <c r="M224" s="28">
        <v>42795</v>
      </c>
      <c r="N224" s="77">
        <v>22.734749603271474</v>
      </c>
      <c r="O224" s="77">
        <v>23.634749603271473</v>
      </c>
      <c r="P224" s="77">
        <v>24.534749603271472</v>
      </c>
      <c r="Q224" s="26"/>
      <c r="R224" s="77">
        <v>18.964498901367175</v>
      </c>
      <c r="S224" s="77">
        <v>23.264498901367176</v>
      </c>
      <c r="T224" s="77">
        <v>27.564498901367177</v>
      </c>
      <c r="U224" s="26"/>
      <c r="V224" s="77">
        <v>0.3</v>
      </c>
      <c r="W224" s="77">
        <v>0.3</v>
      </c>
      <c r="X224" s="77">
        <v>0.3</v>
      </c>
      <c r="Y224" s="26"/>
      <c r="Z224" s="77">
        <v>5.8773415015085123E-2</v>
      </c>
      <c r="AA224" s="77">
        <v>0.11754683003017025</v>
      </c>
      <c r="AB224" s="77">
        <v>0.17632024504525537</v>
      </c>
      <c r="AC224" s="26"/>
      <c r="AD224" s="77">
        <v>2.1279652985419371E-2</v>
      </c>
      <c r="AE224" s="77">
        <v>4.2559305970838741E-2</v>
      </c>
      <c r="AF224" s="77">
        <v>6.3838958956258116E-2</v>
      </c>
      <c r="AG224" s="26"/>
      <c r="AH224" s="77">
        <v>-0.25</v>
      </c>
      <c r="AI224" s="77">
        <v>1.3</v>
      </c>
      <c r="AJ224" s="77">
        <v>0.3</v>
      </c>
      <c r="AK224" s="26"/>
      <c r="AL224" s="77">
        <v>-0.15</v>
      </c>
      <c r="AM224" s="77">
        <v>0.35</v>
      </c>
      <c r="AN224" s="77">
        <v>0.2</v>
      </c>
      <c r="AO224" s="26"/>
      <c r="AP224" s="27">
        <v>69</v>
      </c>
      <c r="AQ224" s="78">
        <v>0.4</v>
      </c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8">
        <v>42795</v>
      </c>
      <c r="BI224" s="80">
        <v>0.9</v>
      </c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/>
      <c r="CP224"/>
      <c r="CQ224"/>
      <c r="CR224"/>
      <c r="CS224"/>
      <c r="CT224"/>
      <c r="CY224" s="338">
        <f t="shared" si="40"/>
        <v>42795</v>
      </c>
      <c r="CZ224" s="337">
        <f t="shared" si="41"/>
        <v>1.05</v>
      </c>
      <c r="DA224" s="337">
        <f t="shared" si="42"/>
        <v>1.3</v>
      </c>
      <c r="DB224" s="337">
        <f t="shared" si="43"/>
        <v>1.6</v>
      </c>
      <c r="DD224" s="337">
        <f t="shared" si="44"/>
        <v>5.8773415015085123E-2</v>
      </c>
      <c r="DE224" s="337">
        <f t="shared" si="45"/>
        <v>0.11754683003017025</v>
      </c>
      <c r="DF224" s="337">
        <f t="shared" si="46"/>
        <v>0.17632024504525537</v>
      </c>
      <c r="DH224" s="338">
        <f t="shared" si="47"/>
        <v>42795</v>
      </c>
      <c r="DI224" s="20">
        <v>0.9</v>
      </c>
    </row>
    <row r="225" spans="1:113">
      <c r="A225" s="34">
        <f t="shared" ca="1" si="39"/>
        <v>43070</v>
      </c>
      <c r="B225" s="20">
        <f>'Gas Curves'!C229</f>
        <v>7.4177759524987008E-2</v>
      </c>
      <c r="C225" s="20"/>
      <c r="D225" s="75">
        <v>41944</v>
      </c>
      <c r="E225" s="76">
        <v>30.925000000000001</v>
      </c>
      <c r="F225" s="76">
        <v>32.774999999999999</v>
      </c>
      <c r="G225" s="76">
        <v>34.625</v>
      </c>
      <c r="H225" s="56"/>
      <c r="I225" s="76">
        <v>19.849998092651362</v>
      </c>
      <c r="J225" s="76">
        <v>20.774998092651362</v>
      </c>
      <c r="K225" s="76">
        <v>21.699998092651363</v>
      </c>
      <c r="L225" s="27"/>
      <c r="M225" s="28">
        <v>42826</v>
      </c>
      <c r="N225" s="77">
        <v>23.530000305175768</v>
      </c>
      <c r="O225" s="77">
        <v>24.31750030517577</v>
      </c>
      <c r="P225" s="77">
        <v>25.105000305175771</v>
      </c>
      <c r="Q225" s="26"/>
      <c r="R225" s="77">
        <v>18.734999084472644</v>
      </c>
      <c r="S225" s="77">
        <v>23.034999084472645</v>
      </c>
      <c r="T225" s="77">
        <v>27.334999084472646</v>
      </c>
      <c r="U225" s="26"/>
      <c r="V225" s="77">
        <v>0.3</v>
      </c>
      <c r="W225" s="77">
        <v>0.3</v>
      </c>
      <c r="X225" s="77">
        <v>0.3</v>
      </c>
      <c r="Y225" s="26"/>
      <c r="Z225" s="77">
        <v>5.2386076736276363E-2</v>
      </c>
      <c r="AA225" s="77">
        <v>0.10477215347255273</v>
      </c>
      <c r="AB225" s="77">
        <v>0.15715823020882908</v>
      </c>
      <c r="AC225" s="26"/>
      <c r="AD225" s="77">
        <v>2.1279652985419371E-2</v>
      </c>
      <c r="AE225" s="77">
        <v>4.2559305970838741E-2</v>
      </c>
      <c r="AF225" s="77">
        <v>6.3838958956258116E-2</v>
      </c>
      <c r="AG225" s="26"/>
      <c r="AH225" s="77">
        <v>-0.25</v>
      </c>
      <c r="AI225" s="77">
        <v>1.1000000000000001</v>
      </c>
      <c r="AJ225" s="77">
        <v>0.3</v>
      </c>
      <c r="AK225" s="26"/>
      <c r="AL225" s="77">
        <v>-0.15</v>
      </c>
      <c r="AM225" s="77">
        <v>0.35</v>
      </c>
      <c r="AN225" s="77">
        <v>0.2</v>
      </c>
      <c r="AO225" s="26"/>
      <c r="AP225" s="27">
        <v>69</v>
      </c>
      <c r="AQ225" s="78">
        <v>0.4</v>
      </c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8">
        <v>42826</v>
      </c>
      <c r="BI225" s="80">
        <v>0.9</v>
      </c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/>
      <c r="CP225"/>
      <c r="CQ225"/>
      <c r="CR225"/>
      <c r="CS225"/>
      <c r="CT225"/>
      <c r="CY225" s="338">
        <f t="shared" si="40"/>
        <v>42826</v>
      </c>
      <c r="CZ225" s="337">
        <f t="shared" si="41"/>
        <v>0.85000000000000009</v>
      </c>
      <c r="DA225" s="337">
        <f t="shared" si="42"/>
        <v>1.1000000000000001</v>
      </c>
      <c r="DB225" s="337">
        <f t="shared" si="43"/>
        <v>1.4000000000000001</v>
      </c>
      <c r="DD225" s="337">
        <f t="shared" si="44"/>
        <v>5.2386076736276363E-2</v>
      </c>
      <c r="DE225" s="337">
        <f t="shared" si="45"/>
        <v>0.10477215347255273</v>
      </c>
      <c r="DF225" s="337">
        <f t="shared" si="46"/>
        <v>0.15715823020882908</v>
      </c>
      <c r="DH225" s="338">
        <f t="shared" si="47"/>
        <v>42826</v>
      </c>
      <c r="DI225" s="20">
        <v>0.9</v>
      </c>
    </row>
    <row r="226" spans="1:113">
      <c r="A226" s="34">
        <f t="shared" ca="1" si="39"/>
        <v>43101</v>
      </c>
      <c r="B226" s="20">
        <f>'Gas Curves'!C230</f>
        <v>7.4177464807107005E-2</v>
      </c>
      <c r="C226" s="20"/>
      <c r="D226" s="75">
        <v>41974</v>
      </c>
      <c r="E226" s="76">
        <v>30.8</v>
      </c>
      <c r="F226" s="76">
        <v>32.65</v>
      </c>
      <c r="G226" s="76">
        <v>34.5</v>
      </c>
      <c r="H226" s="56"/>
      <c r="I226" s="76">
        <v>21.274999237060541</v>
      </c>
      <c r="J226" s="76">
        <v>22.199999237060542</v>
      </c>
      <c r="K226" s="76">
        <v>23.124999237060543</v>
      </c>
      <c r="L226" s="27"/>
      <c r="M226" s="28">
        <v>42856</v>
      </c>
      <c r="N226" s="77">
        <v>22.572500076293935</v>
      </c>
      <c r="O226" s="77">
        <v>24.432500076293934</v>
      </c>
      <c r="P226" s="77">
        <v>26.292500076293933</v>
      </c>
      <c r="Q226" s="26"/>
      <c r="R226" s="77">
        <v>19.264999771118152</v>
      </c>
      <c r="S226" s="77">
        <v>23.564999771118153</v>
      </c>
      <c r="T226" s="77">
        <v>27.864999771118153</v>
      </c>
      <c r="U226" s="26"/>
      <c r="V226" s="77">
        <v>0.3</v>
      </c>
      <c r="W226" s="77">
        <v>0.3</v>
      </c>
      <c r="X226" s="77">
        <v>0.3</v>
      </c>
      <c r="Y226" s="26"/>
      <c r="Z226" s="77">
        <v>6.0308356772008159E-2</v>
      </c>
      <c r="AA226" s="77">
        <v>0.12061671354401632</v>
      </c>
      <c r="AB226" s="77">
        <v>0.18092507031602448</v>
      </c>
      <c r="AC226" s="26"/>
      <c r="AD226" s="77">
        <v>2.4826261816322606E-2</v>
      </c>
      <c r="AE226" s="77">
        <v>4.9652523632645211E-2</v>
      </c>
      <c r="AF226" s="77">
        <v>7.4478785448967813E-2</v>
      </c>
      <c r="AG226" s="26"/>
      <c r="AH226" s="77">
        <v>-0.25</v>
      </c>
      <c r="AI226" s="77">
        <v>1.1000000000000001</v>
      </c>
      <c r="AJ226" s="77">
        <v>0.3</v>
      </c>
      <c r="AK226" s="26"/>
      <c r="AL226" s="77">
        <v>-0.15</v>
      </c>
      <c r="AM226" s="77">
        <v>0.5</v>
      </c>
      <c r="AN226" s="77">
        <v>0.2</v>
      </c>
      <c r="AO226" s="26"/>
      <c r="AP226" s="27">
        <v>70</v>
      </c>
      <c r="AQ226" s="78">
        <v>0.4</v>
      </c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8">
        <v>42856</v>
      </c>
      <c r="BI226" s="80">
        <v>0.9</v>
      </c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/>
      <c r="CP226"/>
      <c r="CQ226"/>
      <c r="CR226"/>
      <c r="CS226"/>
      <c r="CT226"/>
      <c r="CY226" s="338">
        <f t="shared" si="40"/>
        <v>42856</v>
      </c>
      <c r="CZ226" s="337">
        <f t="shared" si="41"/>
        <v>0.85000000000000009</v>
      </c>
      <c r="DA226" s="337">
        <f t="shared" si="42"/>
        <v>1.1000000000000001</v>
      </c>
      <c r="DB226" s="337">
        <f t="shared" si="43"/>
        <v>1.4000000000000001</v>
      </c>
      <c r="DD226" s="337">
        <f t="shared" si="44"/>
        <v>6.0308356772008159E-2</v>
      </c>
      <c r="DE226" s="337">
        <f t="shared" si="45"/>
        <v>0.12061671354401632</v>
      </c>
      <c r="DF226" s="337">
        <f t="shared" si="46"/>
        <v>0.18092507031602448</v>
      </c>
      <c r="DH226" s="338">
        <f t="shared" si="47"/>
        <v>42856</v>
      </c>
      <c r="DI226" s="20">
        <v>0.9</v>
      </c>
    </row>
    <row r="227" spans="1:113">
      <c r="A227" s="34">
        <f t="shared" ca="1" si="39"/>
        <v>43132</v>
      </c>
      <c r="B227" s="20">
        <f>'Gas Curves'!C231</f>
        <v>7.4177170089227001E-2</v>
      </c>
      <c r="C227" s="20"/>
      <c r="D227" s="75">
        <v>42005</v>
      </c>
      <c r="E227" s="76">
        <v>36.950000000000003</v>
      </c>
      <c r="F227" s="76">
        <v>38.950000000000003</v>
      </c>
      <c r="G227" s="76">
        <v>40.950000000000003</v>
      </c>
      <c r="H227" s="56"/>
      <c r="I227" s="76">
        <v>21.190000915527339</v>
      </c>
      <c r="J227" s="76">
        <v>22.190000915527339</v>
      </c>
      <c r="K227" s="76">
        <v>23.190000915527339</v>
      </c>
      <c r="L227" s="27"/>
      <c r="M227" s="28">
        <v>42887</v>
      </c>
      <c r="N227" s="77">
        <v>23.526250152587881</v>
      </c>
      <c r="O227" s="77">
        <v>28.858750152587881</v>
      </c>
      <c r="P227" s="77">
        <v>34.191250152587884</v>
      </c>
      <c r="Q227" s="26"/>
      <c r="R227" s="77">
        <v>18.042499542236317</v>
      </c>
      <c r="S227" s="77">
        <v>22.342499542236318</v>
      </c>
      <c r="T227" s="77">
        <v>26.642499542236319</v>
      </c>
      <c r="U227" s="26"/>
      <c r="V227" s="77">
        <v>0.3</v>
      </c>
      <c r="W227" s="77">
        <v>0.3</v>
      </c>
      <c r="X227" s="77">
        <v>0.3</v>
      </c>
      <c r="Y227" s="26"/>
      <c r="Z227" s="77">
        <v>7.5608260091015136E-2</v>
      </c>
      <c r="AA227" s="77">
        <v>0.15121652018203027</v>
      </c>
      <c r="AB227" s="77">
        <v>0.22682478027304542</v>
      </c>
      <c r="AC227" s="26"/>
      <c r="AD227" s="77">
        <v>3.1919479478129051E-2</v>
      </c>
      <c r="AE227" s="77">
        <v>6.3838958956258102E-2</v>
      </c>
      <c r="AF227" s="77">
        <v>9.5758438434387153E-2</v>
      </c>
      <c r="AG227" s="26"/>
      <c r="AH227" s="77">
        <v>-0.35</v>
      </c>
      <c r="AI227" s="77">
        <v>2</v>
      </c>
      <c r="AJ227" s="77">
        <v>0.3</v>
      </c>
      <c r="AK227" s="26"/>
      <c r="AL227" s="77">
        <v>-0.15</v>
      </c>
      <c r="AM227" s="77">
        <v>0.65</v>
      </c>
      <c r="AN227" s="77">
        <v>0.2</v>
      </c>
      <c r="AO227" s="26"/>
      <c r="AP227" s="27">
        <v>70</v>
      </c>
      <c r="AQ227" s="78">
        <v>0.4</v>
      </c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8">
        <v>42887</v>
      </c>
      <c r="BI227" s="80">
        <v>0.9</v>
      </c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/>
      <c r="CP227"/>
      <c r="CQ227"/>
      <c r="CR227"/>
      <c r="CS227"/>
      <c r="CT227"/>
      <c r="CY227" s="338">
        <f t="shared" si="40"/>
        <v>42887</v>
      </c>
      <c r="CZ227" s="337">
        <f t="shared" si="41"/>
        <v>1.65</v>
      </c>
      <c r="DA227" s="337">
        <f t="shared" si="42"/>
        <v>2</v>
      </c>
      <c r="DB227" s="337">
        <f t="shared" si="43"/>
        <v>2.2999999999999998</v>
      </c>
      <c r="DD227" s="337">
        <f t="shared" si="44"/>
        <v>7.5608260091015136E-2</v>
      </c>
      <c r="DE227" s="337">
        <f t="shared" si="45"/>
        <v>0.15121652018203027</v>
      </c>
      <c r="DF227" s="337">
        <f t="shared" si="46"/>
        <v>0.22682478027304542</v>
      </c>
      <c r="DH227" s="338">
        <f t="shared" si="47"/>
        <v>42887</v>
      </c>
      <c r="DI227" s="20">
        <v>0.9</v>
      </c>
    </row>
    <row r="228" spans="1:113">
      <c r="A228" s="34">
        <f t="shared" ca="1" si="39"/>
        <v>43160</v>
      </c>
      <c r="B228" s="20">
        <f>'Gas Curves'!C232</f>
        <v>7.4176903892433005E-2</v>
      </c>
      <c r="C228" s="20"/>
      <c r="D228" s="75">
        <v>42036</v>
      </c>
      <c r="E228" s="76">
        <v>36.950000000000003</v>
      </c>
      <c r="F228" s="76">
        <v>38.950000000000003</v>
      </c>
      <c r="G228" s="76">
        <v>40.950000000000003</v>
      </c>
      <c r="H228" s="56"/>
      <c r="I228" s="76">
        <v>20.999997711181635</v>
      </c>
      <c r="J228" s="76">
        <v>21.999997711181635</v>
      </c>
      <c r="K228" s="76">
        <v>22.999997711181635</v>
      </c>
      <c r="L228" s="27"/>
      <c r="M228" s="28">
        <v>42917</v>
      </c>
      <c r="N228" s="77">
        <v>38.311249542236368</v>
      </c>
      <c r="O228" s="77">
        <v>42.061249542236368</v>
      </c>
      <c r="P228" s="77">
        <v>45.811249542236368</v>
      </c>
      <c r="Q228" s="26"/>
      <c r="R228" s="77">
        <v>27.247499465942372</v>
      </c>
      <c r="S228" s="77">
        <v>31.547499465942373</v>
      </c>
      <c r="T228" s="77">
        <v>35.84749946594237</v>
      </c>
      <c r="U228" s="26"/>
      <c r="V228" s="77">
        <v>0.3</v>
      </c>
      <c r="W228" s="77">
        <v>0.3</v>
      </c>
      <c r="X228" s="77">
        <v>0.3</v>
      </c>
      <c r="Y228" s="26"/>
      <c r="Z228" s="77">
        <v>8.9472250153545763E-2</v>
      </c>
      <c r="AA228" s="77">
        <v>0.17894450030709153</v>
      </c>
      <c r="AB228" s="77">
        <v>0.26841675046063729</v>
      </c>
      <c r="AC228" s="26"/>
      <c r="AD228" s="77">
        <v>4.2559305970838741E-2</v>
      </c>
      <c r="AE228" s="77">
        <v>8.5118611941677483E-2</v>
      </c>
      <c r="AF228" s="77">
        <v>0.12767791791251623</v>
      </c>
      <c r="AG228" s="26"/>
      <c r="AH228" s="77">
        <v>-0.35</v>
      </c>
      <c r="AI228" s="77">
        <v>3</v>
      </c>
      <c r="AJ228" s="77">
        <v>0.5</v>
      </c>
      <c r="AK228" s="26"/>
      <c r="AL228" s="77">
        <v>-0.15</v>
      </c>
      <c r="AM228" s="77">
        <v>0.75</v>
      </c>
      <c r="AN228" s="77">
        <v>0.2</v>
      </c>
      <c r="AO228" s="26"/>
      <c r="AP228" s="27">
        <v>70</v>
      </c>
      <c r="AQ228" s="78">
        <v>0.4</v>
      </c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8">
        <v>42917</v>
      </c>
      <c r="BI228" s="80">
        <v>0.9</v>
      </c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/>
      <c r="CP228"/>
      <c r="CQ228"/>
      <c r="CR228"/>
      <c r="CS228"/>
      <c r="CT228"/>
      <c r="CY228" s="338">
        <f t="shared" si="40"/>
        <v>42917</v>
      </c>
      <c r="CZ228" s="337">
        <f t="shared" si="41"/>
        <v>2.65</v>
      </c>
      <c r="DA228" s="337">
        <f t="shared" si="42"/>
        <v>3</v>
      </c>
      <c r="DB228" s="337">
        <f t="shared" si="43"/>
        <v>3.5</v>
      </c>
      <c r="DD228" s="337">
        <f t="shared" si="44"/>
        <v>8.9472250153545763E-2</v>
      </c>
      <c r="DE228" s="337">
        <f t="shared" si="45"/>
        <v>0.17894450030709153</v>
      </c>
      <c r="DF228" s="337">
        <f t="shared" si="46"/>
        <v>0.26841675046063729</v>
      </c>
      <c r="DH228" s="338">
        <f t="shared" si="47"/>
        <v>42917</v>
      </c>
      <c r="DI228" s="20">
        <v>0.9</v>
      </c>
    </row>
    <row r="229" spans="1:113">
      <c r="A229" s="34">
        <f t="shared" ca="1" si="39"/>
        <v>43191</v>
      </c>
      <c r="B229" s="20">
        <f>'Gas Curves'!C233</f>
        <v>7.4176609174553002E-2</v>
      </c>
      <c r="C229" s="20"/>
      <c r="D229" s="75">
        <v>42064</v>
      </c>
      <c r="E229" s="76">
        <v>34.1</v>
      </c>
      <c r="F229" s="76">
        <v>35.200000000000003</v>
      </c>
      <c r="G229" s="76">
        <v>36.299999999999997</v>
      </c>
      <c r="H229" s="56"/>
      <c r="I229" s="76">
        <v>20.449999618530267</v>
      </c>
      <c r="J229" s="76">
        <v>20.999999618530268</v>
      </c>
      <c r="K229" s="76">
        <v>21.549999618530268</v>
      </c>
      <c r="L229" s="27"/>
      <c r="M229" s="28">
        <v>42948</v>
      </c>
      <c r="N229" s="77">
        <v>40.572499084472696</v>
      </c>
      <c r="O229" s="77">
        <v>44.322499084472696</v>
      </c>
      <c r="P229" s="77">
        <v>48.072499084472696</v>
      </c>
      <c r="Q229" s="26"/>
      <c r="R229" s="77">
        <v>28.745000839233409</v>
      </c>
      <c r="S229" s="77">
        <v>33.04500083923341</v>
      </c>
      <c r="T229" s="77">
        <v>37.345000839233407</v>
      </c>
      <c r="U229" s="26"/>
      <c r="V229" s="77">
        <v>0.3</v>
      </c>
      <c r="W229" s="77">
        <v>0.3</v>
      </c>
      <c r="X229" s="77">
        <v>0.3</v>
      </c>
      <c r="Y229" s="26"/>
      <c r="Z229" s="77">
        <v>8.8036336897069384E-2</v>
      </c>
      <c r="AA229" s="77">
        <v>0.17607267379413877</v>
      </c>
      <c r="AB229" s="77">
        <v>0.26410901069120818</v>
      </c>
      <c r="AC229" s="26"/>
      <c r="AD229" s="77">
        <v>4.2559305970838741E-2</v>
      </c>
      <c r="AE229" s="77">
        <v>8.5118611941677483E-2</v>
      </c>
      <c r="AF229" s="77">
        <v>0.12767791791251623</v>
      </c>
      <c r="AG229" s="26"/>
      <c r="AH229" s="77">
        <v>-0.35</v>
      </c>
      <c r="AI229" s="77">
        <v>3</v>
      </c>
      <c r="AJ229" s="77">
        <v>0.5</v>
      </c>
      <c r="AK229" s="26"/>
      <c r="AL229" s="77">
        <v>-0.15</v>
      </c>
      <c r="AM229" s="77">
        <v>0.75</v>
      </c>
      <c r="AN229" s="77">
        <v>0.2</v>
      </c>
      <c r="AO229" s="26"/>
      <c r="AP229" s="27">
        <v>71</v>
      </c>
      <c r="AQ229" s="78">
        <v>0.4</v>
      </c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8">
        <v>42948</v>
      </c>
      <c r="BI229" s="80">
        <v>0.9</v>
      </c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/>
      <c r="CP229"/>
      <c r="CQ229"/>
      <c r="CR229"/>
      <c r="CS229"/>
      <c r="CT229"/>
      <c r="CY229" s="338">
        <f t="shared" si="40"/>
        <v>42948</v>
      </c>
      <c r="CZ229" s="337">
        <f t="shared" si="41"/>
        <v>2.65</v>
      </c>
      <c r="DA229" s="337">
        <f t="shared" si="42"/>
        <v>3</v>
      </c>
      <c r="DB229" s="337">
        <f t="shared" si="43"/>
        <v>3.5</v>
      </c>
      <c r="DD229" s="337">
        <f t="shared" si="44"/>
        <v>8.8036336897069384E-2</v>
      </c>
      <c r="DE229" s="337">
        <f t="shared" si="45"/>
        <v>0.17607267379413877</v>
      </c>
      <c r="DF229" s="337">
        <f t="shared" si="46"/>
        <v>0.26410901069120818</v>
      </c>
      <c r="DH229" s="338">
        <f t="shared" si="47"/>
        <v>42948</v>
      </c>
      <c r="DI229" s="20">
        <v>0.9</v>
      </c>
    </row>
    <row r="230" spans="1:113">
      <c r="A230" s="34">
        <f t="shared" ca="1" si="39"/>
        <v>43221</v>
      </c>
      <c r="B230" s="20">
        <f>'Gas Curves'!C234</f>
        <v>7.4176323963701996E-2</v>
      </c>
      <c r="C230" s="20"/>
      <c r="D230" s="75">
        <v>42095</v>
      </c>
      <c r="E230" s="76">
        <v>33</v>
      </c>
      <c r="F230" s="76">
        <v>33.950000000000003</v>
      </c>
      <c r="G230" s="76">
        <v>34.9</v>
      </c>
      <c r="H230" s="56"/>
      <c r="I230" s="76">
        <v>20.524997711181634</v>
      </c>
      <c r="J230" s="76">
        <v>20.999997711181635</v>
      </c>
      <c r="K230" s="76">
        <v>21.474997711181636</v>
      </c>
      <c r="L230" s="27"/>
      <c r="M230" s="28">
        <v>42979</v>
      </c>
      <c r="N230" s="77">
        <v>23.979999160766589</v>
      </c>
      <c r="O230" s="77">
        <v>25.70499916076659</v>
      </c>
      <c r="P230" s="77">
        <v>27.429999160766592</v>
      </c>
      <c r="Q230" s="26"/>
      <c r="R230" s="77">
        <v>21.9</v>
      </c>
      <c r="S230" s="77">
        <v>26.2</v>
      </c>
      <c r="T230" s="77">
        <v>30.5</v>
      </c>
      <c r="U230" s="26"/>
      <c r="V230" s="77">
        <v>0.8</v>
      </c>
      <c r="W230" s="77">
        <v>0.8</v>
      </c>
      <c r="X230" s="77">
        <v>0.8</v>
      </c>
      <c r="Y230" s="26"/>
      <c r="Z230" s="77">
        <v>5.8327786763075207E-2</v>
      </c>
      <c r="AA230" s="77">
        <v>0.11665557352615041</v>
      </c>
      <c r="AB230" s="77">
        <v>0.17498336028922562</v>
      </c>
      <c r="AC230" s="26"/>
      <c r="AD230" s="77">
        <v>2.8372870647225826E-2</v>
      </c>
      <c r="AE230" s="77">
        <v>5.6745741294451653E-2</v>
      </c>
      <c r="AF230" s="77">
        <v>8.5118611941677483E-2</v>
      </c>
      <c r="AG230" s="26"/>
      <c r="AH230" s="77">
        <v>-0.35</v>
      </c>
      <c r="AI230" s="77">
        <v>1.5</v>
      </c>
      <c r="AJ230" s="77">
        <v>0.3</v>
      </c>
      <c r="AK230" s="26"/>
      <c r="AL230" s="77">
        <v>-0.15</v>
      </c>
      <c r="AM230" s="77">
        <v>0.4</v>
      </c>
      <c r="AN230" s="77">
        <v>0.2</v>
      </c>
      <c r="AO230" s="26"/>
      <c r="AP230" s="27">
        <v>71</v>
      </c>
      <c r="AQ230" s="78">
        <v>0.4</v>
      </c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8">
        <v>42979</v>
      </c>
      <c r="BI230" s="80">
        <v>0.9</v>
      </c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/>
      <c r="CP230"/>
      <c r="CQ230"/>
      <c r="CR230"/>
      <c r="CS230"/>
      <c r="CT230"/>
      <c r="CY230" s="338">
        <f t="shared" si="40"/>
        <v>42979</v>
      </c>
      <c r="CZ230" s="337">
        <f t="shared" si="41"/>
        <v>1.1499999999999999</v>
      </c>
      <c r="DA230" s="337">
        <f t="shared" si="42"/>
        <v>1.5</v>
      </c>
      <c r="DB230" s="337">
        <f t="shared" si="43"/>
        <v>1.8</v>
      </c>
      <c r="DD230" s="337">
        <f t="shared" si="44"/>
        <v>5.8327786763075207E-2</v>
      </c>
      <c r="DE230" s="337">
        <f t="shared" si="45"/>
        <v>0.11665557352615041</v>
      </c>
      <c r="DF230" s="337">
        <f t="shared" si="46"/>
        <v>0.17498336028922562</v>
      </c>
      <c r="DH230" s="338">
        <f t="shared" si="47"/>
        <v>42979</v>
      </c>
      <c r="DI230" s="20">
        <v>0.9</v>
      </c>
    </row>
    <row r="231" spans="1:113">
      <c r="A231" s="34">
        <f t="shared" ca="1" si="39"/>
        <v>43252</v>
      </c>
      <c r="B231" s="20">
        <f>'Gas Curves'!C235</f>
        <v>7.4176029245823005E-2</v>
      </c>
      <c r="C231" s="20"/>
      <c r="D231" s="75">
        <v>42125</v>
      </c>
      <c r="E231" s="76">
        <v>34.67</v>
      </c>
      <c r="F231" s="76">
        <v>37.15</v>
      </c>
      <c r="G231" s="76">
        <v>39.630000000000003</v>
      </c>
      <c r="H231" s="56"/>
      <c r="I231" s="76">
        <v>19.759997711181637</v>
      </c>
      <c r="J231" s="76">
        <v>20.999997711181635</v>
      </c>
      <c r="K231" s="76">
        <v>22.239997711181633</v>
      </c>
      <c r="L231" s="27"/>
      <c r="M231" s="28">
        <v>43009</v>
      </c>
      <c r="N231" s="77">
        <v>24.188000106811511</v>
      </c>
      <c r="O231" s="77">
        <v>25.800500106811512</v>
      </c>
      <c r="P231" s="77">
        <v>27.413000106811513</v>
      </c>
      <c r="Q231" s="26"/>
      <c r="R231" s="77">
        <v>19.500999832153308</v>
      </c>
      <c r="S231" s="77">
        <v>23.800999832153309</v>
      </c>
      <c r="T231" s="77">
        <v>28.10099983215331</v>
      </c>
      <c r="U231" s="26"/>
      <c r="V231" s="77">
        <v>0.8</v>
      </c>
      <c r="W231" s="77">
        <v>0.8</v>
      </c>
      <c r="X231" s="77">
        <v>0.8</v>
      </c>
      <c r="Y231" s="26"/>
      <c r="Z231" s="77">
        <v>5.3277333240296203E-2</v>
      </c>
      <c r="AA231" s="77">
        <v>0.10655466648059241</v>
      </c>
      <c r="AB231" s="77">
        <v>0.1598319997208886</v>
      </c>
      <c r="AC231" s="26"/>
      <c r="AD231" s="77">
        <v>2.1279652985419371E-2</v>
      </c>
      <c r="AE231" s="77">
        <v>4.2559305970838741E-2</v>
      </c>
      <c r="AF231" s="77">
        <v>6.3838958956258116E-2</v>
      </c>
      <c r="AG231" s="26"/>
      <c r="AH231" s="77">
        <v>-0.25</v>
      </c>
      <c r="AI231" s="77">
        <v>1.1000000000000001</v>
      </c>
      <c r="AJ231" s="77">
        <v>0.3</v>
      </c>
      <c r="AK231" s="26"/>
      <c r="AL231" s="77">
        <v>-0.15</v>
      </c>
      <c r="AM231" s="77">
        <v>0.35</v>
      </c>
      <c r="AN231" s="77">
        <v>0.2</v>
      </c>
      <c r="AO231" s="26"/>
      <c r="AP231" s="27">
        <v>71</v>
      </c>
      <c r="AQ231" s="78">
        <v>0.4</v>
      </c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8">
        <v>43009</v>
      </c>
      <c r="BI231" s="80">
        <v>0.9</v>
      </c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/>
      <c r="CP231"/>
      <c r="CQ231"/>
      <c r="CR231"/>
      <c r="CS231"/>
      <c r="CT231"/>
      <c r="CY231" s="338">
        <f t="shared" si="40"/>
        <v>43009</v>
      </c>
      <c r="CZ231" s="337">
        <f t="shared" si="41"/>
        <v>0.85000000000000009</v>
      </c>
      <c r="DA231" s="337">
        <f t="shared" si="42"/>
        <v>1.1000000000000001</v>
      </c>
      <c r="DB231" s="337">
        <f t="shared" si="43"/>
        <v>1.4000000000000001</v>
      </c>
      <c r="DD231" s="337">
        <f t="shared" si="44"/>
        <v>5.3277333240296203E-2</v>
      </c>
      <c r="DE231" s="337">
        <f t="shared" si="45"/>
        <v>0.10655466648059241</v>
      </c>
      <c r="DF231" s="337">
        <f t="shared" si="46"/>
        <v>0.1598319997208886</v>
      </c>
      <c r="DH231" s="338">
        <f t="shared" si="47"/>
        <v>43009</v>
      </c>
      <c r="DI231" s="20">
        <v>0.9</v>
      </c>
    </row>
    <row r="232" spans="1:113">
      <c r="A232" s="34">
        <f t="shared" ca="1" si="39"/>
        <v>43282</v>
      </c>
      <c r="B232" s="20">
        <f>'Gas Curves'!C236</f>
        <v>7.4175744034971999E-2</v>
      </c>
      <c r="C232" s="20"/>
      <c r="D232" s="75">
        <v>42156</v>
      </c>
      <c r="E232" s="76">
        <v>50.14</v>
      </c>
      <c r="F232" s="76">
        <v>57.25</v>
      </c>
      <c r="G232" s="76">
        <v>64.36</v>
      </c>
      <c r="H232" s="56"/>
      <c r="I232" s="76">
        <v>17.399998779296869</v>
      </c>
      <c r="J232" s="76">
        <v>20.954998779296869</v>
      </c>
      <c r="K232" s="76">
        <v>24.509998779296868</v>
      </c>
      <c r="L232" s="27"/>
      <c r="M232" s="28">
        <v>43040</v>
      </c>
      <c r="N232" s="77">
        <v>25.19225158691405</v>
      </c>
      <c r="O232" s="77">
        <v>26.804751586914051</v>
      </c>
      <c r="P232" s="77">
        <v>28.417251586914052</v>
      </c>
      <c r="Q232" s="26"/>
      <c r="R232" s="77">
        <v>20.504499816894519</v>
      </c>
      <c r="S232" s="77">
        <v>24.80449981689452</v>
      </c>
      <c r="T232" s="77">
        <v>29.104499816894521</v>
      </c>
      <c r="U232" s="26"/>
      <c r="V232" s="77">
        <v>0.8</v>
      </c>
      <c r="W232" s="77">
        <v>0.8</v>
      </c>
      <c r="X232" s="77">
        <v>0.8</v>
      </c>
      <c r="Y232" s="26"/>
      <c r="Z232" s="77">
        <v>5.3277333240296203E-2</v>
      </c>
      <c r="AA232" s="77">
        <v>0.10655466648059241</v>
      </c>
      <c r="AB232" s="77">
        <v>0.1598319997208886</v>
      </c>
      <c r="AC232" s="26"/>
      <c r="AD232" s="77">
        <v>2.1279652985419371E-2</v>
      </c>
      <c r="AE232" s="77">
        <v>4.2559305970838741E-2</v>
      </c>
      <c r="AF232" s="77">
        <v>6.3838958956258116E-2</v>
      </c>
      <c r="AG232" s="26"/>
      <c r="AH232" s="77">
        <v>-0.25</v>
      </c>
      <c r="AI232" s="77">
        <v>1.25</v>
      </c>
      <c r="AJ232" s="77">
        <v>0.3</v>
      </c>
      <c r="AK232" s="26"/>
      <c r="AL232" s="77">
        <v>-0.15</v>
      </c>
      <c r="AM232" s="77">
        <v>0.3</v>
      </c>
      <c r="AN232" s="77">
        <v>0.2</v>
      </c>
      <c r="AO232" s="26"/>
      <c r="AP232" s="27">
        <v>72</v>
      </c>
      <c r="AQ232" s="78">
        <v>0.4</v>
      </c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8">
        <v>43040</v>
      </c>
      <c r="BI232" s="80">
        <v>0.9</v>
      </c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/>
      <c r="CP232"/>
      <c r="CQ232"/>
      <c r="CR232"/>
      <c r="CS232"/>
      <c r="CT232"/>
      <c r="CY232" s="338">
        <f t="shared" si="40"/>
        <v>43040</v>
      </c>
      <c r="CZ232" s="337">
        <f t="shared" si="41"/>
        <v>1</v>
      </c>
      <c r="DA232" s="337">
        <f t="shared" si="42"/>
        <v>1.25</v>
      </c>
      <c r="DB232" s="337">
        <f t="shared" si="43"/>
        <v>1.55</v>
      </c>
      <c r="DD232" s="337">
        <f t="shared" si="44"/>
        <v>5.3277333240296203E-2</v>
      </c>
      <c r="DE232" s="337">
        <f t="shared" si="45"/>
        <v>0.10655466648059241</v>
      </c>
      <c r="DF232" s="337">
        <f t="shared" si="46"/>
        <v>0.1598319997208886</v>
      </c>
      <c r="DH232" s="338">
        <f t="shared" si="47"/>
        <v>43040</v>
      </c>
      <c r="DI232" s="20">
        <v>0.9</v>
      </c>
    </row>
    <row r="233" spans="1:113">
      <c r="A233" s="34">
        <f t="shared" ca="1" si="39"/>
        <v>43313</v>
      </c>
      <c r="B233" s="20">
        <f>'Gas Curves'!C237</f>
        <v>7.4175449317091996E-2</v>
      </c>
      <c r="C233" s="20"/>
      <c r="D233" s="75">
        <v>42186</v>
      </c>
      <c r="E233" s="76">
        <v>81.5</v>
      </c>
      <c r="F233" s="76">
        <v>86.5</v>
      </c>
      <c r="G233" s="76">
        <v>91.5</v>
      </c>
      <c r="H233" s="56"/>
      <c r="I233" s="76">
        <v>22.949997711181634</v>
      </c>
      <c r="J233" s="76">
        <v>25.449997711181634</v>
      </c>
      <c r="K233" s="76">
        <v>27.949997711181634</v>
      </c>
      <c r="L233" s="27"/>
      <c r="M233" s="28">
        <v>43070</v>
      </c>
      <c r="N233" s="77">
        <v>26.642498397827136</v>
      </c>
      <c r="O233" s="77">
        <v>28.254998397827137</v>
      </c>
      <c r="P233" s="77">
        <v>29.867498397827138</v>
      </c>
      <c r="Q233" s="26"/>
      <c r="R233" s="77">
        <v>20.449999237060535</v>
      </c>
      <c r="S233" s="77">
        <v>24.749999237060536</v>
      </c>
      <c r="T233" s="77">
        <v>29.049999237060536</v>
      </c>
      <c r="U233" s="26"/>
      <c r="V233" s="77">
        <v>0.8</v>
      </c>
      <c r="W233" s="77">
        <v>0.8</v>
      </c>
      <c r="X233" s="77">
        <v>0.8</v>
      </c>
      <c r="Y233" s="26"/>
      <c r="Z233" s="77">
        <v>5.5178680448871829E-2</v>
      </c>
      <c r="AA233" s="77">
        <v>0.11035736089774366</v>
      </c>
      <c r="AB233" s="77">
        <v>0.16553604134661548</v>
      </c>
      <c r="AC233" s="26"/>
      <c r="AD233" s="77">
        <v>2.1279652985419371E-2</v>
      </c>
      <c r="AE233" s="77">
        <v>4.2559305970838741E-2</v>
      </c>
      <c r="AF233" s="77">
        <v>6.3838958956258116E-2</v>
      </c>
      <c r="AG233" s="26"/>
      <c r="AH233" s="77">
        <v>-0.25</v>
      </c>
      <c r="AI233" s="77">
        <v>1.25</v>
      </c>
      <c r="AJ233" s="77">
        <v>0.3</v>
      </c>
      <c r="AK233" s="26"/>
      <c r="AL233" s="77">
        <v>-0.15</v>
      </c>
      <c r="AM233" s="77">
        <v>0.3</v>
      </c>
      <c r="AN233" s="77">
        <v>0.2</v>
      </c>
      <c r="AO233" s="26"/>
      <c r="AP233" s="27">
        <v>72</v>
      </c>
      <c r="AQ233" s="78">
        <v>0.4</v>
      </c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8">
        <v>43070</v>
      </c>
      <c r="BI233" s="80">
        <v>0.9</v>
      </c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/>
      <c r="CP233"/>
      <c r="CQ233"/>
      <c r="CR233"/>
      <c r="CS233"/>
      <c r="CT233"/>
      <c r="CY233" s="338">
        <f t="shared" si="40"/>
        <v>43070</v>
      </c>
      <c r="CZ233" s="337">
        <f t="shared" si="41"/>
        <v>1</v>
      </c>
      <c r="DA233" s="337">
        <f t="shared" si="42"/>
        <v>1.25</v>
      </c>
      <c r="DB233" s="337">
        <f t="shared" si="43"/>
        <v>1.55</v>
      </c>
      <c r="DD233" s="337">
        <f t="shared" si="44"/>
        <v>5.5178680448871829E-2</v>
      </c>
      <c r="DE233" s="337">
        <f t="shared" si="45"/>
        <v>0.11035736089774366</v>
      </c>
      <c r="DF233" s="337">
        <f t="shared" si="46"/>
        <v>0.16553604134661548</v>
      </c>
      <c r="DH233" s="338">
        <f t="shared" si="47"/>
        <v>43070</v>
      </c>
      <c r="DI233" s="20">
        <v>0.9</v>
      </c>
    </row>
    <row r="234" spans="1:113">
      <c r="A234" s="34">
        <f t="shared" ca="1" si="39"/>
        <v>43344</v>
      </c>
      <c r="B234" s="20">
        <f>'Gas Curves'!C238</f>
        <v>7.4175154599213006E-2</v>
      </c>
      <c r="C234" s="20"/>
      <c r="D234" s="75">
        <v>42217</v>
      </c>
      <c r="E234" s="76">
        <v>77</v>
      </c>
      <c r="F234" s="76">
        <v>82</v>
      </c>
      <c r="G234" s="76">
        <v>87</v>
      </c>
      <c r="H234" s="56"/>
      <c r="I234" s="76">
        <v>23.299998092651361</v>
      </c>
      <c r="J234" s="76">
        <v>25.799998092651361</v>
      </c>
      <c r="K234" s="76">
        <v>28.299998092651361</v>
      </c>
      <c r="L234" s="27"/>
      <c r="M234" s="28">
        <v>43101</v>
      </c>
      <c r="N234" s="77">
        <v>29.998748397827136</v>
      </c>
      <c r="O234" s="77">
        <v>31.648748397827138</v>
      </c>
      <c r="P234" s="77">
        <v>33.29874839782714</v>
      </c>
      <c r="Q234" s="26"/>
      <c r="R234" s="77">
        <v>25.852500152587879</v>
      </c>
      <c r="S234" s="77">
        <v>30.15250015258788</v>
      </c>
      <c r="T234" s="77">
        <v>34.452500152587881</v>
      </c>
      <c r="U234" s="26"/>
      <c r="V234" s="77">
        <v>0.8</v>
      </c>
      <c r="W234" s="77">
        <v>0.8</v>
      </c>
      <c r="X234" s="77">
        <v>0.8</v>
      </c>
      <c r="Y234" s="26"/>
      <c r="Z234" s="77">
        <v>5.937308760112317E-2</v>
      </c>
      <c r="AA234" s="77">
        <v>0.11874617520224634</v>
      </c>
      <c r="AB234" s="77">
        <v>0.17811926280336951</v>
      </c>
      <c r="AC234" s="26"/>
      <c r="AD234" s="77">
        <v>2.4329736579996153E-2</v>
      </c>
      <c r="AE234" s="77">
        <v>4.8659473159992306E-2</v>
      </c>
      <c r="AF234" s="77">
        <v>7.2989209739988459E-2</v>
      </c>
      <c r="AG234" s="26"/>
      <c r="AH234" s="77">
        <v>-0.75</v>
      </c>
      <c r="AI234" s="77">
        <v>2</v>
      </c>
      <c r="AJ234" s="77">
        <v>0.75</v>
      </c>
      <c r="AK234" s="26"/>
      <c r="AL234" s="77">
        <v>-0.15</v>
      </c>
      <c r="AM234" s="77">
        <v>0.5</v>
      </c>
      <c r="AN234" s="77">
        <v>0.2</v>
      </c>
      <c r="AO234" s="26"/>
      <c r="AP234" s="27">
        <v>72</v>
      </c>
      <c r="AQ234" s="78">
        <v>0.4</v>
      </c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8">
        <v>43101</v>
      </c>
      <c r="BI234" s="80">
        <v>0.9</v>
      </c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/>
      <c r="CP234"/>
      <c r="CQ234"/>
      <c r="CR234"/>
      <c r="CS234"/>
      <c r="CT234"/>
      <c r="CY234" s="338">
        <f t="shared" si="40"/>
        <v>43101</v>
      </c>
      <c r="CZ234" s="337">
        <f t="shared" si="41"/>
        <v>1.25</v>
      </c>
      <c r="DA234" s="337">
        <f t="shared" si="42"/>
        <v>2</v>
      </c>
      <c r="DB234" s="337">
        <f t="shared" si="43"/>
        <v>2.75</v>
      </c>
      <c r="DD234" s="337">
        <f t="shared" si="44"/>
        <v>5.937308760112317E-2</v>
      </c>
      <c r="DE234" s="337">
        <f t="shared" si="45"/>
        <v>0.11874617520224634</v>
      </c>
      <c r="DF234" s="337">
        <f t="shared" si="46"/>
        <v>0.17811926280336951</v>
      </c>
      <c r="DH234" s="338">
        <f t="shared" si="47"/>
        <v>43101</v>
      </c>
      <c r="DI234" s="20">
        <v>0.9</v>
      </c>
    </row>
    <row r="235" spans="1:113">
      <c r="A235" s="34">
        <f t="shared" ca="1" si="39"/>
        <v>43374</v>
      </c>
      <c r="B235" s="20">
        <f>'Gas Curves'!C239</f>
        <v>7.4174869388361001E-2</v>
      </c>
      <c r="C235" s="20"/>
      <c r="D235" s="75">
        <v>42248</v>
      </c>
      <c r="E235" s="76">
        <v>32.85</v>
      </c>
      <c r="F235" s="76">
        <v>34.950000000000003</v>
      </c>
      <c r="G235" s="76">
        <v>37.049999999999997</v>
      </c>
      <c r="H235" s="56"/>
      <c r="I235" s="76">
        <v>20.299998092651361</v>
      </c>
      <c r="J235" s="76">
        <v>21.349998092651362</v>
      </c>
      <c r="K235" s="76">
        <v>22.399998092651362</v>
      </c>
      <c r="L235" s="27"/>
      <c r="M235" s="28">
        <v>43132</v>
      </c>
      <c r="N235" s="77">
        <v>28.996250152587876</v>
      </c>
      <c r="O235" s="77">
        <v>30.646250152587879</v>
      </c>
      <c r="P235" s="77">
        <v>32.296250152587881</v>
      </c>
      <c r="Q235" s="26"/>
      <c r="R235" s="77">
        <v>23.84749946594237</v>
      </c>
      <c r="S235" s="77">
        <v>28.147499465942371</v>
      </c>
      <c r="T235" s="77">
        <v>32.447499465942371</v>
      </c>
      <c r="U235" s="26"/>
      <c r="V235" s="77">
        <v>0.8</v>
      </c>
      <c r="W235" s="77">
        <v>0.8</v>
      </c>
      <c r="X235" s="77">
        <v>0.8</v>
      </c>
      <c r="Y235" s="26"/>
      <c r="Z235" s="77">
        <v>5.7282485925027264E-2</v>
      </c>
      <c r="AA235" s="77">
        <v>0.11456497185005453</v>
      </c>
      <c r="AB235" s="77">
        <v>0.17184745777508179</v>
      </c>
      <c r="AC235" s="26"/>
      <c r="AD235" s="77">
        <v>2.4329736579996153E-2</v>
      </c>
      <c r="AE235" s="77">
        <v>4.8659473159992306E-2</v>
      </c>
      <c r="AF235" s="77">
        <v>7.2989209739988459E-2</v>
      </c>
      <c r="AG235" s="26"/>
      <c r="AH235" s="77">
        <v>-0.75</v>
      </c>
      <c r="AI235" s="77">
        <v>2</v>
      </c>
      <c r="AJ235" s="77">
        <v>0.75</v>
      </c>
      <c r="AK235" s="26"/>
      <c r="AL235" s="77">
        <v>-0.15</v>
      </c>
      <c r="AM235" s="77">
        <v>0.5</v>
      </c>
      <c r="AN235" s="77">
        <v>0.2</v>
      </c>
      <c r="AO235" s="26"/>
      <c r="AP235" s="27">
        <v>73</v>
      </c>
      <c r="AQ235" s="78">
        <v>0.4</v>
      </c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8">
        <v>43132</v>
      </c>
      <c r="BI235" s="80">
        <v>0.9</v>
      </c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/>
      <c r="CP235"/>
      <c r="CQ235"/>
      <c r="CR235"/>
      <c r="CS235"/>
      <c r="CT235"/>
      <c r="CY235" s="338">
        <f t="shared" si="40"/>
        <v>43132</v>
      </c>
      <c r="CZ235" s="337">
        <f t="shared" si="41"/>
        <v>1.25</v>
      </c>
      <c r="DA235" s="337">
        <f t="shared" si="42"/>
        <v>2</v>
      </c>
      <c r="DB235" s="337">
        <f t="shared" si="43"/>
        <v>2.75</v>
      </c>
      <c r="DD235" s="337">
        <f t="shared" si="44"/>
        <v>5.7282485925027264E-2</v>
      </c>
      <c r="DE235" s="337">
        <f t="shared" si="45"/>
        <v>0.11456497185005453</v>
      </c>
      <c r="DF235" s="337">
        <f t="shared" si="46"/>
        <v>0.17184745777508179</v>
      </c>
      <c r="DH235" s="338">
        <f t="shared" si="47"/>
        <v>43132</v>
      </c>
      <c r="DI235" s="20">
        <v>0.9</v>
      </c>
    </row>
    <row r="236" spans="1:113">
      <c r="A236" s="34">
        <f t="shared" ca="1" si="39"/>
        <v>43405</v>
      </c>
      <c r="B236" s="20">
        <f>'Gas Curves'!C240</f>
        <v>7.4174574670481996E-2</v>
      </c>
      <c r="C236" s="20"/>
      <c r="D236" s="75">
        <v>42278</v>
      </c>
      <c r="E236" s="76">
        <v>30.75</v>
      </c>
      <c r="F236" s="76">
        <v>32.700000000000003</v>
      </c>
      <c r="G236" s="76">
        <v>34.65</v>
      </c>
      <c r="H236" s="56"/>
      <c r="I236" s="76">
        <v>20.074998855590813</v>
      </c>
      <c r="J236" s="76">
        <v>21.049998855590815</v>
      </c>
      <c r="K236" s="76">
        <v>22.024998855590816</v>
      </c>
      <c r="L236" s="27"/>
      <c r="M236" s="28">
        <v>43160</v>
      </c>
      <c r="N236" s="77">
        <v>22.93474960327147</v>
      </c>
      <c r="O236" s="77">
        <v>23.834749603271472</v>
      </c>
      <c r="P236" s="77">
        <v>24.734749603271474</v>
      </c>
      <c r="Q236" s="26"/>
      <c r="R236" s="77">
        <v>19.164498901367175</v>
      </c>
      <c r="S236" s="77">
        <v>23.464498901367175</v>
      </c>
      <c r="T236" s="77">
        <v>27.764498901367176</v>
      </c>
      <c r="U236" s="26"/>
      <c r="V236" s="77">
        <v>0.3</v>
      </c>
      <c r="W236" s="77">
        <v>0.3</v>
      </c>
      <c r="X236" s="77">
        <v>0.3</v>
      </c>
      <c r="Y236" s="26"/>
      <c r="Z236" s="77">
        <v>5.5834744264330861E-2</v>
      </c>
      <c r="AA236" s="77">
        <v>0.11166948852866172</v>
      </c>
      <c r="AB236" s="77">
        <v>0.16750423279299259</v>
      </c>
      <c r="AC236" s="26"/>
      <c r="AD236" s="77">
        <v>2.0854059925710981E-2</v>
      </c>
      <c r="AE236" s="77">
        <v>4.1708119851421963E-2</v>
      </c>
      <c r="AF236" s="77">
        <v>6.2562179777132937E-2</v>
      </c>
      <c r="AG236" s="26"/>
      <c r="AH236" s="77">
        <v>-0.25</v>
      </c>
      <c r="AI236" s="77">
        <v>1.25</v>
      </c>
      <c r="AJ236" s="77">
        <v>0.3</v>
      </c>
      <c r="AK236" s="26"/>
      <c r="AL236" s="77">
        <v>-0.15</v>
      </c>
      <c r="AM236" s="77">
        <v>0.35</v>
      </c>
      <c r="AN236" s="77">
        <v>0.2</v>
      </c>
      <c r="AO236" s="26"/>
      <c r="AP236" s="27">
        <v>73</v>
      </c>
      <c r="AQ236" s="78">
        <v>0.4</v>
      </c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8">
        <v>43160</v>
      </c>
      <c r="BI236" s="80">
        <v>0.9</v>
      </c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/>
      <c r="CP236"/>
      <c r="CQ236"/>
      <c r="CR236"/>
      <c r="CS236"/>
      <c r="CT236"/>
      <c r="CY236" s="338">
        <f t="shared" si="40"/>
        <v>43160</v>
      </c>
      <c r="CZ236" s="337">
        <f t="shared" si="41"/>
        <v>1</v>
      </c>
      <c r="DA236" s="337">
        <f t="shared" si="42"/>
        <v>1.25</v>
      </c>
      <c r="DB236" s="337">
        <f t="shared" si="43"/>
        <v>1.55</v>
      </c>
      <c r="DD236" s="337">
        <f t="shared" si="44"/>
        <v>5.5834744264330861E-2</v>
      </c>
      <c r="DE236" s="337">
        <f t="shared" si="45"/>
        <v>0.11166948852866172</v>
      </c>
      <c r="DF236" s="337">
        <f t="shared" si="46"/>
        <v>0.16750423279299259</v>
      </c>
      <c r="DH236" s="338">
        <f t="shared" si="47"/>
        <v>43160</v>
      </c>
      <c r="DI236" s="20">
        <v>0.9</v>
      </c>
    </row>
    <row r="237" spans="1:113">
      <c r="A237" s="34">
        <f t="shared" ca="1" si="39"/>
        <v>43435</v>
      </c>
      <c r="B237" s="20">
        <f>'Gas Curves'!C241</f>
        <v>7.4174289459631004E-2</v>
      </c>
      <c r="C237" s="20"/>
      <c r="D237" s="75">
        <v>42309</v>
      </c>
      <c r="E237" s="76">
        <v>31.125</v>
      </c>
      <c r="F237" s="76">
        <v>33.075000000000003</v>
      </c>
      <c r="G237" s="76">
        <v>35.024999999999999</v>
      </c>
      <c r="H237" s="56"/>
      <c r="I237" s="76">
        <v>19.99999809265136</v>
      </c>
      <c r="J237" s="76">
        <v>20.974998092651362</v>
      </c>
      <c r="K237" s="76">
        <v>21.949998092651363</v>
      </c>
      <c r="L237" s="27"/>
      <c r="M237" s="28">
        <v>43191</v>
      </c>
      <c r="N237" s="77">
        <v>23.730000305175768</v>
      </c>
      <c r="O237" s="77">
        <v>24.517500305175769</v>
      </c>
      <c r="P237" s="77">
        <v>25.305000305175771</v>
      </c>
      <c r="Q237" s="26"/>
      <c r="R237" s="77">
        <v>18.934999084472643</v>
      </c>
      <c r="S237" s="77">
        <v>23.234999084472644</v>
      </c>
      <c r="T237" s="77">
        <v>27.534999084472645</v>
      </c>
      <c r="U237" s="26"/>
      <c r="V237" s="77">
        <v>0.3</v>
      </c>
      <c r="W237" s="77">
        <v>0.3</v>
      </c>
      <c r="X237" s="77">
        <v>0.3</v>
      </c>
      <c r="Y237" s="26"/>
      <c r="Z237" s="77">
        <v>4.976677289946254E-2</v>
      </c>
      <c r="AA237" s="77">
        <v>9.953354579892508E-2</v>
      </c>
      <c r="AB237" s="77">
        <v>0.14930031869838761</v>
      </c>
      <c r="AC237" s="26"/>
      <c r="AD237" s="77">
        <v>2.0854059925710981E-2</v>
      </c>
      <c r="AE237" s="77">
        <v>4.1708119851421963E-2</v>
      </c>
      <c r="AF237" s="77">
        <v>6.2562179777132937E-2</v>
      </c>
      <c r="AG237" s="26"/>
      <c r="AH237" s="77">
        <v>-0.25</v>
      </c>
      <c r="AI237" s="77">
        <v>1.25</v>
      </c>
      <c r="AJ237" s="77">
        <v>0.3</v>
      </c>
      <c r="AK237" s="26"/>
      <c r="AL237" s="77">
        <v>-0.15</v>
      </c>
      <c r="AM237" s="77">
        <v>0.35</v>
      </c>
      <c r="AN237" s="77">
        <v>0.2</v>
      </c>
      <c r="AO237" s="26"/>
      <c r="AP237" s="27">
        <v>73</v>
      </c>
      <c r="AQ237" s="78">
        <v>0.4</v>
      </c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8">
        <v>43191</v>
      </c>
      <c r="BI237" s="80">
        <v>0.9</v>
      </c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/>
      <c r="CP237"/>
      <c r="CQ237"/>
      <c r="CR237"/>
      <c r="CS237"/>
      <c r="CT237"/>
      <c r="CY237" s="338">
        <f t="shared" si="40"/>
        <v>43191</v>
      </c>
      <c r="CZ237" s="337">
        <f t="shared" si="41"/>
        <v>1</v>
      </c>
      <c r="DA237" s="337">
        <f t="shared" si="42"/>
        <v>1.25</v>
      </c>
      <c r="DB237" s="337">
        <f t="shared" si="43"/>
        <v>1.55</v>
      </c>
      <c r="DD237" s="337">
        <f t="shared" si="44"/>
        <v>4.976677289946254E-2</v>
      </c>
      <c r="DE237" s="337">
        <f t="shared" si="45"/>
        <v>9.953354579892508E-2</v>
      </c>
      <c r="DF237" s="337">
        <f t="shared" si="46"/>
        <v>0.14930031869838761</v>
      </c>
      <c r="DH237" s="338">
        <f t="shared" si="47"/>
        <v>43191</v>
      </c>
      <c r="DI237" s="20">
        <v>0.9</v>
      </c>
    </row>
    <row r="238" spans="1:113">
      <c r="A238" s="34">
        <f t="shared" ca="1" si="39"/>
        <v>43466</v>
      </c>
      <c r="B238" s="20">
        <f>'Gas Curves'!C242</f>
        <v>7.4173994741752E-2</v>
      </c>
      <c r="C238" s="20"/>
      <c r="D238" s="75">
        <v>42339</v>
      </c>
      <c r="E238" s="76">
        <v>31</v>
      </c>
      <c r="F238" s="76">
        <v>32.950000000000003</v>
      </c>
      <c r="G238" s="76">
        <v>34.9</v>
      </c>
      <c r="H238" s="56"/>
      <c r="I238" s="76">
        <v>21.42499923706054</v>
      </c>
      <c r="J238" s="76">
        <v>22.399999237060541</v>
      </c>
      <c r="K238" s="76">
        <v>23.374999237060543</v>
      </c>
      <c r="L238" s="27"/>
      <c r="M238" s="28">
        <v>43221</v>
      </c>
      <c r="N238" s="77">
        <v>22.772500076293934</v>
      </c>
      <c r="O238" s="77">
        <v>24.632500076293933</v>
      </c>
      <c r="P238" s="77">
        <v>26.492500076293933</v>
      </c>
      <c r="Q238" s="26"/>
      <c r="R238" s="77">
        <v>19.464999771118151</v>
      </c>
      <c r="S238" s="77">
        <v>23.764999771118152</v>
      </c>
      <c r="T238" s="77">
        <v>28.064999771118153</v>
      </c>
      <c r="U238" s="26"/>
      <c r="V238" s="77">
        <v>0.3</v>
      </c>
      <c r="W238" s="77">
        <v>0.3</v>
      </c>
      <c r="X238" s="77">
        <v>0.3</v>
      </c>
      <c r="Y238" s="26"/>
      <c r="Z238" s="77">
        <v>5.7292938933407749E-2</v>
      </c>
      <c r="AA238" s="77">
        <v>0.1145858778668155</v>
      </c>
      <c r="AB238" s="77">
        <v>0.17187881680022324</v>
      </c>
      <c r="AC238" s="26"/>
      <c r="AD238" s="77">
        <v>2.4329736579996153E-2</v>
      </c>
      <c r="AE238" s="77">
        <v>4.8659473159992306E-2</v>
      </c>
      <c r="AF238" s="77">
        <v>7.2989209739988459E-2</v>
      </c>
      <c r="AG238" s="26"/>
      <c r="AH238" s="77">
        <v>-0.25</v>
      </c>
      <c r="AI238" s="77">
        <v>1.25</v>
      </c>
      <c r="AJ238" s="77">
        <v>0.3</v>
      </c>
      <c r="AK238" s="26"/>
      <c r="AL238" s="77">
        <v>-0.15</v>
      </c>
      <c r="AM238" s="77">
        <v>0.5</v>
      </c>
      <c r="AN238" s="77">
        <v>0.2</v>
      </c>
      <c r="AO238" s="26"/>
      <c r="AP238" s="27">
        <v>74</v>
      </c>
      <c r="AQ238" s="78">
        <v>0.4</v>
      </c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8">
        <v>43221</v>
      </c>
      <c r="BI238" s="80">
        <v>0.9</v>
      </c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/>
      <c r="CP238"/>
      <c r="CQ238"/>
      <c r="CR238"/>
      <c r="CS238"/>
      <c r="CT238"/>
      <c r="CY238" s="338">
        <f t="shared" si="40"/>
        <v>43221</v>
      </c>
      <c r="CZ238" s="337">
        <f t="shared" si="41"/>
        <v>1</v>
      </c>
      <c r="DA238" s="337">
        <f t="shared" si="42"/>
        <v>1.25</v>
      </c>
      <c r="DB238" s="337">
        <f t="shared" si="43"/>
        <v>1.55</v>
      </c>
      <c r="DD238" s="337">
        <f t="shared" si="44"/>
        <v>5.7292938933407749E-2</v>
      </c>
      <c r="DE238" s="337">
        <f t="shared" si="45"/>
        <v>0.1145858778668155</v>
      </c>
      <c r="DF238" s="337">
        <f t="shared" si="46"/>
        <v>0.17187881680022324</v>
      </c>
      <c r="DH238" s="338">
        <f t="shared" si="47"/>
        <v>43221</v>
      </c>
      <c r="DI238" s="20">
        <v>0.9</v>
      </c>
    </row>
    <row r="239" spans="1:113">
      <c r="A239" s="34">
        <f t="shared" ca="1" si="39"/>
        <v>43497</v>
      </c>
      <c r="B239" s="20">
        <f>'Gas Curves'!C243</f>
        <v>7.4173700023872996E-2</v>
      </c>
      <c r="C239" s="20"/>
      <c r="D239" s="75">
        <v>42370</v>
      </c>
      <c r="E239" s="76">
        <v>37.15</v>
      </c>
      <c r="F239" s="76">
        <v>39.25</v>
      </c>
      <c r="G239" s="76">
        <v>41.35</v>
      </c>
      <c r="H239" s="56"/>
      <c r="I239" s="76">
        <v>21.340000915527337</v>
      </c>
      <c r="J239" s="76">
        <v>22.390000915527338</v>
      </c>
      <c r="K239" s="76">
        <v>23.440000915527339</v>
      </c>
      <c r="L239" s="27"/>
      <c r="M239" s="28">
        <v>43252</v>
      </c>
      <c r="N239" s="77">
        <v>23.72625015258788</v>
      </c>
      <c r="O239" s="77">
        <v>29.05875015258788</v>
      </c>
      <c r="P239" s="77">
        <v>34.39125015258788</v>
      </c>
      <c r="Q239" s="26"/>
      <c r="R239" s="77">
        <v>18.242499542236317</v>
      </c>
      <c r="S239" s="77">
        <v>22.542499542236317</v>
      </c>
      <c r="T239" s="77">
        <v>26.842499542236318</v>
      </c>
      <c r="U239" s="26"/>
      <c r="V239" s="77">
        <v>0.3</v>
      </c>
      <c r="W239" s="77">
        <v>0.3</v>
      </c>
      <c r="X239" s="77">
        <v>0.3</v>
      </c>
      <c r="Y239" s="26"/>
      <c r="Z239" s="77">
        <v>7.1827847086464378E-2</v>
      </c>
      <c r="AA239" s="77">
        <v>0.14365569417292876</v>
      </c>
      <c r="AB239" s="77">
        <v>0.21548354125939312</v>
      </c>
      <c r="AC239" s="26"/>
      <c r="AD239" s="77">
        <v>3.1281089888566468E-2</v>
      </c>
      <c r="AE239" s="77">
        <v>6.2562179777132937E-2</v>
      </c>
      <c r="AF239" s="77">
        <v>9.3843269665699405E-2</v>
      </c>
      <c r="AG239" s="26"/>
      <c r="AH239" s="77">
        <v>-0.25</v>
      </c>
      <c r="AI239" s="77">
        <v>1.25</v>
      </c>
      <c r="AJ239" s="77">
        <v>0.3</v>
      </c>
      <c r="AK239" s="26"/>
      <c r="AL239" s="77">
        <v>-0.15</v>
      </c>
      <c r="AM239" s="77">
        <v>0.65</v>
      </c>
      <c r="AN239" s="77">
        <v>0.2</v>
      </c>
      <c r="AO239" s="26"/>
      <c r="AP239" s="27">
        <v>74</v>
      </c>
      <c r="AQ239" s="78">
        <v>0.4</v>
      </c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8">
        <v>43252</v>
      </c>
      <c r="BI239" s="80">
        <v>0.9</v>
      </c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/>
      <c r="CP239"/>
      <c r="CQ239"/>
      <c r="CR239"/>
      <c r="CS239"/>
      <c r="CT239"/>
      <c r="CY239" s="338">
        <f t="shared" si="40"/>
        <v>43252</v>
      </c>
      <c r="CZ239" s="337">
        <f t="shared" si="41"/>
        <v>1</v>
      </c>
      <c r="DA239" s="337">
        <f t="shared" si="42"/>
        <v>1.25</v>
      </c>
      <c r="DB239" s="337">
        <f t="shared" si="43"/>
        <v>1.55</v>
      </c>
      <c r="DD239" s="337">
        <f t="shared" si="44"/>
        <v>7.1827847086464378E-2</v>
      </c>
      <c r="DE239" s="337">
        <f t="shared" si="45"/>
        <v>0.14365569417292876</v>
      </c>
      <c r="DF239" s="337">
        <f t="shared" si="46"/>
        <v>0.21548354125939312</v>
      </c>
      <c r="DH239" s="338">
        <f t="shared" si="47"/>
        <v>43252</v>
      </c>
      <c r="DI239" s="20">
        <v>0.9</v>
      </c>
    </row>
    <row r="240" spans="1:113">
      <c r="A240" s="34">
        <f t="shared" ca="1" si="39"/>
        <v>43525</v>
      </c>
      <c r="B240" s="20">
        <f>'Gas Curves'!C244</f>
        <v>7.4173433827078E-2</v>
      </c>
      <c r="C240" s="20"/>
      <c r="D240" s="75">
        <v>42401</v>
      </c>
      <c r="E240" s="76">
        <v>37.15</v>
      </c>
      <c r="F240" s="76">
        <v>39.25</v>
      </c>
      <c r="G240" s="76">
        <v>41.35</v>
      </c>
      <c r="H240" s="56"/>
      <c r="I240" s="76">
        <v>21.149997711181634</v>
      </c>
      <c r="J240" s="76">
        <v>22.199997711181634</v>
      </c>
      <c r="K240" s="76">
        <v>23.249997711181635</v>
      </c>
      <c r="L240" s="27"/>
      <c r="M240" s="28">
        <v>43282</v>
      </c>
      <c r="N240" s="77">
        <v>38.511249542236371</v>
      </c>
      <c r="O240" s="77">
        <v>42.261249542236371</v>
      </c>
      <c r="P240" s="77">
        <v>46.011249542236371</v>
      </c>
      <c r="Q240" s="26"/>
      <c r="R240" s="77">
        <v>27.447499465942371</v>
      </c>
      <c r="S240" s="77">
        <v>31.747499465942372</v>
      </c>
      <c r="T240" s="77">
        <v>36.047499465942373</v>
      </c>
      <c r="U240" s="26"/>
      <c r="V240" s="77">
        <v>0.3</v>
      </c>
      <c r="W240" s="77">
        <v>0.3</v>
      </c>
      <c r="X240" s="77">
        <v>0.3</v>
      </c>
      <c r="Y240" s="26"/>
      <c r="Z240" s="77">
        <v>8.4998637645868472E-2</v>
      </c>
      <c r="AA240" s="77">
        <v>0.16999727529173694</v>
      </c>
      <c r="AB240" s="77">
        <v>0.25499591293760543</v>
      </c>
      <c r="AC240" s="26"/>
      <c r="AD240" s="77">
        <v>4.1708119851421963E-2</v>
      </c>
      <c r="AE240" s="77">
        <v>8.3416239702843925E-2</v>
      </c>
      <c r="AF240" s="77">
        <v>0.12512435955426587</v>
      </c>
      <c r="AG240" s="26"/>
      <c r="AH240" s="77">
        <v>-0.25</v>
      </c>
      <c r="AI240" s="77">
        <v>1.25</v>
      </c>
      <c r="AJ240" s="77">
        <v>0.3</v>
      </c>
      <c r="AK240" s="26"/>
      <c r="AL240" s="77">
        <v>-0.15</v>
      </c>
      <c r="AM240" s="77">
        <v>0.75</v>
      </c>
      <c r="AN240" s="77">
        <v>0.2</v>
      </c>
      <c r="AO240" s="26"/>
      <c r="AP240" s="27">
        <v>74</v>
      </c>
      <c r="AQ240" s="78">
        <v>0.4</v>
      </c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8">
        <v>43282</v>
      </c>
      <c r="BI240" s="80">
        <v>0.9</v>
      </c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/>
      <c r="CP240"/>
      <c r="CQ240"/>
      <c r="CR240"/>
      <c r="CS240"/>
      <c r="CT240"/>
      <c r="CY240" s="338">
        <f t="shared" si="40"/>
        <v>43282</v>
      </c>
      <c r="CZ240" s="337">
        <f t="shared" si="41"/>
        <v>1</v>
      </c>
      <c r="DA240" s="337">
        <f t="shared" si="42"/>
        <v>1.25</v>
      </c>
      <c r="DB240" s="337">
        <f t="shared" si="43"/>
        <v>1.55</v>
      </c>
      <c r="DD240" s="337">
        <f t="shared" si="44"/>
        <v>8.4998637645868472E-2</v>
      </c>
      <c r="DE240" s="337">
        <f t="shared" si="45"/>
        <v>0.16999727529173694</v>
      </c>
      <c r="DF240" s="337">
        <f t="shared" si="46"/>
        <v>0.25499591293760543</v>
      </c>
      <c r="DH240" s="338">
        <f t="shared" si="47"/>
        <v>43282</v>
      </c>
      <c r="DI240" s="20">
        <v>0.9</v>
      </c>
    </row>
    <row r="241" spans="1:113">
      <c r="A241" s="34">
        <f t="shared" ca="1" si="39"/>
        <v>43556</v>
      </c>
      <c r="B241" s="20">
        <f>'Gas Curves'!C245</f>
        <v>7.4173139109198996E-2</v>
      </c>
      <c r="C241" s="20"/>
      <c r="D241" s="75">
        <v>42430</v>
      </c>
      <c r="E241" s="76">
        <v>34.35</v>
      </c>
      <c r="F241" s="76">
        <v>35.5</v>
      </c>
      <c r="G241" s="76">
        <v>36.65</v>
      </c>
      <c r="H241" s="56"/>
      <c r="I241" s="76">
        <v>20.624999618530268</v>
      </c>
      <c r="J241" s="76">
        <v>21.199999618530267</v>
      </c>
      <c r="K241" s="76">
        <v>21.774999618530266</v>
      </c>
      <c r="L241" s="27"/>
      <c r="M241" s="28">
        <v>43313</v>
      </c>
      <c r="N241" s="77">
        <v>40.772499084472699</v>
      </c>
      <c r="O241" s="77">
        <v>44.522499084472699</v>
      </c>
      <c r="P241" s="77">
        <v>48.272499084472699</v>
      </c>
      <c r="Q241" s="26"/>
      <c r="R241" s="77">
        <v>28.945000839233412</v>
      </c>
      <c r="S241" s="77">
        <v>33.245000839233413</v>
      </c>
      <c r="T241" s="77">
        <v>37.54500083923341</v>
      </c>
      <c r="U241" s="26"/>
      <c r="V241" s="77">
        <v>0.3</v>
      </c>
      <c r="W241" s="77">
        <v>0.3</v>
      </c>
      <c r="X241" s="77">
        <v>0.3</v>
      </c>
      <c r="Y241" s="26"/>
      <c r="Z241" s="77">
        <v>8.3634520052215916E-2</v>
      </c>
      <c r="AA241" s="77">
        <v>0.16726904010443183</v>
      </c>
      <c r="AB241" s="77">
        <v>0.25090356015664772</v>
      </c>
      <c r="AC241" s="26"/>
      <c r="AD241" s="77">
        <v>4.1708119851421963E-2</v>
      </c>
      <c r="AE241" s="77">
        <v>8.3416239702843925E-2</v>
      </c>
      <c r="AF241" s="77">
        <v>0.12512435955426587</v>
      </c>
      <c r="AG241" s="26"/>
      <c r="AH241" s="77">
        <v>-0.25</v>
      </c>
      <c r="AI241" s="77">
        <v>1.25</v>
      </c>
      <c r="AJ241" s="77">
        <v>0.3</v>
      </c>
      <c r="AK241" s="26"/>
      <c r="AL241" s="77">
        <v>-0.15</v>
      </c>
      <c r="AM241" s="77">
        <v>0.75</v>
      </c>
      <c r="AN241" s="77">
        <v>0.2</v>
      </c>
      <c r="AO241" s="26"/>
      <c r="AP241" s="27">
        <v>74</v>
      </c>
      <c r="AQ241" s="78">
        <v>0.4</v>
      </c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8">
        <v>43313</v>
      </c>
      <c r="BI241" s="80">
        <v>0.9</v>
      </c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/>
      <c r="CP241"/>
      <c r="CQ241"/>
      <c r="CR241"/>
      <c r="CS241"/>
      <c r="CT241"/>
      <c r="CY241" s="338">
        <f t="shared" si="40"/>
        <v>43313</v>
      </c>
      <c r="CZ241" s="337">
        <f t="shared" si="41"/>
        <v>1</v>
      </c>
      <c r="DA241" s="337">
        <f t="shared" si="42"/>
        <v>1.25</v>
      </c>
      <c r="DB241" s="337">
        <f t="shared" si="43"/>
        <v>1.55</v>
      </c>
      <c r="DD241" s="337">
        <f t="shared" si="44"/>
        <v>8.3634520052215916E-2</v>
      </c>
      <c r="DE241" s="337">
        <f t="shared" si="45"/>
        <v>0.16726904010443183</v>
      </c>
      <c r="DF241" s="337">
        <f t="shared" si="46"/>
        <v>0.25090356015664772</v>
      </c>
      <c r="DH241" s="338">
        <f t="shared" si="47"/>
        <v>43313</v>
      </c>
      <c r="DI241" s="20">
        <v>0.9</v>
      </c>
    </row>
    <row r="242" spans="1:113">
      <c r="A242" s="34">
        <f t="shared" ca="1" si="39"/>
        <v>43586</v>
      </c>
      <c r="B242" s="20">
        <f>'Gas Curves'!C246</f>
        <v>7.4172853898348004E-2</v>
      </c>
      <c r="C242" s="20"/>
      <c r="D242" s="75">
        <v>42461</v>
      </c>
      <c r="E242" s="76">
        <v>33.25</v>
      </c>
      <c r="F242" s="76">
        <v>34.25</v>
      </c>
      <c r="G242" s="76">
        <v>35.25</v>
      </c>
      <c r="H242" s="56"/>
      <c r="I242" s="76">
        <v>20.699997711181634</v>
      </c>
      <c r="J242" s="76">
        <v>21.199997711181634</v>
      </c>
      <c r="K242" s="76">
        <v>21.699997711181634</v>
      </c>
      <c r="L242" s="27"/>
      <c r="M242" s="28">
        <v>43344</v>
      </c>
      <c r="N242" s="77">
        <v>24.179999160766588</v>
      </c>
      <c r="O242" s="77">
        <v>25.904999160766589</v>
      </c>
      <c r="P242" s="77">
        <v>27.629999160766591</v>
      </c>
      <c r="Q242" s="26"/>
      <c r="R242" s="77">
        <v>22.1</v>
      </c>
      <c r="S242" s="77">
        <v>26.4</v>
      </c>
      <c r="T242" s="77">
        <v>30.7</v>
      </c>
      <c r="U242" s="26"/>
      <c r="V242" s="77">
        <v>0.8</v>
      </c>
      <c r="W242" s="77">
        <v>0.8</v>
      </c>
      <c r="X242" s="77">
        <v>0.8</v>
      </c>
      <c r="Y242" s="26"/>
      <c r="Z242" s="77">
        <v>5.5411397424921446E-2</v>
      </c>
      <c r="AA242" s="77">
        <v>0.11082279484984289</v>
      </c>
      <c r="AB242" s="77">
        <v>0.16623419227476433</v>
      </c>
      <c r="AC242" s="26"/>
      <c r="AD242" s="77">
        <v>2.7805413234281311E-2</v>
      </c>
      <c r="AE242" s="77">
        <v>5.5610826468562621E-2</v>
      </c>
      <c r="AF242" s="77">
        <v>8.3416239702843925E-2</v>
      </c>
      <c r="AG242" s="26"/>
      <c r="AH242" s="77">
        <v>-0.25</v>
      </c>
      <c r="AI242" s="77">
        <v>1.25</v>
      </c>
      <c r="AJ242" s="77">
        <v>0.3</v>
      </c>
      <c r="AK242" s="26"/>
      <c r="AL242" s="77">
        <v>-0.15</v>
      </c>
      <c r="AM242" s="77">
        <v>0.4</v>
      </c>
      <c r="AN242" s="77">
        <v>0.2</v>
      </c>
      <c r="AO242" s="26"/>
      <c r="AP242" s="27">
        <v>74</v>
      </c>
      <c r="AQ242" s="78">
        <v>0.4</v>
      </c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8">
        <v>43344</v>
      </c>
      <c r="BI242" s="80">
        <v>0.9</v>
      </c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/>
      <c r="CP242"/>
      <c r="CQ242"/>
      <c r="CR242"/>
      <c r="CS242"/>
      <c r="CT242"/>
      <c r="CY242" s="338">
        <f t="shared" si="40"/>
        <v>43344</v>
      </c>
      <c r="CZ242" s="337">
        <f t="shared" si="41"/>
        <v>1</v>
      </c>
      <c r="DA242" s="337">
        <f t="shared" si="42"/>
        <v>1.25</v>
      </c>
      <c r="DB242" s="337">
        <f t="shared" si="43"/>
        <v>1.55</v>
      </c>
      <c r="DD242" s="337">
        <f t="shared" si="44"/>
        <v>5.5411397424921446E-2</v>
      </c>
      <c r="DE242" s="337">
        <f t="shared" si="45"/>
        <v>0.11082279484984289</v>
      </c>
      <c r="DF242" s="337">
        <f t="shared" si="46"/>
        <v>0.16623419227476433</v>
      </c>
      <c r="DH242" s="338">
        <f t="shared" si="47"/>
        <v>43344</v>
      </c>
      <c r="DI242" s="20">
        <v>0.9</v>
      </c>
    </row>
    <row r="243" spans="1:113">
      <c r="A243" s="34">
        <f t="shared" ca="1" si="39"/>
        <v>43617</v>
      </c>
      <c r="B243" s="20">
        <f>'Gas Curves'!C247</f>
        <v>7.4172559180469E-2</v>
      </c>
      <c r="C243" s="20"/>
      <c r="D243" s="75">
        <v>42491</v>
      </c>
      <c r="E243" s="76">
        <v>35.17</v>
      </c>
      <c r="F243" s="76">
        <v>37.65</v>
      </c>
      <c r="G243" s="76">
        <v>40.130000000000003</v>
      </c>
      <c r="H243" s="56"/>
      <c r="I243" s="76">
        <v>19.959997711181636</v>
      </c>
      <c r="J243" s="76">
        <v>21.199997711181634</v>
      </c>
      <c r="K243" s="76">
        <v>22.439997711181633</v>
      </c>
      <c r="L243" s="27"/>
      <c r="M243" s="28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8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/>
      <c r="CP243"/>
      <c r="CQ243"/>
      <c r="CR243"/>
      <c r="CS243"/>
      <c r="CT243"/>
      <c r="CY243" s="338">
        <f>IF(M243=0,EOMONTH(CY242,0)+1,M243)</f>
        <v>43374</v>
      </c>
      <c r="CZ243" s="337">
        <f>IF(AI243=0,CZ231,AH243+AI243)</f>
        <v>0.85000000000000009</v>
      </c>
      <c r="DA243" s="337">
        <f>IF(AI243=0,DA231,AI243)</f>
        <v>1.1000000000000001</v>
      </c>
      <c r="DB243" s="337">
        <f>IF(AI243=0,DB231,AI243+AJ243)</f>
        <v>1.4000000000000001</v>
      </c>
      <c r="DD243" s="129">
        <f>IF(Z243=0,DD231,Z243)</f>
        <v>5.3277333240296203E-2</v>
      </c>
      <c r="DE243" s="129">
        <f>IF(AA243=0,DE231,AA243)</f>
        <v>0.10655466648059241</v>
      </c>
      <c r="DF243" s="129">
        <f>IF(AB243=0,DF231,AB243)</f>
        <v>0.1598319997208886</v>
      </c>
      <c r="DH243" s="338">
        <f t="shared" ref="DH243:DH274" si="48">IF(BH243=0,EOMONTH(DH242,0)+1,BH243)</f>
        <v>43374</v>
      </c>
      <c r="DI243" s="20">
        <v>0.9</v>
      </c>
    </row>
    <row r="244" spans="1:113">
      <c r="A244" s="34">
        <f t="shared" ca="1" si="39"/>
        <v>43647</v>
      </c>
      <c r="B244" s="20">
        <f>'Gas Curves'!C248</f>
        <v>7.4172273969618008E-2</v>
      </c>
      <c r="C244" s="20"/>
      <c r="D244" s="75">
        <v>42522</v>
      </c>
      <c r="E244" s="76">
        <v>51.14</v>
      </c>
      <c r="F244" s="76">
        <v>58.25</v>
      </c>
      <c r="G244" s="76">
        <v>65.36</v>
      </c>
      <c r="H244" s="56"/>
      <c r="I244" s="76">
        <v>17.599998779296868</v>
      </c>
      <c r="J244" s="76">
        <v>21.154998779296868</v>
      </c>
      <c r="K244" s="76">
        <v>24.709998779296868</v>
      </c>
      <c r="L244" s="27"/>
      <c r="M244" s="28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8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/>
      <c r="CP244"/>
      <c r="CQ244"/>
      <c r="CR244"/>
      <c r="CS244"/>
      <c r="CT244"/>
      <c r="CY244" s="338">
        <f t="shared" ref="CY244:CY275" si="49">EOMONTH(CY243,0)+1</f>
        <v>43405</v>
      </c>
      <c r="CZ244" s="337">
        <f t="shared" ref="CZ244:CZ285" si="50">IF(AI244=0,CZ232,AH244+AI244)</f>
        <v>1</v>
      </c>
      <c r="DA244" s="337">
        <f t="shared" ref="DA244:DA285" si="51">IF(AI244=0,DA232,AI244)</f>
        <v>1.25</v>
      </c>
      <c r="DB244" s="337">
        <f t="shared" ref="DB244:DB285" si="52">IF(AI244=0,DB232,AI244+AJ244)</f>
        <v>1.55</v>
      </c>
      <c r="DD244" s="129">
        <f t="shared" ref="DD244:DD285" si="53">IF(Z244=0,DD232,Z244)</f>
        <v>5.3277333240296203E-2</v>
      </c>
      <c r="DE244" s="129">
        <f t="shared" ref="DE244:DE285" si="54">IF(AA244=0,DE232,AA244)</f>
        <v>0.10655466648059241</v>
      </c>
      <c r="DF244" s="129">
        <f t="shared" ref="DF244:DF285" si="55">IF(AB244=0,DF232,AB244)</f>
        <v>0.1598319997208886</v>
      </c>
      <c r="DH244" s="338">
        <f t="shared" si="48"/>
        <v>43405</v>
      </c>
      <c r="DI244" s="20">
        <v>0.9</v>
      </c>
    </row>
    <row r="245" spans="1:113">
      <c r="A245" s="34">
        <f t="shared" ca="1" si="39"/>
        <v>43678</v>
      </c>
      <c r="B245" s="20">
        <f>'Gas Curves'!C249</f>
        <v>7.4171979251739004E-2</v>
      </c>
      <c r="C245" s="20"/>
      <c r="D245" s="75">
        <v>42552</v>
      </c>
      <c r="E245" s="76">
        <v>83.5</v>
      </c>
      <c r="F245" s="76">
        <v>88.5</v>
      </c>
      <c r="G245" s="76">
        <v>93.5</v>
      </c>
      <c r="H245" s="56"/>
      <c r="I245" s="76">
        <v>23.149997711181634</v>
      </c>
      <c r="J245" s="76">
        <v>25.649997711181634</v>
      </c>
      <c r="K245" s="76">
        <v>28.149997711181634</v>
      </c>
      <c r="L245" s="27"/>
      <c r="M245" s="28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8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/>
      <c r="CP245"/>
      <c r="CQ245"/>
      <c r="CR245"/>
      <c r="CS245"/>
      <c r="CT245"/>
      <c r="CY245" s="338">
        <f t="shared" si="49"/>
        <v>43435</v>
      </c>
      <c r="CZ245" s="337">
        <f t="shared" si="50"/>
        <v>1</v>
      </c>
      <c r="DA245" s="337">
        <f t="shared" si="51"/>
        <v>1.25</v>
      </c>
      <c r="DB245" s="337">
        <f t="shared" si="52"/>
        <v>1.55</v>
      </c>
      <c r="DD245" s="129">
        <f t="shared" si="53"/>
        <v>5.5178680448871829E-2</v>
      </c>
      <c r="DE245" s="129">
        <f t="shared" si="54"/>
        <v>0.11035736089774366</v>
      </c>
      <c r="DF245" s="129">
        <f t="shared" si="55"/>
        <v>0.16553604134661548</v>
      </c>
      <c r="DH245" s="338">
        <f t="shared" si="48"/>
        <v>43435</v>
      </c>
      <c r="DI245" s="20">
        <v>0.9</v>
      </c>
    </row>
    <row r="246" spans="1:113">
      <c r="A246" s="34">
        <f t="shared" ca="1" si="39"/>
        <v>43709</v>
      </c>
      <c r="B246" s="20">
        <f>'Gas Curves'!C250</f>
        <v>7.4171684533859999E-2</v>
      </c>
      <c r="C246" s="20"/>
      <c r="D246" s="75">
        <v>42583</v>
      </c>
      <c r="E246" s="76">
        <v>79</v>
      </c>
      <c r="F246" s="76">
        <v>84</v>
      </c>
      <c r="G246" s="76">
        <v>89</v>
      </c>
      <c r="H246" s="56"/>
      <c r="I246" s="76">
        <v>23.49999809265136</v>
      </c>
      <c r="J246" s="76">
        <v>25.99999809265136</v>
      </c>
      <c r="K246" s="76">
        <v>28.49999809265136</v>
      </c>
      <c r="L246" s="27"/>
      <c r="M246" s="28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8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/>
      <c r="CP246"/>
      <c r="CQ246"/>
      <c r="CR246"/>
      <c r="CS246"/>
      <c r="CT246"/>
      <c r="CY246" s="338">
        <f t="shared" si="49"/>
        <v>43466</v>
      </c>
      <c r="CZ246" s="337">
        <f t="shared" si="50"/>
        <v>1.25</v>
      </c>
      <c r="DA246" s="337">
        <f t="shared" si="51"/>
        <v>2</v>
      </c>
      <c r="DB246" s="337">
        <f t="shared" si="52"/>
        <v>2.75</v>
      </c>
      <c r="DD246" s="129">
        <f t="shared" si="53"/>
        <v>5.937308760112317E-2</v>
      </c>
      <c r="DE246" s="129">
        <f t="shared" si="54"/>
        <v>0.11874617520224634</v>
      </c>
      <c r="DF246" s="129">
        <f t="shared" si="55"/>
        <v>0.17811926280336951</v>
      </c>
      <c r="DH246" s="338">
        <f t="shared" si="48"/>
        <v>43466</v>
      </c>
      <c r="DI246" s="20">
        <v>0.9</v>
      </c>
    </row>
    <row r="247" spans="1:113">
      <c r="A247" s="34">
        <f t="shared" ca="1" si="39"/>
        <v>43739</v>
      </c>
      <c r="B247" s="20">
        <f>'Gas Curves'!C251</f>
        <v>7.4171399323009993E-2</v>
      </c>
      <c r="C247" s="20"/>
      <c r="D247" s="75">
        <v>42614</v>
      </c>
      <c r="E247" s="76">
        <v>33.049999999999997</v>
      </c>
      <c r="F247" s="76">
        <v>35.25</v>
      </c>
      <c r="G247" s="76">
        <v>37.450000000000003</v>
      </c>
      <c r="H247" s="56"/>
      <c r="I247" s="76">
        <v>20.449998092651359</v>
      </c>
      <c r="J247" s="76">
        <v>21.549998092651361</v>
      </c>
      <c r="K247" s="76">
        <v>22.649998092651362</v>
      </c>
      <c r="L247" s="27"/>
      <c r="M247" s="28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8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/>
      <c r="CP247"/>
      <c r="CQ247"/>
      <c r="CR247"/>
      <c r="CS247"/>
      <c r="CT247"/>
      <c r="CY247" s="338">
        <f t="shared" si="49"/>
        <v>43497</v>
      </c>
      <c r="CZ247" s="337">
        <f t="shared" si="50"/>
        <v>1.25</v>
      </c>
      <c r="DA247" s="337">
        <f t="shared" si="51"/>
        <v>2</v>
      </c>
      <c r="DB247" s="337">
        <f t="shared" si="52"/>
        <v>2.75</v>
      </c>
      <c r="DD247" s="129">
        <f t="shared" si="53"/>
        <v>5.7282485925027264E-2</v>
      </c>
      <c r="DE247" s="129">
        <f t="shared" si="54"/>
        <v>0.11456497185005453</v>
      </c>
      <c r="DF247" s="129">
        <f t="shared" si="55"/>
        <v>0.17184745777508179</v>
      </c>
      <c r="DH247" s="338">
        <f t="shared" si="48"/>
        <v>43497</v>
      </c>
      <c r="DI247" s="20">
        <v>0.9</v>
      </c>
    </row>
    <row r="248" spans="1:113">
      <c r="A248" s="34">
        <f t="shared" ca="1" si="39"/>
        <v>43770</v>
      </c>
      <c r="B248" s="20">
        <f>'Gas Curves'!C252</f>
        <v>7.4171104605130003E-2</v>
      </c>
      <c r="C248" s="20"/>
      <c r="D248" s="75">
        <v>42644</v>
      </c>
      <c r="E248" s="76">
        <v>30.95</v>
      </c>
      <c r="F248" s="76">
        <v>33</v>
      </c>
      <c r="G248" s="76">
        <v>35.049999999999997</v>
      </c>
      <c r="H248" s="56"/>
      <c r="I248" s="76">
        <v>20.224998855590812</v>
      </c>
      <c r="J248" s="76">
        <v>21.249998855590814</v>
      </c>
      <c r="K248" s="76">
        <v>22.274998855590816</v>
      </c>
      <c r="L248" s="27"/>
      <c r="M248" s="28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8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/>
      <c r="CP248"/>
      <c r="CQ248"/>
      <c r="CR248"/>
      <c r="CS248"/>
      <c r="CT248"/>
      <c r="CY248" s="338">
        <f t="shared" si="49"/>
        <v>43525</v>
      </c>
      <c r="CZ248" s="337">
        <f t="shared" si="50"/>
        <v>1</v>
      </c>
      <c r="DA248" s="337">
        <f t="shared" si="51"/>
        <v>1.25</v>
      </c>
      <c r="DB248" s="337">
        <f t="shared" si="52"/>
        <v>1.55</v>
      </c>
      <c r="DD248" s="129">
        <f t="shared" si="53"/>
        <v>5.5834744264330861E-2</v>
      </c>
      <c r="DE248" s="129">
        <f t="shared" si="54"/>
        <v>0.11166948852866172</v>
      </c>
      <c r="DF248" s="129">
        <f t="shared" si="55"/>
        <v>0.16750423279299259</v>
      </c>
      <c r="DH248" s="338">
        <f t="shared" si="48"/>
        <v>43525</v>
      </c>
      <c r="DI248" s="20">
        <v>0.9</v>
      </c>
    </row>
    <row r="249" spans="1:113">
      <c r="A249" s="34">
        <f t="shared" ca="1" si="39"/>
        <v>43800</v>
      </c>
      <c r="B249" s="20">
        <f>'Gas Curves'!C253</f>
        <v>7.4170819394279996E-2</v>
      </c>
      <c r="C249" s="20"/>
      <c r="D249" s="75">
        <v>42675</v>
      </c>
      <c r="E249" s="76">
        <v>31.324999999999999</v>
      </c>
      <c r="F249" s="76">
        <v>33.375</v>
      </c>
      <c r="G249" s="76">
        <v>35.424999999999997</v>
      </c>
      <c r="H249" s="56"/>
      <c r="I249" s="76">
        <v>20.149998092651359</v>
      </c>
      <c r="J249" s="76">
        <v>21.174998092651361</v>
      </c>
      <c r="K249" s="76">
        <v>22.199998092651363</v>
      </c>
      <c r="L249" s="27"/>
      <c r="M249" s="28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8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/>
      <c r="CP249"/>
      <c r="CQ249"/>
      <c r="CR249"/>
      <c r="CS249"/>
      <c r="CT249"/>
      <c r="CY249" s="338">
        <f t="shared" si="49"/>
        <v>43556</v>
      </c>
      <c r="CZ249" s="337">
        <f t="shared" si="50"/>
        <v>1</v>
      </c>
      <c r="DA249" s="337">
        <f t="shared" si="51"/>
        <v>1.25</v>
      </c>
      <c r="DB249" s="337">
        <f t="shared" si="52"/>
        <v>1.55</v>
      </c>
      <c r="DD249" s="129">
        <f t="shared" si="53"/>
        <v>4.976677289946254E-2</v>
      </c>
      <c r="DE249" s="129">
        <f t="shared" si="54"/>
        <v>9.953354579892508E-2</v>
      </c>
      <c r="DF249" s="129">
        <f t="shared" si="55"/>
        <v>0.14930031869838761</v>
      </c>
      <c r="DH249" s="338">
        <f t="shared" si="48"/>
        <v>43556</v>
      </c>
      <c r="DI249" s="20">
        <v>0.9</v>
      </c>
    </row>
    <row r="250" spans="1:113">
      <c r="A250" s="34">
        <f t="shared" ca="1" si="39"/>
        <v>43831</v>
      </c>
      <c r="B250" s="20">
        <f>'Gas Curves'!C254</f>
        <v>7.4170524676401006E-2</v>
      </c>
      <c r="C250" s="20"/>
      <c r="D250" s="75">
        <v>42705</v>
      </c>
      <c r="E250" s="76">
        <v>31.2</v>
      </c>
      <c r="F250" s="76">
        <v>33.25</v>
      </c>
      <c r="G250" s="76">
        <v>35.299999999999997</v>
      </c>
      <c r="H250" s="56"/>
      <c r="I250" s="76">
        <v>21.574999237060538</v>
      </c>
      <c r="J250" s="76">
        <v>22.59999923706054</v>
      </c>
      <c r="K250" s="76">
        <v>23.624999237060543</v>
      </c>
      <c r="L250" s="27"/>
      <c r="M250" s="28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8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/>
      <c r="CP250"/>
      <c r="CQ250"/>
      <c r="CR250"/>
      <c r="CS250"/>
      <c r="CT250"/>
      <c r="CY250" s="338">
        <f t="shared" si="49"/>
        <v>43586</v>
      </c>
      <c r="CZ250" s="337">
        <f t="shared" si="50"/>
        <v>1</v>
      </c>
      <c r="DA250" s="337">
        <f t="shared" si="51"/>
        <v>1.25</v>
      </c>
      <c r="DB250" s="337">
        <f t="shared" si="52"/>
        <v>1.55</v>
      </c>
      <c r="DD250" s="129">
        <f t="shared" si="53"/>
        <v>5.7292938933407749E-2</v>
      </c>
      <c r="DE250" s="129">
        <f t="shared" si="54"/>
        <v>0.1145858778668155</v>
      </c>
      <c r="DF250" s="129">
        <f t="shared" si="55"/>
        <v>0.17187881680022324</v>
      </c>
      <c r="DH250" s="338">
        <f t="shared" si="48"/>
        <v>43586</v>
      </c>
      <c r="DI250" s="20">
        <v>0.9</v>
      </c>
    </row>
    <row r="251" spans="1:113">
      <c r="A251" s="34">
        <f t="shared" ca="1" si="39"/>
        <v>43862</v>
      </c>
      <c r="B251" s="20">
        <f>'Gas Curves'!C255</f>
        <v>7.4170229958522002E-2</v>
      </c>
      <c r="C251" s="20"/>
      <c r="D251" s="75">
        <v>42736</v>
      </c>
      <c r="E251" s="76">
        <v>37.35</v>
      </c>
      <c r="F251" s="76">
        <v>39.549999999999997</v>
      </c>
      <c r="G251" s="76">
        <v>41.75</v>
      </c>
      <c r="H251" s="56"/>
      <c r="I251" s="76">
        <v>21.490000915527336</v>
      </c>
      <c r="J251" s="76">
        <v>22.590000915527337</v>
      </c>
      <c r="K251" s="76">
        <v>23.690000915527339</v>
      </c>
      <c r="L251" s="27"/>
      <c r="M251" s="28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8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/>
      <c r="CP251"/>
      <c r="CQ251"/>
      <c r="CR251"/>
      <c r="CS251"/>
      <c r="CT251"/>
      <c r="CY251" s="338">
        <f t="shared" si="49"/>
        <v>43617</v>
      </c>
      <c r="CZ251" s="337">
        <f t="shared" si="50"/>
        <v>1</v>
      </c>
      <c r="DA251" s="337">
        <f t="shared" si="51"/>
        <v>1.25</v>
      </c>
      <c r="DB251" s="337">
        <f t="shared" si="52"/>
        <v>1.55</v>
      </c>
      <c r="DD251" s="129">
        <f t="shared" si="53"/>
        <v>7.1827847086464378E-2</v>
      </c>
      <c r="DE251" s="129">
        <f t="shared" si="54"/>
        <v>0.14365569417292876</v>
      </c>
      <c r="DF251" s="129">
        <f t="shared" si="55"/>
        <v>0.21548354125939312</v>
      </c>
      <c r="DH251" s="338">
        <f t="shared" si="48"/>
        <v>43617</v>
      </c>
      <c r="DI251" s="20">
        <v>0.9</v>
      </c>
    </row>
    <row r="252" spans="1:113">
      <c r="A252" s="34">
        <f t="shared" ca="1" si="39"/>
        <v>43891</v>
      </c>
      <c r="B252" s="20">
        <f>'Gas Curves'!C256</f>
        <v>7.4169954254699008E-2</v>
      </c>
      <c r="C252" s="20"/>
      <c r="D252" s="75">
        <v>42767</v>
      </c>
      <c r="E252" s="76">
        <v>37.35</v>
      </c>
      <c r="F252" s="76">
        <v>39.549999999999997</v>
      </c>
      <c r="G252" s="76">
        <v>41.75</v>
      </c>
      <c r="H252" s="56"/>
      <c r="I252" s="76">
        <v>21.299997711181632</v>
      </c>
      <c r="J252" s="76">
        <v>22.399997711181634</v>
      </c>
      <c r="K252" s="76">
        <v>23.499997711181635</v>
      </c>
      <c r="L252" s="27"/>
      <c r="M252" s="28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8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/>
      <c r="CP252"/>
      <c r="CQ252"/>
      <c r="CR252"/>
      <c r="CS252"/>
      <c r="CT252"/>
      <c r="CY252" s="338">
        <f t="shared" si="49"/>
        <v>43647</v>
      </c>
      <c r="CZ252" s="337">
        <f t="shared" si="50"/>
        <v>1</v>
      </c>
      <c r="DA252" s="337">
        <f t="shared" si="51"/>
        <v>1.25</v>
      </c>
      <c r="DB252" s="337">
        <f t="shared" si="52"/>
        <v>1.55</v>
      </c>
      <c r="DD252" s="129">
        <f t="shared" si="53"/>
        <v>8.4998637645868472E-2</v>
      </c>
      <c r="DE252" s="129">
        <f t="shared" si="54"/>
        <v>0.16999727529173694</v>
      </c>
      <c r="DF252" s="129">
        <f t="shared" si="55"/>
        <v>0.25499591293760543</v>
      </c>
      <c r="DH252" s="338">
        <f t="shared" si="48"/>
        <v>43647</v>
      </c>
      <c r="DI252" s="20">
        <v>0.9</v>
      </c>
    </row>
    <row r="253" spans="1:113">
      <c r="A253" s="34">
        <f t="shared" ca="1" si="39"/>
        <v>43922</v>
      </c>
      <c r="B253" s="20">
        <f>'Gas Curves'!C257</f>
        <v>7.4161295770025004E-2</v>
      </c>
      <c r="C253" s="20"/>
      <c r="D253" s="75">
        <v>42795</v>
      </c>
      <c r="E253" s="76">
        <v>34.6</v>
      </c>
      <c r="F253" s="76">
        <v>35.799999999999997</v>
      </c>
      <c r="G253" s="76">
        <v>37</v>
      </c>
      <c r="H253" s="56"/>
      <c r="I253" s="76">
        <v>20.799999618530265</v>
      </c>
      <c r="J253" s="76">
        <v>21.399999618530266</v>
      </c>
      <c r="K253" s="76">
        <v>21.999999618530268</v>
      </c>
      <c r="L253" s="27"/>
      <c r="M253" s="28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8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/>
      <c r="CP253"/>
      <c r="CQ253"/>
      <c r="CR253"/>
      <c r="CS253"/>
      <c r="CT253"/>
      <c r="CY253" s="338">
        <f t="shared" si="49"/>
        <v>43678</v>
      </c>
      <c r="CZ253" s="337">
        <f t="shared" si="50"/>
        <v>1</v>
      </c>
      <c r="DA253" s="337">
        <f t="shared" si="51"/>
        <v>1.25</v>
      </c>
      <c r="DB253" s="337">
        <f t="shared" si="52"/>
        <v>1.55</v>
      </c>
      <c r="DD253" s="129">
        <f t="shared" si="53"/>
        <v>8.3634520052215916E-2</v>
      </c>
      <c r="DE253" s="129">
        <f t="shared" si="54"/>
        <v>0.16726904010443183</v>
      </c>
      <c r="DF253" s="129">
        <f t="shared" si="55"/>
        <v>0.25090356015664772</v>
      </c>
      <c r="DH253" s="338">
        <f t="shared" si="48"/>
        <v>43678</v>
      </c>
      <c r="DI253" s="20">
        <v>0.9</v>
      </c>
    </row>
    <row r="254" spans="1:113">
      <c r="A254" s="34">
        <f t="shared" ca="1" si="39"/>
        <v>43952</v>
      </c>
      <c r="B254" s="20">
        <f>'Gas Curves'!C258</f>
        <v>7.4152358386653003E-2</v>
      </c>
      <c r="C254" s="20"/>
      <c r="D254" s="75">
        <v>42826</v>
      </c>
      <c r="E254" s="76">
        <v>33.5</v>
      </c>
      <c r="F254" s="76">
        <v>34.549999999999997</v>
      </c>
      <c r="G254" s="76">
        <v>35.6</v>
      </c>
      <c r="H254" s="56"/>
      <c r="I254" s="76">
        <v>20.874997711181635</v>
      </c>
      <c r="J254" s="76">
        <v>21.399997711181634</v>
      </c>
      <c r="K254" s="76">
        <v>21.924997711181632</v>
      </c>
      <c r="L254" s="27"/>
      <c r="M254" s="28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8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/>
      <c r="CP254"/>
      <c r="CQ254"/>
      <c r="CR254"/>
      <c r="CS254"/>
      <c r="CT254"/>
      <c r="CY254" s="338">
        <f t="shared" si="49"/>
        <v>43709</v>
      </c>
      <c r="CZ254" s="337">
        <f t="shared" si="50"/>
        <v>1</v>
      </c>
      <c r="DA254" s="337">
        <f t="shared" si="51"/>
        <v>1.25</v>
      </c>
      <c r="DB254" s="337">
        <f t="shared" si="52"/>
        <v>1.55</v>
      </c>
      <c r="DD254" s="129">
        <f t="shared" si="53"/>
        <v>5.5411397424921446E-2</v>
      </c>
      <c r="DE254" s="129">
        <f t="shared" si="54"/>
        <v>0.11082279484984289</v>
      </c>
      <c r="DF254" s="129">
        <f t="shared" si="55"/>
        <v>0.16623419227476433</v>
      </c>
      <c r="DH254" s="338">
        <f t="shared" si="48"/>
        <v>43709</v>
      </c>
      <c r="DI254" s="20">
        <v>0.9</v>
      </c>
    </row>
    <row r="255" spans="1:113">
      <c r="A255" s="34">
        <f t="shared" ca="1" si="39"/>
        <v>43983</v>
      </c>
      <c r="B255" s="20">
        <f>'Gas Curves'!C259</f>
        <v>7.4143123090529992E-2</v>
      </c>
      <c r="C255" s="20"/>
      <c r="D255" s="75">
        <v>42856</v>
      </c>
      <c r="E255" s="76">
        <v>35.67</v>
      </c>
      <c r="F255" s="76">
        <v>38.15</v>
      </c>
      <c r="G255" s="76">
        <v>40.630000000000003</v>
      </c>
      <c r="H255" s="56"/>
      <c r="I255" s="76">
        <v>20.159997711181635</v>
      </c>
      <c r="J255" s="76">
        <v>21.399997711181634</v>
      </c>
      <c r="K255" s="76">
        <v>22.639997711181632</v>
      </c>
      <c r="L255" s="27"/>
      <c r="M255" s="28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8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/>
      <c r="CP255"/>
      <c r="CQ255"/>
      <c r="CR255"/>
      <c r="CS255"/>
      <c r="CT255"/>
      <c r="CY255" s="338">
        <f t="shared" si="49"/>
        <v>43739</v>
      </c>
      <c r="CZ255" s="337">
        <f t="shared" si="50"/>
        <v>0.85000000000000009</v>
      </c>
      <c r="DA255" s="337">
        <f t="shared" si="51"/>
        <v>1.1000000000000001</v>
      </c>
      <c r="DB255" s="337">
        <f t="shared" si="52"/>
        <v>1.4000000000000001</v>
      </c>
      <c r="DD255" s="129">
        <f t="shared" si="53"/>
        <v>5.3277333240296203E-2</v>
      </c>
      <c r="DE255" s="129">
        <f t="shared" si="54"/>
        <v>0.10655466648059241</v>
      </c>
      <c r="DF255" s="129">
        <f t="shared" si="55"/>
        <v>0.1598319997208886</v>
      </c>
      <c r="DH255" s="338">
        <f t="shared" si="48"/>
        <v>43739</v>
      </c>
      <c r="DI255" s="20">
        <v>0.9</v>
      </c>
    </row>
    <row r="256" spans="1:113">
      <c r="A256" s="34">
        <f t="shared" ca="1" si="39"/>
        <v>44013</v>
      </c>
      <c r="B256" s="20">
        <f>'Gas Curves'!C260</f>
        <v>7.4134185707211003E-2</v>
      </c>
      <c r="C256" s="20"/>
      <c r="D256" s="75">
        <v>42887</v>
      </c>
      <c r="E256" s="76">
        <v>52.14</v>
      </c>
      <c r="F256" s="76">
        <v>59.25</v>
      </c>
      <c r="G256" s="76">
        <v>66.36</v>
      </c>
      <c r="H256" s="56"/>
      <c r="I256" s="76">
        <v>17.799998779296867</v>
      </c>
      <c r="J256" s="76">
        <v>21.354998779296867</v>
      </c>
      <c r="K256" s="76">
        <v>24.909998779296867</v>
      </c>
      <c r="L256" s="27"/>
      <c r="M256" s="28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8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/>
      <c r="CP256"/>
      <c r="CQ256"/>
      <c r="CR256"/>
      <c r="CS256"/>
      <c r="CT256"/>
      <c r="CY256" s="338">
        <f t="shared" si="49"/>
        <v>43770</v>
      </c>
      <c r="CZ256" s="337">
        <f t="shared" si="50"/>
        <v>1</v>
      </c>
      <c r="DA256" s="337">
        <f t="shared" si="51"/>
        <v>1.25</v>
      </c>
      <c r="DB256" s="337">
        <f t="shared" si="52"/>
        <v>1.55</v>
      </c>
      <c r="DD256" s="129">
        <f t="shared" si="53"/>
        <v>5.3277333240296203E-2</v>
      </c>
      <c r="DE256" s="129">
        <f t="shared" si="54"/>
        <v>0.10655466648059241</v>
      </c>
      <c r="DF256" s="129">
        <f t="shared" si="55"/>
        <v>0.1598319997208886</v>
      </c>
      <c r="DH256" s="338">
        <f t="shared" si="48"/>
        <v>43770</v>
      </c>
      <c r="DI256" s="20">
        <v>0.9</v>
      </c>
    </row>
    <row r="257" spans="1:113">
      <c r="A257" s="34">
        <f t="shared" ca="1" si="39"/>
        <v>44044</v>
      </c>
      <c r="B257" s="20">
        <f>'Gas Curves'!C261</f>
        <v>7.4124950411143004E-2</v>
      </c>
      <c r="C257" s="20"/>
      <c r="D257" s="75">
        <v>42917</v>
      </c>
      <c r="E257" s="76">
        <v>85.5</v>
      </c>
      <c r="F257" s="76">
        <v>90.5</v>
      </c>
      <c r="G257" s="76">
        <v>95.5</v>
      </c>
      <c r="H257" s="56"/>
      <c r="I257" s="76">
        <v>23.349997711181633</v>
      </c>
      <c r="J257" s="76">
        <v>25.849997711181633</v>
      </c>
      <c r="K257" s="76">
        <v>28.349997711181633</v>
      </c>
      <c r="L257" s="27"/>
      <c r="M257" s="28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8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/>
      <c r="CI257"/>
      <c r="CJ257"/>
      <c r="CK257"/>
      <c r="CP257"/>
      <c r="CQ257"/>
      <c r="CR257"/>
      <c r="CS257"/>
      <c r="CT257"/>
      <c r="CY257" s="338">
        <f t="shared" si="49"/>
        <v>43800</v>
      </c>
      <c r="CZ257" s="337">
        <f t="shared" si="50"/>
        <v>1</v>
      </c>
      <c r="DA257" s="337">
        <f t="shared" si="51"/>
        <v>1.25</v>
      </c>
      <c r="DB257" s="337">
        <f t="shared" si="52"/>
        <v>1.55</v>
      </c>
      <c r="DD257" s="129">
        <f t="shared" si="53"/>
        <v>5.5178680448871829E-2</v>
      </c>
      <c r="DE257" s="129">
        <f t="shared" si="54"/>
        <v>0.11035736089774366</v>
      </c>
      <c r="DF257" s="129">
        <f t="shared" si="55"/>
        <v>0.16553604134661548</v>
      </c>
      <c r="DH257" s="338">
        <f t="shared" si="48"/>
        <v>43800</v>
      </c>
      <c r="DI257" s="20">
        <v>0.9</v>
      </c>
    </row>
    <row r="258" spans="1:113">
      <c r="A258" s="34">
        <f t="shared" ca="1" si="39"/>
        <v>44075</v>
      </c>
      <c r="B258" s="20">
        <f>'Gas Curves'!C262</f>
        <v>7.4115715115102995E-2</v>
      </c>
      <c r="C258" s="20"/>
      <c r="D258" s="75">
        <v>42948</v>
      </c>
      <c r="E258" s="76">
        <v>81</v>
      </c>
      <c r="F258" s="76">
        <v>86</v>
      </c>
      <c r="G258" s="76">
        <v>91</v>
      </c>
      <c r="H258" s="123"/>
      <c r="I258" s="76">
        <v>23.699998092651359</v>
      </c>
      <c r="J258" s="76">
        <v>26.199998092651359</v>
      </c>
      <c r="K258" s="76">
        <v>28.699998092651359</v>
      </c>
      <c r="L258" s="27"/>
      <c r="M258" s="28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8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/>
      <c r="CI258"/>
      <c r="CJ258"/>
      <c r="CK258"/>
      <c r="CP258"/>
      <c r="CQ258"/>
      <c r="CR258"/>
      <c r="CS258"/>
      <c r="CT258"/>
      <c r="CY258" s="338">
        <f t="shared" si="49"/>
        <v>43831</v>
      </c>
      <c r="CZ258" s="337">
        <f t="shared" si="50"/>
        <v>1.25</v>
      </c>
      <c r="DA258" s="337">
        <f t="shared" si="51"/>
        <v>2</v>
      </c>
      <c r="DB258" s="337">
        <f t="shared" si="52"/>
        <v>2.75</v>
      </c>
      <c r="DD258" s="129">
        <f t="shared" si="53"/>
        <v>5.937308760112317E-2</v>
      </c>
      <c r="DE258" s="129">
        <f t="shared" si="54"/>
        <v>0.11874617520224634</v>
      </c>
      <c r="DF258" s="129">
        <f t="shared" si="55"/>
        <v>0.17811926280336951</v>
      </c>
      <c r="DH258" s="338">
        <f t="shared" si="48"/>
        <v>43831</v>
      </c>
      <c r="DI258" s="20">
        <v>0.9</v>
      </c>
    </row>
    <row r="259" spans="1:113">
      <c r="A259" s="34">
        <f t="shared" ca="1" si="39"/>
        <v>44105</v>
      </c>
      <c r="B259" s="20">
        <f>'Gas Curves'!C263</f>
        <v>7.4106777731865997E-2</v>
      </c>
      <c r="C259" s="20"/>
      <c r="D259" s="75">
        <v>42979</v>
      </c>
      <c r="E259" s="76">
        <v>33.25</v>
      </c>
      <c r="F259" s="76">
        <v>35.549999999999997</v>
      </c>
      <c r="G259" s="76">
        <v>37.85</v>
      </c>
      <c r="H259" s="123"/>
      <c r="I259" s="76">
        <v>20.599998092651362</v>
      </c>
      <c r="J259" s="76">
        <v>21.74999809265136</v>
      </c>
      <c r="K259" s="76">
        <v>22.899998092651359</v>
      </c>
      <c r="L259" s="27"/>
      <c r="M259" s="28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8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/>
      <c r="CI259"/>
      <c r="CJ259"/>
      <c r="CK259"/>
      <c r="CP259"/>
      <c r="CQ259"/>
      <c r="CR259"/>
      <c r="CS259"/>
      <c r="CT259"/>
      <c r="CY259" s="338">
        <f t="shared" si="49"/>
        <v>43862</v>
      </c>
      <c r="CZ259" s="337">
        <f t="shared" si="50"/>
        <v>1.25</v>
      </c>
      <c r="DA259" s="337">
        <f t="shared" si="51"/>
        <v>2</v>
      </c>
      <c r="DB259" s="337">
        <f t="shared" si="52"/>
        <v>2.75</v>
      </c>
      <c r="DD259" s="129">
        <f t="shared" si="53"/>
        <v>5.7282485925027264E-2</v>
      </c>
      <c r="DE259" s="129">
        <f t="shared" si="54"/>
        <v>0.11456497185005453</v>
      </c>
      <c r="DF259" s="129">
        <f t="shared" si="55"/>
        <v>0.17184745777508179</v>
      </c>
      <c r="DH259" s="338">
        <f t="shared" si="48"/>
        <v>43862</v>
      </c>
      <c r="DI259" s="20">
        <v>0.9</v>
      </c>
    </row>
    <row r="260" spans="1:113">
      <c r="A260" s="34">
        <f t="shared" ca="1" si="39"/>
        <v>44136</v>
      </c>
      <c r="B260" s="20">
        <f>'Gas Curves'!C264</f>
        <v>7.4097542435882E-2</v>
      </c>
      <c r="C260" s="20"/>
      <c r="D260" s="75">
        <v>43009</v>
      </c>
      <c r="E260" s="76">
        <v>31.15</v>
      </c>
      <c r="F260" s="76">
        <v>33.299999999999997</v>
      </c>
      <c r="G260" s="76">
        <v>35.450000000000003</v>
      </c>
      <c r="H260" s="123"/>
      <c r="I260" s="76">
        <v>20.374998855590814</v>
      </c>
      <c r="J260" s="76">
        <v>21.449998855590813</v>
      </c>
      <c r="K260" s="76">
        <v>22.524998855590812</v>
      </c>
      <c r="L260" s="27"/>
      <c r="M260" s="28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8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/>
      <c r="CI260"/>
      <c r="CJ260"/>
      <c r="CK260"/>
      <c r="CP260"/>
      <c r="CQ260"/>
      <c r="CR260"/>
      <c r="CS260"/>
      <c r="CT260"/>
      <c r="CY260" s="338">
        <f t="shared" si="49"/>
        <v>43891</v>
      </c>
      <c r="CZ260" s="337">
        <f t="shared" si="50"/>
        <v>1</v>
      </c>
      <c r="DA260" s="337">
        <f t="shared" si="51"/>
        <v>1.25</v>
      </c>
      <c r="DB260" s="337">
        <f t="shared" si="52"/>
        <v>1.55</v>
      </c>
      <c r="DD260" s="129">
        <f t="shared" si="53"/>
        <v>5.5834744264330861E-2</v>
      </c>
      <c r="DE260" s="129">
        <f t="shared" si="54"/>
        <v>0.11166948852866172</v>
      </c>
      <c r="DF260" s="129">
        <f t="shared" si="55"/>
        <v>0.16750423279299259</v>
      </c>
      <c r="DH260" s="338">
        <f t="shared" si="48"/>
        <v>43891</v>
      </c>
      <c r="DI260" s="20">
        <v>0.9</v>
      </c>
    </row>
    <row r="261" spans="1:113">
      <c r="A261" s="34">
        <f t="shared" ca="1" si="39"/>
        <v>44166</v>
      </c>
      <c r="B261" s="20">
        <f>'Gas Curves'!C265</f>
        <v>7.4088605052698001E-2</v>
      </c>
      <c r="C261" s="20"/>
      <c r="D261" s="75">
        <v>43040</v>
      </c>
      <c r="E261" s="76">
        <v>31.524999999999999</v>
      </c>
      <c r="F261" s="76">
        <v>33.674999999999997</v>
      </c>
      <c r="G261" s="76">
        <v>35.825000000000003</v>
      </c>
      <c r="H261" s="123"/>
      <c r="I261" s="76">
        <v>20.299998092651361</v>
      </c>
      <c r="J261" s="76">
        <v>21.37499809265136</v>
      </c>
      <c r="K261" s="76">
        <v>22.449998092651359</v>
      </c>
      <c r="L261" s="27"/>
      <c r="M261" s="28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8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/>
      <c r="CI261"/>
      <c r="CJ261"/>
      <c r="CK261"/>
      <c r="CP261"/>
      <c r="CQ261"/>
      <c r="CR261"/>
      <c r="CS261"/>
      <c r="CT261"/>
      <c r="CY261" s="338">
        <f t="shared" si="49"/>
        <v>43922</v>
      </c>
      <c r="CZ261" s="337">
        <f t="shared" si="50"/>
        <v>1</v>
      </c>
      <c r="DA261" s="337">
        <f t="shared" si="51"/>
        <v>1.25</v>
      </c>
      <c r="DB261" s="337">
        <f t="shared" si="52"/>
        <v>1.55</v>
      </c>
      <c r="DD261" s="129">
        <f t="shared" si="53"/>
        <v>4.976677289946254E-2</v>
      </c>
      <c r="DE261" s="129">
        <f t="shared" si="54"/>
        <v>9.953354579892508E-2</v>
      </c>
      <c r="DF261" s="129">
        <f t="shared" si="55"/>
        <v>0.14930031869838761</v>
      </c>
      <c r="DH261" s="338">
        <f t="shared" si="48"/>
        <v>43922</v>
      </c>
      <c r="DI261" s="20">
        <v>0.9</v>
      </c>
    </row>
    <row r="262" spans="1:113">
      <c r="A262" s="34">
        <f t="shared" ca="1" si="39"/>
        <v>44197</v>
      </c>
      <c r="B262" s="20">
        <f>'Gas Curves'!C266</f>
        <v>7.4079369756769001E-2</v>
      </c>
      <c r="C262" s="20"/>
      <c r="D262" s="75">
        <v>43070</v>
      </c>
      <c r="E262" s="76">
        <v>31.4</v>
      </c>
      <c r="F262" s="76">
        <v>33.549999999999997</v>
      </c>
      <c r="G262" s="76">
        <v>35.700000000000003</v>
      </c>
      <c r="H262" s="123"/>
      <c r="I262" s="76">
        <v>21.72499923706054</v>
      </c>
      <c r="J262" s="76">
        <v>22.79999923706054</v>
      </c>
      <c r="K262" s="76">
        <v>23.874999237060539</v>
      </c>
      <c r="L262" s="27"/>
      <c r="M262" s="28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8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/>
      <c r="CI262"/>
      <c r="CJ262"/>
      <c r="CK262"/>
      <c r="CP262"/>
      <c r="CQ262"/>
      <c r="CR262"/>
      <c r="CS262"/>
      <c r="CT262"/>
      <c r="CY262" s="338">
        <f t="shared" si="49"/>
        <v>43952</v>
      </c>
      <c r="CZ262" s="337">
        <f t="shared" si="50"/>
        <v>1</v>
      </c>
      <c r="DA262" s="337">
        <f t="shared" si="51"/>
        <v>1.25</v>
      </c>
      <c r="DB262" s="337">
        <f t="shared" si="52"/>
        <v>1.55</v>
      </c>
      <c r="DD262" s="129">
        <f t="shared" si="53"/>
        <v>5.7292938933407749E-2</v>
      </c>
      <c r="DE262" s="129">
        <f t="shared" si="54"/>
        <v>0.1145858778668155</v>
      </c>
      <c r="DF262" s="129">
        <f t="shared" si="55"/>
        <v>0.17187881680022324</v>
      </c>
      <c r="DH262" s="338">
        <f t="shared" si="48"/>
        <v>43952</v>
      </c>
      <c r="DI262" s="20">
        <v>0.9</v>
      </c>
    </row>
    <row r="263" spans="1:113">
      <c r="A263" s="34">
        <f t="shared" ca="1" si="39"/>
        <v>44228</v>
      </c>
      <c r="B263" s="20">
        <f>'Gas Curves'!C267</f>
        <v>7.4070134460868006E-2</v>
      </c>
      <c r="C263" s="20"/>
      <c r="D263" s="75">
        <v>43101</v>
      </c>
      <c r="E263" s="76">
        <v>37.65</v>
      </c>
      <c r="F263" s="76">
        <v>39.85</v>
      </c>
      <c r="G263" s="76">
        <v>42.05</v>
      </c>
      <c r="H263" s="123"/>
      <c r="I263" s="76">
        <v>21.690000915527335</v>
      </c>
      <c r="J263" s="76">
        <v>22.790000915527337</v>
      </c>
      <c r="K263" s="76">
        <v>23.890000915527338</v>
      </c>
      <c r="L263" s="27"/>
      <c r="M263" s="28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8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/>
      <c r="CI263"/>
      <c r="CJ263"/>
      <c r="CK263"/>
      <c r="CP263"/>
      <c r="CQ263"/>
      <c r="CR263"/>
      <c r="CS263"/>
      <c r="CT263"/>
      <c r="CY263" s="338">
        <f t="shared" si="49"/>
        <v>43983</v>
      </c>
      <c r="CZ263" s="337">
        <f t="shared" si="50"/>
        <v>1</v>
      </c>
      <c r="DA263" s="337">
        <f t="shared" si="51"/>
        <v>1.25</v>
      </c>
      <c r="DB263" s="337">
        <f t="shared" si="52"/>
        <v>1.55</v>
      </c>
      <c r="DD263" s="129">
        <f t="shared" si="53"/>
        <v>7.1827847086464378E-2</v>
      </c>
      <c r="DE263" s="129">
        <f t="shared" si="54"/>
        <v>0.14365569417292876</v>
      </c>
      <c r="DF263" s="129">
        <f t="shared" si="55"/>
        <v>0.21548354125939312</v>
      </c>
      <c r="DH263" s="338">
        <f t="shared" si="48"/>
        <v>43983</v>
      </c>
      <c r="DI263" s="20">
        <v>0.9</v>
      </c>
    </row>
    <row r="264" spans="1:113">
      <c r="A264" s="34">
        <f t="shared" ca="1" si="39"/>
        <v>44256</v>
      </c>
      <c r="B264" s="20">
        <f>'Gas Curves'!C268</f>
        <v>7.4061792903305002E-2</v>
      </c>
      <c r="C264" s="20"/>
      <c r="D264" s="75">
        <v>43132</v>
      </c>
      <c r="E264" s="76">
        <v>37.65</v>
      </c>
      <c r="F264" s="76">
        <v>39.85</v>
      </c>
      <c r="G264" s="76">
        <v>42.05</v>
      </c>
      <c r="H264" s="123"/>
      <c r="I264" s="76">
        <v>21.499997711181631</v>
      </c>
      <c r="J264" s="76">
        <v>22.599997711181633</v>
      </c>
      <c r="K264" s="76">
        <v>23.699997711181634</v>
      </c>
      <c r="L264" s="27"/>
      <c r="M264" s="28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8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/>
      <c r="CI264"/>
      <c r="CJ264"/>
      <c r="CK264"/>
      <c r="CP264"/>
      <c r="CQ264"/>
      <c r="CR264"/>
      <c r="CS264"/>
      <c r="CT264"/>
      <c r="CY264" s="338">
        <f t="shared" si="49"/>
        <v>44013</v>
      </c>
      <c r="CZ264" s="337">
        <f t="shared" si="50"/>
        <v>1</v>
      </c>
      <c r="DA264" s="337">
        <f t="shared" si="51"/>
        <v>1.25</v>
      </c>
      <c r="DB264" s="337">
        <f t="shared" si="52"/>
        <v>1.55</v>
      </c>
      <c r="DD264" s="129">
        <f t="shared" si="53"/>
        <v>8.4998637645868472E-2</v>
      </c>
      <c r="DE264" s="129">
        <f t="shared" si="54"/>
        <v>0.16999727529173694</v>
      </c>
      <c r="DF264" s="129">
        <f t="shared" si="55"/>
        <v>0.25499591293760543</v>
      </c>
      <c r="DH264" s="338">
        <f t="shared" si="48"/>
        <v>44013</v>
      </c>
      <c r="DI264" s="20">
        <v>0.9</v>
      </c>
    </row>
    <row r="265" spans="1:113">
      <c r="A265" s="34">
        <f t="shared" ca="1" si="39"/>
        <v>44287</v>
      </c>
      <c r="B265" s="20">
        <f>'Gas Curves'!C269</f>
        <v>7.4052557607457006E-2</v>
      </c>
      <c r="C265" s="20"/>
      <c r="D265" s="75">
        <v>43160</v>
      </c>
      <c r="E265" s="76">
        <v>34.9</v>
      </c>
      <c r="F265" s="76">
        <v>36.1</v>
      </c>
      <c r="G265" s="76">
        <v>37.299999999999997</v>
      </c>
      <c r="H265" s="123"/>
      <c r="I265" s="76">
        <v>20.999999618530264</v>
      </c>
      <c r="J265" s="76">
        <v>21.599999618530266</v>
      </c>
      <c r="K265" s="76">
        <v>22.199999618530267</v>
      </c>
      <c r="L265" s="27"/>
      <c r="M265" s="28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8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/>
      <c r="CI265"/>
      <c r="CJ265"/>
      <c r="CK265"/>
      <c r="CP265"/>
      <c r="CQ265"/>
      <c r="CR265"/>
      <c r="CS265"/>
      <c r="CT265"/>
      <c r="CY265" s="338">
        <f t="shared" si="49"/>
        <v>44044</v>
      </c>
      <c r="CZ265" s="337">
        <f t="shared" si="50"/>
        <v>1</v>
      </c>
      <c r="DA265" s="337">
        <f t="shared" si="51"/>
        <v>1.25</v>
      </c>
      <c r="DB265" s="337">
        <f t="shared" si="52"/>
        <v>1.55</v>
      </c>
      <c r="DD265" s="129">
        <f t="shared" si="53"/>
        <v>8.3634520052215916E-2</v>
      </c>
      <c r="DE265" s="129">
        <f t="shared" si="54"/>
        <v>0.16726904010443183</v>
      </c>
      <c r="DF265" s="129">
        <f t="shared" si="55"/>
        <v>0.25090356015664772</v>
      </c>
      <c r="DH265" s="338">
        <f t="shared" si="48"/>
        <v>44044</v>
      </c>
      <c r="DI265" s="20">
        <v>0.9</v>
      </c>
    </row>
    <row r="266" spans="1:113">
      <c r="A266" s="34">
        <f t="shared" ca="1" si="39"/>
        <v>44317</v>
      </c>
      <c r="B266" s="20">
        <f>'Gas Curves'!C270</f>
        <v>7.4043620224405998E-2</v>
      </c>
      <c r="C266" s="20"/>
      <c r="D266" s="75">
        <v>43191</v>
      </c>
      <c r="E266" s="76">
        <v>33.799999999999997</v>
      </c>
      <c r="F266" s="76">
        <v>34.85</v>
      </c>
      <c r="G266" s="76">
        <v>35.9</v>
      </c>
      <c r="H266" s="123"/>
      <c r="I266" s="76">
        <v>21.074997711181634</v>
      </c>
      <c r="J266" s="76">
        <v>21.599997711181633</v>
      </c>
      <c r="K266" s="76">
        <v>22.124997711181631</v>
      </c>
      <c r="L266" s="27"/>
      <c r="M266" s="28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8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/>
      <c r="CI266"/>
      <c r="CJ266"/>
      <c r="CK266"/>
      <c r="CP266"/>
      <c r="CQ266"/>
      <c r="CR266"/>
      <c r="CS266"/>
      <c r="CT266"/>
      <c r="CY266" s="338">
        <f t="shared" si="49"/>
        <v>44075</v>
      </c>
      <c r="CZ266" s="337">
        <f t="shared" si="50"/>
        <v>1</v>
      </c>
      <c r="DA266" s="337">
        <f t="shared" si="51"/>
        <v>1.25</v>
      </c>
      <c r="DB266" s="337">
        <f t="shared" si="52"/>
        <v>1.55</v>
      </c>
      <c r="DD266" s="129">
        <f t="shared" si="53"/>
        <v>5.5411397424921446E-2</v>
      </c>
      <c r="DE266" s="129">
        <f t="shared" si="54"/>
        <v>0.11082279484984289</v>
      </c>
      <c r="DF266" s="129">
        <f t="shared" si="55"/>
        <v>0.16623419227476433</v>
      </c>
      <c r="DH266" s="338">
        <f t="shared" si="48"/>
        <v>44075</v>
      </c>
      <c r="DI266" s="20">
        <v>0.9</v>
      </c>
    </row>
    <row r="267" spans="1:113">
      <c r="A267" s="34">
        <f t="shared" ca="1" si="39"/>
        <v>44348</v>
      </c>
      <c r="B267" s="20">
        <f>'Gas Curves'!C271</f>
        <v>7.4034384928614E-2</v>
      </c>
      <c r="C267" s="20"/>
      <c r="D267" s="75">
        <v>43221</v>
      </c>
      <c r="E267" s="76">
        <v>36.17</v>
      </c>
      <c r="F267" s="76">
        <v>38.65</v>
      </c>
      <c r="G267" s="76">
        <v>41.13</v>
      </c>
      <c r="H267" s="123"/>
      <c r="I267" s="76">
        <v>20.359997711181634</v>
      </c>
      <c r="J267" s="76">
        <v>21.599997711181633</v>
      </c>
      <c r="K267" s="76">
        <v>22.839997711181631</v>
      </c>
      <c r="L267" s="27"/>
      <c r="M267" s="28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8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/>
      <c r="CI267"/>
      <c r="CJ267"/>
      <c r="CK267"/>
      <c r="CP267"/>
      <c r="CQ267"/>
      <c r="CR267"/>
      <c r="CS267"/>
      <c r="CT267"/>
      <c r="CY267" s="338">
        <f t="shared" si="49"/>
        <v>44105</v>
      </c>
      <c r="CZ267" s="337">
        <f t="shared" si="50"/>
        <v>0.85000000000000009</v>
      </c>
      <c r="DA267" s="337">
        <f t="shared" si="51"/>
        <v>1.1000000000000001</v>
      </c>
      <c r="DB267" s="337">
        <f t="shared" si="52"/>
        <v>1.4000000000000001</v>
      </c>
      <c r="DD267" s="129">
        <f t="shared" si="53"/>
        <v>5.3277333240296203E-2</v>
      </c>
      <c r="DE267" s="129">
        <f t="shared" si="54"/>
        <v>0.10655466648059241</v>
      </c>
      <c r="DF267" s="129">
        <f t="shared" si="55"/>
        <v>0.1598319997208886</v>
      </c>
      <c r="DH267" s="338">
        <f t="shared" si="48"/>
        <v>44105</v>
      </c>
      <c r="DI267" s="20">
        <v>0.9</v>
      </c>
    </row>
    <row r="268" spans="1:113">
      <c r="A268" s="34">
        <f t="shared" ca="1" si="39"/>
        <v>44378</v>
      </c>
      <c r="B268" s="20">
        <f>'Gas Curves'!C272</f>
        <v>7.4025447545616005E-2</v>
      </c>
      <c r="C268" s="20"/>
      <c r="D268" s="75">
        <v>43252</v>
      </c>
      <c r="E268" s="76">
        <v>53.14</v>
      </c>
      <c r="F268" s="76">
        <v>60.25</v>
      </c>
      <c r="G268" s="76">
        <v>67.36</v>
      </c>
      <c r="H268" s="123"/>
      <c r="I268" s="76">
        <v>17.999998779296867</v>
      </c>
      <c r="J268" s="76">
        <v>21.554998779296866</v>
      </c>
      <c r="K268" s="76">
        <v>25.109998779296866</v>
      </c>
      <c r="L268" s="27"/>
      <c r="M268" s="28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8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/>
      <c r="CI268"/>
      <c r="CJ268"/>
      <c r="CK268"/>
      <c r="CP268"/>
      <c r="CQ268"/>
      <c r="CR268"/>
      <c r="CS268"/>
      <c r="CT268"/>
      <c r="CY268" s="338">
        <f t="shared" si="49"/>
        <v>44136</v>
      </c>
      <c r="CZ268" s="337">
        <f t="shared" si="50"/>
        <v>1</v>
      </c>
      <c r="DA268" s="337">
        <f t="shared" si="51"/>
        <v>1.25</v>
      </c>
      <c r="DB268" s="337">
        <f t="shared" si="52"/>
        <v>1.55</v>
      </c>
      <c r="DD268" s="129">
        <f t="shared" si="53"/>
        <v>5.3277333240296203E-2</v>
      </c>
      <c r="DE268" s="129">
        <f t="shared" si="54"/>
        <v>0.10655466648059241</v>
      </c>
      <c r="DF268" s="129">
        <f t="shared" si="55"/>
        <v>0.1598319997208886</v>
      </c>
      <c r="DH268" s="338">
        <f t="shared" si="48"/>
        <v>44136</v>
      </c>
      <c r="DI268" s="20">
        <v>0.9</v>
      </c>
    </row>
    <row r="269" spans="1:113">
      <c r="A269" s="34">
        <f t="shared" ca="1" si="39"/>
        <v>44409</v>
      </c>
      <c r="B269" s="20">
        <f>'Gas Curves'!C273</f>
        <v>7.4016212249880003E-2</v>
      </c>
      <c r="C269" s="20"/>
      <c r="D269" s="75">
        <v>43282</v>
      </c>
      <c r="E269" s="76">
        <v>87.5</v>
      </c>
      <c r="F269" s="76">
        <v>92.5</v>
      </c>
      <c r="G269" s="76">
        <v>97.5</v>
      </c>
      <c r="H269" s="123"/>
      <c r="I269" s="76">
        <v>23.549997711181632</v>
      </c>
      <c r="J269" s="76">
        <v>26.049997711181632</v>
      </c>
      <c r="K269" s="76">
        <v>28.549997711181632</v>
      </c>
      <c r="L269" s="27"/>
      <c r="M269" s="28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8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/>
      <c r="CI269"/>
      <c r="CJ269"/>
      <c r="CK269"/>
      <c r="CP269"/>
      <c r="CQ269"/>
      <c r="CR269"/>
      <c r="CS269"/>
      <c r="CT269"/>
      <c r="CY269" s="338">
        <f t="shared" si="49"/>
        <v>44166</v>
      </c>
      <c r="CZ269" s="337">
        <f t="shared" si="50"/>
        <v>1</v>
      </c>
      <c r="DA269" s="337">
        <f t="shared" si="51"/>
        <v>1.25</v>
      </c>
      <c r="DB269" s="337">
        <f t="shared" si="52"/>
        <v>1.55</v>
      </c>
      <c r="DD269" s="129">
        <f t="shared" si="53"/>
        <v>5.5178680448871829E-2</v>
      </c>
      <c r="DE269" s="129">
        <f t="shared" si="54"/>
        <v>0.11035736089774366</v>
      </c>
      <c r="DF269" s="129">
        <f t="shared" si="55"/>
        <v>0.16553604134661548</v>
      </c>
      <c r="DH269" s="338">
        <f t="shared" si="48"/>
        <v>44166</v>
      </c>
      <c r="DI269" s="20">
        <v>0.9</v>
      </c>
    </row>
    <row r="270" spans="1:113">
      <c r="A270" s="34">
        <f t="shared" ref="A270:A289" ca="1" si="56">EOMONTH(A269,0)+1</f>
        <v>44440</v>
      </c>
      <c r="B270" s="20">
        <f>'Gas Curves'!C274</f>
        <v>7.4006976954171008E-2</v>
      </c>
      <c r="C270" s="20"/>
      <c r="D270" s="75">
        <v>43313</v>
      </c>
      <c r="E270" s="76">
        <v>83</v>
      </c>
      <c r="F270" s="76">
        <v>88</v>
      </c>
      <c r="G270" s="76">
        <v>93</v>
      </c>
      <c r="H270" s="123"/>
      <c r="I270" s="76">
        <v>23.899998092651359</v>
      </c>
      <c r="J270" s="76">
        <v>26.399998092651359</v>
      </c>
      <c r="K270" s="76">
        <v>28.899998092651359</v>
      </c>
      <c r="L270" s="27"/>
      <c r="M270" s="28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8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/>
      <c r="CI270"/>
      <c r="CJ270"/>
      <c r="CK270"/>
      <c r="CP270"/>
      <c r="CQ270"/>
      <c r="CR270"/>
      <c r="CS270"/>
      <c r="CT270"/>
      <c r="CY270" s="338">
        <f t="shared" si="49"/>
        <v>44197</v>
      </c>
      <c r="CZ270" s="337">
        <f t="shared" si="50"/>
        <v>1.25</v>
      </c>
      <c r="DA270" s="337">
        <f t="shared" si="51"/>
        <v>2</v>
      </c>
      <c r="DB270" s="337">
        <f t="shared" si="52"/>
        <v>2.75</v>
      </c>
      <c r="DD270" s="129">
        <f t="shared" si="53"/>
        <v>5.937308760112317E-2</v>
      </c>
      <c r="DE270" s="129">
        <f t="shared" si="54"/>
        <v>0.11874617520224634</v>
      </c>
      <c r="DF270" s="129">
        <f t="shared" si="55"/>
        <v>0.17811926280336951</v>
      </c>
      <c r="DH270" s="338">
        <f t="shared" si="48"/>
        <v>44197</v>
      </c>
      <c r="DI270" s="20">
        <v>0.9</v>
      </c>
    </row>
    <row r="271" spans="1:113">
      <c r="A271" s="34">
        <f t="shared" ca="1" si="56"/>
        <v>44470</v>
      </c>
      <c r="B271" s="20">
        <f>'Gas Curves'!C275</f>
        <v>7.3998039571255003E-2</v>
      </c>
      <c r="C271" s="20"/>
      <c r="D271" s="75">
        <v>43344</v>
      </c>
      <c r="E271" s="76">
        <v>33.549999999999997</v>
      </c>
      <c r="F271" s="76">
        <v>35.85</v>
      </c>
      <c r="G271" s="76">
        <v>38.15</v>
      </c>
      <c r="H271" s="123"/>
      <c r="I271" s="76">
        <v>20.799998092651357</v>
      </c>
      <c r="J271" s="76">
        <v>21.949998092651359</v>
      </c>
      <c r="K271" s="76">
        <v>23.099998092651362</v>
      </c>
      <c r="L271" s="27"/>
      <c r="M271" s="28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8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/>
      <c r="CI271"/>
      <c r="CJ271"/>
      <c r="CK271"/>
      <c r="CP271"/>
      <c r="CQ271"/>
      <c r="CR271"/>
      <c r="CS271"/>
      <c r="CT271"/>
      <c r="CY271" s="338">
        <f t="shared" si="49"/>
        <v>44228</v>
      </c>
      <c r="CZ271" s="337">
        <f t="shared" si="50"/>
        <v>1.25</v>
      </c>
      <c r="DA271" s="337">
        <f t="shared" si="51"/>
        <v>2</v>
      </c>
      <c r="DB271" s="337">
        <f t="shared" si="52"/>
        <v>2.75</v>
      </c>
      <c r="DD271" s="129">
        <f t="shared" si="53"/>
        <v>5.7282485925027264E-2</v>
      </c>
      <c r="DE271" s="129">
        <f t="shared" si="54"/>
        <v>0.11456497185005453</v>
      </c>
      <c r="DF271" s="129">
        <f t="shared" si="55"/>
        <v>0.17184745777508179</v>
      </c>
      <c r="DH271" s="338">
        <f t="shared" si="48"/>
        <v>44228</v>
      </c>
      <c r="DI271" s="20">
        <v>0.9</v>
      </c>
    </row>
    <row r="272" spans="1:113">
      <c r="A272" s="34">
        <f t="shared" ca="1" si="56"/>
        <v>44501</v>
      </c>
      <c r="B272" s="20">
        <f>'Gas Curves'!C276</f>
        <v>7.3988804275602005E-2</v>
      </c>
      <c r="C272" s="20"/>
      <c r="D272" s="26"/>
      <c r="E272" s="26"/>
      <c r="F272" s="26"/>
      <c r="G272" s="26"/>
      <c r="H272" s="26"/>
      <c r="I272" s="26"/>
      <c r="J272" s="26"/>
      <c r="K272" s="26"/>
      <c r="L272" s="26"/>
      <c r="M272" s="28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8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/>
      <c r="CI272"/>
      <c r="CJ272"/>
      <c r="CK272"/>
      <c r="CP272"/>
      <c r="CQ272"/>
      <c r="CR272"/>
      <c r="CS272"/>
      <c r="CT272"/>
      <c r="CY272" s="338">
        <f t="shared" si="49"/>
        <v>44256</v>
      </c>
      <c r="CZ272" s="337">
        <f t="shared" si="50"/>
        <v>1</v>
      </c>
      <c r="DA272" s="337">
        <f t="shared" si="51"/>
        <v>1.25</v>
      </c>
      <c r="DB272" s="337">
        <f t="shared" si="52"/>
        <v>1.55</v>
      </c>
      <c r="DD272" s="129">
        <f t="shared" si="53"/>
        <v>5.5834744264330861E-2</v>
      </c>
      <c r="DE272" s="129">
        <f t="shared" si="54"/>
        <v>0.11166948852866172</v>
      </c>
      <c r="DF272" s="129">
        <f t="shared" si="55"/>
        <v>0.16750423279299259</v>
      </c>
      <c r="DH272" s="338">
        <f t="shared" si="48"/>
        <v>44256</v>
      </c>
      <c r="DI272" s="20">
        <v>0.9</v>
      </c>
    </row>
    <row r="273" spans="1:113">
      <c r="A273" s="34">
        <f t="shared" ca="1" si="56"/>
        <v>44531</v>
      </c>
      <c r="B273" s="20">
        <f>'Gas Curves'!C277</f>
        <v>7.3979866892738E-2</v>
      </c>
      <c r="C273" s="20"/>
      <c r="D273" s="26"/>
      <c r="E273" s="26"/>
      <c r="F273" s="26"/>
      <c r="G273" s="26"/>
      <c r="H273" s="26"/>
      <c r="I273" s="26"/>
      <c r="J273" s="26"/>
      <c r="K273" s="26"/>
      <c r="L273" s="26"/>
      <c r="M273" s="28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8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/>
      <c r="CI273"/>
      <c r="CJ273"/>
      <c r="CK273"/>
      <c r="CP273"/>
      <c r="CQ273"/>
      <c r="CR273"/>
      <c r="CS273"/>
      <c r="CT273"/>
      <c r="CY273" s="338">
        <f t="shared" si="49"/>
        <v>44287</v>
      </c>
      <c r="CZ273" s="337">
        <f t="shared" si="50"/>
        <v>1</v>
      </c>
      <c r="DA273" s="337">
        <f t="shared" si="51"/>
        <v>1.25</v>
      </c>
      <c r="DB273" s="337">
        <f t="shared" si="52"/>
        <v>1.55</v>
      </c>
      <c r="DD273" s="129">
        <f t="shared" si="53"/>
        <v>4.976677289946254E-2</v>
      </c>
      <c r="DE273" s="129">
        <f t="shared" si="54"/>
        <v>9.953354579892508E-2</v>
      </c>
      <c r="DF273" s="129">
        <f t="shared" si="55"/>
        <v>0.14930031869838761</v>
      </c>
      <c r="DH273" s="338">
        <f t="shared" si="48"/>
        <v>44287</v>
      </c>
      <c r="DI273" s="20">
        <v>0.9</v>
      </c>
    </row>
    <row r="274" spans="1:113">
      <c r="A274" s="34">
        <f t="shared" ca="1" si="56"/>
        <v>44562</v>
      </c>
      <c r="B274" s="20">
        <f>'Gas Curves'!C278</f>
        <v>7.3970631597140998E-2</v>
      </c>
      <c r="C274" s="20"/>
      <c r="D274" s="26"/>
      <c r="E274" s="26"/>
      <c r="F274" s="26"/>
      <c r="G274" s="26"/>
      <c r="H274" s="26"/>
      <c r="I274" s="26"/>
      <c r="J274" s="26"/>
      <c r="K274" s="26"/>
      <c r="L274" s="26"/>
      <c r="M274" s="28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8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/>
      <c r="CI274"/>
      <c r="CJ274"/>
      <c r="CK274"/>
      <c r="CP274"/>
      <c r="CQ274"/>
      <c r="CR274"/>
      <c r="CS274"/>
      <c r="CT274"/>
      <c r="CY274" s="338">
        <f t="shared" si="49"/>
        <v>44317</v>
      </c>
      <c r="CZ274" s="337">
        <f t="shared" si="50"/>
        <v>1</v>
      </c>
      <c r="DA274" s="337">
        <f t="shared" si="51"/>
        <v>1.25</v>
      </c>
      <c r="DB274" s="337">
        <f t="shared" si="52"/>
        <v>1.55</v>
      </c>
      <c r="DD274" s="129">
        <f t="shared" si="53"/>
        <v>5.7292938933407749E-2</v>
      </c>
      <c r="DE274" s="129">
        <f t="shared" si="54"/>
        <v>0.1145858778668155</v>
      </c>
      <c r="DF274" s="129">
        <f t="shared" si="55"/>
        <v>0.17187881680022324</v>
      </c>
      <c r="DH274" s="338">
        <f t="shared" si="48"/>
        <v>44317</v>
      </c>
      <c r="DI274" s="20">
        <v>0.9</v>
      </c>
    </row>
    <row r="275" spans="1:113">
      <c r="A275" s="34">
        <f t="shared" ca="1" si="56"/>
        <v>44593</v>
      </c>
      <c r="B275" s="20">
        <f>'Gas Curves'!C279</f>
        <v>7.3961396301572002E-2</v>
      </c>
      <c r="C275" s="20"/>
      <c r="D275" s="26"/>
      <c r="E275" s="26"/>
      <c r="F275" s="26"/>
      <c r="G275" s="26"/>
      <c r="H275" s="26"/>
      <c r="I275" s="26"/>
      <c r="J275" s="26"/>
      <c r="K275" s="26"/>
      <c r="L275" s="26"/>
      <c r="M275" s="28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8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/>
      <c r="CI275"/>
      <c r="CJ275"/>
      <c r="CK275"/>
      <c r="CP275"/>
      <c r="CQ275"/>
      <c r="CR275"/>
      <c r="CS275"/>
      <c r="CT275"/>
      <c r="CY275" s="338">
        <f t="shared" si="49"/>
        <v>44348</v>
      </c>
      <c r="CZ275" s="337">
        <f t="shared" si="50"/>
        <v>1</v>
      </c>
      <c r="DA275" s="337">
        <f t="shared" si="51"/>
        <v>1.25</v>
      </c>
      <c r="DB275" s="337">
        <f t="shared" si="52"/>
        <v>1.55</v>
      </c>
      <c r="DD275" s="129">
        <f t="shared" si="53"/>
        <v>7.1827847086464378E-2</v>
      </c>
      <c r="DE275" s="129">
        <f t="shared" si="54"/>
        <v>0.14365569417292876</v>
      </c>
      <c r="DF275" s="129">
        <f t="shared" si="55"/>
        <v>0.21548354125939312</v>
      </c>
      <c r="DH275" s="338">
        <f t="shared" ref="DH275:DH306" si="57">IF(BH275=0,EOMONTH(DH274,0)+1,BH275)</f>
        <v>44348</v>
      </c>
      <c r="DI275" s="20">
        <v>0.9</v>
      </c>
    </row>
    <row r="276" spans="1:113">
      <c r="A276" s="34">
        <f t="shared" ca="1" si="56"/>
        <v>44621</v>
      </c>
      <c r="B276" s="20">
        <f>'Gas Curves'!C280</f>
        <v>7.3953054744308008E-2</v>
      </c>
      <c r="C276" s="20"/>
      <c r="D276" s="26"/>
      <c r="E276" s="26"/>
      <c r="F276" s="26"/>
      <c r="G276" s="26"/>
      <c r="H276" s="26"/>
      <c r="I276" s="26"/>
      <c r="J276" s="26"/>
      <c r="K276" s="26"/>
      <c r="L276" s="26"/>
      <c r="M276" s="28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8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/>
      <c r="CI276"/>
      <c r="CJ276"/>
      <c r="CK276"/>
      <c r="CP276"/>
      <c r="CQ276"/>
      <c r="CR276"/>
      <c r="CS276"/>
      <c r="CT276"/>
      <c r="CY276" s="338">
        <f t="shared" ref="CY276:CY307" si="58">EOMONTH(CY275,0)+1</f>
        <v>44378</v>
      </c>
      <c r="CZ276" s="337">
        <f t="shared" si="50"/>
        <v>1</v>
      </c>
      <c r="DA276" s="337">
        <f t="shared" si="51"/>
        <v>1.25</v>
      </c>
      <c r="DB276" s="337">
        <f t="shared" si="52"/>
        <v>1.55</v>
      </c>
      <c r="DD276" s="129">
        <f t="shared" si="53"/>
        <v>8.4998637645868472E-2</v>
      </c>
      <c r="DE276" s="129">
        <f t="shared" si="54"/>
        <v>0.16999727529173694</v>
      </c>
      <c r="DF276" s="129">
        <f t="shared" si="55"/>
        <v>0.25499591293760543</v>
      </c>
      <c r="DH276" s="338">
        <f t="shared" si="57"/>
        <v>44378</v>
      </c>
      <c r="DI276" s="20">
        <v>0.9</v>
      </c>
    </row>
    <row r="277" spans="1:113">
      <c r="A277" s="34">
        <f t="shared" ca="1" si="56"/>
        <v>44652</v>
      </c>
      <c r="B277" s="20">
        <f>'Gas Curves'!C281</f>
        <v>7.3943819448790998E-2</v>
      </c>
      <c r="C277" s="20"/>
      <c r="D277" s="26"/>
      <c r="E277" s="26"/>
      <c r="F277" s="26"/>
      <c r="G277" s="26"/>
      <c r="H277" s="26"/>
      <c r="I277" s="26"/>
      <c r="J277" s="26"/>
      <c r="K277" s="26"/>
      <c r="L277" s="26"/>
      <c r="M277" s="28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8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/>
      <c r="CI277"/>
      <c r="CJ277"/>
      <c r="CK277"/>
      <c r="CP277"/>
      <c r="CQ277"/>
      <c r="CR277"/>
      <c r="CS277"/>
      <c r="CT277"/>
      <c r="CY277" s="338">
        <f t="shared" si="58"/>
        <v>44409</v>
      </c>
      <c r="CZ277" s="337">
        <f t="shared" si="50"/>
        <v>1</v>
      </c>
      <c r="DA277" s="337">
        <f t="shared" si="51"/>
        <v>1.25</v>
      </c>
      <c r="DB277" s="337">
        <f t="shared" si="52"/>
        <v>1.55</v>
      </c>
      <c r="DD277" s="129">
        <f t="shared" si="53"/>
        <v>8.3634520052215916E-2</v>
      </c>
      <c r="DE277" s="129">
        <f t="shared" si="54"/>
        <v>0.16726904010443183</v>
      </c>
      <c r="DF277" s="129">
        <f t="shared" si="55"/>
        <v>0.25090356015664772</v>
      </c>
      <c r="DH277" s="338">
        <f t="shared" si="57"/>
        <v>44409</v>
      </c>
      <c r="DI277" s="20">
        <v>0.9</v>
      </c>
    </row>
    <row r="278" spans="1:113">
      <c r="A278" s="34">
        <f t="shared" ca="1" si="56"/>
        <v>44682</v>
      </c>
      <c r="B278" s="20">
        <f>'Gas Curves'!C282</f>
        <v>7.3934882066060997E-2</v>
      </c>
      <c r="C278" s="20"/>
      <c r="D278" s="26"/>
      <c r="E278" s="26"/>
      <c r="F278" s="26"/>
      <c r="G278" s="26"/>
      <c r="H278" s="26"/>
      <c r="I278" s="26"/>
      <c r="J278" s="26"/>
      <c r="K278" s="26"/>
      <c r="L278" s="26"/>
      <c r="M278" s="28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8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/>
      <c r="CI278"/>
      <c r="CJ278"/>
      <c r="CK278"/>
      <c r="CP278"/>
      <c r="CQ278"/>
      <c r="CR278"/>
      <c r="CS278"/>
      <c r="CT278"/>
      <c r="CY278" s="338">
        <f t="shared" si="58"/>
        <v>44440</v>
      </c>
      <c r="CZ278" s="337">
        <f t="shared" si="50"/>
        <v>1</v>
      </c>
      <c r="DA278" s="337">
        <f t="shared" si="51"/>
        <v>1.25</v>
      </c>
      <c r="DB278" s="337">
        <f t="shared" si="52"/>
        <v>1.55</v>
      </c>
      <c r="DD278" s="129">
        <f t="shared" si="53"/>
        <v>5.5411397424921446E-2</v>
      </c>
      <c r="DE278" s="129">
        <f t="shared" si="54"/>
        <v>0.11082279484984289</v>
      </c>
      <c r="DF278" s="129">
        <f t="shared" si="55"/>
        <v>0.16623419227476433</v>
      </c>
      <c r="DH278" s="338">
        <f t="shared" si="57"/>
        <v>44440</v>
      </c>
      <c r="DI278" s="20">
        <v>0.9</v>
      </c>
    </row>
    <row r="279" spans="1:113">
      <c r="A279" s="34">
        <f t="shared" ca="1" si="56"/>
        <v>44713</v>
      </c>
      <c r="B279" s="20">
        <f>'Gas Curves'!C283</f>
        <v>7.3925646770600997E-2</v>
      </c>
      <c r="C279" s="20"/>
      <c r="D279" s="26"/>
      <c r="E279" s="26"/>
      <c r="F279" s="26"/>
      <c r="G279" s="26"/>
      <c r="H279" s="26"/>
      <c r="I279" s="26"/>
      <c r="J279" s="26"/>
      <c r="K279" s="26"/>
      <c r="L279" s="26"/>
      <c r="M279" s="28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8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/>
      <c r="CI279"/>
      <c r="CJ279"/>
      <c r="CK279"/>
      <c r="CP279"/>
      <c r="CQ279"/>
      <c r="CR279"/>
      <c r="CS279"/>
      <c r="CT279"/>
      <c r="CY279" s="338">
        <f t="shared" si="58"/>
        <v>44470</v>
      </c>
      <c r="CZ279" s="337">
        <f t="shared" si="50"/>
        <v>0.85000000000000009</v>
      </c>
      <c r="DA279" s="337">
        <f t="shared" si="51"/>
        <v>1.1000000000000001</v>
      </c>
      <c r="DB279" s="337">
        <f t="shared" si="52"/>
        <v>1.4000000000000001</v>
      </c>
      <c r="DD279" s="129">
        <f t="shared" si="53"/>
        <v>5.3277333240296203E-2</v>
      </c>
      <c r="DE279" s="129">
        <f t="shared" si="54"/>
        <v>0.10655466648059241</v>
      </c>
      <c r="DF279" s="129">
        <f t="shared" si="55"/>
        <v>0.1598319997208886</v>
      </c>
      <c r="DH279" s="338">
        <f t="shared" si="57"/>
        <v>44470</v>
      </c>
      <c r="DI279" s="20">
        <v>0.9</v>
      </c>
    </row>
    <row r="280" spans="1:113">
      <c r="A280" s="34">
        <f t="shared" ca="1" si="56"/>
        <v>44743</v>
      </c>
      <c r="B280" s="20">
        <f>'Gas Curves'!C284</f>
        <v>7.3916709387923996E-2</v>
      </c>
      <c r="C280" s="20"/>
      <c r="D280" s="26"/>
      <c r="E280" s="26"/>
      <c r="F280" s="26"/>
      <c r="G280" s="26"/>
      <c r="H280" s="26"/>
      <c r="I280" s="26"/>
      <c r="J280" s="26"/>
      <c r="K280" s="26"/>
      <c r="L280" s="26"/>
      <c r="M280" s="28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8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/>
      <c r="CI280"/>
      <c r="CJ280"/>
      <c r="CK280"/>
      <c r="CP280"/>
      <c r="CQ280"/>
      <c r="CR280"/>
      <c r="CS280"/>
      <c r="CT280"/>
      <c r="CY280" s="338">
        <f t="shared" si="58"/>
        <v>44501</v>
      </c>
      <c r="CZ280" s="337">
        <f t="shared" si="50"/>
        <v>1</v>
      </c>
      <c r="DA280" s="337">
        <f t="shared" si="51"/>
        <v>1.25</v>
      </c>
      <c r="DB280" s="337">
        <f t="shared" si="52"/>
        <v>1.55</v>
      </c>
      <c r="DD280" s="129">
        <f t="shared" si="53"/>
        <v>5.3277333240296203E-2</v>
      </c>
      <c r="DE280" s="129">
        <f t="shared" si="54"/>
        <v>0.10655466648059241</v>
      </c>
      <c r="DF280" s="129">
        <f t="shared" si="55"/>
        <v>0.1598319997208886</v>
      </c>
      <c r="DH280" s="338">
        <f t="shared" si="57"/>
        <v>44501</v>
      </c>
      <c r="DI280" s="20">
        <v>0.9</v>
      </c>
    </row>
    <row r="281" spans="1:113">
      <c r="A281" s="34">
        <f t="shared" ca="1" si="56"/>
        <v>44774</v>
      </c>
      <c r="B281" s="20">
        <f>'Gas Curves'!C285</f>
        <v>7.3907474092519007E-2</v>
      </c>
      <c r="C281" s="20"/>
      <c r="D281" s="26"/>
      <c r="E281" s="26"/>
      <c r="F281" s="26"/>
      <c r="G281" s="26"/>
      <c r="H281" s="26"/>
      <c r="I281" s="26"/>
      <c r="J281" s="26"/>
      <c r="K281" s="26"/>
      <c r="L281" s="26"/>
      <c r="M281" s="28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8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/>
      <c r="CI281"/>
      <c r="CJ281"/>
      <c r="CK281"/>
      <c r="CP281"/>
      <c r="CQ281"/>
      <c r="CR281"/>
      <c r="CS281"/>
      <c r="CT281"/>
      <c r="CY281" s="338">
        <f t="shared" si="58"/>
        <v>44531</v>
      </c>
      <c r="CZ281" s="337">
        <f t="shared" si="50"/>
        <v>1</v>
      </c>
      <c r="DA281" s="337">
        <f t="shared" si="51"/>
        <v>1.25</v>
      </c>
      <c r="DB281" s="337">
        <f t="shared" si="52"/>
        <v>1.55</v>
      </c>
      <c r="DD281" s="129">
        <f t="shared" si="53"/>
        <v>5.5178680448871829E-2</v>
      </c>
      <c r="DE281" s="129">
        <f t="shared" si="54"/>
        <v>0.11035736089774366</v>
      </c>
      <c r="DF281" s="129">
        <f t="shared" si="55"/>
        <v>0.16553604134661548</v>
      </c>
      <c r="DH281" s="338">
        <f t="shared" si="57"/>
        <v>44531</v>
      </c>
      <c r="DI281" s="20">
        <v>0.9</v>
      </c>
    </row>
    <row r="282" spans="1:113">
      <c r="A282" s="34">
        <f t="shared" ca="1" si="56"/>
        <v>44805</v>
      </c>
      <c r="B282" s="20">
        <f>'Gas Curves'!C286</f>
        <v>7.3898238797141996E-2</v>
      </c>
      <c r="C282" s="20"/>
      <c r="D282" s="26"/>
      <c r="E282" s="26"/>
      <c r="F282" s="26"/>
      <c r="G282" s="26"/>
      <c r="H282" s="26"/>
      <c r="I282" s="26"/>
      <c r="J282" s="26"/>
      <c r="K282" s="26"/>
      <c r="L282" s="26"/>
      <c r="M282" s="28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8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/>
      <c r="CI282"/>
      <c r="CJ282"/>
      <c r="CK282"/>
      <c r="CP282"/>
      <c r="CQ282"/>
      <c r="CR282"/>
      <c r="CS282"/>
      <c r="CT282"/>
      <c r="CY282" s="338">
        <f t="shared" si="58"/>
        <v>44562</v>
      </c>
      <c r="CZ282" s="337">
        <f t="shared" si="50"/>
        <v>1.25</v>
      </c>
      <c r="DA282" s="337">
        <f t="shared" si="51"/>
        <v>2</v>
      </c>
      <c r="DB282" s="337">
        <f t="shared" si="52"/>
        <v>2.75</v>
      </c>
      <c r="DD282" s="129">
        <f t="shared" si="53"/>
        <v>5.937308760112317E-2</v>
      </c>
      <c r="DE282" s="129">
        <f t="shared" si="54"/>
        <v>0.11874617520224634</v>
      </c>
      <c r="DF282" s="129">
        <f t="shared" si="55"/>
        <v>0.17811926280336951</v>
      </c>
      <c r="DH282" s="338">
        <f t="shared" si="57"/>
        <v>44562</v>
      </c>
      <c r="DI282" s="20">
        <v>0.9</v>
      </c>
    </row>
    <row r="283" spans="1:113">
      <c r="A283" s="34">
        <f t="shared" ca="1" si="56"/>
        <v>44835</v>
      </c>
      <c r="B283" s="20">
        <f>'Gas Curves'!C287</f>
        <v>7.3889301414545999E-2</v>
      </c>
      <c r="C283" s="20"/>
      <c r="D283" s="26"/>
      <c r="E283" s="26"/>
      <c r="F283" s="26"/>
      <c r="G283" s="26"/>
      <c r="H283" s="26"/>
      <c r="I283" s="26"/>
      <c r="J283" s="26"/>
      <c r="K283" s="26"/>
      <c r="L283" s="26"/>
      <c r="M283" s="28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8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/>
      <c r="CI283"/>
      <c r="CJ283"/>
      <c r="CK283"/>
      <c r="CP283"/>
      <c r="CQ283"/>
      <c r="CR283"/>
      <c r="CS283"/>
      <c r="CT283"/>
      <c r="CY283" s="338">
        <f t="shared" si="58"/>
        <v>44593</v>
      </c>
      <c r="CZ283" s="337">
        <f t="shared" si="50"/>
        <v>1.25</v>
      </c>
      <c r="DA283" s="337">
        <f t="shared" si="51"/>
        <v>2</v>
      </c>
      <c r="DB283" s="337">
        <f t="shared" si="52"/>
        <v>2.75</v>
      </c>
      <c r="DD283" s="129">
        <f t="shared" si="53"/>
        <v>5.7282485925027264E-2</v>
      </c>
      <c r="DE283" s="129">
        <f t="shared" si="54"/>
        <v>0.11456497185005453</v>
      </c>
      <c r="DF283" s="129">
        <f t="shared" si="55"/>
        <v>0.17184745777508179</v>
      </c>
      <c r="DH283" s="338">
        <f t="shared" si="57"/>
        <v>44593</v>
      </c>
      <c r="DI283" s="20">
        <v>0.9</v>
      </c>
    </row>
    <row r="284" spans="1:113">
      <c r="A284" s="34">
        <f t="shared" ca="1" si="56"/>
        <v>44866</v>
      </c>
      <c r="B284" s="20">
        <f>'Gas Curves'!C288</f>
        <v>7.3880066119224999E-2</v>
      </c>
      <c r="C284" s="20"/>
      <c r="D284" s="26"/>
      <c r="E284" s="26"/>
      <c r="F284" s="26"/>
      <c r="G284" s="26"/>
      <c r="H284" s="26"/>
      <c r="I284" s="26"/>
      <c r="J284" s="26"/>
      <c r="K284" s="26"/>
      <c r="L284" s="26"/>
      <c r="M284" s="28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8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/>
      <c r="CI284"/>
      <c r="CJ284"/>
      <c r="CK284"/>
      <c r="CP284"/>
      <c r="CQ284"/>
      <c r="CR284"/>
      <c r="CS284"/>
      <c r="CT284"/>
      <c r="CY284" s="338">
        <f t="shared" si="58"/>
        <v>44621</v>
      </c>
      <c r="CZ284" s="337">
        <f t="shared" si="50"/>
        <v>1</v>
      </c>
      <c r="DA284" s="337">
        <f t="shared" si="51"/>
        <v>1.25</v>
      </c>
      <c r="DB284" s="337">
        <f t="shared" si="52"/>
        <v>1.55</v>
      </c>
      <c r="DD284" s="129">
        <f t="shared" si="53"/>
        <v>5.5834744264330861E-2</v>
      </c>
      <c r="DE284" s="129">
        <f t="shared" si="54"/>
        <v>0.11166948852866172</v>
      </c>
      <c r="DF284" s="129">
        <f t="shared" si="55"/>
        <v>0.16750423279299259</v>
      </c>
      <c r="DH284" s="338">
        <f t="shared" si="57"/>
        <v>44621</v>
      </c>
      <c r="DI284" s="20">
        <v>0.9</v>
      </c>
    </row>
    <row r="285" spans="1:113">
      <c r="A285" s="34">
        <f t="shared" ca="1" si="56"/>
        <v>44896</v>
      </c>
      <c r="B285" s="20">
        <f>'Gas Curves'!C289</f>
        <v>7.3871128736682001E-2</v>
      </c>
      <c r="C285" s="20"/>
      <c r="D285" s="26"/>
      <c r="E285" s="26"/>
      <c r="F285" s="26"/>
      <c r="G285" s="26"/>
      <c r="H285" s="26"/>
      <c r="I285" s="26"/>
      <c r="J285" s="26"/>
      <c r="K285" s="26"/>
      <c r="L285" s="26"/>
      <c r="M285" s="28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8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/>
      <c r="CI285"/>
      <c r="CJ285"/>
      <c r="CK285"/>
      <c r="CP285"/>
      <c r="CQ285"/>
      <c r="CR285"/>
      <c r="CS285"/>
      <c r="CT285"/>
      <c r="CY285" s="338">
        <f t="shared" si="58"/>
        <v>44652</v>
      </c>
      <c r="CZ285" s="337">
        <f t="shared" si="50"/>
        <v>1</v>
      </c>
      <c r="DA285" s="337">
        <f t="shared" si="51"/>
        <v>1.25</v>
      </c>
      <c r="DB285" s="337">
        <f t="shared" si="52"/>
        <v>1.55</v>
      </c>
      <c r="DD285" s="129">
        <f t="shared" si="53"/>
        <v>4.976677289946254E-2</v>
      </c>
      <c r="DE285" s="129">
        <f t="shared" si="54"/>
        <v>9.953354579892508E-2</v>
      </c>
      <c r="DF285" s="129">
        <f t="shared" si="55"/>
        <v>0.14930031869838761</v>
      </c>
      <c r="DH285" s="338">
        <f t="shared" si="57"/>
        <v>44652</v>
      </c>
      <c r="DI285" s="20">
        <v>0.9</v>
      </c>
    </row>
    <row r="286" spans="1:113">
      <c r="A286" s="34">
        <f t="shared" ca="1" si="56"/>
        <v>44927</v>
      </c>
      <c r="B286" s="20">
        <f>'Gas Curves'!C290</f>
        <v>7.3861893441415999E-2</v>
      </c>
      <c r="C286" s="20"/>
      <c r="D286" s="26"/>
      <c r="E286" s="26"/>
      <c r="F286" s="26"/>
      <c r="G286" s="26"/>
      <c r="H286" s="26"/>
      <c r="I286" s="26"/>
      <c r="J286" s="26"/>
      <c r="K286" s="26"/>
      <c r="L286" s="26"/>
      <c r="M286" s="28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8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/>
      <c r="CI286"/>
      <c r="CJ286"/>
      <c r="CK286"/>
      <c r="CP286"/>
      <c r="CQ286"/>
      <c r="CR286"/>
      <c r="CS286"/>
      <c r="CT286"/>
      <c r="CY286" s="338">
        <f t="shared" si="58"/>
        <v>44682</v>
      </c>
      <c r="CZ286" s="337">
        <f t="shared" ref="CZ286:CZ349" si="59">IF(AI286=0,CZ274,AH286+AI286)</f>
        <v>1</v>
      </c>
      <c r="DA286" s="337">
        <f t="shared" ref="DA286:DA349" si="60">IF(AI286=0,DA274,AI286)</f>
        <v>1.25</v>
      </c>
      <c r="DB286" s="337">
        <f t="shared" ref="DB286:DB349" si="61">IF(AI286=0,DB274,AI286+AJ286)</f>
        <v>1.55</v>
      </c>
      <c r="DD286" s="129">
        <f t="shared" ref="DD286:DD349" si="62">IF(Z286=0,DD274,Z286)</f>
        <v>5.7292938933407749E-2</v>
      </c>
      <c r="DE286" s="129">
        <f t="shared" ref="DE286:DE349" si="63">IF(AA286=0,DE274,AA286)</f>
        <v>0.1145858778668155</v>
      </c>
      <c r="DF286" s="129">
        <f t="shared" ref="DF286:DF349" si="64">IF(AB286=0,DF274,AB286)</f>
        <v>0.17187881680022324</v>
      </c>
      <c r="DH286" s="338">
        <f t="shared" si="57"/>
        <v>44682</v>
      </c>
      <c r="DI286" s="20">
        <v>0.9</v>
      </c>
    </row>
    <row r="287" spans="1:113">
      <c r="A287" s="34">
        <f t="shared" ca="1" si="56"/>
        <v>44958</v>
      </c>
      <c r="B287" s="20">
        <f>'Gas Curves'!C291</f>
        <v>7.3852658146178002E-2</v>
      </c>
      <c r="C287" s="20"/>
      <c r="D287" s="26"/>
      <c r="E287" s="26"/>
      <c r="F287" s="26"/>
      <c r="G287" s="26"/>
      <c r="H287" s="26"/>
      <c r="I287" s="26"/>
      <c r="J287" s="26"/>
      <c r="K287" s="26"/>
      <c r="L287" s="26"/>
      <c r="M287" s="28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8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/>
      <c r="CI287"/>
      <c r="CJ287"/>
      <c r="CK287"/>
      <c r="CP287"/>
      <c r="CQ287"/>
      <c r="CR287"/>
      <c r="CS287"/>
      <c r="CT287"/>
      <c r="CY287" s="338">
        <f t="shared" si="58"/>
        <v>44713</v>
      </c>
      <c r="CZ287" s="337">
        <f t="shared" si="59"/>
        <v>1</v>
      </c>
      <c r="DA287" s="337">
        <f t="shared" si="60"/>
        <v>1.25</v>
      </c>
      <c r="DB287" s="337">
        <f t="shared" si="61"/>
        <v>1.55</v>
      </c>
      <c r="DD287" s="129">
        <f t="shared" si="62"/>
        <v>7.1827847086464378E-2</v>
      </c>
      <c r="DE287" s="129">
        <f t="shared" si="63"/>
        <v>0.14365569417292876</v>
      </c>
      <c r="DF287" s="129">
        <f t="shared" si="64"/>
        <v>0.21548354125939312</v>
      </c>
      <c r="DH287" s="338">
        <f t="shared" si="57"/>
        <v>44713</v>
      </c>
      <c r="DI287" s="20">
        <v>0.9</v>
      </c>
    </row>
    <row r="288" spans="1:113">
      <c r="A288" s="34">
        <f t="shared" ca="1" si="56"/>
        <v>44986</v>
      </c>
      <c r="B288" s="20">
        <f>'Gas Curves'!C292</f>
        <v>7.3844316589213005E-2</v>
      </c>
      <c r="C288" s="20"/>
      <c r="D288" s="26"/>
      <c r="E288" s="26"/>
      <c r="F288" s="26"/>
      <c r="G288" s="26"/>
      <c r="H288" s="26"/>
      <c r="I288" s="26"/>
      <c r="J288" s="26"/>
      <c r="K288" s="26"/>
      <c r="L288" s="26"/>
      <c r="M288" s="28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8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/>
      <c r="CI288"/>
      <c r="CJ288"/>
      <c r="CK288"/>
      <c r="CP288"/>
      <c r="CQ288"/>
      <c r="CR288"/>
      <c r="CS288"/>
      <c r="CT288"/>
      <c r="CY288" s="338">
        <f t="shared" si="58"/>
        <v>44743</v>
      </c>
      <c r="CZ288" s="337">
        <f t="shared" si="59"/>
        <v>1</v>
      </c>
      <c r="DA288" s="337">
        <f t="shared" si="60"/>
        <v>1.25</v>
      </c>
      <c r="DB288" s="337">
        <f t="shared" si="61"/>
        <v>1.55</v>
      </c>
      <c r="DD288" s="129">
        <f t="shared" si="62"/>
        <v>8.4998637645868472E-2</v>
      </c>
      <c r="DE288" s="129">
        <f t="shared" si="63"/>
        <v>0.16999727529173694</v>
      </c>
      <c r="DF288" s="129">
        <f t="shared" si="64"/>
        <v>0.25499591293760543</v>
      </c>
      <c r="DH288" s="338">
        <f t="shared" si="57"/>
        <v>44743</v>
      </c>
      <c r="DI288" s="20">
        <v>0.9</v>
      </c>
    </row>
    <row r="289" spans="1:113">
      <c r="A289" s="34">
        <f t="shared" ca="1" si="56"/>
        <v>45017</v>
      </c>
      <c r="B289" s="20">
        <f>'Gas Curves'!C293</f>
        <v>7.3835081294029006E-2</v>
      </c>
      <c r="C289" s="20"/>
      <c r="D289" s="26"/>
      <c r="E289" s="26"/>
      <c r="F289" s="26"/>
      <c r="G289" s="26"/>
      <c r="H289" s="26"/>
      <c r="I289" s="26"/>
      <c r="J289" s="26"/>
      <c r="K289" s="26"/>
      <c r="L289" s="26"/>
      <c r="M289" s="28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8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/>
      <c r="CI289"/>
      <c r="CJ289"/>
      <c r="CK289"/>
      <c r="CP289"/>
      <c r="CQ289"/>
      <c r="CR289"/>
      <c r="CS289"/>
      <c r="CT289"/>
      <c r="CY289" s="338">
        <f t="shared" si="58"/>
        <v>44774</v>
      </c>
      <c r="CZ289" s="337">
        <f t="shared" si="59"/>
        <v>1</v>
      </c>
      <c r="DA289" s="337">
        <f t="shared" si="60"/>
        <v>1.25</v>
      </c>
      <c r="DB289" s="337">
        <f t="shared" si="61"/>
        <v>1.55</v>
      </c>
      <c r="DD289" s="129">
        <f t="shared" si="62"/>
        <v>8.3634520052215916E-2</v>
      </c>
      <c r="DE289" s="129">
        <f t="shared" si="63"/>
        <v>0.16726904010443183</v>
      </c>
      <c r="DF289" s="129">
        <f t="shared" si="64"/>
        <v>0.25090356015664772</v>
      </c>
      <c r="DH289" s="338">
        <f t="shared" si="57"/>
        <v>44774</v>
      </c>
      <c r="DI289" s="20">
        <v>0.9</v>
      </c>
    </row>
    <row r="290" spans="1:113" ht="14.25">
      <c r="A290" s="124">
        <f t="shared" ref="A290:A321" ca="1" si="65">EDATE(A289,1)</f>
        <v>45047</v>
      </c>
      <c r="B290" s="20">
        <f>'Gas Curves'!C294</f>
        <v>7.3826143911618E-2</v>
      </c>
      <c r="C290" s="20"/>
      <c r="D290" s="26"/>
      <c r="E290" s="26"/>
      <c r="F290" s="26"/>
      <c r="G290" s="26"/>
      <c r="H290" s="26"/>
      <c r="I290" s="26"/>
      <c r="J290" s="26"/>
      <c r="K290" s="26"/>
      <c r="L290" s="26"/>
      <c r="M290" s="28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8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/>
      <c r="CI290"/>
      <c r="CJ290"/>
      <c r="CK290"/>
      <c r="CP290"/>
      <c r="CQ290"/>
      <c r="CR290"/>
      <c r="CS290"/>
      <c r="CT290"/>
      <c r="CY290" s="338">
        <f t="shared" si="58"/>
        <v>44805</v>
      </c>
      <c r="CZ290" s="337">
        <f t="shared" si="59"/>
        <v>1</v>
      </c>
      <c r="DA290" s="337">
        <f t="shared" si="60"/>
        <v>1.25</v>
      </c>
      <c r="DB290" s="337">
        <f t="shared" si="61"/>
        <v>1.55</v>
      </c>
      <c r="DD290" s="129">
        <f t="shared" si="62"/>
        <v>5.5411397424921446E-2</v>
      </c>
      <c r="DE290" s="129">
        <f t="shared" si="63"/>
        <v>0.11082279484984289</v>
      </c>
      <c r="DF290" s="129">
        <f t="shared" si="64"/>
        <v>0.16623419227476433</v>
      </c>
      <c r="DH290" s="338">
        <f t="shared" si="57"/>
        <v>44805</v>
      </c>
      <c r="DI290" s="20">
        <v>0.9</v>
      </c>
    </row>
    <row r="291" spans="1:113" ht="14.25">
      <c r="A291" s="124">
        <f t="shared" ca="1" si="65"/>
        <v>45078</v>
      </c>
      <c r="B291" s="20">
        <f>'Gas Curves'!C295</f>
        <v>7.3816908616488999E-2</v>
      </c>
      <c r="C291" s="20"/>
      <c r="D291" s="26"/>
      <c r="E291" s="26"/>
      <c r="F291" s="26"/>
      <c r="G291" s="26"/>
      <c r="H291" s="26"/>
      <c r="I291" s="26"/>
      <c r="J291" s="26"/>
      <c r="K291" s="26"/>
      <c r="L291" s="26"/>
      <c r="M291" s="28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8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/>
      <c r="CI291"/>
      <c r="CJ291"/>
      <c r="CK291"/>
      <c r="CP291"/>
      <c r="CQ291"/>
      <c r="CR291"/>
      <c r="CS291"/>
      <c r="CT291"/>
      <c r="CY291" s="338">
        <f t="shared" si="58"/>
        <v>44835</v>
      </c>
      <c r="CZ291" s="337">
        <f t="shared" si="59"/>
        <v>0.85000000000000009</v>
      </c>
      <c r="DA291" s="337">
        <f t="shared" si="60"/>
        <v>1.1000000000000001</v>
      </c>
      <c r="DB291" s="337">
        <f t="shared" si="61"/>
        <v>1.4000000000000001</v>
      </c>
      <c r="DD291" s="129">
        <f t="shared" si="62"/>
        <v>5.3277333240296203E-2</v>
      </c>
      <c r="DE291" s="129">
        <f t="shared" si="63"/>
        <v>0.10655466648059241</v>
      </c>
      <c r="DF291" s="129">
        <f t="shared" si="64"/>
        <v>0.1598319997208886</v>
      </c>
      <c r="DH291" s="338">
        <f t="shared" si="57"/>
        <v>44835</v>
      </c>
      <c r="DI291" s="20">
        <v>0.9</v>
      </c>
    </row>
    <row r="292" spans="1:113" ht="14.25">
      <c r="A292" s="124">
        <f t="shared" ca="1" si="65"/>
        <v>45108</v>
      </c>
      <c r="B292" s="20">
        <f>'Gas Curves'!C296</f>
        <v>7.3807971234134004E-2</v>
      </c>
      <c r="C292" s="20"/>
      <c r="D292" s="26"/>
      <c r="E292" s="26"/>
      <c r="F292" s="26"/>
      <c r="G292" s="26"/>
      <c r="H292" s="26"/>
      <c r="I292" s="26"/>
      <c r="J292" s="26"/>
      <c r="K292" s="26"/>
      <c r="L292" s="26"/>
      <c r="M292" s="28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8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/>
      <c r="CI292"/>
      <c r="CJ292"/>
      <c r="CK292"/>
      <c r="CP292"/>
      <c r="CQ292"/>
      <c r="CR292"/>
      <c r="CS292"/>
      <c r="CT292"/>
      <c r="CY292" s="338">
        <f t="shared" si="58"/>
        <v>44866</v>
      </c>
      <c r="CZ292" s="337">
        <f t="shared" si="59"/>
        <v>1</v>
      </c>
      <c r="DA292" s="337">
        <f t="shared" si="60"/>
        <v>1.25</v>
      </c>
      <c r="DB292" s="337">
        <f t="shared" si="61"/>
        <v>1.55</v>
      </c>
      <c r="DD292" s="129">
        <f t="shared" si="62"/>
        <v>5.3277333240296203E-2</v>
      </c>
      <c r="DE292" s="129">
        <f t="shared" si="63"/>
        <v>0.10655466648059241</v>
      </c>
      <c r="DF292" s="129">
        <f t="shared" si="64"/>
        <v>0.1598319997208886</v>
      </c>
      <c r="DH292" s="338">
        <f t="shared" si="57"/>
        <v>44866</v>
      </c>
      <c r="DI292" s="20">
        <v>0.9</v>
      </c>
    </row>
    <row r="293" spans="1:113" ht="14.25">
      <c r="A293" s="124">
        <f t="shared" ca="1" si="65"/>
        <v>45139</v>
      </c>
      <c r="B293" s="20">
        <f>'Gas Curves'!C297</f>
        <v>7.3798735939060001E-2</v>
      </c>
      <c r="C293" s="20"/>
      <c r="D293" s="26"/>
      <c r="E293" s="26"/>
      <c r="F293" s="26"/>
      <c r="G293" s="26"/>
      <c r="H293" s="26"/>
      <c r="I293" s="26"/>
      <c r="J293" s="26"/>
      <c r="K293" s="26"/>
      <c r="L293" s="26"/>
      <c r="M293" s="28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8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/>
      <c r="CI293"/>
      <c r="CJ293"/>
      <c r="CK293"/>
      <c r="CP293"/>
      <c r="CQ293"/>
      <c r="CR293"/>
      <c r="CS293"/>
      <c r="CT293"/>
      <c r="CY293" s="338">
        <f t="shared" si="58"/>
        <v>44896</v>
      </c>
      <c r="CZ293" s="337">
        <f t="shared" si="59"/>
        <v>1</v>
      </c>
      <c r="DA293" s="337">
        <f t="shared" si="60"/>
        <v>1.25</v>
      </c>
      <c r="DB293" s="337">
        <f t="shared" si="61"/>
        <v>1.55</v>
      </c>
      <c r="DD293" s="129">
        <f t="shared" si="62"/>
        <v>5.5178680448871829E-2</v>
      </c>
      <c r="DE293" s="129">
        <f t="shared" si="63"/>
        <v>0.11035736089774366</v>
      </c>
      <c r="DF293" s="129">
        <f t="shared" si="64"/>
        <v>0.16553604134661548</v>
      </c>
      <c r="DH293" s="338">
        <f t="shared" si="57"/>
        <v>44896</v>
      </c>
      <c r="DI293" s="20">
        <v>0.9</v>
      </c>
    </row>
    <row r="294" spans="1:113" ht="14.25">
      <c r="A294" s="124">
        <f t="shared" ca="1" si="65"/>
        <v>45170</v>
      </c>
      <c r="B294" s="20">
        <f>'Gas Curves'!C298</f>
        <v>7.3789500644015002E-2</v>
      </c>
      <c r="C294" s="20"/>
      <c r="D294" s="26"/>
      <c r="E294" s="26"/>
      <c r="F294" s="26"/>
      <c r="G294" s="26"/>
      <c r="H294" s="26"/>
      <c r="I294" s="26"/>
      <c r="J294" s="26"/>
      <c r="K294" s="26"/>
      <c r="L294" s="26"/>
      <c r="M294" s="28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8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/>
      <c r="CI294"/>
      <c r="CJ294"/>
      <c r="CK294"/>
      <c r="CP294"/>
      <c r="CQ294"/>
      <c r="CR294"/>
      <c r="CS294"/>
      <c r="CT294"/>
      <c r="CY294" s="338">
        <f t="shared" si="58"/>
        <v>44927</v>
      </c>
      <c r="CZ294" s="337">
        <f t="shared" si="59"/>
        <v>1.25</v>
      </c>
      <c r="DA294" s="337">
        <f t="shared" si="60"/>
        <v>2</v>
      </c>
      <c r="DB294" s="337">
        <f t="shared" si="61"/>
        <v>2.75</v>
      </c>
      <c r="DD294" s="129">
        <f t="shared" si="62"/>
        <v>5.937308760112317E-2</v>
      </c>
      <c r="DE294" s="129">
        <f t="shared" si="63"/>
        <v>0.11874617520224634</v>
      </c>
      <c r="DF294" s="129">
        <f t="shared" si="64"/>
        <v>0.17811926280336951</v>
      </c>
      <c r="DH294" s="338">
        <f t="shared" si="57"/>
        <v>44927</v>
      </c>
      <c r="DI294" s="20">
        <v>0.9</v>
      </c>
    </row>
    <row r="295" spans="1:113" ht="14.25">
      <c r="A295" s="124">
        <f t="shared" ca="1" si="65"/>
        <v>45200</v>
      </c>
      <c r="B295" s="20">
        <f>'Gas Curves'!C299</f>
        <v>7.3780563261738999E-2</v>
      </c>
      <c r="C295" s="20"/>
      <c r="D295" s="26"/>
      <c r="E295" s="26"/>
      <c r="F295" s="26"/>
      <c r="G295" s="26"/>
      <c r="H295" s="26"/>
      <c r="I295" s="26"/>
      <c r="J295" s="26"/>
      <c r="K295" s="26"/>
      <c r="L295" s="26"/>
      <c r="M295" s="28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8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/>
      <c r="CI295"/>
      <c r="CJ295"/>
      <c r="CK295"/>
      <c r="CP295"/>
      <c r="CQ295"/>
      <c r="CR295"/>
      <c r="CS295"/>
      <c r="CT295"/>
      <c r="CY295" s="338">
        <f t="shared" si="58"/>
        <v>44958</v>
      </c>
      <c r="CZ295" s="337">
        <f t="shared" si="59"/>
        <v>1.25</v>
      </c>
      <c r="DA295" s="337">
        <f t="shared" si="60"/>
        <v>2</v>
      </c>
      <c r="DB295" s="337">
        <f t="shared" si="61"/>
        <v>2.75</v>
      </c>
      <c r="DD295" s="129">
        <f t="shared" si="62"/>
        <v>5.7282485925027264E-2</v>
      </c>
      <c r="DE295" s="129">
        <f t="shared" si="63"/>
        <v>0.11456497185005453</v>
      </c>
      <c r="DF295" s="129">
        <f t="shared" si="64"/>
        <v>0.17184745777508179</v>
      </c>
      <c r="DH295" s="338">
        <f t="shared" si="57"/>
        <v>44958</v>
      </c>
      <c r="DI295" s="20">
        <v>0.9</v>
      </c>
    </row>
    <row r="296" spans="1:113" ht="14.25">
      <c r="A296" s="124">
        <f t="shared" ca="1" si="65"/>
        <v>45231</v>
      </c>
      <c r="B296" s="20">
        <f>'Gas Curves'!C300</f>
        <v>7.3771327966748998E-2</v>
      </c>
      <c r="C296" s="20"/>
      <c r="D296" s="26"/>
      <c r="E296" s="26"/>
      <c r="F296" s="26"/>
      <c r="G296" s="26"/>
      <c r="H296" s="26"/>
      <c r="I296" s="26"/>
      <c r="J296" s="26"/>
      <c r="K296" s="26"/>
      <c r="L296" s="26"/>
      <c r="M296" s="28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8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/>
      <c r="CI296"/>
      <c r="CJ296"/>
      <c r="CK296"/>
      <c r="CP296"/>
      <c r="CQ296"/>
      <c r="CR296"/>
      <c r="CS296"/>
      <c r="CT296"/>
      <c r="CY296" s="338">
        <f t="shared" si="58"/>
        <v>44986</v>
      </c>
      <c r="CZ296" s="337">
        <f t="shared" si="59"/>
        <v>1</v>
      </c>
      <c r="DA296" s="337">
        <f t="shared" si="60"/>
        <v>1.25</v>
      </c>
      <c r="DB296" s="337">
        <f t="shared" si="61"/>
        <v>1.55</v>
      </c>
      <c r="DD296" s="129">
        <f t="shared" si="62"/>
        <v>5.5834744264330861E-2</v>
      </c>
      <c r="DE296" s="129">
        <f t="shared" si="63"/>
        <v>0.11166948852866172</v>
      </c>
      <c r="DF296" s="129">
        <f t="shared" si="64"/>
        <v>0.16750423279299259</v>
      </c>
      <c r="DH296" s="338">
        <f t="shared" si="57"/>
        <v>44986</v>
      </c>
      <c r="DI296" s="20">
        <v>0.9</v>
      </c>
    </row>
    <row r="297" spans="1:113" ht="14.25">
      <c r="A297" s="124">
        <f t="shared" ca="1" si="65"/>
        <v>45261</v>
      </c>
      <c r="B297" s="20">
        <f>'Gas Curves'!C301</f>
        <v>7.3762390584527007E-2</v>
      </c>
      <c r="C297" s="20"/>
      <c r="D297" s="26"/>
      <c r="E297" s="26"/>
      <c r="F297" s="26"/>
      <c r="G297" s="26"/>
      <c r="H297" s="26"/>
      <c r="I297" s="26"/>
      <c r="J297" s="26"/>
      <c r="K297" s="26"/>
      <c r="L297" s="26"/>
      <c r="M297" s="28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8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/>
      <c r="CI297"/>
      <c r="CJ297"/>
      <c r="CK297"/>
      <c r="CP297"/>
      <c r="CQ297"/>
      <c r="CR297"/>
      <c r="CS297"/>
      <c r="CT297"/>
      <c r="CY297" s="338">
        <f t="shared" si="58"/>
        <v>45017</v>
      </c>
      <c r="CZ297" s="337">
        <f t="shared" si="59"/>
        <v>1</v>
      </c>
      <c r="DA297" s="337">
        <f t="shared" si="60"/>
        <v>1.25</v>
      </c>
      <c r="DB297" s="337">
        <f t="shared" si="61"/>
        <v>1.55</v>
      </c>
      <c r="DD297" s="129">
        <f t="shared" si="62"/>
        <v>4.976677289946254E-2</v>
      </c>
      <c r="DE297" s="129">
        <f t="shared" si="63"/>
        <v>9.953354579892508E-2</v>
      </c>
      <c r="DF297" s="129">
        <f t="shared" si="64"/>
        <v>0.14930031869838761</v>
      </c>
      <c r="DH297" s="338">
        <f t="shared" si="57"/>
        <v>45017</v>
      </c>
      <c r="DI297" s="20">
        <v>0.9</v>
      </c>
    </row>
    <row r="298" spans="1:113" ht="14.25">
      <c r="A298" s="124">
        <f t="shared" ca="1" si="65"/>
        <v>45292</v>
      </c>
      <c r="B298" s="20">
        <f>'Gas Curves'!C302</f>
        <v>7.3753155289593003E-2</v>
      </c>
      <c r="C298" s="20"/>
      <c r="D298" s="26"/>
      <c r="E298" s="26"/>
      <c r="F298" s="26"/>
      <c r="G298" s="26"/>
      <c r="H298" s="26"/>
      <c r="I298" s="26"/>
      <c r="J298" s="26"/>
      <c r="K298" s="26"/>
      <c r="L298" s="26"/>
      <c r="M298" s="28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8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/>
      <c r="CI298"/>
      <c r="CJ298"/>
      <c r="CK298"/>
      <c r="CP298"/>
      <c r="CQ298"/>
      <c r="CR298"/>
      <c r="CS298"/>
      <c r="CT298"/>
      <c r="CY298" s="338">
        <f t="shared" si="58"/>
        <v>45047</v>
      </c>
      <c r="CZ298" s="337">
        <f t="shared" si="59"/>
        <v>1</v>
      </c>
      <c r="DA298" s="337">
        <f t="shared" si="60"/>
        <v>1.25</v>
      </c>
      <c r="DB298" s="337">
        <f t="shared" si="61"/>
        <v>1.55</v>
      </c>
      <c r="DD298" s="129">
        <f t="shared" si="62"/>
        <v>5.7292938933407749E-2</v>
      </c>
      <c r="DE298" s="129">
        <f t="shared" si="63"/>
        <v>0.1145858778668155</v>
      </c>
      <c r="DF298" s="129">
        <f t="shared" si="64"/>
        <v>0.17187881680022324</v>
      </c>
      <c r="DH298" s="338">
        <f t="shared" si="57"/>
        <v>45047</v>
      </c>
      <c r="DI298" s="20">
        <v>0.9</v>
      </c>
    </row>
    <row r="299" spans="1:113" ht="14.25">
      <c r="A299" s="124">
        <f t="shared" ca="1" si="65"/>
        <v>45323</v>
      </c>
      <c r="B299" s="20">
        <f>'Gas Curves'!C303</f>
        <v>7.3743919994687004E-2</v>
      </c>
      <c r="C299" s="20"/>
      <c r="D299" s="26"/>
      <c r="E299" s="26"/>
      <c r="F299" s="26"/>
      <c r="G299" s="26"/>
      <c r="H299" s="26"/>
      <c r="I299" s="26"/>
      <c r="J299" s="26"/>
      <c r="K299" s="26"/>
      <c r="L299" s="26"/>
      <c r="M299" s="28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8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/>
      <c r="CI299"/>
      <c r="CJ299"/>
      <c r="CK299"/>
      <c r="CP299"/>
      <c r="CQ299"/>
      <c r="CR299"/>
      <c r="CS299"/>
      <c r="CT299"/>
      <c r="CY299" s="338">
        <f t="shared" si="58"/>
        <v>45078</v>
      </c>
      <c r="CZ299" s="337">
        <f t="shared" si="59"/>
        <v>1</v>
      </c>
      <c r="DA299" s="337">
        <f t="shared" si="60"/>
        <v>1.25</v>
      </c>
      <c r="DB299" s="337">
        <f t="shared" si="61"/>
        <v>1.55</v>
      </c>
      <c r="DD299" s="129">
        <f t="shared" si="62"/>
        <v>7.1827847086464378E-2</v>
      </c>
      <c r="DE299" s="129">
        <f t="shared" si="63"/>
        <v>0.14365569417292876</v>
      </c>
      <c r="DF299" s="129">
        <f t="shared" si="64"/>
        <v>0.21548354125939312</v>
      </c>
      <c r="DH299" s="338">
        <f t="shared" si="57"/>
        <v>45078</v>
      </c>
      <c r="DI299" s="20">
        <v>0.9</v>
      </c>
    </row>
    <row r="300" spans="1:113" ht="14.25">
      <c r="A300" s="124">
        <f t="shared" ca="1" si="65"/>
        <v>45352</v>
      </c>
      <c r="B300" s="20">
        <f>'Gas Curves'!C304</f>
        <v>7.3735280525282998E-2</v>
      </c>
      <c r="C300" s="20"/>
      <c r="D300" s="26"/>
      <c r="E300" s="26"/>
      <c r="F300" s="26"/>
      <c r="G300" s="26"/>
      <c r="H300" s="26"/>
      <c r="I300" s="26"/>
      <c r="J300" s="26"/>
      <c r="K300" s="26"/>
      <c r="L300" s="26"/>
      <c r="M300" s="28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8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/>
      <c r="CI300"/>
      <c r="CJ300"/>
      <c r="CK300"/>
      <c r="CP300"/>
      <c r="CQ300"/>
      <c r="CR300"/>
      <c r="CS300"/>
      <c r="CT300"/>
      <c r="CU300"/>
      <c r="CV300" s="34"/>
      <c r="CW300" s="60"/>
      <c r="CX300" s="60"/>
      <c r="CY300" s="338">
        <f t="shared" si="58"/>
        <v>45108</v>
      </c>
      <c r="CZ300" s="337">
        <f t="shared" si="59"/>
        <v>1</v>
      </c>
      <c r="DA300" s="337">
        <f t="shared" si="60"/>
        <v>1.25</v>
      </c>
      <c r="DB300" s="337">
        <f t="shared" si="61"/>
        <v>1.55</v>
      </c>
      <c r="DD300" s="129">
        <f t="shared" si="62"/>
        <v>8.4998637645868472E-2</v>
      </c>
      <c r="DE300" s="129">
        <f t="shared" si="63"/>
        <v>0.16999727529173694</v>
      </c>
      <c r="DF300" s="129">
        <f t="shared" si="64"/>
        <v>0.25499591293760543</v>
      </c>
      <c r="DG300" s="125"/>
      <c r="DH300" s="338">
        <f t="shared" si="57"/>
        <v>45108</v>
      </c>
      <c r="DI300" s="20">
        <v>0.9</v>
      </c>
    </row>
    <row r="301" spans="1:113" ht="14.25">
      <c r="A301" s="124">
        <f t="shared" ca="1" si="65"/>
        <v>45383</v>
      </c>
      <c r="B301" s="20">
        <f>'Gas Curves'!C305</f>
        <v>7.3726045230430998E-2</v>
      </c>
      <c r="C301" s="20"/>
      <c r="D301" s="26"/>
      <c r="E301" s="26"/>
      <c r="F301" s="26"/>
      <c r="G301" s="26"/>
      <c r="H301" s="26"/>
      <c r="I301" s="26"/>
      <c r="J301" s="26"/>
      <c r="K301" s="26"/>
      <c r="L301" s="26"/>
      <c r="M301" s="28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8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/>
      <c r="CI301"/>
      <c r="CJ301"/>
      <c r="CK301"/>
      <c r="CP301"/>
      <c r="CQ301"/>
      <c r="CR301"/>
      <c r="CS301"/>
      <c r="CT301"/>
      <c r="CU301"/>
      <c r="CV301" s="34"/>
      <c r="CW301" s="60"/>
      <c r="CX301" s="60"/>
      <c r="CY301" s="338">
        <f t="shared" si="58"/>
        <v>45139</v>
      </c>
      <c r="CZ301" s="337">
        <f t="shared" si="59"/>
        <v>1</v>
      </c>
      <c r="DA301" s="337">
        <f t="shared" si="60"/>
        <v>1.25</v>
      </c>
      <c r="DB301" s="337">
        <f t="shared" si="61"/>
        <v>1.55</v>
      </c>
      <c r="DD301" s="129">
        <f t="shared" si="62"/>
        <v>8.3634520052215916E-2</v>
      </c>
      <c r="DE301" s="129">
        <f t="shared" si="63"/>
        <v>0.16726904010443183</v>
      </c>
      <c r="DF301" s="129">
        <f t="shared" si="64"/>
        <v>0.25090356015664772</v>
      </c>
      <c r="DG301" s="125"/>
      <c r="DH301" s="338">
        <f t="shared" si="57"/>
        <v>45139</v>
      </c>
      <c r="DI301" s="20">
        <v>0.9</v>
      </c>
    </row>
    <row r="302" spans="1:113" ht="14.25">
      <c r="A302" s="124">
        <f t="shared" ca="1" si="65"/>
        <v>45413</v>
      </c>
      <c r="B302" s="20">
        <f>'Gas Curves'!C306</f>
        <v>7.3717107848342997E-2</v>
      </c>
      <c r="C302" s="20"/>
      <c r="D302" s="26"/>
      <c r="E302" s="26"/>
      <c r="F302" s="26"/>
      <c r="G302" s="26"/>
      <c r="H302" s="26"/>
      <c r="I302" s="26"/>
      <c r="J302" s="26"/>
      <c r="K302" s="26"/>
      <c r="L302" s="26"/>
      <c r="M302" s="28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8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/>
      <c r="CI302"/>
      <c r="CJ302"/>
      <c r="CK302"/>
      <c r="CP302"/>
      <c r="CQ302"/>
      <c r="CR302"/>
      <c r="CS302"/>
      <c r="CT302"/>
      <c r="CU302"/>
      <c r="CV302" s="34"/>
      <c r="CW302" s="60"/>
      <c r="CX302" s="60"/>
      <c r="CY302" s="338">
        <f t="shared" si="58"/>
        <v>45170</v>
      </c>
      <c r="CZ302" s="337">
        <f t="shared" si="59"/>
        <v>1</v>
      </c>
      <c r="DA302" s="337">
        <f t="shared" si="60"/>
        <v>1.25</v>
      </c>
      <c r="DB302" s="337">
        <f t="shared" si="61"/>
        <v>1.55</v>
      </c>
      <c r="DD302" s="129">
        <f t="shared" si="62"/>
        <v>5.5411397424921446E-2</v>
      </c>
      <c r="DE302" s="129">
        <f t="shared" si="63"/>
        <v>0.11082279484984289</v>
      </c>
      <c r="DF302" s="129">
        <f t="shared" si="64"/>
        <v>0.16623419227476433</v>
      </c>
      <c r="DG302" s="125"/>
      <c r="DH302" s="338">
        <f t="shared" si="57"/>
        <v>45170</v>
      </c>
      <c r="DI302" s="20">
        <v>0.9</v>
      </c>
    </row>
    <row r="303" spans="1:113" ht="14.25">
      <c r="A303" s="124">
        <f t="shared" ca="1" si="65"/>
        <v>45444</v>
      </c>
      <c r="B303" s="20">
        <f>'Gas Curves'!C307</f>
        <v>7.3707872553546008E-2</v>
      </c>
      <c r="C303" s="20"/>
      <c r="D303" s="26"/>
      <c r="E303" s="26"/>
      <c r="F303" s="26"/>
      <c r="G303" s="26"/>
      <c r="H303" s="26"/>
      <c r="I303" s="26"/>
      <c r="J303" s="26"/>
      <c r="K303" s="26"/>
      <c r="L303" s="26"/>
      <c r="M303" s="28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8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/>
      <c r="CI303"/>
      <c r="CJ303"/>
      <c r="CK303"/>
      <c r="CP303"/>
      <c r="CQ303"/>
      <c r="CR303"/>
      <c r="CS303"/>
      <c r="CT303"/>
      <c r="CU303"/>
      <c r="CV303" s="34"/>
      <c r="CW303" s="60"/>
      <c r="CX303" s="60"/>
      <c r="CY303" s="338">
        <f t="shared" si="58"/>
        <v>45200</v>
      </c>
      <c r="CZ303" s="337">
        <f t="shared" si="59"/>
        <v>0.85000000000000009</v>
      </c>
      <c r="DA303" s="337">
        <f t="shared" si="60"/>
        <v>1.1000000000000001</v>
      </c>
      <c r="DB303" s="337">
        <f t="shared" si="61"/>
        <v>1.4000000000000001</v>
      </c>
      <c r="DD303" s="129">
        <f t="shared" si="62"/>
        <v>5.3277333240296203E-2</v>
      </c>
      <c r="DE303" s="129">
        <f t="shared" si="63"/>
        <v>0.10655466648059241</v>
      </c>
      <c r="DF303" s="129">
        <f t="shared" si="64"/>
        <v>0.1598319997208886</v>
      </c>
      <c r="DG303" s="125"/>
      <c r="DH303" s="338">
        <f t="shared" si="57"/>
        <v>45200</v>
      </c>
      <c r="DI303" s="20">
        <v>0.9</v>
      </c>
    </row>
    <row r="304" spans="1:113" ht="14.25">
      <c r="A304" s="124">
        <f t="shared" ca="1" si="65"/>
        <v>45474</v>
      </c>
      <c r="B304" s="20">
        <f>'Gas Curves'!C308</f>
        <v>7.3698935171512006E-2</v>
      </c>
      <c r="C304" s="20"/>
      <c r="D304" s="26"/>
      <c r="E304" s="26"/>
      <c r="F304" s="26"/>
      <c r="G304" s="26"/>
      <c r="H304" s="26"/>
      <c r="I304" s="26"/>
      <c r="J304" s="26"/>
      <c r="K304" s="26"/>
      <c r="L304" s="26"/>
      <c r="M304" s="28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8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/>
      <c r="CI304"/>
      <c r="CJ304"/>
      <c r="CK304"/>
      <c r="CP304"/>
      <c r="CQ304"/>
      <c r="CR304"/>
      <c r="CS304"/>
      <c r="CT304"/>
      <c r="CU304"/>
      <c r="CV304" s="34"/>
      <c r="CW304" s="60"/>
      <c r="CX304" s="60"/>
      <c r="CY304" s="338">
        <f t="shared" si="58"/>
        <v>45231</v>
      </c>
      <c r="CZ304" s="337">
        <f t="shared" si="59"/>
        <v>1</v>
      </c>
      <c r="DA304" s="337">
        <f t="shared" si="60"/>
        <v>1.25</v>
      </c>
      <c r="DB304" s="337">
        <f t="shared" si="61"/>
        <v>1.55</v>
      </c>
      <c r="DD304" s="129">
        <f t="shared" si="62"/>
        <v>5.3277333240296203E-2</v>
      </c>
      <c r="DE304" s="129">
        <f t="shared" si="63"/>
        <v>0.10655466648059241</v>
      </c>
      <c r="DF304" s="129">
        <f t="shared" si="64"/>
        <v>0.1598319997208886</v>
      </c>
      <c r="DG304" s="125"/>
      <c r="DH304" s="338">
        <f t="shared" si="57"/>
        <v>45231</v>
      </c>
      <c r="DI304" s="20">
        <v>0.9</v>
      </c>
    </row>
    <row r="305" spans="1:113" ht="14.25">
      <c r="A305" s="124">
        <f t="shared" ca="1" si="65"/>
        <v>45505</v>
      </c>
      <c r="B305" s="20">
        <f>'Gas Curves'!C309</f>
        <v>7.3689699876771E-2</v>
      </c>
      <c r="C305" s="20"/>
      <c r="D305" s="26"/>
      <c r="E305" s="26"/>
      <c r="F305" s="26"/>
      <c r="G305" s="26"/>
      <c r="H305" s="26"/>
      <c r="I305" s="26"/>
      <c r="J305" s="26"/>
      <c r="K305" s="26"/>
      <c r="L305" s="26"/>
      <c r="M305" s="28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8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/>
      <c r="CI305"/>
      <c r="CJ305"/>
      <c r="CK305"/>
      <c r="CP305"/>
      <c r="CQ305"/>
      <c r="CR305"/>
      <c r="CS305"/>
      <c r="CT305"/>
      <c r="CU305"/>
      <c r="CV305" s="34"/>
      <c r="CW305" s="60"/>
      <c r="CX305" s="60"/>
      <c r="CY305" s="338">
        <f t="shared" si="58"/>
        <v>45261</v>
      </c>
      <c r="CZ305" s="337">
        <f t="shared" si="59"/>
        <v>1</v>
      </c>
      <c r="DA305" s="337">
        <f t="shared" si="60"/>
        <v>1.25</v>
      </c>
      <c r="DB305" s="337">
        <f t="shared" si="61"/>
        <v>1.55</v>
      </c>
      <c r="DD305" s="129">
        <f t="shared" si="62"/>
        <v>5.5178680448871829E-2</v>
      </c>
      <c r="DE305" s="129">
        <f t="shared" si="63"/>
        <v>0.11035736089774366</v>
      </c>
      <c r="DF305" s="129">
        <f t="shared" si="64"/>
        <v>0.16553604134661548</v>
      </c>
      <c r="DG305" s="125"/>
      <c r="DH305" s="338">
        <f t="shared" si="57"/>
        <v>45261</v>
      </c>
      <c r="DI305" s="20">
        <v>0.9</v>
      </c>
    </row>
    <row r="306" spans="1:113" ht="14.25">
      <c r="A306" s="124">
        <f t="shared" ca="1" si="65"/>
        <v>45536</v>
      </c>
      <c r="B306" s="20">
        <f>'Gas Curves'!C310</f>
        <v>7.3680464582057001E-2</v>
      </c>
      <c r="C306" s="20"/>
      <c r="D306" s="26"/>
      <c r="E306" s="26"/>
      <c r="F306" s="26"/>
      <c r="G306" s="26"/>
      <c r="H306" s="26"/>
      <c r="I306" s="26"/>
      <c r="J306" s="26"/>
      <c r="K306" s="26"/>
      <c r="L306" s="26"/>
      <c r="M306" s="28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8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/>
      <c r="CI306"/>
      <c r="CJ306"/>
      <c r="CK306"/>
      <c r="CP306"/>
      <c r="CQ306"/>
      <c r="CR306"/>
      <c r="CS306"/>
      <c r="CT306"/>
      <c r="CU306"/>
      <c r="CV306" s="34"/>
      <c r="CW306" s="60"/>
      <c r="CX306" s="60"/>
      <c r="CY306" s="338">
        <f t="shared" si="58"/>
        <v>45292</v>
      </c>
      <c r="CZ306" s="337">
        <f t="shared" si="59"/>
        <v>1.25</v>
      </c>
      <c r="DA306" s="337">
        <f t="shared" si="60"/>
        <v>2</v>
      </c>
      <c r="DB306" s="337">
        <f t="shared" si="61"/>
        <v>2.75</v>
      </c>
      <c r="DD306" s="129">
        <f t="shared" si="62"/>
        <v>5.937308760112317E-2</v>
      </c>
      <c r="DE306" s="129">
        <f t="shared" si="63"/>
        <v>0.11874617520224634</v>
      </c>
      <c r="DF306" s="129">
        <f t="shared" si="64"/>
        <v>0.17811926280336951</v>
      </c>
      <c r="DG306" s="125"/>
      <c r="DH306" s="338">
        <f t="shared" si="57"/>
        <v>45292</v>
      </c>
      <c r="DI306" s="20">
        <v>0.9</v>
      </c>
    </row>
    <row r="307" spans="1:113" ht="14.25">
      <c r="A307" s="124">
        <f t="shared" ca="1" si="65"/>
        <v>45566</v>
      </c>
      <c r="B307" s="20">
        <f>'Gas Curves'!C311</f>
        <v>7.3671527200104003E-2</v>
      </c>
      <c r="C307" s="20"/>
      <c r="D307" s="26"/>
      <c r="E307" s="26"/>
      <c r="F307" s="26"/>
      <c r="G307" s="26"/>
      <c r="H307" s="26"/>
      <c r="I307" s="26"/>
      <c r="J307" s="26"/>
      <c r="K307" s="26"/>
      <c r="L307" s="26"/>
      <c r="M307" s="28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8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/>
      <c r="CI307"/>
      <c r="CJ307"/>
      <c r="CK307"/>
      <c r="CP307"/>
      <c r="CQ307"/>
      <c r="CR307"/>
      <c r="CS307"/>
      <c r="CT307"/>
      <c r="CU307"/>
      <c r="CV307" s="34"/>
      <c r="CW307" s="60"/>
      <c r="CX307" s="60"/>
      <c r="CY307" s="338">
        <f t="shared" si="58"/>
        <v>45323</v>
      </c>
      <c r="CZ307" s="337">
        <f t="shared" si="59"/>
        <v>1.25</v>
      </c>
      <c r="DA307" s="337">
        <f t="shared" si="60"/>
        <v>2</v>
      </c>
      <c r="DB307" s="337">
        <f t="shared" si="61"/>
        <v>2.75</v>
      </c>
      <c r="DD307" s="129">
        <f t="shared" si="62"/>
        <v>5.7282485925027264E-2</v>
      </c>
      <c r="DE307" s="129">
        <f t="shared" si="63"/>
        <v>0.11456497185005453</v>
      </c>
      <c r="DF307" s="129">
        <f t="shared" si="64"/>
        <v>0.17184745777508179</v>
      </c>
      <c r="DG307" s="125"/>
      <c r="DH307" s="338">
        <f t="shared" ref="DH307:DH338" si="66">IF(BH307=0,EOMONTH(DH306,0)+1,BH307)</f>
        <v>45323</v>
      </c>
      <c r="DI307" s="20">
        <v>0.9</v>
      </c>
    </row>
    <row r="308" spans="1:113" ht="14.25">
      <c r="A308" s="124">
        <f t="shared" ca="1" si="65"/>
        <v>45597</v>
      </c>
      <c r="B308" s="20">
        <f>'Gas Curves'!C312</f>
        <v>7.3662291905446001E-2</v>
      </c>
      <c r="C308" s="20"/>
      <c r="D308" s="26"/>
      <c r="E308" s="26"/>
      <c r="F308" s="26"/>
      <c r="G308" s="26"/>
      <c r="H308" s="26"/>
      <c r="I308" s="26"/>
      <c r="J308" s="26"/>
      <c r="K308" s="26"/>
      <c r="L308" s="26"/>
      <c r="M308" s="28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8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/>
      <c r="CI308"/>
      <c r="CJ308"/>
      <c r="CK308"/>
      <c r="CP308"/>
      <c r="CQ308"/>
      <c r="CR308"/>
      <c r="CS308"/>
      <c r="CT308"/>
      <c r="CU308"/>
      <c r="CV308" s="34"/>
      <c r="CW308" s="60"/>
      <c r="CX308" s="60"/>
      <c r="CY308" s="338">
        <f t="shared" ref="CY308:CY339" si="67">EOMONTH(CY307,0)+1</f>
        <v>45352</v>
      </c>
      <c r="CZ308" s="337">
        <f t="shared" si="59"/>
        <v>1</v>
      </c>
      <c r="DA308" s="337">
        <f t="shared" si="60"/>
        <v>1.25</v>
      </c>
      <c r="DB308" s="337">
        <f t="shared" si="61"/>
        <v>1.55</v>
      </c>
      <c r="DD308" s="129">
        <f t="shared" si="62"/>
        <v>5.5834744264330861E-2</v>
      </c>
      <c r="DE308" s="129">
        <f t="shared" si="63"/>
        <v>0.11166948852866172</v>
      </c>
      <c r="DF308" s="129">
        <f t="shared" si="64"/>
        <v>0.16750423279299259</v>
      </c>
      <c r="DG308" s="125"/>
      <c r="DH308" s="338">
        <f t="shared" si="66"/>
        <v>45352</v>
      </c>
      <c r="DI308" s="20">
        <v>0.9</v>
      </c>
    </row>
    <row r="309" spans="1:113" ht="14.25">
      <c r="A309" s="124">
        <f t="shared" ca="1" si="65"/>
        <v>45627</v>
      </c>
      <c r="B309" s="20">
        <f>'Gas Curves'!C313</f>
        <v>7.3653354523546002E-2</v>
      </c>
      <c r="C309" s="20"/>
      <c r="D309" s="26"/>
      <c r="E309" s="26"/>
      <c r="F309" s="26"/>
      <c r="G309" s="26"/>
      <c r="H309" s="26"/>
      <c r="I309" s="26"/>
      <c r="J309" s="26"/>
      <c r="K309" s="26"/>
      <c r="L309" s="26"/>
      <c r="M309" s="28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8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/>
      <c r="CI309"/>
      <c r="CJ309"/>
      <c r="CK309"/>
      <c r="CP309"/>
      <c r="CQ309"/>
      <c r="CR309"/>
      <c r="CS309"/>
      <c r="CT309"/>
      <c r="CU309"/>
      <c r="CV309" s="34"/>
      <c r="CW309" s="60"/>
      <c r="CX309" s="60"/>
      <c r="CY309" s="338">
        <f t="shared" si="67"/>
        <v>45383</v>
      </c>
      <c r="CZ309" s="337">
        <f t="shared" si="59"/>
        <v>1</v>
      </c>
      <c r="DA309" s="337">
        <f t="shared" si="60"/>
        <v>1.25</v>
      </c>
      <c r="DB309" s="337">
        <f t="shared" si="61"/>
        <v>1.55</v>
      </c>
      <c r="DD309" s="129">
        <f t="shared" si="62"/>
        <v>4.976677289946254E-2</v>
      </c>
      <c r="DE309" s="129">
        <f t="shared" si="63"/>
        <v>9.953354579892508E-2</v>
      </c>
      <c r="DF309" s="129">
        <f t="shared" si="64"/>
        <v>0.14930031869838761</v>
      </c>
      <c r="DG309" s="125"/>
      <c r="DH309" s="338">
        <f t="shared" si="66"/>
        <v>45383</v>
      </c>
      <c r="DI309" s="20">
        <v>0.9</v>
      </c>
    </row>
    <row r="310" spans="1:113" ht="14.25">
      <c r="A310" s="124">
        <f t="shared" ca="1" si="65"/>
        <v>45658</v>
      </c>
      <c r="B310" s="20">
        <f>'Gas Curves'!C314</f>
        <v>7.3644119228943997E-2</v>
      </c>
      <c r="C310" s="20"/>
      <c r="D310" s="26"/>
      <c r="E310" s="26"/>
      <c r="F310" s="26"/>
      <c r="G310" s="26"/>
      <c r="H310" s="26"/>
      <c r="I310" s="26"/>
      <c r="J310" s="26"/>
      <c r="K310" s="26"/>
      <c r="L310" s="26"/>
      <c r="M310" s="28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8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/>
      <c r="CI310"/>
      <c r="CJ310"/>
      <c r="CK310"/>
      <c r="CP310"/>
      <c r="CQ310"/>
      <c r="CR310"/>
      <c r="CS310"/>
      <c r="CT310"/>
      <c r="CU310"/>
      <c r="CV310" s="34"/>
      <c r="CW310" s="60"/>
      <c r="CX310" s="60"/>
      <c r="CY310" s="338">
        <f t="shared" si="67"/>
        <v>45413</v>
      </c>
      <c r="CZ310" s="337">
        <f t="shared" si="59"/>
        <v>1</v>
      </c>
      <c r="DA310" s="337">
        <f t="shared" si="60"/>
        <v>1.25</v>
      </c>
      <c r="DB310" s="337">
        <f t="shared" si="61"/>
        <v>1.55</v>
      </c>
      <c r="DD310" s="129">
        <f t="shared" si="62"/>
        <v>5.7292938933407749E-2</v>
      </c>
      <c r="DE310" s="129">
        <f t="shared" si="63"/>
        <v>0.1145858778668155</v>
      </c>
      <c r="DF310" s="129">
        <f t="shared" si="64"/>
        <v>0.17187881680022324</v>
      </c>
      <c r="DG310" s="60"/>
      <c r="DH310" s="338">
        <f t="shared" si="66"/>
        <v>45413</v>
      </c>
      <c r="DI310" s="20">
        <v>0.9</v>
      </c>
    </row>
    <row r="311" spans="1:113" ht="14.25">
      <c r="A311" s="124">
        <f t="shared" ca="1" si="65"/>
        <v>45689</v>
      </c>
      <c r="B311" s="20">
        <f>'Gas Curves'!C315</f>
        <v>7.3634883934368997E-2</v>
      </c>
      <c r="C311" s="20"/>
      <c r="D311" s="26"/>
      <c r="E311" s="26"/>
      <c r="F311" s="26"/>
      <c r="G311" s="26"/>
      <c r="H311" s="26"/>
      <c r="I311" s="26"/>
      <c r="J311" s="26"/>
      <c r="K311" s="26"/>
      <c r="L311" s="26"/>
      <c r="M311" s="28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8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/>
      <c r="CI311"/>
      <c r="CJ311"/>
      <c r="CK311"/>
      <c r="CP311"/>
      <c r="CQ311"/>
      <c r="CR311"/>
      <c r="CS311"/>
      <c r="CT311"/>
      <c r="CU311"/>
      <c r="CV311" s="34"/>
      <c r="CW311" s="60"/>
      <c r="CX311" s="60"/>
      <c r="CY311" s="338">
        <f t="shared" si="67"/>
        <v>45444</v>
      </c>
      <c r="CZ311" s="337">
        <f t="shared" si="59"/>
        <v>1</v>
      </c>
      <c r="DA311" s="337">
        <f t="shared" si="60"/>
        <v>1.25</v>
      </c>
      <c r="DB311" s="337">
        <f t="shared" si="61"/>
        <v>1.55</v>
      </c>
      <c r="DD311" s="129">
        <f t="shared" si="62"/>
        <v>7.1827847086464378E-2</v>
      </c>
      <c r="DE311" s="129">
        <f t="shared" si="63"/>
        <v>0.14365569417292876</v>
      </c>
      <c r="DF311" s="129">
        <f t="shared" si="64"/>
        <v>0.21548354125939312</v>
      </c>
      <c r="DG311" s="60"/>
      <c r="DH311" s="338">
        <f t="shared" si="66"/>
        <v>45444</v>
      </c>
      <c r="DI311" s="20">
        <v>0.9</v>
      </c>
    </row>
    <row r="312" spans="1:113" ht="14.25">
      <c r="A312" s="124">
        <f t="shared" ca="1" si="65"/>
        <v>45717</v>
      </c>
      <c r="B312" s="20">
        <f>'Gas Curves'!C316</f>
        <v>7.3626542378005005E-2</v>
      </c>
      <c r="C312" s="20"/>
      <c r="D312" s="26"/>
      <c r="E312" s="26"/>
      <c r="F312" s="26"/>
      <c r="G312" s="26"/>
      <c r="H312" s="26"/>
      <c r="I312" s="26"/>
      <c r="J312" s="26"/>
      <c r="K312" s="26"/>
      <c r="L312" s="26"/>
      <c r="M312" s="28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8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/>
      <c r="CI312"/>
      <c r="CJ312"/>
      <c r="CK312"/>
      <c r="CP312"/>
      <c r="CQ312"/>
      <c r="CR312"/>
      <c r="CS312"/>
      <c r="CT312"/>
      <c r="CU312"/>
      <c r="CV312" s="34"/>
      <c r="CW312" s="60"/>
      <c r="CX312" s="60"/>
      <c r="CY312" s="338">
        <f t="shared" si="67"/>
        <v>45474</v>
      </c>
      <c r="CZ312" s="337">
        <f t="shared" si="59"/>
        <v>1</v>
      </c>
      <c r="DA312" s="337">
        <f t="shared" si="60"/>
        <v>1.25</v>
      </c>
      <c r="DB312" s="337">
        <f t="shared" si="61"/>
        <v>1.55</v>
      </c>
      <c r="DD312" s="129">
        <f t="shared" si="62"/>
        <v>8.4998637645868472E-2</v>
      </c>
      <c r="DE312" s="129">
        <f t="shared" si="63"/>
        <v>0.16999727529173694</v>
      </c>
      <c r="DF312" s="129">
        <f t="shared" si="64"/>
        <v>0.25499591293760543</v>
      </c>
      <c r="DG312" s="60"/>
      <c r="DH312" s="338">
        <f t="shared" si="66"/>
        <v>45474</v>
      </c>
      <c r="DI312" s="20">
        <v>0.9</v>
      </c>
    </row>
    <row r="313" spans="1:113" ht="14.25">
      <c r="A313" s="124">
        <f t="shared" ca="1" si="65"/>
        <v>45748</v>
      </c>
      <c r="B313" s="20">
        <f>'Gas Curves'!C317</f>
        <v>7.3617307083484004E-2</v>
      </c>
      <c r="C313" s="20"/>
      <c r="D313" s="26"/>
      <c r="E313" s="26"/>
      <c r="F313" s="26"/>
      <c r="G313" s="26"/>
      <c r="H313" s="26"/>
      <c r="I313" s="26"/>
      <c r="J313" s="26"/>
      <c r="K313" s="26"/>
      <c r="L313" s="26"/>
      <c r="M313" s="28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8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/>
      <c r="CI313"/>
      <c r="CJ313"/>
      <c r="CK313"/>
      <c r="CP313"/>
      <c r="CQ313"/>
      <c r="CR313"/>
      <c r="CS313"/>
      <c r="CT313"/>
      <c r="CU313"/>
      <c r="CV313" s="34"/>
      <c r="CW313" s="60"/>
      <c r="CX313" s="60"/>
      <c r="CY313" s="338">
        <f t="shared" si="67"/>
        <v>45505</v>
      </c>
      <c r="CZ313" s="337">
        <f t="shared" si="59"/>
        <v>1</v>
      </c>
      <c r="DA313" s="337">
        <f t="shared" si="60"/>
        <v>1.25</v>
      </c>
      <c r="DB313" s="337">
        <f t="shared" si="61"/>
        <v>1.55</v>
      </c>
      <c r="DD313" s="129">
        <f t="shared" si="62"/>
        <v>8.3634520052215916E-2</v>
      </c>
      <c r="DE313" s="129">
        <f t="shared" si="63"/>
        <v>0.16726904010443183</v>
      </c>
      <c r="DF313" s="129">
        <f t="shared" si="64"/>
        <v>0.25090356015664772</v>
      </c>
      <c r="DG313" s="60"/>
      <c r="DH313" s="338">
        <f t="shared" si="66"/>
        <v>45505</v>
      </c>
      <c r="DI313" s="20">
        <v>0.9</v>
      </c>
    </row>
    <row r="314" spans="1:113" ht="14.25">
      <c r="A314" s="124">
        <f t="shared" ca="1" si="65"/>
        <v>45778</v>
      </c>
      <c r="B314" s="20">
        <f>'Gas Curves'!C318</f>
        <v>7.3608369701715998E-2</v>
      </c>
      <c r="C314" s="20"/>
      <c r="D314" s="26"/>
      <c r="E314" s="26"/>
      <c r="F314" s="26"/>
      <c r="G314" s="26"/>
      <c r="H314" s="26"/>
      <c r="I314" s="26"/>
      <c r="J314" s="26"/>
      <c r="K314" s="26"/>
      <c r="L314" s="26"/>
      <c r="M314" s="28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8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/>
      <c r="CI314"/>
      <c r="CJ314"/>
      <c r="CK314"/>
      <c r="CP314"/>
      <c r="CQ314"/>
      <c r="CR314"/>
      <c r="CS314"/>
      <c r="CT314"/>
      <c r="CU314" s="2"/>
      <c r="CV314" s="34"/>
      <c r="CW314" s="60"/>
      <c r="CX314" s="60"/>
      <c r="CY314" s="338">
        <f t="shared" si="67"/>
        <v>45536</v>
      </c>
      <c r="CZ314" s="337">
        <f t="shared" si="59"/>
        <v>1</v>
      </c>
      <c r="DA314" s="337">
        <f t="shared" si="60"/>
        <v>1.25</v>
      </c>
      <c r="DB314" s="337">
        <f t="shared" si="61"/>
        <v>1.55</v>
      </c>
      <c r="DD314" s="129">
        <f t="shared" si="62"/>
        <v>5.5411397424921446E-2</v>
      </c>
      <c r="DE314" s="129">
        <f t="shared" si="63"/>
        <v>0.11082279484984289</v>
      </c>
      <c r="DF314" s="129">
        <f t="shared" si="64"/>
        <v>0.16623419227476433</v>
      </c>
      <c r="DG314" s="60"/>
      <c r="DH314" s="338">
        <f t="shared" si="66"/>
        <v>45536</v>
      </c>
      <c r="DI314" s="20">
        <v>0.9</v>
      </c>
    </row>
    <row r="315" spans="1:113" ht="14.25">
      <c r="A315" s="124">
        <f t="shared" ca="1" si="65"/>
        <v>45809</v>
      </c>
      <c r="B315" s="20">
        <f>'Gas Curves'!C319</f>
        <v>7.3599134407251007E-2</v>
      </c>
      <c r="C315" s="20"/>
      <c r="D315" s="26"/>
      <c r="E315" s="26"/>
      <c r="F315" s="26"/>
      <c r="G315" s="26"/>
      <c r="H315" s="26"/>
      <c r="I315" s="26"/>
      <c r="J315" s="26"/>
      <c r="K315" s="26"/>
      <c r="L315" s="26"/>
      <c r="M315" s="28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8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/>
      <c r="CI315"/>
      <c r="CJ315"/>
      <c r="CK315"/>
      <c r="CP315"/>
      <c r="CQ315"/>
      <c r="CR315"/>
      <c r="CS315"/>
      <c r="CT315"/>
      <c r="CU315" s="2"/>
      <c r="CV315" s="34"/>
      <c r="CW315" s="60"/>
      <c r="CX315" s="60"/>
      <c r="CY315" s="338">
        <f t="shared" si="67"/>
        <v>45566</v>
      </c>
      <c r="CZ315" s="337">
        <f t="shared" si="59"/>
        <v>0.85000000000000009</v>
      </c>
      <c r="DA315" s="337">
        <f t="shared" si="60"/>
        <v>1.1000000000000001</v>
      </c>
      <c r="DB315" s="337">
        <f t="shared" si="61"/>
        <v>1.4000000000000001</v>
      </c>
      <c r="DD315" s="129">
        <f t="shared" si="62"/>
        <v>5.3277333240296203E-2</v>
      </c>
      <c r="DE315" s="129">
        <f t="shared" si="63"/>
        <v>0.10655466648059241</v>
      </c>
      <c r="DF315" s="129">
        <f t="shared" si="64"/>
        <v>0.1598319997208886</v>
      </c>
      <c r="DG315" s="60"/>
      <c r="DH315" s="338">
        <f t="shared" si="66"/>
        <v>45566</v>
      </c>
      <c r="DI315" s="20">
        <v>0.9</v>
      </c>
    </row>
    <row r="316" spans="1:113" ht="14.25">
      <c r="A316" s="124">
        <f t="shared" ca="1" si="65"/>
        <v>45839</v>
      </c>
      <c r="B316" s="20">
        <f>'Gas Curves'!C320</f>
        <v>7.3590197025536999E-2</v>
      </c>
      <c r="C316" s="20"/>
      <c r="D316" s="26"/>
      <c r="E316" s="26"/>
      <c r="F316" s="26"/>
      <c r="G316" s="26"/>
      <c r="H316" s="26"/>
      <c r="I316" s="26"/>
      <c r="J316" s="26"/>
      <c r="K316" s="26"/>
      <c r="L316" s="26"/>
      <c r="M316" s="28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8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/>
      <c r="CP316"/>
      <c r="CQ316"/>
      <c r="CR316"/>
      <c r="CS316"/>
      <c r="CT316"/>
      <c r="CU316" s="2"/>
      <c r="CV316" s="34"/>
      <c r="CW316" s="60"/>
      <c r="CX316" s="60"/>
      <c r="CY316" s="338">
        <f t="shared" si="67"/>
        <v>45597</v>
      </c>
      <c r="CZ316" s="337">
        <f t="shared" si="59"/>
        <v>1</v>
      </c>
      <c r="DA316" s="337">
        <f t="shared" si="60"/>
        <v>1.25</v>
      </c>
      <c r="DB316" s="337">
        <f t="shared" si="61"/>
        <v>1.55</v>
      </c>
      <c r="DD316" s="129">
        <f t="shared" si="62"/>
        <v>5.3277333240296203E-2</v>
      </c>
      <c r="DE316" s="129">
        <f t="shared" si="63"/>
        <v>0.10655466648059241</v>
      </c>
      <c r="DF316" s="129">
        <f t="shared" si="64"/>
        <v>0.1598319997208886</v>
      </c>
      <c r="DG316" s="60"/>
      <c r="DH316" s="338">
        <f t="shared" si="66"/>
        <v>45597</v>
      </c>
      <c r="DI316" s="20">
        <v>0.9</v>
      </c>
    </row>
    <row r="317" spans="1:113" ht="14.25">
      <c r="A317" s="124">
        <f t="shared" ca="1" si="65"/>
        <v>45870</v>
      </c>
      <c r="B317" s="20">
        <f>'Gas Curves'!C321</f>
        <v>7.3580961731128006E-2</v>
      </c>
      <c r="C317" s="20"/>
      <c r="D317" s="26"/>
      <c r="E317" s="26"/>
      <c r="F317" s="26"/>
      <c r="G317" s="26"/>
      <c r="H317" s="26"/>
      <c r="I317" s="26"/>
      <c r="J317" s="26"/>
      <c r="K317" s="26"/>
      <c r="L317" s="26"/>
      <c r="M317" s="28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8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/>
      <c r="CP317"/>
      <c r="CQ317"/>
      <c r="CR317"/>
      <c r="CS317"/>
      <c r="CT317"/>
      <c r="CU317" s="2"/>
      <c r="CV317" s="34"/>
      <c r="CW317" s="60"/>
      <c r="CX317" s="60"/>
      <c r="CY317" s="338">
        <f t="shared" si="67"/>
        <v>45627</v>
      </c>
      <c r="CZ317" s="337">
        <f t="shared" si="59"/>
        <v>1</v>
      </c>
      <c r="DA317" s="337">
        <f t="shared" si="60"/>
        <v>1.25</v>
      </c>
      <c r="DB317" s="337">
        <f t="shared" si="61"/>
        <v>1.55</v>
      </c>
      <c r="DD317" s="129">
        <f t="shared" si="62"/>
        <v>5.5178680448871829E-2</v>
      </c>
      <c r="DE317" s="129">
        <f t="shared" si="63"/>
        <v>0.11035736089774366</v>
      </c>
      <c r="DF317" s="129">
        <f t="shared" si="64"/>
        <v>0.16553604134661548</v>
      </c>
      <c r="DG317" s="60"/>
      <c r="DH317" s="338">
        <f t="shared" si="66"/>
        <v>45627</v>
      </c>
      <c r="DI317" s="20">
        <v>0.9</v>
      </c>
    </row>
    <row r="318" spans="1:113" ht="14.25">
      <c r="A318" s="124">
        <f t="shared" ca="1" si="65"/>
        <v>45901</v>
      </c>
      <c r="B318" s="20">
        <f>'Gas Curves'!C322</f>
        <v>7.3571726436746004E-2</v>
      </c>
      <c r="C318" s="20"/>
      <c r="D318" s="26"/>
      <c r="E318" s="26"/>
      <c r="F318" s="26"/>
      <c r="G318" s="26"/>
      <c r="H318" s="26"/>
      <c r="I318" s="26"/>
      <c r="J318" s="26"/>
      <c r="K318" s="26"/>
      <c r="L318" s="26"/>
      <c r="M318" s="28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8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/>
      <c r="CP318"/>
      <c r="CQ318"/>
      <c r="CR318"/>
      <c r="CS318"/>
      <c r="CT318"/>
      <c r="CU318" s="2"/>
      <c r="CV318" s="34"/>
      <c r="CW318" s="60"/>
      <c r="CX318" s="60"/>
      <c r="CY318" s="338">
        <f t="shared" si="67"/>
        <v>45658</v>
      </c>
      <c r="CZ318" s="337">
        <f t="shared" si="59"/>
        <v>1.25</v>
      </c>
      <c r="DA318" s="337">
        <f t="shared" si="60"/>
        <v>2</v>
      </c>
      <c r="DB318" s="337">
        <f t="shared" si="61"/>
        <v>2.75</v>
      </c>
      <c r="DD318" s="129">
        <f t="shared" si="62"/>
        <v>5.937308760112317E-2</v>
      </c>
      <c r="DE318" s="129">
        <f t="shared" si="63"/>
        <v>0.11874617520224634</v>
      </c>
      <c r="DF318" s="129">
        <f t="shared" si="64"/>
        <v>0.17811926280336951</v>
      </c>
      <c r="DG318" s="60"/>
      <c r="DH318" s="338">
        <f t="shared" si="66"/>
        <v>45658</v>
      </c>
      <c r="DI318" s="20">
        <v>0.9</v>
      </c>
    </row>
    <row r="319" spans="1:113" ht="14.25">
      <c r="A319" s="124">
        <f t="shared" ca="1" si="65"/>
        <v>45931</v>
      </c>
      <c r="B319" s="20">
        <f>'Gas Curves'!C323</f>
        <v>7.3562789055113001E-2</v>
      </c>
      <c r="C319" s="20"/>
      <c r="D319" s="26"/>
      <c r="E319" s="26"/>
      <c r="F319" s="26"/>
      <c r="G319" s="26"/>
      <c r="H319" s="26"/>
      <c r="I319" s="26"/>
      <c r="J319" s="26"/>
      <c r="K319" s="26"/>
      <c r="L319" s="26"/>
      <c r="M319" s="28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8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/>
      <c r="CP319"/>
      <c r="CQ319"/>
      <c r="CR319"/>
      <c r="CS319"/>
      <c r="CT319"/>
      <c r="CU319" s="2"/>
      <c r="CV319" s="34"/>
      <c r="CW319" s="60"/>
      <c r="CX319" s="60"/>
      <c r="CY319" s="338">
        <f t="shared" si="67"/>
        <v>45689</v>
      </c>
      <c r="CZ319" s="337">
        <f t="shared" si="59"/>
        <v>1.25</v>
      </c>
      <c r="DA319" s="337">
        <f t="shared" si="60"/>
        <v>2</v>
      </c>
      <c r="DB319" s="337">
        <f t="shared" si="61"/>
        <v>2.75</v>
      </c>
      <c r="DD319" s="129">
        <f t="shared" si="62"/>
        <v>5.7282485925027264E-2</v>
      </c>
      <c r="DE319" s="129">
        <f t="shared" si="63"/>
        <v>0.11456497185005453</v>
      </c>
      <c r="DF319" s="129">
        <f t="shared" si="64"/>
        <v>0.17184745777508179</v>
      </c>
      <c r="DG319" s="60"/>
      <c r="DH319" s="338">
        <f t="shared" si="66"/>
        <v>45689</v>
      </c>
      <c r="DI319" s="20">
        <v>0.9</v>
      </c>
    </row>
    <row r="320" spans="1:113" ht="14.25">
      <c r="A320" s="124">
        <f t="shared" ca="1" si="65"/>
        <v>45962</v>
      </c>
      <c r="B320" s="20">
        <f>'Gas Curves'!C324</f>
        <v>7.3553553760786997E-2</v>
      </c>
      <c r="C320" s="20"/>
      <c r="D320" s="26"/>
      <c r="E320" s="26"/>
      <c r="F320" s="26"/>
      <c r="G320" s="26"/>
      <c r="H320" s="26"/>
      <c r="I320" s="26"/>
      <c r="J320" s="26"/>
      <c r="K320" s="26"/>
      <c r="L320" s="26"/>
      <c r="M320" s="28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8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/>
      <c r="CP320"/>
      <c r="CQ320"/>
      <c r="CR320"/>
      <c r="CS320"/>
      <c r="CT320"/>
      <c r="CU320" s="2"/>
      <c r="CV320" s="34"/>
      <c r="CW320" s="60"/>
      <c r="CX320" s="60"/>
      <c r="CY320" s="338">
        <f t="shared" si="67"/>
        <v>45717</v>
      </c>
      <c r="CZ320" s="337">
        <f t="shared" si="59"/>
        <v>1</v>
      </c>
      <c r="DA320" s="337">
        <f t="shared" si="60"/>
        <v>1.25</v>
      </c>
      <c r="DB320" s="337">
        <f t="shared" si="61"/>
        <v>1.55</v>
      </c>
      <c r="DD320" s="129">
        <f t="shared" si="62"/>
        <v>5.5834744264330861E-2</v>
      </c>
      <c r="DE320" s="129">
        <f t="shared" si="63"/>
        <v>0.11166948852866172</v>
      </c>
      <c r="DF320" s="129">
        <f t="shared" si="64"/>
        <v>0.16750423279299259</v>
      </c>
      <c r="DG320" s="60"/>
      <c r="DH320" s="338">
        <f t="shared" si="66"/>
        <v>45717</v>
      </c>
      <c r="DI320" s="20">
        <v>0.9</v>
      </c>
    </row>
    <row r="321" spans="1:113" ht="14.25">
      <c r="A321" s="124">
        <f t="shared" ca="1" si="65"/>
        <v>45992</v>
      </c>
      <c r="B321" s="20">
        <f>'Gas Curves'!C325</f>
        <v>7.3544616379208005E-2</v>
      </c>
      <c r="C321" s="20"/>
      <c r="D321" s="26"/>
      <c r="E321" s="26"/>
      <c r="F321" s="26"/>
      <c r="G321" s="26"/>
      <c r="H321" s="26"/>
      <c r="I321" s="26"/>
      <c r="J321" s="26"/>
      <c r="K321" s="26"/>
      <c r="L321" s="26"/>
      <c r="M321" s="28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8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/>
      <c r="CP321"/>
      <c r="CQ321"/>
      <c r="CR321"/>
      <c r="CS321"/>
      <c r="CT321"/>
      <c r="CU321" s="2"/>
      <c r="CV321" s="34"/>
      <c r="CW321" s="60"/>
      <c r="CX321" s="60"/>
      <c r="CY321" s="338">
        <f t="shared" si="67"/>
        <v>45748</v>
      </c>
      <c r="CZ321" s="337">
        <f t="shared" si="59"/>
        <v>1</v>
      </c>
      <c r="DA321" s="337">
        <f t="shared" si="60"/>
        <v>1.25</v>
      </c>
      <c r="DB321" s="337">
        <f t="shared" si="61"/>
        <v>1.55</v>
      </c>
      <c r="DD321" s="129">
        <f t="shared" si="62"/>
        <v>4.976677289946254E-2</v>
      </c>
      <c r="DE321" s="129">
        <f t="shared" si="63"/>
        <v>9.953354579892508E-2</v>
      </c>
      <c r="DF321" s="129">
        <f t="shared" si="64"/>
        <v>0.14930031869838761</v>
      </c>
      <c r="DG321" s="60"/>
      <c r="DH321" s="338">
        <f t="shared" si="66"/>
        <v>45748</v>
      </c>
      <c r="DI321" s="20">
        <v>0.9</v>
      </c>
    </row>
    <row r="322" spans="1:113" ht="14.25">
      <c r="A322" s="124">
        <f t="shared" ref="A322:A353" ca="1" si="68">EDATE(A321,1)</f>
        <v>46023</v>
      </c>
      <c r="B322" s="20">
        <f>'Gas Curves'!C326</f>
        <v>7.3535381084936999E-2</v>
      </c>
      <c r="C322" s="20"/>
      <c r="D322" s="26"/>
      <c r="E322" s="26"/>
      <c r="F322" s="26"/>
      <c r="G322" s="26"/>
      <c r="H322" s="26"/>
      <c r="I322" s="26"/>
      <c r="J322" s="26"/>
      <c r="K322" s="26"/>
      <c r="L322" s="26"/>
      <c r="M322" s="28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8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/>
      <c r="CP322"/>
      <c r="CQ322"/>
      <c r="CR322"/>
      <c r="CS322"/>
      <c r="CT322"/>
      <c r="CU322" s="2"/>
      <c r="CV322" s="34"/>
      <c r="CW322" s="60"/>
      <c r="CX322" s="60"/>
      <c r="CY322" s="338">
        <f t="shared" si="67"/>
        <v>45778</v>
      </c>
      <c r="CZ322" s="337">
        <f t="shared" si="59"/>
        <v>1</v>
      </c>
      <c r="DA322" s="337">
        <f t="shared" si="60"/>
        <v>1.25</v>
      </c>
      <c r="DB322" s="337">
        <f t="shared" si="61"/>
        <v>1.55</v>
      </c>
      <c r="DD322" s="129">
        <f t="shared" si="62"/>
        <v>5.7292938933407749E-2</v>
      </c>
      <c r="DE322" s="129">
        <f t="shared" si="63"/>
        <v>0.1145858778668155</v>
      </c>
      <c r="DF322" s="129">
        <f t="shared" si="64"/>
        <v>0.17187881680022324</v>
      </c>
      <c r="DG322" s="60"/>
      <c r="DH322" s="338">
        <f t="shared" si="66"/>
        <v>45778</v>
      </c>
      <c r="DI322" s="20">
        <v>0.9</v>
      </c>
    </row>
    <row r="323" spans="1:113" ht="14.25">
      <c r="A323" s="124">
        <f t="shared" ca="1" si="68"/>
        <v>46054</v>
      </c>
      <c r="B323" s="20">
        <f>'Gas Curves'!C327</f>
        <v>7.3526145790693997E-2</v>
      </c>
      <c r="C323" s="20"/>
      <c r="D323" s="26"/>
      <c r="E323" s="26"/>
      <c r="F323" s="26"/>
      <c r="G323" s="26"/>
      <c r="H323" s="26"/>
      <c r="I323" s="26"/>
      <c r="J323" s="26"/>
      <c r="K323" s="26"/>
      <c r="L323" s="26"/>
      <c r="M323" s="28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8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/>
      <c r="CP323"/>
      <c r="CQ323"/>
      <c r="CR323"/>
      <c r="CS323"/>
      <c r="CT323"/>
      <c r="CU323" s="2"/>
      <c r="CV323" s="34"/>
      <c r="CW323" s="60"/>
      <c r="CX323" s="60"/>
      <c r="CY323" s="338">
        <f t="shared" si="67"/>
        <v>45809</v>
      </c>
      <c r="CZ323" s="337">
        <f t="shared" si="59"/>
        <v>1</v>
      </c>
      <c r="DA323" s="337">
        <f t="shared" si="60"/>
        <v>1.25</v>
      </c>
      <c r="DB323" s="337">
        <f t="shared" si="61"/>
        <v>1.55</v>
      </c>
      <c r="DD323" s="129">
        <f t="shared" si="62"/>
        <v>7.1827847086464378E-2</v>
      </c>
      <c r="DE323" s="129">
        <f t="shared" si="63"/>
        <v>0.14365569417292876</v>
      </c>
      <c r="DF323" s="129">
        <f t="shared" si="64"/>
        <v>0.21548354125939312</v>
      </c>
      <c r="DG323" s="60"/>
      <c r="DH323" s="338">
        <f t="shared" si="66"/>
        <v>45809</v>
      </c>
      <c r="DI323" s="20">
        <v>0.9</v>
      </c>
    </row>
    <row r="324" spans="1:113" ht="14.25">
      <c r="A324" s="124">
        <f t="shared" ca="1" si="68"/>
        <v>46082</v>
      </c>
      <c r="B324" s="20">
        <f>'Gas Curves'!C328</f>
        <v>7.3517804234629003E-2</v>
      </c>
      <c r="C324" s="20"/>
      <c r="D324" s="26"/>
      <c r="E324" s="26"/>
      <c r="F324" s="26"/>
      <c r="G324" s="26"/>
      <c r="H324" s="26"/>
      <c r="I324" s="26"/>
      <c r="J324" s="26"/>
      <c r="K324" s="26"/>
      <c r="L324" s="26"/>
      <c r="M324" s="28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8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/>
      <c r="CP324"/>
      <c r="CQ324"/>
      <c r="CR324"/>
      <c r="CS324"/>
      <c r="CT324"/>
      <c r="CU324" s="2"/>
      <c r="CV324" s="34"/>
      <c r="CW324" s="60"/>
      <c r="CX324" s="60"/>
      <c r="CY324" s="338">
        <f t="shared" si="67"/>
        <v>45839</v>
      </c>
      <c r="CZ324" s="337">
        <f t="shared" si="59"/>
        <v>1</v>
      </c>
      <c r="DA324" s="337">
        <f t="shared" si="60"/>
        <v>1.25</v>
      </c>
      <c r="DB324" s="337">
        <f t="shared" si="61"/>
        <v>1.55</v>
      </c>
      <c r="DD324" s="129">
        <f t="shared" si="62"/>
        <v>8.4998637645868472E-2</v>
      </c>
      <c r="DE324" s="129">
        <f t="shared" si="63"/>
        <v>0.16999727529173694</v>
      </c>
      <c r="DF324" s="129">
        <f t="shared" si="64"/>
        <v>0.25499591293760543</v>
      </c>
      <c r="DG324" s="60"/>
      <c r="DH324" s="338">
        <f t="shared" si="66"/>
        <v>45839</v>
      </c>
      <c r="DI324" s="20">
        <v>0.9</v>
      </c>
    </row>
    <row r="325" spans="1:113" ht="14.25">
      <c r="A325" s="124">
        <f t="shared" ca="1" si="68"/>
        <v>46113</v>
      </c>
      <c r="B325" s="20">
        <f>'Gas Curves'!C329</f>
        <v>7.3508568940439001E-2</v>
      </c>
      <c r="C325" s="20"/>
      <c r="D325" s="26"/>
      <c r="E325" s="26"/>
      <c r="F325" s="26"/>
      <c r="G325" s="26"/>
      <c r="H325" s="26"/>
      <c r="I325" s="26"/>
      <c r="J325" s="26"/>
      <c r="K325" s="26"/>
      <c r="L325" s="26"/>
      <c r="M325" s="28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8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/>
      <c r="CP325"/>
      <c r="CQ325"/>
      <c r="CR325"/>
      <c r="CS325"/>
      <c r="CT325"/>
      <c r="CU325" s="2"/>
      <c r="CV325" s="34"/>
      <c r="CW325" s="60"/>
      <c r="CX325" s="60"/>
      <c r="CY325" s="338">
        <f t="shared" si="67"/>
        <v>45870</v>
      </c>
      <c r="CZ325" s="337">
        <f t="shared" si="59"/>
        <v>1</v>
      </c>
      <c r="DA325" s="337">
        <f t="shared" si="60"/>
        <v>1.25</v>
      </c>
      <c r="DB325" s="337">
        <f t="shared" si="61"/>
        <v>1.55</v>
      </c>
      <c r="DD325" s="129">
        <f t="shared" si="62"/>
        <v>8.3634520052215916E-2</v>
      </c>
      <c r="DE325" s="129">
        <f t="shared" si="63"/>
        <v>0.16726904010443183</v>
      </c>
      <c r="DF325" s="129">
        <f t="shared" si="64"/>
        <v>0.25090356015664772</v>
      </c>
      <c r="DG325" s="60"/>
      <c r="DH325" s="338">
        <f t="shared" si="66"/>
        <v>45870</v>
      </c>
      <c r="DI325" s="20">
        <v>0.9</v>
      </c>
    </row>
    <row r="326" spans="1:113" ht="14.25">
      <c r="A326" s="124">
        <f t="shared" ca="1" si="68"/>
        <v>46143</v>
      </c>
      <c r="B326" s="20">
        <f>'Gas Curves'!C330</f>
        <v>7.3499631559000009E-2</v>
      </c>
      <c r="C326" s="20"/>
      <c r="D326" s="26"/>
      <c r="E326" s="26"/>
      <c r="F326" s="26"/>
      <c r="G326" s="26"/>
      <c r="H326" s="26"/>
      <c r="I326" s="26"/>
      <c r="J326" s="26"/>
      <c r="K326" s="26"/>
      <c r="L326" s="26"/>
      <c r="M326" s="28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8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/>
      <c r="CP326"/>
      <c r="CQ326"/>
      <c r="CR326"/>
      <c r="CS326"/>
      <c r="CT326"/>
      <c r="CU326" s="2"/>
      <c r="CV326" s="34"/>
      <c r="CW326" s="60"/>
      <c r="CX326" s="60"/>
      <c r="CY326" s="338">
        <f t="shared" si="67"/>
        <v>45901</v>
      </c>
      <c r="CZ326" s="337">
        <f t="shared" si="59"/>
        <v>1</v>
      </c>
      <c r="DA326" s="337">
        <f t="shared" si="60"/>
        <v>1.25</v>
      </c>
      <c r="DB326" s="337">
        <f t="shared" si="61"/>
        <v>1.55</v>
      </c>
      <c r="DD326" s="129">
        <f t="shared" si="62"/>
        <v>5.5411397424921446E-2</v>
      </c>
      <c r="DE326" s="129">
        <f t="shared" si="63"/>
        <v>0.11082279484984289</v>
      </c>
      <c r="DF326" s="129">
        <f t="shared" si="64"/>
        <v>0.16623419227476433</v>
      </c>
      <c r="DG326" s="60"/>
      <c r="DH326" s="338">
        <f t="shared" si="66"/>
        <v>45901</v>
      </c>
      <c r="DI326" s="20">
        <v>0.9</v>
      </c>
    </row>
    <row r="327" spans="1:113" ht="14.25">
      <c r="A327" s="124">
        <f t="shared" ca="1" si="68"/>
        <v>46174</v>
      </c>
      <c r="B327" s="20">
        <f>'Gas Curves'!C331</f>
        <v>7.3490396264858995E-2</v>
      </c>
      <c r="C327" s="20"/>
      <c r="D327" s="26"/>
      <c r="E327" s="26"/>
      <c r="F327" s="26"/>
      <c r="G327" s="26"/>
      <c r="H327" s="26"/>
      <c r="I327" s="26"/>
      <c r="J327" s="26"/>
      <c r="K327" s="26"/>
      <c r="L327" s="26"/>
      <c r="M327" s="28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8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/>
      <c r="CP327"/>
      <c r="CQ327"/>
      <c r="CR327"/>
      <c r="CS327"/>
      <c r="CT327"/>
      <c r="CU327" s="2"/>
      <c r="CV327" s="34"/>
      <c r="CW327" s="60"/>
      <c r="CX327" s="60"/>
      <c r="CY327" s="338">
        <f t="shared" si="67"/>
        <v>45931</v>
      </c>
      <c r="CZ327" s="337">
        <f t="shared" si="59"/>
        <v>0.85000000000000009</v>
      </c>
      <c r="DA327" s="337">
        <f t="shared" si="60"/>
        <v>1.1000000000000001</v>
      </c>
      <c r="DB327" s="337">
        <f t="shared" si="61"/>
        <v>1.4000000000000001</v>
      </c>
      <c r="DD327" s="129">
        <f t="shared" si="62"/>
        <v>5.3277333240296203E-2</v>
      </c>
      <c r="DE327" s="129">
        <f t="shared" si="63"/>
        <v>0.10655466648059241</v>
      </c>
      <c r="DF327" s="129">
        <f t="shared" si="64"/>
        <v>0.1598319997208886</v>
      </c>
      <c r="DG327" s="60"/>
      <c r="DH327" s="338">
        <f t="shared" si="66"/>
        <v>45931</v>
      </c>
      <c r="DI327" s="20">
        <v>0.9</v>
      </c>
    </row>
    <row r="328" spans="1:113" ht="14.25">
      <c r="A328" s="124">
        <f t="shared" ca="1" si="68"/>
        <v>46204</v>
      </c>
      <c r="B328" s="20">
        <f>'Gas Curves'!C332</f>
        <v>7.3481458883466008E-2</v>
      </c>
      <c r="C328" s="20"/>
      <c r="D328" s="26"/>
      <c r="E328" s="26"/>
      <c r="F328" s="26"/>
      <c r="G328" s="26"/>
      <c r="H328" s="26"/>
      <c r="I328" s="26"/>
      <c r="J328" s="26"/>
      <c r="K328" s="26"/>
      <c r="L328" s="26"/>
      <c r="M328" s="28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8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/>
      <c r="CP328"/>
      <c r="CQ328"/>
      <c r="CR328"/>
      <c r="CS328"/>
      <c r="CT328"/>
      <c r="CU328" s="2"/>
      <c r="CV328" s="34"/>
      <c r="CW328" s="60"/>
      <c r="CX328" s="60"/>
      <c r="CY328" s="338">
        <f t="shared" si="67"/>
        <v>45962</v>
      </c>
      <c r="CZ328" s="337">
        <f t="shared" si="59"/>
        <v>1</v>
      </c>
      <c r="DA328" s="337">
        <f t="shared" si="60"/>
        <v>1.25</v>
      </c>
      <c r="DB328" s="337">
        <f t="shared" si="61"/>
        <v>1.55</v>
      </c>
      <c r="DD328" s="129">
        <f t="shared" si="62"/>
        <v>5.3277333240296203E-2</v>
      </c>
      <c r="DE328" s="129">
        <f t="shared" si="63"/>
        <v>0.10655466648059241</v>
      </c>
      <c r="DF328" s="129">
        <f t="shared" si="64"/>
        <v>0.1598319997208886</v>
      </c>
      <c r="DG328" s="60"/>
      <c r="DH328" s="338">
        <f t="shared" si="66"/>
        <v>45962</v>
      </c>
      <c r="DI328" s="20">
        <v>0.9</v>
      </c>
    </row>
    <row r="329" spans="1:113" ht="14.25">
      <c r="A329" s="124">
        <f t="shared" ca="1" si="68"/>
        <v>46235</v>
      </c>
      <c r="B329" s="20">
        <f>'Gas Curves'!C333</f>
        <v>7.3472223589388E-2</v>
      </c>
      <c r="C329" s="20"/>
      <c r="D329" s="26"/>
      <c r="E329" s="26"/>
      <c r="F329" s="26"/>
      <c r="G329" s="26"/>
      <c r="H329" s="26"/>
      <c r="I329" s="26"/>
      <c r="J329" s="26"/>
      <c r="K329" s="26"/>
      <c r="L329" s="26"/>
      <c r="M329" s="28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8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/>
      <c r="CP329"/>
      <c r="CQ329"/>
      <c r="CR329"/>
      <c r="CS329"/>
      <c r="CT329"/>
      <c r="CU329" s="2"/>
      <c r="CV329" s="34"/>
      <c r="CW329" s="60"/>
      <c r="CX329" s="60"/>
      <c r="CY329" s="338">
        <f t="shared" si="67"/>
        <v>45992</v>
      </c>
      <c r="CZ329" s="337">
        <f t="shared" si="59"/>
        <v>1</v>
      </c>
      <c r="DA329" s="337">
        <f t="shared" si="60"/>
        <v>1.25</v>
      </c>
      <c r="DB329" s="337">
        <f t="shared" si="61"/>
        <v>1.55</v>
      </c>
      <c r="DD329" s="129">
        <f t="shared" si="62"/>
        <v>5.5178680448871829E-2</v>
      </c>
      <c r="DE329" s="129">
        <f t="shared" si="63"/>
        <v>0.11035736089774366</v>
      </c>
      <c r="DF329" s="129">
        <f t="shared" si="64"/>
        <v>0.16553604134661548</v>
      </c>
      <c r="DG329" s="60"/>
      <c r="DH329" s="338">
        <f t="shared" si="66"/>
        <v>45992</v>
      </c>
      <c r="DI329" s="20">
        <v>0.9</v>
      </c>
    </row>
    <row r="330" spans="1:113" ht="14.25">
      <c r="A330" s="124">
        <f t="shared" ca="1" si="68"/>
        <v>46266</v>
      </c>
      <c r="B330" s="20">
        <f>'Gas Curves'!C334</f>
        <v>7.3462988295337997E-2</v>
      </c>
      <c r="C330" s="20"/>
      <c r="D330" s="26"/>
      <c r="E330" s="26"/>
      <c r="F330" s="26"/>
      <c r="G330" s="26"/>
      <c r="H330" s="26"/>
      <c r="I330" s="26"/>
      <c r="J330" s="26"/>
      <c r="K330" s="26"/>
      <c r="L330" s="26"/>
      <c r="M330" s="28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8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/>
      <c r="CP330"/>
      <c r="CQ330"/>
      <c r="CR330"/>
      <c r="CS330"/>
      <c r="CT330"/>
      <c r="CU330" s="2"/>
      <c r="CV330" s="34"/>
      <c r="CW330" s="60"/>
      <c r="CX330" s="60"/>
      <c r="CY330" s="338">
        <f t="shared" si="67"/>
        <v>46023</v>
      </c>
      <c r="CZ330" s="337">
        <f t="shared" si="59"/>
        <v>1.25</v>
      </c>
      <c r="DA330" s="337">
        <f t="shared" si="60"/>
        <v>2</v>
      </c>
      <c r="DB330" s="337">
        <f t="shared" si="61"/>
        <v>2.75</v>
      </c>
      <c r="DD330" s="129">
        <f t="shared" si="62"/>
        <v>5.937308760112317E-2</v>
      </c>
      <c r="DE330" s="129">
        <f t="shared" si="63"/>
        <v>0.11874617520224634</v>
      </c>
      <c r="DF330" s="129">
        <f t="shared" si="64"/>
        <v>0.17811926280336951</v>
      </c>
      <c r="DG330" s="60"/>
      <c r="DH330" s="338">
        <f t="shared" si="66"/>
        <v>46023</v>
      </c>
      <c r="DI330" s="20">
        <v>0.9</v>
      </c>
    </row>
    <row r="331" spans="1:113" ht="14.25">
      <c r="A331" s="124">
        <f t="shared" ca="1" si="68"/>
        <v>46296</v>
      </c>
      <c r="B331" s="20">
        <f>'Gas Curves'!C335</f>
        <v>7.3454050914026001E-2</v>
      </c>
      <c r="C331" s="20"/>
      <c r="D331" s="26"/>
      <c r="E331" s="26"/>
      <c r="F331" s="26"/>
      <c r="G331" s="26"/>
      <c r="H331" s="26"/>
      <c r="I331" s="26"/>
      <c r="J331" s="26"/>
      <c r="K331" s="26"/>
      <c r="L331" s="26"/>
      <c r="M331" s="28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8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/>
      <c r="CP331"/>
      <c r="CQ331"/>
      <c r="CR331"/>
      <c r="CS331"/>
      <c r="CT331"/>
      <c r="CU331" s="2"/>
      <c r="CV331" s="34"/>
      <c r="CW331" s="60"/>
      <c r="CX331" s="60"/>
      <c r="CY331" s="338">
        <f t="shared" si="67"/>
        <v>46054</v>
      </c>
      <c r="CZ331" s="337">
        <f t="shared" si="59"/>
        <v>1.25</v>
      </c>
      <c r="DA331" s="337">
        <f t="shared" si="60"/>
        <v>2</v>
      </c>
      <c r="DB331" s="337">
        <f t="shared" si="61"/>
        <v>2.75</v>
      </c>
      <c r="DD331" s="129">
        <f t="shared" si="62"/>
        <v>5.7282485925027264E-2</v>
      </c>
      <c r="DE331" s="129">
        <f t="shared" si="63"/>
        <v>0.11456497185005453</v>
      </c>
      <c r="DF331" s="129">
        <f t="shared" si="64"/>
        <v>0.17184745777508179</v>
      </c>
      <c r="DG331" s="60"/>
      <c r="DH331" s="338">
        <f t="shared" si="66"/>
        <v>46054</v>
      </c>
      <c r="DI331" s="20">
        <v>0.9</v>
      </c>
    </row>
    <row r="332" spans="1:113" ht="14.25">
      <c r="A332" s="124">
        <f t="shared" ca="1" si="68"/>
        <v>46327</v>
      </c>
      <c r="B332" s="20">
        <f>'Gas Curves'!C336</f>
        <v>7.3444815620030995E-2</v>
      </c>
      <c r="C332" s="20"/>
      <c r="D332" s="26"/>
      <c r="E332" s="26"/>
      <c r="F332" s="26"/>
      <c r="G332" s="26"/>
      <c r="H332" s="26"/>
      <c r="I332" s="26"/>
      <c r="J332" s="26"/>
      <c r="K332" s="26"/>
      <c r="L332" s="26"/>
      <c r="M332" s="28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8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/>
      <c r="CP332"/>
      <c r="CQ332"/>
      <c r="CR332"/>
      <c r="CS332"/>
      <c r="CT332"/>
      <c r="CU332" s="2"/>
      <c r="CV332" s="34"/>
      <c r="CW332" s="60"/>
      <c r="CX332" s="60"/>
      <c r="CY332" s="338">
        <f t="shared" si="67"/>
        <v>46082</v>
      </c>
      <c r="CZ332" s="337">
        <f t="shared" si="59"/>
        <v>1</v>
      </c>
      <c r="DA332" s="337">
        <f t="shared" si="60"/>
        <v>1.25</v>
      </c>
      <c r="DB332" s="337">
        <f t="shared" si="61"/>
        <v>1.55</v>
      </c>
      <c r="DD332" s="129">
        <f t="shared" si="62"/>
        <v>5.5834744264330861E-2</v>
      </c>
      <c r="DE332" s="129">
        <f t="shared" si="63"/>
        <v>0.11166948852866172</v>
      </c>
      <c r="DF332" s="129">
        <f t="shared" si="64"/>
        <v>0.16750423279299259</v>
      </c>
      <c r="DG332" s="60"/>
      <c r="DH332" s="338">
        <f t="shared" si="66"/>
        <v>46082</v>
      </c>
      <c r="DI332" s="20">
        <v>0.9</v>
      </c>
    </row>
    <row r="333" spans="1:113" ht="14.25">
      <c r="A333" s="124">
        <f t="shared" ca="1" si="68"/>
        <v>46357</v>
      </c>
      <c r="B333" s="20">
        <f>'Gas Curves'!C337</f>
        <v>7.3435878238772997E-2</v>
      </c>
      <c r="C333" s="20"/>
      <c r="D333" s="26"/>
      <c r="E333" s="26"/>
      <c r="F333" s="26"/>
      <c r="G333" s="26"/>
      <c r="H333" s="26"/>
      <c r="I333" s="26"/>
      <c r="J333" s="26"/>
      <c r="K333" s="26"/>
      <c r="L333" s="26"/>
      <c r="M333" s="28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8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/>
      <c r="CP333"/>
      <c r="CQ333"/>
      <c r="CR333"/>
      <c r="CS333"/>
      <c r="CT333"/>
      <c r="CU333" s="2"/>
      <c r="CV333" s="34"/>
      <c r="CW333" s="60"/>
      <c r="CX333" s="60"/>
      <c r="CY333" s="338">
        <f t="shared" si="67"/>
        <v>46113</v>
      </c>
      <c r="CZ333" s="337">
        <f t="shared" si="59"/>
        <v>1</v>
      </c>
      <c r="DA333" s="337">
        <f t="shared" si="60"/>
        <v>1.25</v>
      </c>
      <c r="DB333" s="337">
        <f t="shared" si="61"/>
        <v>1.55</v>
      </c>
      <c r="DD333" s="129">
        <f t="shared" si="62"/>
        <v>4.976677289946254E-2</v>
      </c>
      <c r="DE333" s="129">
        <f t="shared" si="63"/>
        <v>9.953354579892508E-2</v>
      </c>
      <c r="DF333" s="129">
        <f t="shared" si="64"/>
        <v>0.14930031869838761</v>
      </c>
      <c r="DG333" s="60"/>
      <c r="DH333" s="338">
        <f t="shared" si="66"/>
        <v>46113</v>
      </c>
      <c r="DI333" s="20">
        <v>0.9</v>
      </c>
    </row>
    <row r="334" spans="1:113" ht="14.25">
      <c r="A334" s="124">
        <f t="shared" ca="1" si="68"/>
        <v>46388</v>
      </c>
      <c r="B334" s="20">
        <f>'Gas Curves'!C338</f>
        <v>7.3426642944833004E-2</v>
      </c>
      <c r="C334" s="20"/>
      <c r="D334" s="26"/>
      <c r="E334" s="26"/>
      <c r="F334" s="26"/>
      <c r="G334" s="26"/>
      <c r="H334" s="26"/>
      <c r="I334" s="26"/>
      <c r="J334" s="26"/>
      <c r="K334" s="26"/>
      <c r="L334" s="26"/>
      <c r="M334" s="28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8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/>
      <c r="CP334"/>
      <c r="CQ334"/>
      <c r="CR334"/>
      <c r="CS334"/>
      <c r="CT334"/>
      <c r="CU334" s="2"/>
      <c r="CV334" s="34"/>
      <c r="CW334" s="60"/>
      <c r="CX334" s="60"/>
      <c r="CY334" s="338">
        <f t="shared" si="67"/>
        <v>46143</v>
      </c>
      <c r="CZ334" s="337">
        <f t="shared" si="59"/>
        <v>1</v>
      </c>
      <c r="DA334" s="337">
        <f t="shared" si="60"/>
        <v>1.25</v>
      </c>
      <c r="DB334" s="337">
        <f t="shared" si="61"/>
        <v>1.55</v>
      </c>
      <c r="DD334" s="129">
        <f t="shared" si="62"/>
        <v>5.7292938933407749E-2</v>
      </c>
      <c r="DE334" s="129">
        <f t="shared" si="63"/>
        <v>0.1145858778668155</v>
      </c>
      <c r="DF334" s="129">
        <f t="shared" si="64"/>
        <v>0.17187881680022324</v>
      </c>
      <c r="DG334" s="60"/>
      <c r="DH334" s="338">
        <f t="shared" si="66"/>
        <v>46143</v>
      </c>
      <c r="DI334" s="20">
        <v>0.9</v>
      </c>
    </row>
    <row r="335" spans="1:113" ht="14.25">
      <c r="A335" s="124">
        <f t="shared" ca="1" si="68"/>
        <v>46419</v>
      </c>
      <c r="B335" s="20">
        <f>'Gas Curves'!C339</f>
        <v>7.3417407650922001E-2</v>
      </c>
      <c r="C335" s="20"/>
      <c r="D335" s="26"/>
      <c r="E335" s="26"/>
      <c r="F335" s="26"/>
      <c r="G335" s="26"/>
      <c r="H335" s="26"/>
      <c r="I335" s="26"/>
      <c r="J335" s="26"/>
      <c r="K335" s="26"/>
      <c r="L335" s="26"/>
      <c r="M335" s="28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8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/>
      <c r="CP335"/>
      <c r="CQ335"/>
      <c r="CR335"/>
      <c r="CS335"/>
      <c r="CT335"/>
      <c r="CU335" s="2"/>
      <c r="CV335" s="34"/>
      <c r="CW335" s="60"/>
      <c r="CX335" s="60"/>
      <c r="CY335" s="338">
        <f t="shared" si="67"/>
        <v>46174</v>
      </c>
      <c r="CZ335" s="337">
        <f t="shared" si="59"/>
        <v>1</v>
      </c>
      <c r="DA335" s="337">
        <f t="shared" si="60"/>
        <v>1.25</v>
      </c>
      <c r="DB335" s="337">
        <f t="shared" si="61"/>
        <v>1.55</v>
      </c>
      <c r="DD335" s="129">
        <f t="shared" si="62"/>
        <v>7.1827847086464378E-2</v>
      </c>
      <c r="DE335" s="129">
        <f t="shared" si="63"/>
        <v>0.14365569417292876</v>
      </c>
      <c r="DF335" s="129">
        <f t="shared" si="64"/>
        <v>0.21548354125939312</v>
      </c>
      <c r="DG335" s="60"/>
      <c r="DH335" s="338">
        <f t="shared" si="66"/>
        <v>46174</v>
      </c>
      <c r="DI335" s="20">
        <v>0.9</v>
      </c>
    </row>
    <row r="336" spans="1:113" ht="14.25">
      <c r="A336" s="124">
        <f t="shared" ca="1" si="68"/>
        <v>46447</v>
      </c>
      <c r="B336" s="20">
        <f>'Gas Curves'!C340</f>
        <v>7.3409066095156003E-2</v>
      </c>
      <c r="C336" s="20"/>
      <c r="D336" s="26"/>
      <c r="E336" s="26"/>
      <c r="F336" s="26"/>
      <c r="G336" s="26"/>
      <c r="H336" s="26"/>
      <c r="I336" s="26"/>
      <c r="J336" s="26"/>
      <c r="K336" s="26"/>
      <c r="L336" s="26"/>
      <c r="M336" s="28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8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/>
      <c r="CP336"/>
      <c r="CQ336"/>
      <c r="CR336"/>
      <c r="CS336"/>
      <c r="CT336"/>
      <c r="CU336" s="2"/>
      <c r="CV336" s="34"/>
      <c r="CW336" s="60"/>
      <c r="CX336" s="60"/>
      <c r="CY336" s="338">
        <f t="shared" si="67"/>
        <v>46204</v>
      </c>
      <c r="CZ336" s="337">
        <f t="shared" si="59"/>
        <v>1</v>
      </c>
      <c r="DA336" s="337">
        <f t="shared" si="60"/>
        <v>1.25</v>
      </c>
      <c r="DB336" s="337">
        <f t="shared" si="61"/>
        <v>1.55</v>
      </c>
      <c r="DD336" s="129">
        <f t="shared" si="62"/>
        <v>8.4998637645868472E-2</v>
      </c>
      <c r="DE336" s="129">
        <f t="shared" si="63"/>
        <v>0.16999727529173694</v>
      </c>
      <c r="DF336" s="129">
        <f t="shared" si="64"/>
        <v>0.25499591293760543</v>
      </c>
      <c r="DG336" s="60"/>
      <c r="DH336" s="338">
        <f t="shared" si="66"/>
        <v>46204</v>
      </c>
      <c r="DI336" s="20">
        <v>0.9</v>
      </c>
    </row>
    <row r="337" spans="1:113" ht="14.25">
      <c r="A337" s="124">
        <f t="shared" ca="1" si="68"/>
        <v>46478</v>
      </c>
      <c r="B337" s="20">
        <f>'Gas Curves'!C341</f>
        <v>7.3399830801297999E-2</v>
      </c>
      <c r="C337" s="20"/>
      <c r="D337" s="26"/>
      <c r="E337" s="26"/>
      <c r="F337" s="26"/>
      <c r="G337" s="26"/>
      <c r="H337" s="26"/>
      <c r="I337" s="26"/>
      <c r="J337" s="26"/>
      <c r="K337" s="26"/>
      <c r="L337" s="26"/>
      <c r="M337" s="28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8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/>
      <c r="CP337"/>
      <c r="CQ337"/>
      <c r="CR337"/>
      <c r="CS337"/>
      <c r="CT337"/>
      <c r="CU337" s="2"/>
      <c r="CV337" s="34"/>
      <c r="CW337" s="60"/>
      <c r="CX337" s="60"/>
      <c r="CY337" s="338">
        <f t="shared" si="67"/>
        <v>46235</v>
      </c>
      <c r="CZ337" s="337">
        <f t="shared" si="59"/>
        <v>1</v>
      </c>
      <c r="DA337" s="337">
        <f t="shared" si="60"/>
        <v>1.25</v>
      </c>
      <c r="DB337" s="337">
        <f t="shared" si="61"/>
        <v>1.55</v>
      </c>
      <c r="DD337" s="129">
        <f t="shared" si="62"/>
        <v>8.3634520052215916E-2</v>
      </c>
      <c r="DE337" s="129">
        <f t="shared" si="63"/>
        <v>0.16726904010443183</v>
      </c>
      <c r="DF337" s="129">
        <f t="shared" si="64"/>
        <v>0.25090356015664772</v>
      </c>
      <c r="DG337" s="60"/>
      <c r="DH337" s="338">
        <f t="shared" si="66"/>
        <v>46235</v>
      </c>
      <c r="DI337" s="20">
        <v>0.9</v>
      </c>
    </row>
    <row r="338" spans="1:113" ht="14.25">
      <c r="A338" s="124">
        <f t="shared" ca="1" si="68"/>
        <v>46508</v>
      </c>
      <c r="B338" s="20">
        <f>'Gas Curves'!C342</f>
        <v>7.3390893420172007E-2</v>
      </c>
      <c r="C338" s="20"/>
      <c r="D338" s="26"/>
      <c r="E338" s="26"/>
      <c r="F338" s="26"/>
      <c r="G338" s="26"/>
      <c r="H338" s="26"/>
      <c r="I338" s="26"/>
      <c r="J338" s="26"/>
      <c r="K338" s="26"/>
      <c r="L338" s="26"/>
      <c r="M338" s="28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8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/>
      <c r="CP338"/>
      <c r="CQ338"/>
      <c r="CR338"/>
      <c r="CS338"/>
      <c r="CT338"/>
      <c r="CU338" s="2"/>
      <c r="CV338" s="34"/>
      <c r="CW338" s="60"/>
      <c r="CX338" s="60"/>
      <c r="CY338" s="338">
        <f t="shared" si="67"/>
        <v>46266</v>
      </c>
      <c r="CZ338" s="337">
        <f t="shared" si="59"/>
        <v>1</v>
      </c>
      <c r="DA338" s="337">
        <f t="shared" si="60"/>
        <v>1.25</v>
      </c>
      <c r="DB338" s="337">
        <f t="shared" si="61"/>
        <v>1.55</v>
      </c>
      <c r="DD338" s="129">
        <f t="shared" si="62"/>
        <v>5.5411397424921446E-2</v>
      </c>
      <c r="DE338" s="129">
        <f t="shared" si="63"/>
        <v>0.11082279484984289</v>
      </c>
      <c r="DF338" s="129">
        <f t="shared" si="64"/>
        <v>0.16623419227476433</v>
      </c>
      <c r="DG338" s="60"/>
      <c r="DH338" s="338">
        <f t="shared" si="66"/>
        <v>46266</v>
      </c>
      <c r="DI338" s="20">
        <v>0.9</v>
      </c>
    </row>
    <row r="339" spans="1:113" ht="14.25">
      <c r="A339" s="124">
        <f t="shared" ca="1" si="68"/>
        <v>46539</v>
      </c>
      <c r="B339" s="20">
        <f>'Gas Curves'!C343</f>
        <v>7.338165812637E-2</v>
      </c>
      <c r="C339" s="20"/>
      <c r="D339" s="26"/>
      <c r="E339" s="26"/>
      <c r="F339" s="26"/>
      <c r="G339" s="26"/>
      <c r="H339" s="26"/>
      <c r="I339" s="26"/>
      <c r="J339" s="26"/>
      <c r="K339" s="26"/>
      <c r="L339" s="26"/>
      <c r="M339" s="28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8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/>
      <c r="CP339"/>
      <c r="CQ339"/>
      <c r="CR339"/>
      <c r="CS339"/>
      <c r="CT339"/>
      <c r="CU339" s="2"/>
      <c r="CV339" s="34"/>
      <c r="CW339" s="60"/>
      <c r="CX339" s="60"/>
      <c r="CY339" s="338">
        <f t="shared" si="67"/>
        <v>46296</v>
      </c>
      <c r="CZ339" s="337">
        <f t="shared" si="59"/>
        <v>0.85000000000000009</v>
      </c>
      <c r="DA339" s="337">
        <f t="shared" si="60"/>
        <v>1.1000000000000001</v>
      </c>
      <c r="DB339" s="337">
        <f t="shared" si="61"/>
        <v>1.4000000000000001</v>
      </c>
      <c r="DD339" s="129">
        <f t="shared" si="62"/>
        <v>5.3277333240296203E-2</v>
      </c>
      <c r="DE339" s="129">
        <f t="shared" si="63"/>
        <v>0.10655466648059241</v>
      </c>
      <c r="DF339" s="129">
        <f t="shared" si="64"/>
        <v>0.1598319997208886</v>
      </c>
      <c r="DG339" s="60"/>
      <c r="DH339" s="338">
        <f t="shared" ref="DH339:DH370" si="69">IF(BH339=0,EOMONTH(DH338,0)+1,BH339)</f>
        <v>46296</v>
      </c>
      <c r="DI339" s="20">
        <v>0.9</v>
      </c>
    </row>
    <row r="340" spans="1:113" ht="14.25">
      <c r="A340" s="124">
        <f t="shared" ca="1" si="68"/>
        <v>46569</v>
      </c>
      <c r="B340" s="20">
        <f>'Gas Curves'!C344</f>
        <v>7.3372720745298006E-2</v>
      </c>
      <c r="C340" s="20"/>
      <c r="D340" s="26"/>
      <c r="E340" s="26"/>
      <c r="F340" s="26"/>
      <c r="G340" s="26"/>
      <c r="H340" s="26"/>
      <c r="I340" s="26"/>
      <c r="J340" s="26"/>
      <c r="K340" s="26"/>
      <c r="L340" s="26"/>
      <c r="M340" s="28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8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/>
      <c r="CP340"/>
      <c r="CQ340"/>
      <c r="CR340"/>
      <c r="CS340"/>
      <c r="CT340"/>
      <c r="CU340" s="2"/>
      <c r="CV340" s="34"/>
      <c r="CW340" s="60"/>
      <c r="CX340" s="60"/>
      <c r="CY340" s="338">
        <f t="shared" ref="CY340:CY371" si="70">EOMONTH(CY339,0)+1</f>
        <v>46327</v>
      </c>
      <c r="CZ340" s="337">
        <f t="shared" si="59"/>
        <v>1</v>
      </c>
      <c r="DA340" s="337">
        <f t="shared" si="60"/>
        <v>1.25</v>
      </c>
      <c r="DB340" s="337">
        <f t="shared" si="61"/>
        <v>1.55</v>
      </c>
      <c r="DD340" s="129">
        <f t="shared" si="62"/>
        <v>5.3277333240296203E-2</v>
      </c>
      <c r="DE340" s="129">
        <f t="shared" si="63"/>
        <v>0.10655466648059241</v>
      </c>
      <c r="DF340" s="129">
        <f t="shared" si="64"/>
        <v>0.1598319997208886</v>
      </c>
      <c r="DG340" s="60"/>
      <c r="DH340" s="338">
        <f t="shared" si="69"/>
        <v>46327</v>
      </c>
      <c r="DI340" s="20">
        <v>0.9</v>
      </c>
    </row>
    <row r="341" spans="1:113" ht="14.25">
      <c r="A341" s="124">
        <f t="shared" ca="1" si="68"/>
        <v>46600</v>
      </c>
      <c r="B341" s="20">
        <f>'Gas Curves'!C345</f>
        <v>7.3363485451550997E-2</v>
      </c>
      <c r="C341" s="20"/>
      <c r="D341" s="26"/>
      <c r="E341" s="26"/>
      <c r="F341" s="26"/>
      <c r="G341" s="26"/>
      <c r="H341" s="26"/>
      <c r="I341" s="26"/>
      <c r="J341" s="26"/>
      <c r="K341" s="26"/>
      <c r="L341" s="26"/>
      <c r="M341" s="28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8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/>
      <c r="CP341"/>
      <c r="CQ341"/>
      <c r="CR341"/>
      <c r="CS341"/>
      <c r="CT341"/>
      <c r="CU341" s="2"/>
      <c r="CV341" s="34"/>
      <c r="CW341" s="60"/>
      <c r="CX341" s="60"/>
      <c r="CY341" s="338">
        <f t="shared" si="70"/>
        <v>46357</v>
      </c>
      <c r="CZ341" s="337">
        <f t="shared" si="59"/>
        <v>1</v>
      </c>
      <c r="DA341" s="337">
        <f t="shared" si="60"/>
        <v>1.25</v>
      </c>
      <c r="DB341" s="337">
        <f t="shared" si="61"/>
        <v>1.55</v>
      </c>
      <c r="DD341" s="129">
        <f t="shared" si="62"/>
        <v>5.5178680448871829E-2</v>
      </c>
      <c r="DE341" s="129">
        <f t="shared" si="63"/>
        <v>0.11035736089774366</v>
      </c>
      <c r="DF341" s="129">
        <f t="shared" si="64"/>
        <v>0.16553604134661548</v>
      </c>
      <c r="DG341" s="60"/>
      <c r="DH341" s="338">
        <f t="shared" si="69"/>
        <v>46357</v>
      </c>
      <c r="DI341" s="20">
        <v>0.9</v>
      </c>
    </row>
    <row r="342" spans="1:113" ht="14.25">
      <c r="A342" s="124">
        <f t="shared" ca="1" si="68"/>
        <v>46631</v>
      </c>
      <c r="B342" s="20">
        <f>'Gas Curves'!C346</f>
        <v>7.3354250157833006E-2</v>
      </c>
      <c r="C342" s="20"/>
      <c r="D342" s="26"/>
      <c r="E342" s="26"/>
      <c r="F342" s="26"/>
      <c r="G342" s="26"/>
      <c r="H342" s="26"/>
      <c r="I342" s="26"/>
      <c r="J342" s="26"/>
      <c r="K342" s="26"/>
      <c r="L342" s="26"/>
      <c r="M342" s="28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8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/>
      <c r="CP342"/>
      <c r="CQ342"/>
      <c r="CR342"/>
      <c r="CS342"/>
      <c r="CT342"/>
      <c r="CU342" s="2"/>
      <c r="CV342" s="34"/>
      <c r="CW342" s="60"/>
      <c r="CX342" s="60"/>
      <c r="CY342" s="338">
        <f t="shared" si="70"/>
        <v>46388</v>
      </c>
      <c r="CZ342" s="337">
        <f t="shared" si="59"/>
        <v>1.25</v>
      </c>
      <c r="DA342" s="337">
        <f t="shared" si="60"/>
        <v>2</v>
      </c>
      <c r="DB342" s="337">
        <f t="shared" si="61"/>
        <v>2.75</v>
      </c>
      <c r="DD342" s="129">
        <f t="shared" si="62"/>
        <v>5.937308760112317E-2</v>
      </c>
      <c r="DE342" s="129">
        <f t="shared" si="63"/>
        <v>0.11874617520224634</v>
      </c>
      <c r="DF342" s="129">
        <f t="shared" si="64"/>
        <v>0.17811926280336951</v>
      </c>
      <c r="DG342" s="60"/>
      <c r="DH342" s="338">
        <f t="shared" si="69"/>
        <v>46388</v>
      </c>
      <c r="DI342" s="20">
        <v>0.9</v>
      </c>
    </row>
    <row r="343" spans="1:113" ht="14.25">
      <c r="A343" s="124">
        <f t="shared" ca="1" si="68"/>
        <v>46661</v>
      </c>
      <c r="B343" s="20">
        <f>'Gas Curves'!C347</f>
        <v>7.3345312776841004E-2</v>
      </c>
      <c r="C343" s="20"/>
      <c r="D343" s="26"/>
      <c r="E343" s="26"/>
      <c r="F343" s="26"/>
      <c r="G343" s="26"/>
      <c r="H343" s="26"/>
      <c r="I343" s="26"/>
      <c r="J343" s="26"/>
      <c r="K343" s="26"/>
      <c r="L343" s="26"/>
      <c r="M343" s="28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8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/>
      <c r="CP343"/>
      <c r="CQ343"/>
      <c r="CR343"/>
      <c r="CS343"/>
      <c r="CT343"/>
      <c r="CU343" s="2"/>
      <c r="CV343" s="34"/>
      <c r="CW343" s="60"/>
      <c r="CX343" s="60"/>
      <c r="CY343" s="338">
        <f t="shared" si="70"/>
        <v>46419</v>
      </c>
      <c r="CZ343" s="337">
        <f t="shared" si="59"/>
        <v>1.25</v>
      </c>
      <c r="DA343" s="337">
        <f t="shared" si="60"/>
        <v>2</v>
      </c>
      <c r="DB343" s="337">
        <f t="shared" si="61"/>
        <v>2.75</v>
      </c>
      <c r="DD343" s="129">
        <f t="shared" si="62"/>
        <v>5.7282485925027264E-2</v>
      </c>
      <c r="DE343" s="129">
        <f t="shared" si="63"/>
        <v>0.11456497185005453</v>
      </c>
      <c r="DF343" s="129">
        <f t="shared" si="64"/>
        <v>0.17184745777508179</v>
      </c>
      <c r="DG343" s="60"/>
      <c r="DH343" s="338">
        <f t="shared" si="69"/>
        <v>46419</v>
      </c>
      <c r="DI343" s="20">
        <v>0.9</v>
      </c>
    </row>
    <row r="344" spans="1:113" ht="14.25">
      <c r="A344" s="124">
        <f t="shared" ca="1" si="68"/>
        <v>46692</v>
      </c>
      <c r="B344" s="20">
        <f>'Gas Curves'!C348</f>
        <v>7.3336077483177997E-2</v>
      </c>
      <c r="C344" s="20"/>
      <c r="D344" s="26"/>
      <c r="E344" s="26"/>
      <c r="F344" s="26"/>
      <c r="G344" s="26"/>
      <c r="H344" s="26"/>
      <c r="I344" s="26"/>
      <c r="J344" s="26"/>
      <c r="K344" s="26"/>
      <c r="L344" s="26"/>
      <c r="M344" s="28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8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/>
      <c r="CP344"/>
      <c r="CQ344"/>
      <c r="CR344"/>
      <c r="CS344"/>
      <c r="CT344"/>
      <c r="CU344" s="2"/>
      <c r="CV344" s="34"/>
      <c r="CW344" s="60"/>
      <c r="CX344" s="60"/>
      <c r="CY344" s="338">
        <f t="shared" si="70"/>
        <v>46447</v>
      </c>
      <c r="CZ344" s="337">
        <f t="shared" si="59"/>
        <v>1</v>
      </c>
      <c r="DA344" s="337">
        <f t="shared" si="60"/>
        <v>1.25</v>
      </c>
      <c r="DB344" s="337">
        <f t="shared" si="61"/>
        <v>1.55</v>
      </c>
      <c r="DD344" s="129">
        <f t="shared" si="62"/>
        <v>5.5834744264330861E-2</v>
      </c>
      <c r="DE344" s="129">
        <f t="shared" si="63"/>
        <v>0.11166948852866172</v>
      </c>
      <c r="DF344" s="129">
        <f t="shared" si="64"/>
        <v>0.16750423279299259</v>
      </c>
      <c r="DG344" s="60"/>
      <c r="DH344" s="338">
        <f t="shared" si="69"/>
        <v>46447</v>
      </c>
      <c r="DI344" s="20">
        <v>0.9</v>
      </c>
    </row>
    <row r="345" spans="1:113" ht="14.25">
      <c r="A345" s="124">
        <f t="shared" ca="1" si="68"/>
        <v>46722</v>
      </c>
      <c r="B345" s="20">
        <f>'Gas Curves'!C349</f>
        <v>7.3327140102239993E-2</v>
      </c>
      <c r="C345" s="20"/>
      <c r="D345" s="26"/>
      <c r="E345" s="26"/>
      <c r="F345" s="26"/>
      <c r="G345" s="26"/>
      <c r="H345" s="26"/>
      <c r="I345" s="26"/>
      <c r="J345" s="26"/>
      <c r="K345" s="26"/>
      <c r="L345" s="26"/>
      <c r="M345" s="28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8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/>
      <c r="CP345"/>
      <c r="CQ345"/>
      <c r="CR345"/>
      <c r="CS345"/>
      <c r="CT345"/>
      <c r="CU345" s="2"/>
      <c r="CV345" s="34"/>
      <c r="CW345" s="60"/>
      <c r="CX345" s="60"/>
      <c r="CY345" s="338">
        <f t="shared" si="70"/>
        <v>46478</v>
      </c>
      <c r="CZ345" s="337">
        <f t="shared" si="59"/>
        <v>1</v>
      </c>
      <c r="DA345" s="337">
        <f t="shared" si="60"/>
        <v>1.25</v>
      </c>
      <c r="DB345" s="337">
        <f t="shared" si="61"/>
        <v>1.55</v>
      </c>
      <c r="DD345" s="129">
        <f t="shared" si="62"/>
        <v>4.976677289946254E-2</v>
      </c>
      <c r="DE345" s="129">
        <f t="shared" si="63"/>
        <v>9.953354579892508E-2</v>
      </c>
      <c r="DF345" s="129">
        <f t="shared" si="64"/>
        <v>0.14930031869838761</v>
      </c>
      <c r="DG345" s="60"/>
      <c r="DH345" s="338">
        <f t="shared" si="69"/>
        <v>46478</v>
      </c>
      <c r="DI345" s="20">
        <v>0.9</v>
      </c>
    </row>
    <row r="346" spans="1:113" ht="14.25">
      <c r="A346" s="124">
        <f t="shared" ca="1" si="68"/>
        <v>46753</v>
      </c>
      <c r="B346" s="20">
        <f>'Gas Curves'!C350</f>
        <v>7.3317904808632997E-2</v>
      </c>
      <c r="C346" s="20"/>
      <c r="D346" s="26"/>
      <c r="E346" s="26"/>
      <c r="F346" s="26"/>
      <c r="G346" s="26"/>
      <c r="H346" s="26"/>
      <c r="I346" s="26"/>
      <c r="J346" s="26"/>
      <c r="K346" s="26"/>
      <c r="L346" s="26"/>
      <c r="M346" s="28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8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/>
      <c r="CP346"/>
      <c r="CQ346"/>
      <c r="CR346"/>
      <c r="CS346"/>
      <c r="CT346"/>
      <c r="CU346" s="2"/>
      <c r="CV346" s="34"/>
      <c r="CW346" s="60"/>
      <c r="CX346" s="60"/>
      <c r="CY346" s="338">
        <f t="shared" si="70"/>
        <v>46508</v>
      </c>
      <c r="CZ346" s="337">
        <f t="shared" si="59"/>
        <v>1</v>
      </c>
      <c r="DA346" s="337">
        <f t="shared" si="60"/>
        <v>1.25</v>
      </c>
      <c r="DB346" s="337">
        <f t="shared" si="61"/>
        <v>1.55</v>
      </c>
      <c r="DD346" s="129">
        <f t="shared" si="62"/>
        <v>5.7292938933407749E-2</v>
      </c>
      <c r="DE346" s="129">
        <f t="shared" si="63"/>
        <v>0.1145858778668155</v>
      </c>
      <c r="DF346" s="129">
        <f t="shared" si="64"/>
        <v>0.17187881680022324</v>
      </c>
      <c r="DG346" s="60"/>
      <c r="DH346" s="338">
        <f t="shared" si="69"/>
        <v>46508</v>
      </c>
      <c r="DI346" s="20">
        <v>0.9</v>
      </c>
    </row>
    <row r="347" spans="1:113" ht="14.25">
      <c r="A347" s="124">
        <f t="shared" ca="1" si="68"/>
        <v>46784</v>
      </c>
      <c r="B347" s="20">
        <f>'Gas Curves'!C351</f>
        <v>7.3308669515053007E-2</v>
      </c>
      <c r="C347" s="20"/>
      <c r="D347" s="26"/>
      <c r="E347" s="26"/>
      <c r="F347" s="26"/>
      <c r="G347" s="26"/>
      <c r="H347" s="26"/>
      <c r="I347" s="26"/>
      <c r="J347" s="26"/>
      <c r="K347" s="26"/>
      <c r="L347" s="26"/>
      <c r="M347" s="28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8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/>
      <c r="CP347"/>
      <c r="CQ347"/>
      <c r="CR347"/>
      <c r="CS347"/>
      <c r="CT347"/>
      <c r="CU347" s="2"/>
      <c r="CV347" s="34"/>
      <c r="CW347" s="60"/>
      <c r="CX347" s="60"/>
      <c r="CY347" s="338">
        <f t="shared" si="70"/>
        <v>46539</v>
      </c>
      <c r="CZ347" s="337">
        <f t="shared" si="59"/>
        <v>1</v>
      </c>
      <c r="DA347" s="337">
        <f t="shared" si="60"/>
        <v>1.25</v>
      </c>
      <c r="DB347" s="337">
        <f t="shared" si="61"/>
        <v>1.55</v>
      </c>
      <c r="DD347" s="129">
        <f t="shared" si="62"/>
        <v>7.1827847086464378E-2</v>
      </c>
      <c r="DE347" s="129">
        <f t="shared" si="63"/>
        <v>0.14365569417292876</v>
      </c>
      <c r="DF347" s="129">
        <f t="shared" si="64"/>
        <v>0.21548354125939312</v>
      </c>
      <c r="DG347" s="60"/>
      <c r="DH347" s="338">
        <f t="shared" si="69"/>
        <v>46539</v>
      </c>
      <c r="DI347" s="20">
        <v>0.9</v>
      </c>
    </row>
    <row r="348" spans="1:113" ht="14.25">
      <c r="A348" s="124">
        <f t="shared" ca="1" si="68"/>
        <v>46813</v>
      </c>
      <c r="B348" s="20">
        <f>'Gas Curves'!C352</f>
        <v>7.3300030046891007E-2</v>
      </c>
      <c r="C348" s="20"/>
      <c r="D348" s="26"/>
      <c r="E348" s="26"/>
      <c r="F348" s="26"/>
      <c r="G348" s="26"/>
      <c r="H348" s="26"/>
      <c r="I348" s="26"/>
      <c r="J348" s="26"/>
      <c r="K348" s="26"/>
      <c r="L348" s="26"/>
      <c r="M348" s="28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8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/>
      <c r="CP348"/>
      <c r="CQ348"/>
      <c r="CR348"/>
      <c r="CS348"/>
      <c r="CT348"/>
      <c r="CU348" s="2"/>
      <c r="CV348" s="34"/>
      <c r="CW348" s="60"/>
      <c r="CX348" s="60"/>
      <c r="CY348" s="338">
        <f t="shared" si="70"/>
        <v>46569</v>
      </c>
      <c r="CZ348" s="337">
        <f t="shared" si="59"/>
        <v>1</v>
      </c>
      <c r="DA348" s="337">
        <f t="shared" si="60"/>
        <v>1.25</v>
      </c>
      <c r="DB348" s="337">
        <f t="shared" si="61"/>
        <v>1.55</v>
      </c>
      <c r="DD348" s="129">
        <f t="shared" si="62"/>
        <v>8.4998637645868472E-2</v>
      </c>
      <c r="DE348" s="129">
        <f t="shared" si="63"/>
        <v>0.16999727529173694</v>
      </c>
      <c r="DF348" s="129">
        <f t="shared" si="64"/>
        <v>0.25499591293760543</v>
      </c>
      <c r="DG348" s="60"/>
      <c r="DH348" s="338">
        <f t="shared" si="69"/>
        <v>46569</v>
      </c>
      <c r="DI348" s="20">
        <v>0.9</v>
      </c>
    </row>
    <row r="349" spans="1:113" ht="14.25">
      <c r="A349" s="124">
        <f t="shared" ca="1" si="68"/>
        <v>46844</v>
      </c>
      <c r="B349" s="20">
        <f>'Gas Curves'!C353</f>
        <v>7.3290794753366001E-2</v>
      </c>
      <c r="C349" s="20"/>
      <c r="D349" s="26"/>
      <c r="E349" s="26"/>
      <c r="F349" s="26"/>
      <c r="G349" s="26"/>
      <c r="H349" s="26"/>
      <c r="I349" s="26"/>
      <c r="J349" s="26"/>
      <c r="K349" s="26"/>
      <c r="L349" s="26"/>
      <c r="M349" s="28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8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/>
      <c r="CP349"/>
      <c r="CQ349"/>
      <c r="CR349"/>
      <c r="CS349"/>
      <c r="CT349"/>
      <c r="CU349" s="2"/>
      <c r="CV349" s="34"/>
      <c r="CW349" s="60"/>
      <c r="CX349" s="60"/>
      <c r="CY349" s="338">
        <f t="shared" si="70"/>
        <v>46600</v>
      </c>
      <c r="CZ349" s="337">
        <f t="shared" si="59"/>
        <v>1</v>
      </c>
      <c r="DA349" s="337">
        <f t="shared" si="60"/>
        <v>1.25</v>
      </c>
      <c r="DB349" s="337">
        <f t="shared" si="61"/>
        <v>1.55</v>
      </c>
      <c r="DD349" s="129">
        <f t="shared" si="62"/>
        <v>8.3634520052215916E-2</v>
      </c>
      <c r="DE349" s="129">
        <f t="shared" si="63"/>
        <v>0.16726904010443183</v>
      </c>
      <c r="DF349" s="129">
        <f t="shared" si="64"/>
        <v>0.25090356015664772</v>
      </c>
      <c r="DG349" s="60"/>
      <c r="DH349" s="338">
        <f t="shared" si="69"/>
        <v>46600</v>
      </c>
      <c r="DI349" s="20">
        <v>0.9</v>
      </c>
    </row>
    <row r="350" spans="1:113" ht="14.25">
      <c r="A350" s="124">
        <f t="shared" ca="1" si="68"/>
        <v>46874</v>
      </c>
      <c r="B350" s="20">
        <f>'Gas Curves'!C354</f>
        <v>7.3281857372562001E-2</v>
      </c>
      <c r="C350" s="20"/>
      <c r="D350" s="26"/>
      <c r="E350" s="26"/>
      <c r="F350" s="26"/>
      <c r="G350" s="26"/>
      <c r="H350" s="26"/>
      <c r="I350" s="26"/>
      <c r="J350" s="26"/>
      <c r="K350" s="26"/>
      <c r="L350" s="26"/>
      <c r="M350" s="28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8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/>
      <c r="CP350"/>
      <c r="CQ350"/>
      <c r="CR350"/>
      <c r="CS350"/>
      <c r="CT350"/>
      <c r="CU350" s="2"/>
      <c r="CV350" s="34"/>
      <c r="CW350" s="60"/>
      <c r="CX350" s="60"/>
      <c r="CY350" s="338">
        <f t="shared" si="70"/>
        <v>46631</v>
      </c>
      <c r="CZ350" s="337">
        <f t="shared" ref="CZ350:CZ402" si="71">IF(AI350=0,CZ338,AH350+AI350)</f>
        <v>1</v>
      </c>
      <c r="DA350" s="337">
        <f t="shared" ref="DA350:DA402" si="72">IF(AI350=0,DA338,AI350)</f>
        <v>1.25</v>
      </c>
      <c r="DB350" s="337">
        <f t="shared" ref="DB350:DB402" si="73">IF(AI350=0,DB338,AI350+AJ350)</f>
        <v>1.55</v>
      </c>
      <c r="DD350" s="129">
        <f t="shared" ref="DD350:DD402" si="74">IF(Z350=0,DD338,Z350)</f>
        <v>5.5411397424921446E-2</v>
      </c>
      <c r="DE350" s="129">
        <f t="shared" ref="DE350:DE402" si="75">IF(AA350=0,DE338,AA350)</f>
        <v>0.11082279484984289</v>
      </c>
      <c r="DF350" s="129">
        <f t="shared" ref="DF350:DF402" si="76">IF(AB350=0,DF338,AB350)</f>
        <v>0.16623419227476433</v>
      </c>
      <c r="DG350" s="60"/>
      <c r="DH350" s="338">
        <f t="shared" si="69"/>
        <v>46631</v>
      </c>
      <c r="DI350" s="20">
        <v>0.9</v>
      </c>
    </row>
    <row r="351" spans="1:113" ht="14.25">
      <c r="A351" s="124">
        <f t="shared" ca="1" si="68"/>
        <v>46905</v>
      </c>
      <c r="B351" s="20">
        <f>'Gas Curves'!C355</f>
        <v>7.3272622079092006E-2</v>
      </c>
      <c r="C351" s="20"/>
      <c r="D351" s="26"/>
      <c r="E351" s="26"/>
      <c r="F351" s="26"/>
      <c r="G351" s="26"/>
      <c r="H351" s="26"/>
      <c r="I351" s="26"/>
      <c r="J351" s="26"/>
      <c r="K351" s="26"/>
      <c r="L351" s="26"/>
      <c r="M351" s="28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8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/>
      <c r="CP351"/>
      <c r="CQ351"/>
      <c r="CR351"/>
      <c r="CS351"/>
      <c r="CT351"/>
      <c r="CU351" s="2"/>
      <c r="CV351" s="34"/>
      <c r="CW351" s="60"/>
      <c r="CX351" s="60"/>
      <c r="CY351" s="338">
        <f t="shared" si="70"/>
        <v>46661</v>
      </c>
      <c r="CZ351" s="337">
        <f t="shared" si="71"/>
        <v>0.85000000000000009</v>
      </c>
      <c r="DA351" s="337">
        <f t="shared" si="72"/>
        <v>1.1000000000000001</v>
      </c>
      <c r="DB351" s="337">
        <f t="shared" si="73"/>
        <v>1.4000000000000001</v>
      </c>
      <c r="DD351" s="129">
        <f t="shared" si="74"/>
        <v>5.3277333240296203E-2</v>
      </c>
      <c r="DE351" s="129">
        <f t="shared" si="75"/>
        <v>0.10655466648059241</v>
      </c>
      <c r="DF351" s="129">
        <f t="shared" si="76"/>
        <v>0.1598319997208886</v>
      </c>
      <c r="DG351" s="60"/>
      <c r="DH351" s="338">
        <f t="shared" si="69"/>
        <v>46661</v>
      </c>
      <c r="DI351" s="20">
        <v>0.9</v>
      </c>
    </row>
    <row r="352" spans="1:113" ht="14.25">
      <c r="A352" s="124">
        <f t="shared" ca="1" si="68"/>
        <v>46935</v>
      </c>
      <c r="B352" s="20">
        <f>'Gas Curves'!C356</f>
        <v>7.3263684698342005E-2</v>
      </c>
      <c r="C352" s="20"/>
      <c r="D352" s="26"/>
      <c r="E352" s="26"/>
      <c r="F352" s="26"/>
      <c r="G352" s="26"/>
      <c r="H352" s="26"/>
      <c r="I352" s="26"/>
      <c r="J352" s="26"/>
      <c r="K352" s="26"/>
      <c r="L352" s="26"/>
      <c r="M352" s="28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8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/>
      <c r="CP352"/>
      <c r="CQ352"/>
      <c r="CR352"/>
      <c r="CS352"/>
      <c r="CT352"/>
      <c r="CU352" s="2"/>
      <c r="CV352" s="34"/>
      <c r="CW352" s="60"/>
      <c r="CX352" s="60"/>
      <c r="CY352" s="338">
        <f t="shared" si="70"/>
        <v>46692</v>
      </c>
      <c r="CZ352" s="337">
        <f t="shared" si="71"/>
        <v>1</v>
      </c>
      <c r="DA352" s="337">
        <f t="shared" si="72"/>
        <v>1.25</v>
      </c>
      <c r="DB352" s="337">
        <f t="shared" si="73"/>
        <v>1.55</v>
      </c>
      <c r="DD352" s="129">
        <f t="shared" si="74"/>
        <v>5.3277333240296203E-2</v>
      </c>
      <c r="DE352" s="129">
        <f t="shared" si="75"/>
        <v>0.10655466648059241</v>
      </c>
      <c r="DF352" s="129">
        <f t="shared" si="76"/>
        <v>0.1598319997208886</v>
      </c>
      <c r="DG352" s="60"/>
      <c r="DH352" s="338">
        <f t="shared" si="69"/>
        <v>46692</v>
      </c>
      <c r="DI352" s="20">
        <v>0.9</v>
      </c>
    </row>
    <row r="353" spans="1:113" ht="14.25">
      <c r="A353" s="124">
        <f t="shared" ca="1" si="68"/>
        <v>46966</v>
      </c>
      <c r="B353" s="20">
        <f>'Gas Curves'!C357</f>
        <v>7.3254449404927008E-2</v>
      </c>
      <c r="C353" s="20"/>
      <c r="D353" s="26"/>
      <c r="E353" s="26"/>
      <c r="F353" s="26"/>
      <c r="G353" s="26"/>
      <c r="H353" s="26"/>
      <c r="I353" s="26"/>
      <c r="J353" s="26"/>
      <c r="K353" s="26"/>
      <c r="L353" s="26"/>
      <c r="M353" s="28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8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/>
      <c r="CP353"/>
      <c r="CQ353"/>
      <c r="CR353"/>
      <c r="CS353"/>
      <c r="CT353"/>
      <c r="CU353" s="2"/>
      <c r="CV353" s="34"/>
      <c r="CW353" s="60"/>
      <c r="CX353" s="60"/>
      <c r="CY353" s="338">
        <f t="shared" si="70"/>
        <v>46722</v>
      </c>
      <c r="CZ353" s="337">
        <f t="shared" si="71"/>
        <v>1</v>
      </c>
      <c r="DA353" s="337">
        <f t="shared" si="72"/>
        <v>1.25</v>
      </c>
      <c r="DB353" s="337">
        <f t="shared" si="73"/>
        <v>1.55</v>
      </c>
      <c r="DD353" s="129">
        <f t="shared" si="74"/>
        <v>5.5178680448871829E-2</v>
      </c>
      <c r="DE353" s="129">
        <f t="shared" si="75"/>
        <v>0.11035736089774366</v>
      </c>
      <c r="DF353" s="129">
        <f t="shared" si="76"/>
        <v>0.16553604134661548</v>
      </c>
      <c r="DG353" s="60"/>
      <c r="DH353" s="338">
        <f t="shared" si="69"/>
        <v>46722</v>
      </c>
      <c r="DI353" s="20">
        <v>0.9</v>
      </c>
    </row>
    <row r="354" spans="1:113" ht="14.25">
      <c r="A354" s="124">
        <f t="shared" ref="A354:A372" ca="1" si="77">EDATE(A353,1)</f>
        <v>46997</v>
      </c>
      <c r="B354" s="20">
        <f>'Gas Curves'!C358</f>
        <v>7.3245214111541002E-2</v>
      </c>
      <c r="C354" s="20"/>
      <c r="D354" s="26"/>
      <c r="E354" s="26"/>
      <c r="F354" s="26"/>
      <c r="G354" s="26"/>
      <c r="H354" s="26"/>
      <c r="I354" s="26"/>
      <c r="J354" s="26"/>
      <c r="K354" s="26"/>
      <c r="L354" s="26"/>
      <c r="M354" s="28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8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/>
      <c r="CP354"/>
      <c r="CQ354"/>
      <c r="CR354"/>
      <c r="CS354"/>
      <c r="CT354"/>
      <c r="CU354" s="2"/>
      <c r="CV354" s="34"/>
      <c r="CW354" s="60"/>
      <c r="CX354" s="60"/>
      <c r="CY354" s="338">
        <f t="shared" si="70"/>
        <v>46753</v>
      </c>
      <c r="CZ354" s="337">
        <f t="shared" si="71"/>
        <v>1.25</v>
      </c>
      <c r="DA354" s="337">
        <f t="shared" si="72"/>
        <v>2</v>
      </c>
      <c r="DB354" s="337">
        <f t="shared" si="73"/>
        <v>2.75</v>
      </c>
      <c r="DD354" s="129">
        <f t="shared" si="74"/>
        <v>5.937308760112317E-2</v>
      </c>
      <c r="DE354" s="129">
        <f t="shared" si="75"/>
        <v>0.11874617520224634</v>
      </c>
      <c r="DF354" s="129">
        <f t="shared" si="76"/>
        <v>0.17811926280336951</v>
      </c>
      <c r="DG354" s="60"/>
      <c r="DH354" s="338">
        <f t="shared" si="69"/>
        <v>46753</v>
      </c>
      <c r="DI354" s="20">
        <v>0.9</v>
      </c>
    </row>
    <row r="355" spans="1:113" ht="14.25">
      <c r="A355" s="124">
        <f t="shared" ca="1" si="77"/>
        <v>47027</v>
      </c>
      <c r="B355" s="20">
        <f>'Gas Curves'!C359</f>
        <v>7.3236276730872005E-2</v>
      </c>
      <c r="C355" s="20"/>
      <c r="D355" s="26"/>
      <c r="E355" s="26"/>
      <c r="F355" s="26"/>
      <c r="G355" s="26"/>
      <c r="H355" s="26"/>
      <c r="I355" s="26"/>
      <c r="J355" s="26"/>
      <c r="K355" s="26"/>
      <c r="L355" s="26"/>
      <c r="M355" s="28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8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/>
      <c r="CP355"/>
      <c r="CQ355"/>
      <c r="CR355"/>
      <c r="CS355"/>
      <c r="CT355"/>
      <c r="CU355" s="2"/>
      <c r="CV355" s="34"/>
      <c r="CW355" s="60"/>
      <c r="CX355" s="60"/>
      <c r="CY355" s="338">
        <f t="shared" si="70"/>
        <v>46784</v>
      </c>
      <c r="CZ355" s="337">
        <f t="shared" si="71"/>
        <v>1.25</v>
      </c>
      <c r="DA355" s="337">
        <f t="shared" si="72"/>
        <v>2</v>
      </c>
      <c r="DB355" s="337">
        <f t="shared" si="73"/>
        <v>2.75</v>
      </c>
      <c r="DD355" s="129">
        <f t="shared" si="74"/>
        <v>5.7282485925027264E-2</v>
      </c>
      <c r="DE355" s="129">
        <f t="shared" si="75"/>
        <v>0.11456497185005453</v>
      </c>
      <c r="DF355" s="129">
        <f t="shared" si="76"/>
        <v>0.17184745777508179</v>
      </c>
      <c r="DG355" s="60"/>
      <c r="DH355" s="338">
        <f t="shared" si="69"/>
        <v>46784</v>
      </c>
      <c r="DI355" s="20">
        <v>0.9</v>
      </c>
    </row>
    <row r="356" spans="1:113" ht="14.25">
      <c r="A356" s="124">
        <f t="shared" ca="1" si="77"/>
        <v>47058</v>
      </c>
      <c r="B356" s="20">
        <f>'Gas Curves'!C360</f>
        <v>7.3227041437540996E-2</v>
      </c>
      <c r="C356" s="20"/>
      <c r="D356" s="26"/>
      <c r="E356" s="26"/>
      <c r="F356" s="26"/>
      <c r="G356" s="26"/>
      <c r="H356" s="26"/>
      <c r="I356" s="26"/>
      <c r="J356" s="26"/>
      <c r="K356" s="26"/>
      <c r="L356" s="26"/>
      <c r="M356" s="28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8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/>
      <c r="CP356"/>
      <c r="CQ356"/>
      <c r="CR356"/>
      <c r="CS356"/>
      <c r="CT356"/>
      <c r="CU356" s="2"/>
      <c r="CV356" s="34"/>
      <c r="CW356" s="60"/>
      <c r="CX356" s="60"/>
      <c r="CY356" s="338">
        <f t="shared" si="70"/>
        <v>46813</v>
      </c>
      <c r="CZ356" s="337">
        <f t="shared" si="71"/>
        <v>1</v>
      </c>
      <c r="DA356" s="337">
        <f t="shared" si="72"/>
        <v>1.25</v>
      </c>
      <c r="DB356" s="337">
        <f t="shared" si="73"/>
        <v>1.55</v>
      </c>
      <c r="DD356" s="129">
        <f t="shared" si="74"/>
        <v>5.5834744264330861E-2</v>
      </c>
      <c r="DE356" s="129">
        <f t="shared" si="75"/>
        <v>0.11166948852866172</v>
      </c>
      <c r="DF356" s="129">
        <f t="shared" si="76"/>
        <v>0.16750423279299259</v>
      </c>
      <c r="DG356" s="60"/>
      <c r="DH356" s="338">
        <f t="shared" si="69"/>
        <v>46813</v>
      </c>
      <c r="DI356" s="20">
        <v>0.9</v>
      </c>
    </row>
    <row r="357" spans="1:113" ht="14.25">
      <c r="A357" s="124">
        <f t="shared" ca="1" si="77"/>
        <v>47088</v>
      </c>
      <c r="B357" s="20">
        <f>'Gas Curves'!C361</f>
        <v>7.3218104056924999E-2</v>
      </c>
      <c r="C357" s="20"/>
      <c r="D357" s="26"/>
      <c r="E357" s="26"/>
      <c r="F357" s="26"/>
      <c r="G357" s="26"/>
      <c r="H357" s="26"/>
      <c r="I357" s="26"/>
      <c r="J357" s="26"/>
      <c r="K357" s="26"/>
      <c r="L357" s="26"/>
      <c r="M357" s="28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8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/>
      <c r="CP357"/>
      <c r="CQ357"/>
      <c r="CR357"/>
      <c r="CS357"/>
      <c r="CT357"/>
      <c r="CU357" s="2"/>
      <c r="CV357" s="34"/>
      <c r="CW357" s="60"/>
      <c r="CX357" s="60"/>
      <c r="CY357" s="338">
        <f t="shared" si="70"/>
        <v>46844</v>
      </c>
      <c r="CZ357" s="337">
        <f t="shared" si="71"/>
        <v>1</v>
      </c>
      <c r="DA357" s="337">
        <f t="shared" si="72"/>
        <v>1.25</v>
      </c>
      <c r="DB357" s="337">
        <f t="shared" si="73"/>
        <v>1.55</v>
      </c>
      <c r="DD357" s="129">
        <f t="shared" si="74"/>
        <v>4.976677289946254E-2</v>
      </c>
      <c r="DE357" s="129">
        <f t="shared" si="75"/>
        <v>9.953354579892508E-2</v>
      </c>
      <c r="DF357" s="129">
        <f t="shared" si="76"/>
        <v>0.14930031869838761</v>
      </c>
      <c r="DG357" s="60"/>
      <c r="DH357" s="338">
        <f t="shared" si="69"/>
        <v>46844</v>
      </c>
      <c r="DI357" s="20">
        <v>0.9</v>
      </c>
    </row>
    <row r="358" spans="1:113" ht="14.25">
      <c r="A358" s="124">
        <f t="shared" ca="1" si="77"/>
        <v>47119</v>
      </c>
      <c r="B358" s="20">
        <f>'Gas Curves'!C362</f>
        <v>7.3208868763650001E-2</v>
      </c>
      <c r="C358" s="20"/>
      <c r="D358" s="26"/>
      <c r="E358" s="26"/>
      <c r="F358" s="26"/>
      <c r="G358" s="26"/>
      <c r="H358" s="26"/>
      <c r="I358" s="26"/>
      <c r="J358" s="26"/>
      <c r="K358" s="26"/>
      <c r="L358" s="26"/>
      <c r="M358" s="28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8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/>
      <c r="CP358"/>
      <c r="CQ358"/>
      <c r="CR358"/>
      <c r="CS358"/>
      <c r="CT358"/>
      <c r="CU358" s="2"/>
      <c r="CV358" s="34"/>
      <c r="CW358" s="60"/>
      <c r="CX358" s="60"/>
      <c r="CY358" s="338">
        <f t="shared" si="70"/>
        <v>46874</v>
      </c>
      <c r="CZ358" s="337">
        <f t="shared" si="71"/>
        <v>1</v>
      </c>
      <c r="DA358" s="337">
        <f t="shared" si="72"/>
        <v>1.25</v>
      </c>
      <c r="DB358" s="337">
        <f t="shared" si="73"/>
        <v>1.55</v>
      </c>
      <c r="DD358" s="129">
        <f t="shared" si="74"/>
        <v>5.7292938933407749E-2</v>
      </c>
      <c r="DE358" s="129">
        <f t="shared" si="75"/>
        <v>0.1145858778668155</v>
      </c>
      <c r="DF358" s="129">
        <f t="shared" si="76"/>
        <v>0.17187881680022324</v>
      </c>
      <c r="DG358" s="60"/>
      <c r="DH358" s="338">
        <f t="shared" si="69"/>
        <v>46874</v>
      </c>
      <c r="DI358" s="20">
        <v>0.9</v>
      </c>
    </row>
    <row r="359" spans="1:113" ht="14.25">
      <c r="A359" s="124">
        <f t="shared" ca="1" si="77"/>
        <v>47150</v>
      </c>
      <c r="B359" s="20">
        <f>'Gas Curves'!C363</f>
        <v>7.3199633470401995E-2</v>
      </c>
      <c r="C359" s="20"/>
      <c r="D359" s="26"/>
      <c r="E359" s="26"/>
      <c r="F359" s="26"/>
      <c r="G359" s="26"/>
      <c r="H359" s="26"/>
      <c r="I359" s="26"/>
      <c r="J359" s="26"/>
      <c r="K359" s="26"/>
      <c r="L359" s="26"/>
      <c r="M359" s="28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8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/>
      <c r="CP359"/>
      <c r="CQ359"/>
      <c r="CR359"/>
      <c r="CS359"/>
      <c r="CT359"/>
      <c r="CU359" s="2"/>
      <c r="CV359" s="34"/>
      <c r="CW359" s="60"/>
      <c r="CX359" s="60"/>
      <c r="CY359" s="338">
        <f t="shared" si="70"/>
        <v>46905</v>
      </c>
      <c r="CZ359" s="337">
        <f t="shared" si="71"/>
        <v>1</v>
      </c>
      <c r="DA359" s="337">
        <f t="shared" si="72"/>
        <v>1.25</v>
      </c>
      <c r="DB359" s="337">
        <f t="shared" si="73"/>
        <v>1.55</v>
      </c>
      <c r="DD359" s="129">
        <f t="shared" si="74"/>
        <v>7.1827847086464378E-2</v>
      </c>
      <c r="DE359" s="129">
        <f t="shared" si="75"/>
        <v>0.14365569417292876</v>
      </c>
      <c r="DF359" s="129">
        <f t="shared" si="76"/>
        <v>0.21548354125939312</v>
      </c>
      <c r="DG359" s="60"/>
      <c r="DH359" s="338">
        <f t="shared" si="69"/>
        <v>46905</v>
      </c>
      <c r="DI359" s="20">
        <v>0.9</v>
      </c>
    </row>
    <row r="360" spans="1:113" ht="14.25">
      <c r="A360" s="124">
        <f t="shared" ca="1" si="77"/>
        <v>47178</v>
      </c>
      <c r="B360" s="20">
        <f>'Gas Curves'!C364</f>
        <v>7.3191291915236004E-2</v>
      </c>
      <c r="C360" s="20"/>
      <c r="D360" s="26"/>
      <c r="E360" s="26"/>
      <c r="F360" s="26"/>
      <c r="G360" s="26"/>
      <c r="H360" s="26"/>
      <c r="I360" s="26"/>
      <c r="J360" s="26"/>
      <c r="K360" s="26"/>
      <c r="L360" s="26"/>
      <c r="M360" s="28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8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/>
      <c r="CP360"/>
      <c r="CQ360"/>
      <c r="CR360"/>
      <c r="CS360"/>
      <c r="CT360"/>
      <c r="CU360" s="2"/>
      <c r="CV360" s="34"/>
      <c r="CW360" s="60"/>
      <c r="CX360" s="60"/>
      <c r="CY360" s="338">
        <f t="shared" si="70"/>
        <v>46935</v>
      </c>
      <c r="CZ360" s="337">
        <f t="shared" si="71"/>
        <v>1</v>
      </c>
      <c r="DA360" s="337">
        <f t="shared" si="72"/>
        <v>1.25</v>
      </c>
      <c r="DB360" s="337">
        <f t="shared" si="73"/>
        <v>1.55</v>
      </c>
      <c r="DD360" s="129">
        <f t="shared" si="74"/>
        <v>8.4998637645868472E-2</v>
      </c>
      <c r="DE360" s="129">
        <f t="shared" si="75"/>
        <v>0.16999727529173694</v>
      </c>
      <c r="DF360" s="129">
        <f t="shared" si="76"/>
        <v>0.25499591293760543</v>
      </c>
      <c r="DG360" s="60"/>
      <c r="DH360" s="338">
        <f t="shared" si="69"/>
        <v>46935</v>
      </c>
      <c r="DI360" s="20">
        <v>0.9</v>
      </c>
    </row>
    <row r="361" spans="1:113" ht="14.25">
      <c r="A361" s="124">
        <f t="shared" ca="1" si="77"/>
        <v>47209</v>
      </c>
      <c r="B361" s="20">
        <f>'Gas Curves'!C365</f>
        <v>7.3182056622041997E-2</v>
      </c>
      <c r="C361" s="20"/>
      <c r="D361" s="26"/>
      <c r="E361" s="26"/>
      <c r="F361" s="26"/>
      <c r="G361" s="26"/>
      <c r="H361" s="26"/>
      <c r="I361" s="26"/>
      <c r="J361" s="26"/>
      <c r="K361" s="26"/>
      <c r="L361" s="26"/>
      <c r="M361" s="28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8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/>
      <c r="CP361"/>
      <c r="CQ361"/>
      <c r="CR361"/>
      <c r="CS361"/>
      <c r="CT361"/>
      <c r="CU361" s="2"/>
      <c r="CV361" s="34"/>
      <c r="CW361" s="60"/>
      <c r="CX361" s="60"/>
      <c r="CY361" s="338">
        <f t="shared" si="70"/>
        <v>46966</v>
      </c>
      <c r="CZ361" s="337">
        <f t="shared" si="71"/>
        <v>1</v>
      </c>
      <c r="DA361" s="337">
        <f t="shared" si="72"/>
        <v>1.25</v>
      </c>
      <c r="DB361" s="337">
        <f t="shared" si="73"/>
        <v>1.55</v>
      </c>
      <c r="DD361" s="129">
        <f t="shared" si="74"/>
        <v>8.3634520052215916E-2</v>
      </c>
      <c r="DE361" s="129">
        <f t="shared" si="75"/>
        <v>0.16726904010443183</v>
      </c>
      <c r="DF361" s="129">
        <f t="shared" si="76"/>
        <v>0.25090356015664772</v>
      </c>
      <c r="DG361" s="60"/>
      <c r="DH361" s="338">
        <f t="shared" si="69"/>
        <v>46966</v>
      </c>
      <c r="DI361" s="20">
        <v>0.9</v>
      </c>
    </row>
    <row r="362" spans="1:113" ht="14.25">
      <c r="A362" s="124">
        <f t="shared" ca="1" si="77"/>
        <v>47239</v>
      </c>
      <c r="B362" s="20">
        <f>'Gas Curves'!C366</f>
        <v>7.3173119241559004E-2</v>
      </c>
      <c r="C362" s="20"/>
      <c r="D362" s="26"/>
      <c r="E362" s="26"/>
      <c r="F362" s="26"/>
      <c r="G362" s="26"/>
      <c r="H362" s="26"/>
      <c r="I362" s="26"/>
      <c r="J362" s="26"/>
      <c r="K362" s="26"/>
      <c r="L362" s="26"/>
      <c r="M362" s="28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8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/>
      <c r="CP362"/>
      <c r="CQ362"/>
      <c r="CR362"/>
      <c r="CS362"/>
      <c r="CT362"/>
      <c r="CU362" s="2"/>
      <c r="CV362" s="34"/>
      <c r="CW362" s="60"/>
      <c r="CX362" s="60"/>
      <c r="CY362" s="338">
        <f t="shared" si="70"/>
        <v>46997</v>
      </c>
      <c r="CZ362" s="337">
        <f t="shared" si="71"/>
        <v>1</v>
      </c>
      <c r="DA362" s="337">
        <f t="shared" si="72"/>
        <v>1.25</v>
      </c>
      <c r="DB362" s="337">
        <f t="shared" si="73"/>
        <v>1.55</v>
      </c>
      <c r="DD362" s="129">
        <f t="shared" si="74"/>
        <v>5.5411397424921446E-2</v>
      </c>
      <c r="DE362" s="129">
        <f t="shared" si="75"/>
        <v>0.11082279484984289</v>
      </c>
      <c r="DF362" s="129">
        <f t="shared" si="76"/>
        <v>0.16623419227476433</v>
      </c>
      <c r="DG362" s="60"/>
      <c r="DH362" s="338">
        <f t="shared" si="69"/>
        <v>46997</v>
      </c>
      <c r="DI362" s="20">
        <v>0.9</v>
      </c>
    </row>
    <row r="363" spans="1:113" ht="14.25">
      <c r="A363" s="124">
        <f t="shared" ca="1" si="77"/>
        <v>47270</v>
      </c>
      <c r="B363" s="20">
        <f>'Gas Curves'!C367</f>
        <v>7.3163883948421007E-2</v>
      </c>
      <c r="C363" s="20"/>
      <c r="D363" s="26"/>
      <c r="E363" s="26"/>
      <c r="F363" s="26"/>
      <c r="G363" s="26"/>
      <c r="H363" s="26"/>
      <c r="I363" s="26"/>
      <c r="J363" s="26"/>
      <c r="K363" s="26"/>
      <c r="L363" s="26"/>
      <c r="M363" s="28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8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/>
      <c r="CP363"/>
      <c r="CQ363"/>
      <c r="CR363"/>
      <c r="CS363"/>
      <c r="CT363"/>
      <c r="CU363" s="2"/>
      <c r="CV363" s="34"/>
      <c r="CW363" s="60"/>
      <c r="CX363" s="60"/>
      <c r="CY363" s="338">
        <f t="shared" si="70"/>
        <v>47027</v>
      </c>
      <c r="CZ363" s="337">
        <f t="shared" si="71"/>
        <v>0.85000000000000009</v>
      </c>
      <c r="DA363" s="337">
        <f t="shared" si="72"/>
        <v>1.1000000000000001</v>
      </c>
      <c r="DB363" s="337">
        <f t="shared" si="73"/>
        <v>1.4000000000000001</v>
      </c>
      <c r="DD363" s="129">
        <f t="shared" si="74"/>
        <v>5.3277333240296203E-2</v>
      </c>
      <c r="DE363" s="129">
        <f t="shared" si="75"/>
        <v>0.10655466648059241</v>
      </c>
      <c r="DF363" s="129">
        <f t="shared" si="76"/>
        <v>0.1598319997208886</v>
      </c>
      <c r="DG363" s="60"/>
      <c r="DH363" s="338">
        <f t="shared" si="69"/>
        <v>47027</v>
      </c>
      <c r="DI363" s="20">
        <v>0.9</v>
      </c>
    </row>
    <row r="364" spans="1:113" ht="14.25">
      <c r="A364" s="124">
        <f t="shared" ca="1" si="77"/>
        <v>47300</v>
      </c>
      <c r="B364" s="20">
        <f>'Gas Curves'!C368</f>
        <v>7.3154946568000007E-2</v>
      </c>
      <c r="C364" s="20"/>
      <c r="D364" s="26"/>
      <c r="E364" s="26"/>
      <c r="F364" s="26"/>
      <c r="G364" s="26"/>
      <c r="H364" s="26"/>
      <c r="I364" s="26"/>
      <c r="J364" s="26"/>
      <c r="K364" s="26"/>
      <c r="L364" s="26"/>
      <c r="M364" s="28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8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/>
      <c r="CP364"/>
      <c r="CQ364"/>
      <c r="CR364"/>
      <c r="CS364"/>
      <c r="CT364"/>
      <c r="CU364" s="2"/>
      <c r="CV364" s="34"/>
      <c r="CW364" s="60"/>
      <c r="CX364" s="60"/>
      <c r="CY364" s="338">
        <f t="shared" si="70"/>
        <v>47058</v>
      </c>
      <c r="CZ364" s="337">
        <f t="shared" si="71"/>
        <v>1</v>
      </c>
      <c r="DA364" s="337">
        <f t="shared" si="72"/>
        <v>1.25</v>
      </c>
      <c r="DB364" s="337">
        <f t="shared" si="73"/>
        <v>1.55</v>
      </c>
      <c r="DD364" s="129">
        <f t="shared" si="74"/>
        <v>5.3277333240296203E-2</v>
      </c>
      <c r="DE364" s="129">
        <f t="shared" si="75"/>
        <v>0.10655466648059241</v>
      </c>
      <c r="DF364" s="129">
        <f t="shared" si="76"/>
        <v>0.1598319997208886</v>
      </c>
      <c r="DG364" s="60"/>
      <c r="DH364" s="338">
        <f t="shared" si="69"/>
        <v>47058</v>
      </c>
      <c r="DI364" s="20">
        <v>0.9</v>
      </c>
    </row>
    <row r="365" spans="1:113" ht="14.25">
      <c r="A365" s="124">
        <f t="shared" ca="1" si="77"/>
        <v>47331</v>
      </c>
      <c r="B365" s="20">
        <f>'Gas Curves'!C369</f>
        <v>7.3145711274909E-2</v>
      </c>
      <c r="C365" s="20"/>
      <c r="D365" s="26"/>
      <c r="E365" s="26"/>
      <c r="F365" s="26"/>
      <c r="G365" s="26"/>
      <c r="H365" s="26"/>
      <c r="I365" s="26"/>
      <c r="J365" s="26"/>
      <c r="K365" s="26"/>
      <c r="L365" s="26"/>
      <c r="M365" s="28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8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/>
      <c r="CP365"/>
      <c r="CQ365"/>
      <c r="CR365"/>
      <c r="CS365"/>
      <c r="CT365"/>
      <c r="CU365" s="2"/>
      <c r="CV365" s="34"/>
      <c r="CW365" s="60"/>
      <c r="CX365" s="60"/>
      <c r="CY365" s="338">
        <f t="shared" si="70"/>
        <v>47088</v>
      </c>
      <c r="CZ365" s="337">
        <f t="shared" si="71"/>
        <v>1</v>
      </c>
      <c r="DA365" s="337">
        <f t="shared" si="72"/>
        <v>1.25</v>
      </c>
      <c r="DB365" s="337">
        <f t="shared" si="73"/>
        <v>1.55</v>
      </c>
      <c r="DD365" s="129">
        <f t="shared" si="74"/>
        <v>5.5178680448871829E-2</v>
      </c>
      <c r="DE365" s="129">
        <f t="shared" si="75"/>
        <v>0.11035736089774366</v>
      </c>
      <c r="DF365" s="129">
        <f t="shared" si="76"/>
        <v>0.16553604134661548</v>
      </c>
      <c r="DG365" s="60"/>
      <c r="DH365" s="338">
        <f t="shared" si="69"/>
        <v>47088</v>
      </c>
      <c r="DI365" s="20">
        <v>0.9</v>
      </c>
    </row>
    <row r="366" spans="1:113" ht="14.25">
      <c r="A366" s="124">
        <f t="shared" ca="1" si="77"/>
        <v>47362</v>
      </c>
      <c r="B366" s="20">
        <f>'Gas Curves'!C370</f>
        <v>7.3136475981854007E-2</v>
      </c>
      <c r="C366" s="20"/>
      <c r="D366" s="26"/>
      <c r="E366" s="26"/>
      <c r="F366" s="26"/>
      <c r="G366" s="26"/>
      <c r="H366" s="26"/>
      <c r="I366" s="26"/>
      <c r="J366" s="26"/>
      <c r="K366" s="26"/>
      <c r="L366" s="26"/>
      <c r="M366" s="28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8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/>
      <c r="CP366"/>
      <c r="CQ366"/>
      <c r="CR366"/>
      <c r="CS366"/>
      <c r="CT366"/>
      <c r="CU366" s="2"/>
      <c r="CV366" s="34"/>
      <c r="CW366" s="60"/>
      <c r="CX366" s="60"/>
      <c r="CY366" s="338">
        <f t="shared" si="70"/>
        <v>47119</v>
      </c>
      <c r="CZ366" s="337">
        <f t="shared" si="71"/>
        <v>1.25</v>
      </c>
      <c r="DA366" s="337">
        <f t="shared" si="72"/>
        <v>2</v>
      </c>
      <c r="DB366" s="337">
        <f t="shared" si="73"/>
        <v>2.75</v>
      </c>
      <c r="DD366" s="129">
        <f t="shared" si="74"/>
        <v>5.937308760112317E-2</v>
      </c>
      <c r="DE366" s="129">
        <f t="shared" si="75"/>
        <v>0.11874617520224634</v>
      </c>
      <c r="DF366" s="129">
        <f t="shared" si="76"/>
        <v>0.17811926280336951</v>
      </c>
      <c r="DG366" s="60"/>
      <c r="DH366" s="338">
        <f t="shared" si="69"/>
        <v>47119</v>
      </c>
      <c r="DI366" s="20">
        <v>0.9</v>
      </c>
    </row>
    <row r="367" spans="1:113" ht="14.25">
      <c r="A367" s="124">
        <f t="shared" ca="1" si="77"/>
        <v>47392</v>
      </c>
      <c r="B367" s="20">
        <f>'Gas Curves'!C371</f>
        <v>7.3127538601505004E-2</v>
      </c>
      <c r="C367" s="20"/>
      <c r="D367" s="26"/>
      <c r="E367" s="26"/>
      <c r="F367" s="26"/>
      <c r="G367" s="26"/>
      <c r="H367" s="26"/>
      <c r="I367" s="26"/>
      <c r="J367" s="26"/>
      <c r="K367" s="26"/>
      <c r="L367" s="26"/>
      <c r="M367" s="28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8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/>
      <c r="CP367"/>
      <c r="CQ367"/>
      <c r="CR367"/>
      <c r="CS367"/>
      <c r="CT367"/>
      <c r="CU367" s="2"/>
      <c r="CV367" s="34"/>
      <c r="CW367" s="60"/>
      <c r="CX367" s="60"/>
      <c r="CY367" s="338">
        <f t="shared" si="70"/>
        <v>47150</v>
      </c>
      <c r="CZ367" s="337">
        <f t="shared" si="71"/>
        <v>1.25</v>
      </c>
      <c r="DA367" s="337">
        <f t="shared" si="72"/>
        <v>2</v>
      </c>
      <c r="DB367" s="337">
        <f t="shared" si="73"/>
        <v>2.75</v>
      </c>
      <c r="DD367" s="129">
        <f t="shared" si="74"/>
        <v>5.7282485925027264E-2</v>
      </c>
      <c r="DE367" s="129">
        <f t="shared" si="75"/>
        <v>0.11456497185005453</v>
      </c>
      <c r="DF367" s="129">
        <f t="shared" si="76"/>
        <v>0.17184745777508179</v>
      </c>
      <c r="DG367" s="60"/>
      <c r="DH367" s="338">
        <f t="shared" si="69"/>
        <v>47150</v>
      </c>
      <c r="DI367" s="20">
        <v>0.9</v>
      </c>
    </row>
    <row r="368" spans="1:113" ht="14.25">
      <c r="A368" s="124">
        <f t="shared" ca="1" si="77"/>
        <v>47423</v>
      </c>
      <c r="B368" s="20">
        <f>'Gas Curves'!C372</f>
        <v>7.3118303308506008E-2</v>
      </c>
      <c r="C368" s="20"/>
      <c r="D368" s="26"/>
      <c r="E368" s="26"/>
      <c r="F368" s="26"/>
      <c r="G368" s="26"/>
      <c r="H368" s="26"/>
      <c r="I368" s="26"/>
      <c r="J368" s="26"/>
      <c r="K368" s="26"/>
      <c r="L368" s="26"/>
      <c r="M368" s="28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8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/>
      <c r="CP368"/>
      <c r="CQ368"/>
      <c r="CR368"/>
      <c r="CS368"/>
      <c r="CT368"/>
      <c r="CU368" s="2"/>
      <c r="CV368" s="34"/>
      <c r="CW368" s="60"/>
      <c r="CX368" s="60"/>
      <c r="CY368" s="338">
        <f t="shared" si="70"/>
        <v>47178</v>
      </c>
      <c r="CZ368" s="337">
        <f t="shared" si="71"/>
        <v>1</v>
      </c>
      <c r="DA368" s="337">
        <f t="shared" si="72"/>
        <v>1.25</v>
      </c>
      <c r="DB368" s="337">
        <f t="shared" si="73"/>
        <v>1.55</v>
      </c>
      <c r="DD368" s="129">
        <f t="shared" si="74"/>
        <v>5.5834744264330861E-2</v>
      </c>
      <c r="DE368" s="129">
        <f t="shared" si="75"/>
        <v>0.11166948852866172</v>
      </c>
      <c r="DF368" s="129">
        <f t="shared" si="76"/>
        <v>0.16750423279299259</v>
      </c>
      <c r="DG368" s="60"/>
      <c r="DH368" s="338">
        <f t="shared" si="69"/>
        <v>47178</v>
      </c>
      <c r="DI368" s="20">
        <v>0.9</v>
      </c>
    </row>
    <row r="369" spans="1:113" ht="14.25">
      <c r="A369" s="124">
        <f t="shared" ca="1" si="77"/>
        <v>47453</v>
      </c>
      <c r="B369" s="20">
        <f>'Gas Curves'!C373</f>
        <v>7.3109365928209991E-2</v>
      </c>
      <c r="C369" s="20"/>
      <c r="D369" s="26"/>
      <c r="E369" s="26"/>
      <c r="F369" s="26"/>
      <c r="G369" s="26"/>
      <c r="H369" s="26"/>
      <c r="I369" s="26"/>
      <c r="J369" s="26"/>
      <c r="K369" s="26"/>
      <c r="L369" s="26"/>
      <c r="M369" s="28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8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/>
      <c r="CP369"/>
      <c r="CQ369"/>
      <c r="CR369"/>
      <c r="CS369"/>
      <c r="CT369"/>
      <c r="CU369" s="2"/>
      <c r="CV369" s="34"/>
      <c r="CW369" s="60"/>
      <c r="CX369" s="60"/>
      <c r="CY369" s="338">
        <f t="shared" si="70"/>
        <v>47209</v>
      </c>
      <c r="CZ369" s="337">
        <f t="shared" si="71"/>
        <v>1</v>
      </c>
      <c r="DA369" s="337">
        <f t="shared" si="72"/>
        <v>1.25</v>
      </c>
      <c r="DB369" s="337">
        <f t="shared" si="73"/>
        <v>1.55</v>
      </c>
      <c r="DD369" s="129">
        <f t="shared" si="74"/>
        <v>4.976677289946254E-2</v>
      </c>
      <c r="DE369" s="129">
        <f t="shared" si="75"/>
        <v>9.953354579892508E-2</v>
      </c>
      <c r="DF369" s="129">
        <f t="shared" si="76"/>
        <v>0.14930031869838761</v>
      </c>
      <c r="DG369" s="60"/>
      <c r="DH369" s="338">
        <f t="shared" si="69"/>
        <v>47209</v>
      </c>
      <c r="DI369" s="20">
        <v>0.9</v>
      </c>
    </row>
    <row r="370" spans="1:113" ht="14.25">
      <c r="A370" s="124">
        <f t="shared" ca="1" si="77"/>
        <v>47484</v>
      </c>
      <c r="B370" s="20">
        <f>'Gas Curves'!C374</f>
        <v>7.3100130635267005E-2</v>
      </c>
      <c r="C370" s="20"/>
      <c r="D370" s="26"/>
      <c r="E370" s="26"/>
      <c r="F370" s="26"/>
      <c r="G370" s="26"/>
      <c r="H370" s="26"/>
      <c r="I370" s="26"/>
      <c r="J370" s="26"/>
      <c r="K370" s="26"/>
      <c r="L370" s="26"/>
      <c r="M370" s="28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8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/>
      <c r="CP370"/>
      <c r="CQ370"/>
      <c r="CR370"/>
      <c r="CS370"/>
      <c r="CT370"/>
      <c r="CU370" s="2"/>
      <c r="CV370" s="34"/>
      <c r="CW370" s="60"/>
      <c r="CX370" s="60"/>
      <c r="CY370" s="338">
        <f t="shared" si="70"/>
        <v>47239</v>
      </c>
      <c r="CZ370" s="337">
        <f t="shared" si="71"/>
        <v>1</v>
      </c>
      <c r="DA370" s="337">
        <f t="shared" si="72"/>
        <v>1.25</v>
      </c>
      <c r="DB370" s="337">
        <f t="shared" si="73"/>
        <v>1.55</v>
      </c>
      <c r="DD370" s="129">
        <f t="shared" si="74"/>
        <v>5.7292938933407749E-2</v>
      </c>
      <c r="DE370" s="129">
        <f t="shared" si="75"/>
        <v>0.1145858778668155</v>
      </c>
      <c r="DF370" s="129">
        <f t="shared" si="76"/>
        <v>0.17187881680022324</v>
      </c>
      <c r="DG370" s="60"/>
      <c r="DH370" s="338">
        <f t="shared" si="69"/>
        <v>47239</v>
      </c>
      <c r="DI370" s="20">
        <v>0.9</v>
      </c>
    </row>
    <row r="371" spans="1:113" ht="14.25">
      <c r="A371" s="124">
        <f t="shared" ca="1" si="77"/>
        <v>47515</v>
      </c>
      <c r="B371" s="20">
        <f>'Gas Curves'!C375</f>
        <v>7.3090895342350998E-2</v>
      </c>
      <c r="C371" s="20"/>
      <c r="D371" s="26"/>
      <c r="E371" s="26"/>
      <c r="F371" s="26"/>
      <c r="G371" s="26"/>
      <c r="H371" s="26"/>
      <c r="I371" s="26"/>
      <c r="J371" s="26"/>
      <c r="K371" s="26"/>
      <c r="L371" s="26"/>
      <c r="M371" s="28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8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/>
      <c r="CP371"/>
      <c r="CQ371"/>
      <c r="CR371"/>
      <c r="CS371"/>
      <c r="CT371"/>
      <c r="CU371" s="2"/>
      <c r="CV371" s="34"/>
      <c r="CW371" s="60"/>
      <c r="CX371" s="60"/>
      <c r="CY371" s="338">
        <f t="shared" si="70"/>
        <v>47270</v>
      </c>
      <c r="CZ371" s="337">
        <f t="shared" si="71"/>
        <v>1</v>
      </c>
      <c r="DA371" s="337">
        <f t="shared" si="72"/>
        <v>1.25</v>
      </c>
      <c r="DB371" s="337">
        <f t="shared" si="73"/>
        <v>1.55</v>
      </c>
      <c r="DD371" s="129">
        <f t="shared" si="74"/>
        <v>7.1827847086464378E-2</v>
      </c>
      <c r="DE371" s="129">
        <f t="shared" si="75"/>
        <v>0.14365569417292876</v>
      </c>
      <c r="DF371" s="129">
        <f t="shared" si="76"/>
        <v>0.21548354125939312</v>
      </c>
      <c r="DG371" s="60"/>
      <c r="DH371" s="338">
        <f t="shared" ref="DH371:DH402" si="78">IF(BH371=0,EOMONTH(DH370,0)+1,BH371)</f>
        <v>47270</v>
      </c>
      <c r="DI371" s="20">
        <v>0.9</v>
      </c>
    </row>
    <row r="372" spans="1:113" ht="14.25">
      <c r="A372" s="124">
        <f t="shared" ca="1" si="77"/>
        <v>47543</v>
      </c>
      <c r="B372" s="20">
        <f>'Gas Curves'!C376</f>
        <v>7.3082553787484003E-2</v>
      </c>
      <c r="C372" s="20"/>
      <c r="D372" s="26"/>
      <c r="E372" s="26"/>
      <c r="F372" s="26"/>
      <c r="G372" s="26"/>
      <c r="H372" s="26"/>
      <c r="I372" s="26"/>
      <c r="J372" s="26"/>
      <c r="K372" s="26"/>
      <c r="L372" s="26"/>
      <c r="M372" s="28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8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/>
      <c r="CP372"/>
      <c r="CQ372"/>
      <c r="CR372"/>
      <c r="CS372"/>
      <c r="CT372"/>
      <c r="CU372" s="2"/>
      <c r="CV372" s="34"/>
      <c r="CW372" s="60"/>
      <c r="CX372" s="60"/>
      <c r="CY372" s="338">
        <f t="shared" ref="CY372:CY402" si="79">EOMONTH(CY371,0)+1</f>
        <v>47300</v>
      </c>
      <c r="CZ372" s="337">
        <f t="shared" si="71"/>
        <v>1</v>
      </c>
      <c r="DA372" s="337">
        <f t="shared" si="72"/>
        <v>1.25</v>
      </c>
      <c r="DB372" s="337">
        <f t="shared" si="73"/>
        <v>1.55</v>
      </c>
      <c r="DD372" s="129">
        <f t="shared" si="74"/>
        <v>8.4998637645868472E-2</v>
      </c>
      <c r="DE372" s="129">
        <f t="shared" si="75"/>
        <v>0.16999727529173694</v>
      </c>
      <c r="DF372" s="129">
        <f t="shared" si="76"/>
        <v>0.25499591293760543</v>
      </c>
      <c r="DG372" s="60"/>
      <c r="DH372" s="338">
        <f t="shared" si="78"/>
        <v>47300</v>
      </c>
      <c r="DI372" s="20">
        <v>0.9</v>
      </c>
    </row>
    <row r="373" spans="1:113">
      <c r="B373" s="20"/>
      <c r="C373" s="16"/>
      <c r="D373" s="26"/>
      <c r="E373" s="26"/>
      <c r="F373" s="26"/>
      <c r="G373" s="26"/>
      <c r="H373" s="26"/>
      <c r="I373" s="26"/>
      <c r="J373" s="26"/>
      <c r="K373" s="26"/>
      <c r="L373" s="26"/>
      <c r="M373" s="28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8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/>
      <c r="CP373"/>
      <c r="CQ373"/>
      <c r="CR373"/>
      <c r="CS373"/>
      <c r="CT373"/>
      <c r="CU373" s="2"/>
      <c r="CV373" s="34"/>
      <c r="CW373" s="60"/>
      <c r="CX373" s="60"/>
      <c r="CY373" s="338">
        <f t="shared" si="79"/>
        <v>47331</v>
      </c>
      <c r="CZ373" s="337">
        <f t="shared" si="71"/>
        <v>1</v>
      </c>
      <c r="DA373" s="337">
        <f t="shared" si="72"/>
        <v>1.25</v>
      </c>
      <c r="DB373" s="337">
        <f t="shared" si="73"/>
        <v>1.55</v>
      </c>
      <c r="DD373" s="129">
        <f t="shared" si="74"/>
        <v>8.3634520052215916E-2</v>
      </c>
      <c r="DE373" s="129">
        <f t="shared" si="75"/>
        <v>0.16726904010443183</v>
      </c>
      <c r="DF373" s="129">
        <f t="shared" si="76"/>
        <v>0.25090356015664772</v>
      </c>
      <c r="DG373" s="60"/>
      <c r="DH373" s="338">
        <f t="shared" si="78"/>
        <v>47331</v>
      </c>
      <c r="DI373" s="20">
        <v>0.9</v>
      </c>
    </row>
    <row r="374" spans="1:113">
      <c r="B374" s="20"/>
      <c r="C374" s="16"/>
      <c r="D374" s="26"/>
      <c r="E374" s="26"/>
      <c r="F374" s="26"/>
      <c r="G374" s="26"/>
      <c r="H374" s="26"/>
      <c r="I374" s="26"/>
      <c r="J374" s="26"/>
      <c r="K374" s="26"/>
      <c r="L374" s="26"/>
      <c r="M374" s="28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8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/>
      <c r="CP374"/>
      <c r="CQ374"/>
      <c r="CR374"/>
      <c r="CS374"/>
      <c r="CT374"/>
      <c r="CU374" s="2"/>
      <c r="CV374" s="34"/>
      <c r="CW374" s="60"/>
      <c r="CX374" s="60"/>
      <c r="CY374" s="338">
        <f t="shared" si="79"/>
        <v>47362</v>
      </c>
      <c r="CZ374" s="337">
        <f t="shared" si="71"/>
        <v>1</v>
      </c>
      <c r="DA374" s="337">
        <f t="shared" si="72"/>
        <v>1.25</v>
      </c>
      <c r="DB374" s="337">
        <f t="shared" si="73"/>
        <v>1.55</v>
      </c>
      <c r="DD374" s="129">
        <f t="shared" si="74"/>
        <v>5.5411397424921446E-2</v>
      </c>
      <c r="DE374" s="129">
        <f t="shared" si="75"/>
        <v>0.11082279484984289</v>
      </c>
      <c r="DF374" s="129">
        <f t="shared" si="76"/>
        <v>0.16623419227476433</v>
      </c>
      <c r="DG374" s="60"/>
      <c r="DH374" s="338">
        <f t="shared" si="78"/>
        <v>47362</v>
      </c>
      <c r="DI374" s="20">
        <v>0.9</v>
      </c>
    </row>
    <row r="375" spans="1:113">
      <c r="B375" s="20"/>
      <c r="C375" s="16"/>
      <c r="D375" s="26"/>
      <c r="E375" s="26"/>
      <c r="F375" s="26"/>
      <c r="G375" s="26"/>
      <c r="H375" s="26"/>
      <c r="I375" s="26"/>
      <c r="J375" s="26"/>
      <c r="K375" s="26"/>
      <c r="L375" s="26"/>
      <c r="M375" s="28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8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/>
      <c r="CP375"/>
      <c r="CQ375"/>
      <c r="CR375"/>
      <c r="CS375"/>
      <c r="CT375"/>
      <c r="CU375" s="2"/>
      <c r="CV375" s="34"/>
      <c r="CW375" s="60"/>
      <c r="CX375" s="60"/>
      <c r="CY375" s="338">
        <f t="shared" si="79"/>
        <v>47392</v>
      </c>
      <c r="CZ375" s="337">
        <f t="shared" si="71"/>
        <v>0.85000000000000009</v>
      </c>
      <c r="DA375" s="337">
        <f t="shared" si="72"/>
        <v>1.1000000000000001</v>
      </c>
      <c r="DB375" s="337">
        <f t="shared" si="73"/>
        <v>1.4000000000000001</v>
      </c>
      <c r="DD375" s="129">
        <f t="shared" si="74"/>
        <v>5.3277333240296203E-2</v>
      </c>
      <c r="DE375" s="129">
        <f t="shared" si="75"/>
        <v>0.10655466648059241</v>
      </c>
      <c r="DF375" s="129">
        <f t="shared" si="76"/>
        <v>0.1598319997208886</v>
      </c>
      <c r="DG375" s="60"/>
      <c r="DH375" s="338">
        <f t="shared" si="78"/>
        <v>47392</v>
      </c>
      <c r="DI375" s="20">
        <v>0.9</v>
      </c>
    </row>
    <row r="376" spans="1:113">
      <c r="B376" s="20"/>
      <c r="C376" s="16"/>
      <c r="D376" s="26"/>
      <c r="E376" s="26"/>
      <c r="F376" s="26"/>
      <c r="G376" s="26"/>
      <c r="H376" s="26"/>
      <c r="I376" s="26"/>
      <c r="J376" s="26"/>
      <c r="K376" s="26"/>
      <c r="L376" s="26"/>
      <c r="M376" s="28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8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/>
      <c r="CP376"/>
      <c r="CQ376"/>
      <c r="CR376"/>
      <c r="CS376"/>
      <c r="CT376"/>
      <c r="CU376" s="2"/>
      <c r="CV376" s="34"/>
      <c r="CW376" s="60"/>
      <c r="CX376" s="60"/>
      <c r="CY376" s="338">
        <f t="shared" si="79"/>
        <v>47423</v>
      </c>
      <c r="CZ376" s="337">
        <f t="shared" si="71"/>
        <v>1</v>
      </c>
      <c r="DA376" s="337">
        <f t="shared" si="72"/>
        <v>1.25</v>
      </c>
      <c r="DB376" s="337">
        <f t="shared" si="73"/>
        <v>1.55</v>
      </c>
      <c r="DD376" s="129">
        <f t="shared" si="74"/>
        <v>5.3277333240296203E-2</v>
      </c>
      <c r="DE376" s="129">
        <f t="shared" si="75"/>
        <v>0.10655466648059241</v>
      </c>
      <c r="DF376" s="129">
        <f t="shared" si="76"/>
        <v>0.1598319997208886</v>
      </c>
      <c r="DG376" s="60"/>
      <c r="DH376" s="338">
        <f t="shared" si="78"/>
        <v>47423</v>
      </c>
      <c r="DI376" s="20">
        <v>0.9</v>
      </c>
    </row>
    <row r="377" spans="1:113">
      <c r="B377" s="20"/>
      <c r="C377" s="16"/>
      <c r="D377" s="26"/>
      <c r="E377" s="26"/>
      <c r="F377" s="26"/>
      <c r="G377" s="26"/>
      <c r="H377" s="26"/>
      <c r="I377" s="26"/>
      <c r="J377" s="26"/>
      <c r="K377" s="26"/>
      <c r="L377" s="26"/>
      <c r="M377" s="28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8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/>
      <c r="CP377"/>
      <c r="CQ377"/>
      <c r="CR377"/>
      <c r="CS377"/>
      <c r="CT377"/>
      <c r="CU377" s="2"/>
      <c r="CV377" s="34"/>
      <c r="CW377" s="60"/>
      <c r="CX377" s="60"/>
      <c r="CY377" s="338">
        <f t="shared" si="79"/>
        <v>47453</v>
      </c>
      <c r="CZ377" s="337">
        <f t="shared" si="71"/>
        <v>1</v>
      </c>
      <c r="DA377" s="337">
        <f t="shared" si="72"/>
        <v>1.25</v>
      </c>
      <c r="DB377" s="337">
        <f t="shared" si="73"/>
        <v>1.55</v>
      </c>
      <c r="DD377" s="129">
        <f t="shared" si="74"/>
        <v>5.5178680448871829E-2</v>
      </c>
      <c r="DE377" s="129">
        <f t="shared" si="75"/>
        <v>0.11035736089774366</v>
      </c>
      <c r="DF377" s="129">
        <f t="shared" si="76"/>
        <v>0.16553604134661548</v>
      </c>
      <c r="DG377" s="60"/>
      <c r="DH377" s="338">
        <f t="shared" si="78"/>
        <v>47453</v>
      </c>
      <c r="DI377" s="20">
        <v>0.9</v>
      </c>
    </row>
    <row r="378" spans="1:113">
      <c r="B378" s="20"/>
      <c r="C378" s="16"/>
      <c r="D378" s="26"/>
      <c r="E378" s="26"/>
      <c r="F378" s="26"/>
      <c r="G378" s="26"/>
      <c r="H378" s="26"/>
      <c r="I378" s="26"/>
      <c r="J378" s="26"/>
      <c r="K378" s="26"/>
      <c r="L378" s="26"/>
      <c r="M378" s="28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8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/>
      <c r="CP378"/>
      <c r="CQ378"/>
      <c r="CR378"/>
      <c r="CS378"/>
      <c r="CT378"/>
      <c r="CU378" s="2"/>
      <c r="CV378" s="34"/>
      <c r="CW378" s="60"/>
      <c r="CX378" s="60"/>
      <c r="CY378" s="338">
        <f t="shared" si="79"/>
        <v>47484</v>
      </c>
      <c r="CZ378" s="337">
        <f t="shared" si="71"/>
        <v>1.25</v>
      </c>
      <c r="DA378" s="337">
        <f t="shared" si="72"/>
        <v>2</v>
      </c>
      <c r="DB378" s="337">
        <f t="shared" si="73"/>
        <v>2.75</v>
      </c>
      <c r="DD378" s="129">
        <f t="shared" si="74"/>
        <v>5.937308760112317E-2</v>
      </c>
      <c r="DE378" s="129">
        <f t="shared" si="75"/>
        <v>0.11874617520224634</v>
      </c>
      <c r="DF378" s="129">
        <f t="shared" si="76"/>
        <v>0.17811926280336951</v>
      </c>
      <c r="DG378" s="60"/>
      <c r="DH378" s="338">
        <f t="shared" si="78"/>
        <v>47484</v>
      </c>
      <c r="DI378" s="20">
        <v>0.9</v>
      </c>
    </row>
    <row r="379" spans="1:113">
      <c r="B379" s="20"/>
      <c r="C379" s="16"/>
      <c r="D379" s="26"/>
      <c r="E379" s="26"/>
      <c r="F379" s="26"/>
      <c r="G379" s="26"/>
      <c r="H379" s="26"/>
      <c r="I379" s="26"/>
      <c r="J379" s="26"/>
      <c r="K379" s="26"/>
      <c r="L379" s="26"/>
      <c r="M379" s="28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8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/>
      <c r="CP379"/>
      <c r="CQ379"/>
      <c r="CR379"/>
      <c r="CS379"/>
      <c r="CT379"/>
      <c r="CU379" s="2"/>
      <c r="CV379" s="34"/>
      <c r="CW379" s="60"/>
      <c r="CX379" s="60"/>
      <c r="CY379" s="338">
        <f t="shared" si="79"/>
        <v>47515</v>
      </c>
      <c r="CZ379" s="337">
        <f t="shared" si="71"/>
        <v>1.25</v>
      </c>
      <c r="DA379" s="337">
        <f t="shared" si="72"/>
        <v>2</v>
      </c>
      <c r="DB379" s="337">
        <f t="shared" si="73"/>
        <v>2.75</v>
      </c>
      <c r="DD379" s="129">
        <f t="shared" si="74"/>
        <v>5.7282485925027264E-2</v>
      </c>
      <c r="DE379" s="129">
        <f t="shared" si="75"/>
        <v>0.11456497185005453</v>
      </c>
      <c r="DF379" s="129">
        <f t="shared" si="76"/>
        <v>0.17184745777508179</v>
      </c>
      <c r="DG379" s="60"/>
      <c r="DH379" s="338">
        <f t="shared" si="78"/>
        <v>47515</v>
      </c>
      <c r="DI379" s="20">
        <v>0.9</v>
      </c>
    </row>
    <row r="380" spans="1:113">
      <c r="B380" s="20"/>
      <c r="C380" s="16"/>
      <c r="D380" s="26"/>
      <c r="E380" s="26"/>
      <c r="F380" s="26"/>
      <c r="G380" s="26"/>
      <c r="H380" s="26"/>
      <c r="I380" s="26"/>
      <c r="J380" s="26"/>
      <c r="K380" s="26"/>
      <c r="L380" s="26"/>
      <c r="M380" s="28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8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/>
      <c r="CP380"/>
      <c r="CQ380"/>
      <c r="CR380"/>
      <c r="CS380"/>
      <c r="CT380"/>
      <c r="CU380" s="2"/>
      <c r="CV380" s="34"/>
      <c r="CW380" s="60"/>
      <c r="CX380" s="60"/>
      <c r="CY380" s="338">
        <f t="shared" si="79"/>
        <v>47543</v>
      </c>
      <c r="CZ380" s="337">
        <f t="shared" si="71"/>
        <v>1</v>
      </c>
      <c r="DA380" s="337">
        <f t="shared" si="72"/>
        <v>1.25</v>
      </c>
      <c r="DB380" s="337">
        <f t="shared" si="73"/>
        <v>1.55</v>
      </c>
      <c r="DD380" s="129">
        <f t="shared" si="74"/>
        <v>5.5834744264330861E-2</v>
      </c>
      <c r="DE380" s="129">
        <f t="shared" si="75"/>
        <v>0.11166948852866172</v>
      </c>
      <c r="DF380" s="129">
        <f t="shared" si="76"/>
        <v>0.16750423279299259</v>
      </c>
      <c r="DG380" s="60"/>
      <c r="DH380" s="338">
        <f t="shared" si="78"/>
        <v>47543</v>
      </c>
      <c r="DI380" s="20">
        <v>0.9</v>
      </c>
    </row>
    <row r="381" spans="1:113">
      <c r="B381" s="20"/>
      <c r="C381" s="16"/>
      <c r="D381" s="26"/>
      <c r="E381" s="26"/>
      <c r="F381" s="26"/>
      <c r="G381" s="26"/>
      <c r="H381" s="26"/>
      <c r="I381" s="26"/>
      <c r="J381" s="26"/>
      <c r="K381" s="26"/>
      <c r="L381" s="26"/>
      <c r="M381" s="28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8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/>
      <c r="CP381"/>
      <c r="CQ381"/>
      <c r="CR381"/>
      <c r="CS381"/>
      <c r="CT381"/>
      <c r="CU381" s="2"/>
      <c r="CV381" s="34"/>
      <c r="CW381" s="60"/>
      <c r="CX381" s="60"/>
      <c r="CY381" s="338">
        <f t="shared" si="79"/>
        <v>47574</v>
      </c>
      <c r="CZ381" s="337">
        <f t="shared" si="71"/>
        <v>1</v>
      </c>
      <c r="DA381" s="337">
        <f t="shared" si="72"/>
        <v>1.25</v>
      </c>
      <c r="DB381" s="337">
        <f t="shared" si="73"/>
        <v>1.55</v>
      </c>
      <c r="DD381" s="129">
        <f t="shared" si="74"/>
        <v>4.976677289946254E-2</v>
      </c>
      <c r="DE381" s="129">
        <f t="shared" si="75"/>
        <v>9.953354579892508E-2</v>
      </c>
      <c r="DF381" s="129">
        <f t="shared" si="76"/>
        <v>0.14930031869838761</v>
      </c>
      <c r="DG381" s="60"/>
      <c r="DH381" s="338">
        <f t="shared" si="78"/>
        <v>47574</v>
      </c>
      <c r="DI381" s="20">
        <v>0.9</v>
      </c>
    </row>
    <row r="382" spans="1:113">
      <c r="B382" s="20"/>
      <c r="C382" s="16"/>
      <c r="D382" s="26"/>
      <c r="E382" s="26"/>
      <c r="F382" s="26"/>
      <c r="G382" s="26"/>
      <c r="H382" s="26"/>
      <c r="I382" s="26"/>
      <c r="J382" s="26"/>
      <c r="K382" s="26"/>
      <c r="L382" s="26"/>
      <c r="M382" s="28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8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/>
      <c r="CP382"/>
      <c r="CQ382"/>
      <c r="CR382"/>
      <c r="CS382"/>
      <c r="CT382"/>
      <c r="CU382" s="2"/>
      <c r="CV382" s="34"/>
      <c r="CW382" s="60"/>
      <c r="CX382" s="60"/>
      <c r="CY382" s="338">
        <f t="shared" si="79"/>
        <v>47604</v>
      </c>
      <c r="CZ382" s="337">
        <f t="shared" si="71"/>
        <v>1</v>
      </c>
      <c r="DA382" s="337">
        <f t="shared" si="72"/>
        <v>1.25</v>
      </c>
      <c r="DB382" s="337">
        <f t="shared" si="73"/>
        <v>1.55</v>
      </c>
      <c r="DD382" s="129">
        <f t="shared" si="74"/>
        <v>5.7292938933407749E-2</v>
      </c>
      <c r="DE382" s="129">
        <f t="shared" si="75"/>
        <v>0.1145858778668155</v>
      </c>
      <c r="DF382" s="129">
        <f t="shared" si="76"/>
        <v>0.17187881680022324</v>
      </c>
      <c r="DG382" s="60"/>
      <c r="DH382" s="338">
        <f t="shared" si="78"/>
        <v>47604</v>
      </c>
      <c r="DI382" s="20">
        <v>0.9</v>
      </c>
    </row>
    <row r="383" spans="1:113">
      <c r="B383" s="20"/>
      <c r="C383" s="16"/>
      <c r="D383" s="26"/>
      <c r="E383" s="26"/>
      <c r="F383" s="26"/>
      <c r="G383" s="26"/>
      <c r="H383" s="26"/>
      <c r="I383" s="26"/>
      <c r="J383" s="26"/>
      <c r="K383" s="26"/>
      <c r="L383" s="26"/>
      <c r="M383" s="28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8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/>
      <c r="CP383"/>
      <c r="CQ383"/>
      <c r="CR383"/>
      <c r="CS383"/>
      <c r="CT383"/>
      <c r="CU383" s="2"/>
      <c r="CV383" s="34"/>
      <c r="CW383" s="60"/>
      <c r="CX383" s="60"/>
      <c r="CY383" s="338">
        <f t="shared" si="79"/>
        <v>47635</v>
      </c>
      <c r="CZ383" s="337">
        <f t="shared" si="71"/>
        <v>1</v>
      </c>
      <c r="DA383" s="337">
        <f t="shared" si="72"/>
        <v>1.25</v>
      </c>
      <c r="DB383" s="337">
        <f t="shared" si="73"/>
        <v>1.55</v>
      </c>
      <c r="DD383" s="129">
        <f t="shared" si="74"/>
        <v>7.1827847086464378E-2</v>
      </c>
      <c r="DE383" s="129">
        <f t="shared" si="75"/>
        <v>0.14365569417292876</v>
      </c>
      <c r="DF383" s="129">
        <f t="shared" si="76"/>
        <v>0.21548354125939312</v>
      </c>
      <c r="DG383" s="60"/>
      <c r="DH383" s="338">
        <f t="shared" si="78"/>
        <v>47635</v>
      </c>
      <c r="DI383" s="20">
        <v>0.9</v>
      </c>
    </row>
    <row r="384" spans="1:113">
      <c r="B384" s="20"/>
      <c r="C384" s="16"/>
      <c r="D384" s="26"/>
      <c r="E384" s="26"/>
      <c r="F384" s="26"/>
      <c r="G384" s="26"/>
      <c r="H384" s="26"/>
      <c r="I384" s="26"/>
      <c r="J384" s="26"/>
      <c r="K384" s="26"/>
      <c r="L384" s="26"/>
      <c r="M384" s="28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8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/>
      <c r="CP384"/>
      <c r="CQ384"/>
      <c r="CR384"/>
      <c r="CS384"/>
      <c r="CT384"/>
      <c r="CU384" s="2"/>
      <c r="CV384" s="34"/>
      <c r="CW384" s="60"/>
      <c r="CX384" s="60"/>
      <c r="CY384" s="338">
        <f t="shared" si="79"/>
        <v>47665</v>
      </c>
      <c r="CZ384" s="337">
        <f t="shared" si="71"/>
        <v>1</v>
      </c>
      <c r="DA384" s="337">
        <f t="shared" si="72"/>
        <v>1.25</v>
      </c>
      <c r="DB384" s="337">
        <f t="shared" si="73"/>
        <v>1.55</v>
      </c>
      <c r="DD384" s="129">
        <f t="shared" si="74"/>
        <v>8.4998637645868472E-2</v>
      </c>
      <c r="DE384" s="129">
        <f t="shared" si="75"/>
        <v>0.16999727529173694</v>
      </c>
      <c r="DF384" s="129">
        <f t="shared" si="76"/>
        <v>0.25499591293760543</v>
      </c>
      <c r="DG384" s="60"/>
      <c r="DH384" s="338">
        <f t="shared" si="78"/>
        <v>47665</v>
      </c>
      <c r="DI384" s="20">
        <v>0.9</v>
      </c>
    </row>
    <row r="385" spans="2:113">
      <c r="B385" s="20"/>
      <c r="C385" s="16"/>
      <c r="D385" s="26"/>
      <c r="E385" s="26"/>
      <c r="F385" s="26"/>
      <c r="G385" s="26"/>
      <c r="H385" s="26"/>
      <c r="I385" s="26"/>
      <c r="J385" s="26"/>
      <c r="K385" s="26"/>
      <c r="L385" s="26"/>
      <c r="M385" s="28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8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/>
      <c r="CP385"/>
      <c r="CQ385"/>
      <c r="CR385"/>
      <c r="CS385"/>
      <c r="CT385"/>
      <c r="CU385" s="2"/>
      <c r="CV385" s="34"/>
      <c r="CW385" s="60"/>
      <c r="CX385" s="60"/>
      <c r="CY385" s="338">
        <f t="shared" si="79"/>
        <v>47696</v>
      </c>
      <c r="CZ385" s="337">
        <f t="shared" si="71"/>
        <v>1</v>
      </c>
      <c r="DA385" s="337">
        <f t="shared" si="72"/>
        <v>1.25</v>
      </c>
      <c r="DB385" s="337">
        <f t="shared" si="73"/>
        <v>1.55</v>
      </c>
      <c r="DD385" s="129">
        <f t="shared" si="74"/>
        <v>8.3634520052215916E-2</v>
      </c>
      <c r="DE385" s="129">
        <f t="shared" si="75"/>
        <v>0.16726904010443183</v>
      </c>
      <c r="DF385" s="129">
        <f t="shared" si="76"/>
        <v>0.25090356015664772</v>
      </c>
      <c r="DG385" s="60"/>
      <c r="DH385" s="338">
        <f t="shared" si="78"/>
        <v>47696</v>
      </c>
      <c r="DI385" s="20">
        <v>0.9</v>
      </c>
    </row>
    <row r="386" spans="2:113">
      <c r="B386" s="20"/>
      <c r="C386" s="16"/>
      <c r="D386" s="26"/>
      <c r="E386" s="26"/>
      <c r="F386" s="26"/>
      <c r="G386" s="26"/>
      <c r="H386" s="26"/>
      <c r="I386" s="26"/>
      <c r="J386" s="26"/>
      <c r="K386" s="26"/>
      <c r="L386" s="26"/>
      <c r="M386" s="28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8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/>
      <c r="CP386"/>
      <c r="CQ386"/>
      <c r="CR386"/>
      <c r="CS386"/>
      <c r="CT386"/>
      <c r="CU386" s="2"/>
      <c r="CV386" s="34"/>
      <c r="CW386" s="60"/>
      <c r="CX386" s="60"/>
      <c r="CY386" s="338">
        <f t="shared" si="79"/>
        <v>47727</v>
      </c>
      <c r="CZ386" s="337">
        <f t="shared" si="71"/>
        <v>1</v>
      </c>
      <c r="DA386" s="337">
        <f t="shared" si="72"/>
        <v>1.25</v>
      </c>
      <c r="DB386" s="337">
        <f t="shared" si="73"/>
        <v>1.55</v>
      </c>
      <c r="DD386" s="129">
        <f t="shared" si="74"/>
        <v>5.5411397424921446E-2</v>
      </c>
      <c r="DE386" s="129">
        <f t="shared" si="75"/>
        <v>0.11082279484984289</v>
      </c>
      <c r="DF386" s="129">
        <f t="shared" si="76"/>
        <v>0.16623419227476433</v>
      </c>
      <c r="DG386" s="60"/>
      <c r="DH386" s="338">
        <f t="shared" si="78"/>
        <v>47727</v>
      </c>
      <c r="DI386" s="20">
        <v>0.9</v>
      </c>
    </row>
    <row r="387" spans="2:113">
      <c r="B387" s="20"/>
      <c r="C387" s="16"/>
      <c r="D387" s="26"/>
      <c r="E387" s="26"/>
      <c r="F387" s="26"/>
      <c r="G387" s="26"/>
      <c r="H387" s="26"/>
      <c r="I387" s="26"/>
      <c r="J387" s="26"/>
      <c r="K387" s="26"/>
      <c r="L387" s="26"/>
      <c r="M387" s="28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8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/>
      <c r="CP387"/>
      <c r="CQ387"/>
      <c r="CR387"/>
      <c r="CS387"/>
      <c r="CT387"/>
      <c r="CU387" s="2"/>
      <c r="CV387" s="34"/>
      <c r="CW387" s="60"/>
      <c r="CX387" s="60"/>
      <c r="CY387" s="338">
        <f t="shared" si="79"/>
        <v>47757</v>
      </c>
      <c r="CZ387" s="337">
        <f t="shared" si="71"/>
        <v>0.85000000000000009</v>
      </c>
      <c r="DA387" s="337">
        <f t="shared" si="72"/>
        <v>1.1000000000000001</v>
      </c>
      <c r="DB387" s="337">
        <f t="shared" si="73"/>
        <v>1.4000000000000001</v>
      </c>
      <c r="DD387" s="129">
        <f t="shared" si="74"/>
        <v>5.3277333240296203E-2</v>
      </c>
      <c r="DE387" s="129">
        <f t="shared" si="75"/>
        <v>0.10655466648059241</v>
      </c>
      <c r="DF387" s="129">
        <f t="shared" si="76"/>
        <v>0.1598319997208886</v>
      </c>
      <c r="DG387" s="60"/>
      <c r="DH387" s="338">
        <f t="shared" si="78"/>
        <v>47757</v>
      </c>
      <c r="DI387" s="20">
        <v>0.9</v>
      </c>
    </row>
    <row r="388" spans="2:113">
      <c r="B388" s="20"/>
      <c r="C388" s="16"/>
      <c r="D388" s="26"/>
      <c r="E388" s="26"/>
      <c r="F388" s="26"/>
      <c r="G388" s="26"/>
      <c r="H388" s="26"/>
      <c r="I388" s="26"/>
      <c r="J388" s="26"/>
      <c r="K388" s="26"/>
      <c r="L388" s="26"/>
      <c r="M388" s="28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8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/>
      <c r="CP388"/>
      <c r="CQ388"/>
      <c r="CR388"/>
      <c r="CS388"/>
      <c r="CT388"/>
      <c r="CU388" s="2"/>
      <c r="CV388" s="34"/>
      <c r="CW388" s="60"/>
      <c r="CX388" s="60"/>
      <c r="CY388" s="338">
        <f t="shared" si="79"/>
        <v>47788</v>
      </c>
      <c r="CZ388" s="337">
        <f t="shared" si="71"/>
        <v>1</v>
      </c>
      <c r="DA388" s="337">
        <f t="shared" si="72"/>
        <v>1.25</v>
      </c>
      <c r="DB388" s="337">
        <f t="shared" si="73"/>
        <v>1.55</v>
      </c>
      <c r="DD388" s="129">
        <f t="shared" si="74"/>
        <v>5.3277333240296203E-2</v>
      </c>
      <c r="DE388" s="129">
        <f t="shared" si="75"/>
        <v>0.10655466648059241</v>
      </c>
      <c r="DF388" s="129">
        <f t="shared" si="76"/>
        <v>0.1598319997208886</v>
      </c>
      <c r="DG388" s="60"/>
      <c r="DH388" s="338">
        <f t="shared" si="78"/>
        <v>47788</v>
      </c>
      <c r="DI388" s="20">
        <v>0.9</v>
      </c>
    </row>
    <row r="389" spans="2:113">
      <c r="B389" s="20"/>
      <c r="C389" s="16"/>
      <c r="D389" s="26"/>
      <c r="E389" s="26"/>
      <c r="F389" s="26"/>
      <c r="G389" s="26"/>
      <c r="H389" s="26"/>
      <c r="I389" s="26"/>
      <c r="J389" s="26"/>
      <c r="K389" s="26"/>
      <c r="L389" s="26"/>
      <c r="M389" s="28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8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/>
      <c r="CP389"/>
      <c r="CQ389"/>
      <c r="CR389"/>
      <c r="CS389"/>
      <c r="CT389"/>
      <c r="CU389" s="2"/>
      <c r="CV389" s="34"/>
      <c r="CW389" s="60"/>
      <c r="CX389" s="60"/>
      <c r="CY389" s="338">
        <f t="shared" si="79"/>
        <v>47818</v>
      </c>
      <c r="CZ389" s="337">
        <f t="shared" si="71"/>
        <v>1</v>
      </c>
      <c r="DA389" s="337">
        <f t="shared" si="72"/>
        <v>1.25</v>
      </c>
      <c r="DB389" s="337">
        <f t="shared" si="73"/>
        <v>1.55</v>
      </c>
      <c r="DD389" s="129">
        <f t="shared" si="74"/>
        <v>5.5178680448871829E-2</v>
      </c>
      <c r="DE389" s="129">
        <f t="shared" si="75"/>
        <v>0.11035736089774366</v>
      </c>
      <c r="DF389" s="129">
        <f t="shared" si="76"/>
        <v>0.16553604134661548</v>
      </c>
      <c r="DG389" s="60"/>
      <c r="DH389" s="338">
        <f t="shared" si="78"/>
        <v>47818</v>
      </c>
      <c r="DI389" s="20">
        <v>0.9</v>
      </c>
    </row>
    <row r="390" spans="2:113">
      <c r="B390" s="20"/>
      <c r="C390" s="16"/>
      <c r="D390" s="26"/>
      <c r="E390" s="26"/>
      <c r="F390" s="26"/>
      <c r="G390" s="26"/>
      <c r="H390" s="26"/>
      <c r="I390" s="26"/>
      <c r="J390" s="26"/>
      <c r="K390" s="26"/>
      <c r="L390" s="26"/>
      <c r="M390" s="28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8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/>
      <c r="CP390"/>
      <c r="CQ390"/>
      <c r="CR390"/>
      <c r="CS390"/>
      <c r="CT390"/>
      <c r="CU390" s="2"/>
      <c r="CV390" s="34"/>
      <c r="CW390" s="60"/>
      <c r="CX390" s="60"/>
      <c r="CY390" s="338">
        <f t="shared" si="79"/>
        <v>47849</v>
      </c>
      <c r="CZ390" s="337">
        <f t="shared" si="71"/>
        <v>1.25</v>
      </c>
      <c r="DA390" s="337">
        <f t="shared" si="72"/>
        <v>2</v>
      </c>
      <c r="DB390" s="337">
        <f t="shared" si="73"/>
        <v>2.75</v>
      </c>
      <c r="DD390" s="129">
        <f t="shared" si="74"/>
        <v>5.937308760112317E-2</v>
      </c>
      <c r="DE390" s="129">
        <f t="shared" si="75"/>
        <v>0.11874617520224634</v>
      </c>
      <c r="DF390" s="129">
        <f t="shared" si="76"/>
        <v>0.17811926280336951</v>
      </c>
      <c r="DG390" s="60"/>
      <c r="DH390" s="338">
        <f t="shared" si="78"/>
        <v>47849</v>
      </c>
      <c r="DI390" s="20">
        <v>0.9</v>
      </c>
    </row>
    <row r="391" spans="2:113">
      <c r="B391" s="20"/>
      <c r="C391" s="16"/>
      <c r="D391" s="26"/>
      <c r="E391" s="26"/>
      <c r="F391" s="26"/>
      <c r="G391" s="26"/>
      <c r="H391" s="26"/>
      <c r="I391" s="26"/>
      <c r="J391" s="26"/>
      <c r="K391" s="26"/>
      <c r="L391" s="26"/>
      <c r="M391" s="28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8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/>
      <c r="CP391"/>
      <c r="CQ391"/>
      <c r="CR391"/>
      <c r="CS391"/>
      <c r="CT391"/>
      <c r="CU391" s="2"/>
      <c r="CV391" s="34"/>
      <c r="CW391" s="60"/>
      <c r="CX391" s="60"/>
      <c r="CY391" s="338">
        <f t="shared" si="79"/>
        <v>47880</v>
      </c>
      <c r="CZ391" s="337">
        <f t="shared" si="71"/>
        <v>1.25</v>
      </c>
      <c r="DA391" s="337">
        <f t="shared" si="72"/>
        <v>2</v>
      </c>
      <c r="DB391" s="337">
        <f t="shared" si="73"/>
        <v>2.75</v>
      </c>
      <c r="DD391" s="129">
        <f t="shared" si="74"/>
        <v>5.7282485925027264E-2</v>
      </c>
      <c r="DE391" s="129">
        <f t="shared" si="75"/>
        <v>0.11456497185005453</v>
      </c>
      <c r="DF391" s="129">
        <f t="shared" si="76"/>
        <v>0.17184745777508179</v>
      </c>
      <c r="DG391" s="60"/>
      <c r="DH391" s="338">
        <f t="shared" si="78"/>
        <v>47880</v>
      </c>
      <c r="DI391" s="20">
        <v>0.9</v>
      </c>
    </row>
    <row r="392" spans="2:113">
      <c r="B392" s="20"/>
      <c r="C392" s="16"/>
      <c r="D392" s="26"/>
      <c r="E392" s="26"/>
      <c r="F392" s="26"/>
      <c r="G392" s="26"/>
      <c r="H392" s="26"/>
      <c r="I392" s="26"/>
      <c r="J392" s="26"/>
      <c r="K392" s="26"/>
      <c r="L392" s="26"/>
      <c r="M392" s="28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8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/>
      <c r="CP392"/>
      <c r="CQ392"/>
      <c r="CR392"/>
      <c r="CS392"/>
      <c r="CT392"/>
      <c r="CU392" s="2"/>
      <c r="CV392" s="34"/>
      <c r="CW392" s="60"/>
      <c r="CX392" s="60"/>
      <c r="CY392" s="338">
        <f t="shared" si="79"/>
        <v>47908</v>
      </c>
      <c r="CZ392" s="337">
        <f t="shared" si="71"/>
        <v>1</v>
      </c>
      <c r="DA392" s="337">
        <f t="shared" si="72"/>
        <v>1.25</v>
      </c>
      <c r="DB392" s="337">
        <f t="shared" si="73"/>
        <v>1.55</v>
      </c>
      <c r="DD392" s="129">
        <f t="shared" si="74"/>
        <v>5.5834744264330861E-2</v>
      </c>
      <c r="DE392" s="129">
        <f t="shared" si="75"/>
        <v>0.11166948852866172</v>
      </c>
      <c r="DF392" s="129">
        <f t="shared" si="76"/>
        <v>0.16750423279299259</v>
      </c>
      <c r="DG392" s="60"/>
      <c r="DH392" s="338">
        <f t="shared" si="78"/>
        <v>47908</v>
      </c>
      <c r="DI392" s="20">
        <v>0.9</v>
      </c>
    </row>
    <row r="393" spans="2:113">
      <c r="B393" s="20"/>
      <c r="C393" s="16"/>
      <c r="D393" s="26"/>
      <c r="E393" s="26"/>
      <c r="F393" s="26"/>
      <c r="G393" s="26"/>
      <c r="H393" s="26"/>
      <c r="I393" s="26"/>
      <c r="J393" s="26"/>
      <c r="K393" s="26"/>
      <c r="L393" s="26"/>
      <c r="M393" s="28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8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/>
      <c r="CP393"/>
      <c r="CQ393"/>
      <c r="CR393"/>
      <c r="CS393"/>
      <c r="CT393"/>
      <c r="CU393" s="2"/>
      <c r="CV393" s="34"/>
      <c r="CW393" s="60"/>
      <c r="CX393" s="60"/>
      <c r="CY393" s="338">
        <f t="shared" si="79"/>
        <v>47939</v>
      </c>
      <c r="CZ393" s="337">
        <f t="shared" si="71"/>
        <v>1</v>
      </c>
      <c r="DA393" s="337">
        <f t="shared" si="72"/>
        <v>1.25</v>
      </c>
      <c r="DB393" s="337">
        <f t="shared" si="73"/>
        <v>1.55</v>
      </c>
      <c r="DD393" s="129">
        <f t="shared" si="74"/>
        <v>4.976677289946254E-2</v>
      </c>
      <c r="DE393" s="129">
        <f t="shared" si="75"/>
        <v>9.953354579892508E-2</v>
      </c>
      <c r="DF393" s="129">
        <f t="shared" si="76"/>
        <v>0.14930031869838761</v>
      </c>
      <c r="DG393" s="60"/>
      <c r="DH393" s="338">
        <f t="shared" si="78"/>
        <v>47939</v>
      </c>
      <c r="DI393" s="20">
        <v>0.9</v>
      </c>
    </row>
    <row r="394" spans="2:113">
      <c r="B394" s="20"/>
      <c r="C394" s="16"/>
      <c r="D394" s="26"/>
      <c r="E394" s="26"/>
      <c r="F394" s="26"/>
      <c r="G394" s="26"/>
      <c r="H394" s="26"/>
      <c r="I394" s="26"/>
      <c r="J394" s="26"/>
      <c r="K394" s="26"/>
      <c r="L394" s="26"/>
      <c r="M394" s="28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8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/>
      <c r="CP394"/>
      <c r="CQ394"/>
      <c r="CR394"/>
      <c r="CS394"/>
      <c r="CT394"/>
      <c r="CU394" s="2"/>
      <c r="CV394" s="34"/>
      <c r="CW394" s="60"/>
      <c r="CX394" s="60"/>
      <c r="CY394" s="338">
        <f t="shared" si="79"/>
        <v>47969</v>
      </c>
      <c r="CZ394" s="337">
        <f t="shared" si="71"/>
        <v>1</v>
      </c>
      <c r="DA394" s="337">
        <f t="shared" si="72"/>
        <v>1.25</v>
      </c>
      <c r="DB394" s="337">
        <f t="shared" si="73"/>
        <v>1.55</v>
      </c>
      <c r="DD394" s="129">
        <f t="shared" si="74"/>
        <v>5.7292938933407749E-2</v>
      </c>
      <c r="DE394" s="129">
        <f t="shared" si="75"/>
        <v>0.1145858778668155</v>
      </c>
      <c r="DF394" s="129">
        <f t="shared" si="76"/>
        <v>0.17187881680022324</v>
      </c>
      <c r="DG394" s="60"/>
      <c r="DH394" s="338">
        <f t="shared" si="78"/>
        <v>47969</v>
      </c>
      <c r="DI394" s="20">
        <v>0.9</v>
      </c>
    </row>
    <row r="395" spans="2:113">
      <c r="B395" s="20"/>
      <c r="C395" s="16"/>
      <c r="D395" s="26"/>
      <c r="E395" s="26"/>
      <c r="F395" s="26"/>
      <c r="G395" s="26"/>
      <c r="H395" s="26"/>
      <c r="I395" s="26"/>
      <c r="J395" s="26"/>
      <c r="K395" s="26"/>
      <c r="L395" s="26"/>
      <c r="M395" s="28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8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/>
      <c r="CP395"/>
      <c r="CQ395"/>
      <c r="CR395"/>
      <c r="CS395"/>
      <c r="CT395"/>
      <c r="CU395" s="2"/>
      <c r="CV395" s="34"/>
      <c r="CW395" s="60"/>
      <c r="CX395" s="60"/>
      <c r="CY395" s="338">
        <f t="shared" si="79"/>
        <v>48000</v>
      </c>
      <c r="CZ395" s="337">
        <f t="shared" si="71"/>
        <v>1</v>
      </c>
      <c r="DA395" s="337">
        <f t="shared" si="72"/>
        <v>1.25</v>
      </c>
      <c r="DB395" s="337">
        <f t="shared" si="73"/>
        <v>1.55</v>
      </c>
      <c r="DD395" s="129">
        <f t="shared" si="74"/>
        <v>7.1827847086464378E-2</v>
      </c>
      <c r="DE395" s="129">
        <f t="shared" si="75"/>
        <v>0.14365569417292876</v>
      </c>
      <c r="DF395" s="129">
        <f t="shared" si="76"/>
        <v>0.21548354125939312</v>
      </c>
      <c r="DG395" s="60"/>
      <c r="DH395" s="338">
        <f t="shared" si="78"/>
        <v>48000</v>
      </c>
      <c r="DI395" s="20">
        <v>0.9</v>
      </c>
    </row>
    <row r="396" spans="2:113">
      <c r="B396" s="20"/>
      <c r="C396" s="16"/>
      <c r="D396" s="26"/>
      <c r="E396" s="26"/>
      <c r="F396" s="26"/>
      <c r="G396" s="26"/>
      <c r="H396" s="26"/>
      <c r="I396" s="26"/>
      <c r="J396" s="26"/>
      <c r="K396" s="26"/>
      <c r="L396" s="26"/>
      <c r="M396" s="28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8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/>
      <c r="CP396"/>
      <c r="CQ396"/>
      <c r="CR396"/>
      <c r="CS396"/>
      <c r="CT396"/>
      <c r="CU396" s="2"/>
      <c r="CV396" s="34"/>
      <c r="CW396" s="60"/>
      <c r="CX396" s="60"/>
      <c r="CY396" s="338">
        <f t="shared" si="79"/>
        <v>48030</v>
      </c>
      <c r="CZ396" s="337">
        <f t="shared" si="71"/>
        <v>1</v>
      </c>
      <c r="DA396" s="337">
        <f t="shared" si="72"/>
        <v>1.25</v>
      </c>
      <c r="DB396" s="337">
        <f t="shared" si="73"/>
        <v>1.55</v>
      </c>
      <c r="DD396" s="129">
        <f t="shared" si="74"/>
        <v>8.4998637645868472E-2</v>
      </c>
      <c r="DE396" s="129">
        <f t="shared" si="75"/>
        <v>0.16999727529173694</v>
      </c>
      <c r="DF396" s="129">
        <f t="shared" si="76"/>
        <v>0.25499591293760543</v>
      </c>
      <c r="DG396" s="60"/>
      <c r="DH396" s="338">
        <f t="shared" si="78"/>
        <v>48030</v>
      </c>
      <c r="DI396" s="20">
        <v>0.9</v>
      </c>
    </row>
    <row r="397" spans="2:113">
      <c r="B397" s="20"/>
      <c r="C397" s="16"/>
      <c r="D397" s="26"/>
      <c r="E397" s="26"/>
      <c r="F397" s="26"/>
      <c r="G397" s="26"/>
      <c r="H397" s="26"/>
      <c r="I397" s="26"/>
      <c r="J397" s="26"/>
      <c r="K397" s="26"/>
      <c r="L397" s="26"/>
      <c r="M397" s="28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8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/>
      <c r="CP397"/>
      <c r="CQ397"/>
      <c r="CR397"/>
      <c r="CS397"/>
      <c r="CT397"/>
      <c r="CU397" s="2"/>
      <c r="CV397" s="34"/>
      <c r="CW397" s="60"/>
      <c r="CX397" s="60"/>
      <c r="CY397" s="338">
        <f t="shared" si="79"/>
        <v>48061</v>
      </c>
      <c r="CZ397" s="337">
        <f t="shared" si="71"/>
        <v>1</v>
      </c>
      <c r="DA397" s="337">
        <f t="shared" si="72"/>
        <v>1.25</v>
      </c>
      <c r="DB397" s="337">
        <f t="shared" si="73"/>
        <v>1.55</v>
      </c>
      <c r="DD397" s="129">
        <f t="shared" si="74"/>
        <v>8.3634520052215916E-2</v>
      </c>
      <c r="DE397" s="129">
        <f t="shared" si="75"/>
        <v>0.16726904010443183</v>
      </c>
      <c r="DF397" s="129">
        <f t="shared" si="76"/>
        <v>0.25090356015664772</v>
      </c>
      <c r="DG397" s="60"/>
      <c r="DH397" s="338">
        <f t="shared" si="78"/>
        <v>48061</v>
      </c>
      <c r="DI397" s="20">
        <v>0.9</v>
      </c>
    </row>
    <row r="398" spans="2:113">
      <c r="B398" s="20"/>
      <c r="C398" s="16"/>
      <c r="D398" s="26"/>
      <c r="E398" s="26"/>
      <c r="F398" s="26"/>
      <c r="G398" s="26"/>
      <c r="H398" s="26"/>
      <c r="I398" s="26"/>
      <c r="J398" s="26"/>
      <c r="K398" s="26"/>
      <c r="L398" s="26"/>
      <c r="M398" s="28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8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/>
      <c r="CP398"/>
      <c r="CQ398"/>
      <c r="CR398"/>
      <c r="CS398"/>
      <c r="CT398"/>
      <c r="CU398" s="2"/>
      <c r="CV398" s="34"/>
      <c r="CW398" s="60"/>
      <c r="CX398" s="60"/>
      <c r="CY398" s="338">
        <f t="shared" si="79"/>
        <v>48092</v>
      </c>
      <c r="CZ398" s="337">
        <f t="shared" si="71"/>
        <v>1</v>
      </c>
      <c r="DA398" s="337">
        <f t="shared" si="72"/>
        <v>1.25</v>
      </c>
      <c r="DB398" s="337">
        <f t="shared" si="73"/>
        <v>1.55</v>
      </c>
      <c r="DD398" s="129">
        <f t="shared" si="74"/>
        <v>5.5411397424921446E-2</v>
      </c>
      <c r="DE398" s="129">
        <f t="shared" si="75"/>
        <v>0.11082279484984289</v>
      </c>
      <c r="DF398" s="129">
        <f t="shared" si="76"/>
        <v>0.16623419227476433</v>
      </c>
      <c r="DG398" s="60"/>
      <c r="DH398" s="338">
        <f t="shared" si="78"/>
        <v>48092</v>
      </c>
      <c r="DI398" s="20">
        <v>0.9</v>
      </c>
    </row>
    <row r="399" spans="2:113">
      <c r="B399" s="20"/>
      <c r="C399" s="16"/>
      <c r="D399" s="26"/>
      <c r="E399" s="26"/>
      <c r="F399" s="26"/>
      <c r="G399" s="26"/>
      <c r="H399" s="26"/>
      <c r="I399" s="26"/>
      <c r="J399" s="26"/>
      <c r="K399" s="26"/>
      <c r="L399" s="26"/>
      <c r="M399" s="28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8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/>
      <c r="CP399"/>
      <c r="CQ399"/>
      <c r="CR399"/>
      <c r="CS399"/>
      <c r="CT399"/>
      <c r="CU399" s="2"/>
      <c r="CV399" s="34"/>
      <c r="CW399" s="60"/>
      <c r="CX399" s="60"/>
      <c r="CY399" s="338">
        <f t="shared" si="79"/>
        <v>48122</v>
      </c>
      <c r="CZ399" s="337">
        <f t="shared" si="71"/>
        <v>0.85000000000000009</v>
      </c>
      <c r="DA399" s="337">
        <f t="shared" si="72"/>
        <v>1.1000000000000001</v>
      </c>
      <c r="DB399" s="337">
        <f t="shared" si="73"/>
        <v>1.4000000000000001</v>
      </c>
      <c r="DD399" s="129">
        <f t="shared" si="74"/>
        <v>5.3277333240296203E-2</v>
      </c>
      <c r="DE399" s="129">
        <f t="shared" si="75"/>
        <v>0.10655466648059241</v>
      </c>
      <c r="DF399" s="129">
        <f t="shared" si="76"/>
        <v>0.1598319997208886</v>
      </c>
      <c r="DG399" s="60"/>
      <c r="DH399" s="338">
        <f t="shared" si="78"/>
        <v>48122</v>
      </c>
      <c r="DI399" s="20">
        <v>0.9</v>
      </c>
    </row>
    <row r="400" spans="2:113">
      <c r="B400" s="20"/>
      <c r="C400" s="16"/>
      <c r="D400" s="26"/>
      <c r="E400" s="26"/>
      <c r="F400" s="26"/>
      <c r="G400" s="26"/>
      <c r="H400" s="26"/>
      <c r="I400" s="26"/>
      <c r="J400" s="26"/>
      <c r="K400" s="26"/>
      <c r="L400" s="26"/>
      <c r="M400" s="28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8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/>
      <c r="CP400"/>
      <c r="CQ400"/>
      <c r="CR400"/>
      <c r="CS400"/>
      <c r="CT400"/>
      <c r="CU400" s="2"/>
      <c r="CV400" s="34"/>
      <c r="CW400" s="60"/>
      <c r="CX400" s="60"/>
      <c r="CY400" s="338">
        <f t="shared" si="79"/>
        <v>48153</v>
      </c>
      <c r="CZ400" s="337">
        <f t="shared" si="71"/>
        <v>1</v>
      </c>
      <c r="DA400" s="337">
        <f t="shared" si="72"/>
        <v>1.25</v>
      </c>
      <c r="DB400" s="337">
        <f t="shared" si="73"/>
        <v>1.55</v>
      </c>
      <c r="DD400" s="129">
        <f t="shared" si="74"/>
        <v>5.3277333240296203E-2</v>
      </c>
      <c r="DE400" s="129">
        <f t="shared" si="75"/>
        <v>0.10655466648059241</v>
      </c>
      <c r="DF400" s="129">
        <f t="shared" si="76"/>
        <v>0.1598319997208886</v>
      </c>
      <c r="DG400" s="60"/>
      <c r="DH400" s="338">
        <f t="shared" si="78"/>
        <v>48153</v>
      </c>
      <c r="DI400" s="20">
        <v>0.9</v>
      </c>
    </row>
    <row r="401" spans="2:113">
      <c r="B401" s="20"/>
      <c r="C401" s="16"/>
      <c r="D401" s="26"/>
      <c r="E401" s="26"/>
      <c r="F401" s="26"/>
      <c r="G401" s="26"/>
      <c r="H401" s="26"/>
      <c r="I401" s="26"/>
      <c r="J401" s="26"/>
      <c r="K401" s="26"/>
      <c r="L401" s="26"/>
      <c r="M401" s="28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8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/>
      <c r="CP401"/>
      <c r="CQ401"/>
      <c r="CR401"/>
      <c r="CS401"/>
      <c r="CT401"/>
      <c r="CU401" s="2"/>
      <c r="CV401" s="34"/>
      <c r="CW401" s="60"/>
      <c r="CX401" s="60"/>
      <c r="CY401" s="338">
        <f t="shared" si="79"/>
        <v>48183</v>
      </c>
      <c r="CZ401" s="337">
        <f t="shared" si="71"/>
        <v>1</v>
      </c>
      <c r="DA401" s="337">
        <f t="shared" si="72"/>
        <v>1.25</v>
      </c>
      <c r="DB401" s="337">
        <f t="shared" si="73"/>
        <v>1.55</v>
      </c>
      <c r="DD401" s="129">
        <f t="shared" si="74"/>
        <v>5.5178680448871829E-2</v>
      </c>
      <c r="DE401" s="129">
        <f t="shared" si="75"/>
        <v>0.11035736089774366</v>
      </c>
      <c r="DF401" s="129">
        <f t="shared" si="76"/>
        <v>0.16553604134661548</v>
      </c>
      <c r="DG401" s="60"/>
      <c r="DH401" s="338">
        <f t="shared" si="78"/>
        <v>48183</v>
      </c>
      <c r="DI401" s="20">
        <v>0.9</v>
      </c>
    </row>
    <row r="402" spans="2:113">
      <c r="B402" s="20"/>
      <c r="C402" s="16"/>
      <c r="D402" s="26"/>
      <c r="E402" s="26"/>
      <c r="F402" s="26"/>
      <c r="G402" s="26"/>
      <c r="H402" s="26"/>
      <c r="I402" s="26"/>
      <c r="J402" s="26"/>
      <c r="K402" s="26"/>
      <c r="L402" s="26"/>
      <c r="M402" s="28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8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/>
      <c r="CP402"/>
      <c r="CQ402"/>
      <c r="CR402"/>
      <c r="CS402"/>
      <c r="CT402"/>
      <c r="CU402" s="2"/>
      <c r="CV402" s="34"/>
      <c r="CW402" s="60"/>
      <c r="CX402" s="60"/>
      <c r="CY402" s="338">
        <f t="shared" si="79"/>
        <v>48214</v>
      </c>
      <c r="CZ402" s="337">
        <f t="shared" si="71"/>
        <v>1.25</v>
      </c>
      <c r="DA402" s="337">
        <f t="shared" si="72"/>
        <v>2</v>
      </c>
      <c r="DB402" s="337">
        <f t="shared" si="73"/>
        <v>2.75</v>
      </c>
      <c r="DD402" s="129">
        <f t="shared" si="74"/>
        <v>5.937308760112317E-2</v>
      </c>
      <c r="DE402" s="129">
        <f t="shared" si="75"/>
        <v>0.11874617520224634</v>
      </c>
      <c r="DF402" s="129">
        <f t="shared" si="76"/>
        <v>0.17811926280336951</v>
      </c>
      <c r="DG402" s="60"/>
      <c r="DH402" s="338">
        <f t="shared" si="78"/>
        <v>48214</v>
      </c>
      <c r="DI402" s="20">
        <v>0.9</v>
      </c>
    </row>
    <row r="403" spans="2:113">
      <c r="B403" s="20"/>
      <c r="C403" s="16"/>
      <c r="D403" s="26"/>
      <c r="E403" s="26"/>
      <c r="F403" s="26"/>
      <c r="G403" s="26"/>
      <c r="H403" s="26"/>
      <c r="I403" s="26"/>
      <c r="J403" s="26"/>
      <c r="K403" s="26"/>
      <c r="L403" s="26"/>
      <c r="M403" s="28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8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/>
      <c r="CP403"/>
      <c r="CQ403"/>
      <c r="CR403"/>
      <c r="CS403"/>
      <c r="CT403"/>
      <c r="CU403" s="2"/>
      <c r="CV403" s="34"/>
      <c r="CW403" s="60"/>
      <c r="CX403" s="60"/>
      <c r="CY403" s="60"/>
      <c r="CZ403" s="20"/>
      <c r="DA403" s="20"/>
      <c r="DB403" s="20"/>
      <c r="DD403" s="20"/>
      <c r="DF403" s="122"/>
      <c r="DG403" s="60"/>
      <c r="DH403" s="61"/>
      <c r="DI403" s="62"/>
    </row>
    <row r="404" spans="2:113">
      <c r="B404" s="20"/>
      <c r="C404" s="16"/>
      <c r="D404" s="26"/>
      <c r="E404" s="26"/>
      <c r="F404" s="26"/>
      <c r="G404" s="26"/>
      <c r="H404" s="26"/>
      <c r="I404" s="26"/>
      <c r="J404" s="26"/>
      <c r="K404" s="26"/>
      <c r="L404" s="26"/>
      <c r="M404" s="28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8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/>
      <c r="CP404"/>
      <c r="CQ404"/>
      <c r="CR404"/>
      <c r="CS404"/>
      <c r="CT404"/>
      <c r="CU404" s="2"/>
      <c r="CV404" s="34"/>
      <c r="CW404" s="60"/>
      <c r="CX404" s="60"/>
      <c r="CY404" s="60"/>
      <c r="CZ404" s="20"/>
      <c r="DA404" s="20"/>
      <c r="DB404" s="20"/>
      <c r="DD404" s="20"/>
      <c r="DF404" s="122"/>
      <c r="DG404" s="60"/>
      <c r="DH404" s="61"/>
      <c r="DI404" s="62"/>
    </row>
    <row r="405" spans="2:113">
      <c r="B405" s="20"/>
      <c r="C405" s="16"/>
      <c r="D405" s="26"/>
      <c r="E405" s="26"/>
      <c r="F405" s="26"/>
      <c r="G405" s="26"/>
      <c r="H405" s="26"/>
      <c r="I405" s="26"/>
      <c r="J405" s="26"/>
      <c r="K405" s="26"/>
      <c r="L405" s="26"/>
      <c r="M405" s="28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8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/>
      <c r="CP405"/>
      <c r="CQ405"/>
      <c r="CR405"/>
      <c r="CS405"/>
      <c r="CT405"/>
      <c r="CU405" s="2"/>
      <c r="CV405" s="34"/>
      <c r="CW405" s="60"/>
      <c r="CX405" s="60"/>
      <c r="CY405" s="60"/>
      <c r="CZ405" s="20"/>
      <c r="DA405" s="20"/>
      <c r="DB405" s="20"/>
      <c r="DD405" s="20"/>
      <c r="DF405" s="122"/>
      <c r="DG405" s="60"/>
      <c r="DH405" s="61"/>
      <c r="DI405" s="62"/>
    </row>
    <row r="406" spans="2:113">
      <c r="B406" s="20"/>
      <c r="C406" s="16"/>
      <c r="D406" s="26"/>
      <c r="E406" s="26"/>
      <c r="F406" s="26"/>
      <c r="G406" s="26"/>
      <c r="H406" s="26"/>
      <c r="I406" s="26"/>
      <c r="J406" s="26"/>
      <c r="K406" s="26"/>
      <c r="L406" s="26"/>
      <c r="M406" s="28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8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/>
      <c r="CP406"/>
      <c r="CQ406"/>
      <c r="CR406"/>
      <c r="CS406"/>
      <c r="CT406"/>
      <c r="CU406" s="2"/>
      <c r="CV406" s="34"/>
      <c r="CW406" s="60"/>
      <c r="CX406" s="60"/>
      <c r="CY406" s="60"/>
      <c r="CZ406" s="20"/>
      <c r="DA406" s="20"/>
      <c r="DB406" s="20"/>
      <c r="DD406" s="20"/>
      <c r="DF406" s="122"/>
      <c r="DG406" s="60"/>
      <c r="DH406" s="61"/>
      <c r="DI406" s="62"/>
    </row>
    <row r="407" spans="2:113">
      <c r="B407" s="20"/>
      <c r="C407" s="16"/>
      <c r="D407" s="26"/>
      <c r="E407" s="26"/>
      <c r="F407" s="26"/>
      <c r="G407" s="26"/>
      <c r="H407" s="26"/>
      <c r="I407" s="26"/>
      <c r="J407" s="26"/>
      <c r="K407" s="26"/>
      <c r="L407" s="26"/>
      <c r="M407" s="28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8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/>
      <c r="CP407"/>
      <c r="CQ407"/>
      <c r="CR407"/>
      <c r="CS407"/>
      <c r="CT407"/>
      <c r="CU407" s="2"/>
      <c r="CV407" s="34"/>
      <c r="CW407" s="60"/>
      <c r="CX407" s="60"/>
      <c r="CY407" s="60"/>
      <c r="CZ407" s="20"/>
      <c r="DA407" s="20"/>
      <c r="DB407" s="20"/>
      <c r="DD407" s="20"/>
      <c r="DF407" s="122"/>
      <c r="DG407" s="60"/>
      <c r="DH407" s="61"/>
      <c r="DI407" s="62"/>
    </row>
    <row r="408" spans="2:113">
      <c r="B408" s="20"/>
      <c r="C408" s="16"/>
      <c r="D408" s="26"/>
      <c r="E408" s="26"/>
      <c r="F408" s="26"/>
      <c r="G408" s="26"/>
      <c r="H408" s="26"/>
      <c r="I408" s="26"/>
      <c r="J408" s="26"/>
      <c r="K408" s="26"/>
      <c r="L408" s="26"/>
      <c r="M408" s="28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8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/>
      <c r="CP408"/>
      <c r="CQ408"/>
      <c r="CR408"/>
      <c r="CS408"/>
      <c r="CT408"/>
      <c r="CU408" s="2"/>
      <c r="CV408" s="34"/>
      <c r="CW408" s="60"/>
      <c r="CX408" s="60"/>
      <c r="CY408" s="60"/>
      <c r="CZ408" s="20"/>
      <c r="DA408" s="20"/>
      <c r="DB408" s="20"/>
      <c r="DD408" s="20"/>
      <c r="DF408" s="122"/>
      <c r="DG408" s="60"/>
      <c r="DH408" s="61"/>
      <c r="DI408" s="62"/>
    </row>
    <row r="409" spans="2:113">
      <c r="B409" s="20"/>
      <c r="C409" s="16"/>
      <c r="D409" s="26"/>
      <c r="E409" s="26"/>
      <c r="F409" s="26"/>
      <c r="G409" s="26"/>
      <c r="H409" s="26"/>
      <c r="I409" s="26"/>
      <c r="J409" s="26"/>
      <c r="K409" s="26"/>
      <c r="L409" s="26"/>
      <c r="M409" s="28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8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/>
      <c r="CP409"/>
      <c r="CQ409"/>
      <c r="CR409"/>
      <c r="CS409"/>
      <c r="CT409"/>
      <c r="CU409" s="2"/>
      <c r="CV409" s="34"/>
      <c r="CW409" s="60"/>
      <c r="CX409" s="60"/>
      <c r="CY409" s="60"/>
      <c r="CZ409" s="20"/>
      <c r="DA409" s="20"/>
      <c r="DB409" s="20"/>
      <c r="DD409" s="20"/>
      <c r="DF409" s="122"/>
      <c r="DG409" s="60"/>
      <c r="DH409" s="61"/>
      <c r="DI409" s="62"/>
    </row>
    <row r="410" spans="2:113">
      <c r="B410" s="20"/>
      <c r="C410" s="16"/>
      <c r="D410" s="26"/>
      <c r="E410" s="26"/>
      <c r="F410" s="26"/>
      <c r="G410" s="26"/>
      <c r="H410" s="26"/>
      <c r="I410" s="26"/>
      <c r="J410" s="26"/>
      <c r="K410" s="26"/>
      <c r="L410" s="26"/>
      <c r="M410" s="28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8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/>
      <c r="CP410"/>
      <c r="CQ410"/>
      <c r="CR410"/>
      <c r="CS410"/>
      <c r="CT410"/>
      <c r="CU410" s="2"/>
      <c r="CV410" s="34"/>
      <c r="CW410" s="60"/>
      <c r="CX410" s="60"/>
      <c r="CY410" s="60"/>
      <c r="CZ410" s="20"/>
      <c r="DA410" s="20"/>
      <c r="DB410" s="20"/>
      <c r="DD410" s="20"/>
      <c r="DF410" s="122"/>
      <c r="DG410" s="60"/>
      <c r="DH410" s="61"/>
      <c r="DI410" s="62"/>
    </row>
    <row r="411" spans="2:113">
      <c r="B411" s="20"/>
      <c r="D411" s="26"/>
      <c r="E411" s="26"/>
      <c r="F411" s="26"/>
      <c r="G411" s="26"/>
      <c r="H411" s="26"/>
      <c r="I411" s="26"/>
      <c r="J411" s="26"/>
      <c r="K411" s="26"/>
      <c r="L411" s="26"/>
      <c r="M411" s="28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8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/>
      <c r="CP411"/>
      <c r="CQ411"/>
      <c r="CR411"/>
      <c r="CS411"/>
      <c r="CT411"/>
      <c r="CU411" s="2"/>
      <c r="CV411" s="34"/>
      <c r="CW411" s="60"/>
      <c r="CX411" s="60"/>
      <c r="CY411" s="60"/>
      <c r="CZ411" s="20"/>
      <c r="DA411" s="20"/>
      <c r="DB411" s="20"/>
      <c r="DD411" s="20"/>
      <c r="DF411" s="122"/>
      <c r="DG411" s="60"/>
      <c r="DH411" s="61"/>
      <c r="DI411" s="62"/>
    </row>
    <row r="412" spans="2:113">
      <c r="B412" s="20"/>
      <c r="D412" s="26"/>
      <c r="E412" s="26"/>
      <c r="F412" s="26"/>
      <c r="G412" s="26"/>
      <c r="H412" s="26"/>
      <c r="I412" s="26"/>
      <c r="J412" s="26"/>
      <c r="K412" s="26"/>
      <c r="L412" s="26"/>
      <c r="M412" s="28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8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/>
      <c r="CP412"/>
      <c r="CQ412"/>
      <c r="CR412"/>
      <c r="CS412"/>
      <c r="CT412"/>
      <c r="CU412" s="2"/>
      <c r="CV412" s="34"/>
      <c r="CW412" s="60"/>
      <c r="CX412" s="60"/>
      <c r="CY412" s="60"/>
      <c r="CZ412" s="20"/>
      <c r="DA412" s="20"/>
      <c r="DB412" s="20"/>
      <c r="DD412" s="20"/>
      <c r="DF412" s="122"/>
      <c r="DG412" s="60"/>
      <c r="DH412" s="61"/>
      <c r="DI412" s="62"/>
    </row>
    <row r="413" spans="2:113">
      <c r="B413" s="20"/>
      <c r="CP413"/>
      <c r="CQ413"/>
      <c r="CR413"/>
      <c r="CS413"/>
      <c r="CT413"/>
      <c r="CU413" s="2"/>
      <c r="CV413" s="34"/>
      <c r="CW413" s="60"/>
      <c r="CX413" s="60"/>
      <c r="CY413" s="60"/>
      <c r="CZ413" s="20"/>
      <c r="DA413" s="20"/>
      <c r="DB413" s="20"/>
      <c r="DD413" s="20"/>
      <c r="DF413" s="122"/>
      <c r="DG413" s="60"/>
      <c r="DH413" s="61"/>
      <c r="DI413" s="62"/>
    </row>
    <row r="414" spans="2:113">
      <c r="B414" s="20"/>
      <c r="CP414" s="2"/>
      <c r="CQ414" s="2"/>
      <c r="CR414" s="2"/>
      <c r="CS414" s="2"/>
      <c r="CT414" s="2"/>
      <c r="CU414" s="2"/>
      <c r="CV414" s="34"/>
      <c r="CW414" s="60"/>
      <c r="CX414" s="60"/>
      <c r="CY414" s="60"/>
      <c r="CZ414" s="20"/>
      <c r="DA414" s="20"/>
      <c r="DB414" s="20"/>
      <c r="DD414" s="20"/>
      <c r="DF414" s="122"/>
      <c r="DG414" s="60"/>
      <c r="DH414" s="61"/>
      <c r="DI414" s="62"/>
    </row>
    <row r="415" spans="2:113">
      <c r="B415" s="20"/>
      <c r="CP415" s="2"/>
      <c r="CQ415" s="2"/>
      <c r="CR415" s="2"/>
      <c r="CS415" s="2"/>
      <c r="CT415" s="2"/>
      <c r="CU415" s="2"/>
      <c r="CV415" s="34"/>
      <c r="CW415" s="60"/>
      <c r="CX415" s="60"/>
      <c r="CY415" s="60"/>
      <c r="CZ415" s="20"/>
      <c r="DA415" s="20"/>
      <c r="DB415" s="20"/>
      <c r="DD415" s="20"/>
      <c r="DF415" s="122"/>
      <c r="DG415" s="60"/>
      <c r="DH415" s="61"/>
      <c r="DI415" s="62"/>
    </row>
    <row r="416" spans="2:113">
      <c r="B416" s="20"/>
      <c r="CP416" s="2"/>
      <c r="CQ416" s="2"/>
      <c r="CR416" s="2"/>
      <c r="CS416" s="2"/>
      <c r="CT416" s="2"/>
      <c r="CU416" s="2"/>
      <c r="CV416" s="34"/>
      <c r="CW416" s="60"/>
      <c r="CX416" s="60"/>
      <c r="CY416" s="60"/>
      <c r="CZ416" s="20"/>
      <c r="DA416" s="20"/>
      <c r="DB416" s="20"/>
      <c r="DD416" s="20"/>
      <c r="DF416" s="122"/>
      <c r="DG416" s="60"/>
      <c r="DH416" s="61"/>
      <c r="DI416" s="62"/>
    </row>
    <row r="417" spans="1:113">
      <c r="B417" s="20"/>
      <c r="CP417" s="2"/>
      <c r="CQ417" s="2"/>
      <c r="CR417" s="2"/>
      <c r="CS417" s="2"/>
      <c r="CT417" s="2"/>
      <c r="CU417" s="2"/>
      <c r="CV417" s="34"/>
      <c r="CW417" s="60"/>
      <c r="CX417" s="60"/>
      <c r="CY417" s="60"/>
      <c r="CZ417" s="20"/>
      <c r="DA417" s="20"/>
      <c r="DB417" s="20"/>
      <c r="DD417" s="20"/>
      <c r="DF417" s="122"/>
      <c r="DG417" s="60"/>
      <c r="DH417" s="61"/>
      <c r="DI417" s="62"/>
    </row>
    <row r="418" spans="1:113">
      <c r="B418" s="20"/>
      <c r="CP418" s="2"/>
      <c r="CQ418" s="2"/>
      <c r="CR418" s="2"/>
      <c r="CS418" s="2"/>
      <c r="CT418" s="2"/>
      <c r="CU418" s="2"/>
      <c r="CV418" s="34"/>
      <c r="CW418" s="60"/>
      <c r="CX418" s="60"/>
      <c r="CY418" s="60"/>
      <c r="CZ418" s="20"/>
      <c r="DA418" s="20"/>
      <c r="DB418" s="20"/>
      <c r="DD418" s="20"/>
      <c r="DF418" s="122"/>
      <c r="DG418" s="60"/>
      <c r="DH418" s="61"/>
      <c r="DI418" s="62"/>
    </row>
    <row r="419" spans="1:113">
      <c r="A419"/>
      <c r="B419" s="20"/>
      <c r="CP419" s="2"/>
      <c r="CQ419" s="2"/>
      <c r="CR419" s="2"/>
      <c r="CS419" s="2"/>
      <c r="CT419" s="2"/>
      <c r="CU419" s="2"/>
      <c r="CV419" s="34"/>
      <c r="CW419" s="60"/>
      <c r="CX419" s="60"/>
      <c r="CY419" s="60"/>
      <c r="CZ419" s="20"/>
      <c r="DA419" s="20"/>
      <c r="DB419" s="20"/>
      <c r="DD419" s="20"/>
      <c r="DF419" s="122"/>
      <c r="DG419" s="60"/>
      <c r="DH419" s="61"/>
      <c r="DI419" s="62"/>
    </row>
    <row r="420" spans="1:113">
      <c r="A420"/>
      <c r="B420" s="20"/>
      <c r="CP420" s="2"/>
      <c r="CQ420" s="2"/>
      <c r="CR420" s="2"/>
      <c r="CS420" s="2"/>
      <c r="CT420" s="2"/>
      <c r="CU420" s="2"/>
      <c r="CV420" s="34"/>
      <c r="CW420" s="60"/>
      <c r="CX420" s="60"/>
      <c r="CY420" s="60"/>
      <c r="CZ420" s="20"/>
      <c r="DA420" s="20"/>
      <c r="DB420" s="20"/>
      <c r="DD420" s="20"/>
      <c r="DF420" s="122"/>
      <c r="DG420" s="60"/>
      <c r="DH420" s="61"/>
      <c r="DI420" s="62"/>
    </row>
    <row r="421" spans="1:113">
      <c r="A421"/>
      <c r="B421" s="20"/>
      <c r="CP421" s="2"/>
      <c r="CQ421" s="2"/>
      <c r="CR421" s="2"/>
      <c r="CS421" s="2"/>
      <c r="CT421" s="2"/>
      <c r="CU421" s="2"/>
      <c r="CV421" s="34"/>
      <c r="CW421" s="60"/>
      <c r="CX421" s="60"/>
      <c r="CY421" s="60"/>
      <c r="CZ421" s="20"/>
      <c r="DA421" s="20"/>
      <c r="DB421" s="20"/>
      <c r="DD421" s="20"/>
      <c r="DF421" s="122"/>
      <c r="DG421" s="60"/>
      <c r="DH421" s="61"/>
      <c r="DI421" s="62"/>
    </row>
    <row r="422" spans="1:113">
      <c r="A422"/>
      <c r="B422" s="20"/>
      <c r="CP422" s="2"/>
      <c r="CQ422" s="2"/>
      <c r="CR422" s="2"/>
      <c r="CS422" s="2"/>
      <c r="CT422" s="2"/>
      <c r="CU422" s="2"/>
      <c r="CV422" s="34"/>
      <c r="CW422" s="60"/>
      <c r="CX422" s="60"/>
      <c r="CY422" s="60"/>
      <c r="CZ422" s="20"/>
      <c r="DA422" s="20"/>
      <c r="DB422" s="20"/>
      <c r="DD422" s="20"/>
      <c r="DF422" s="122"/>
      <c r="DG422" s="60"/>
      <c r="DH422" s="61"/>
      <c r="DI422" s="62"/>
    </row>
    <row r="423" spans="1:113">
      <c r="A423"/>
      <c r="B423" s="20"/>
      <c r="CP423" s="2"/>
      <c r="CQ423" s="2"/>
      <c r="CR423" s="2"/>
      <c r="CS423" s="2"/>
      <c r="CT423" s="2"/>
      <c r="CU423" s="2"/>
      <c r="CV423" s="34"/>
      <c r="CW423" s="60"/>
      <c r="CX423" s="60"/>
      <c r="CY423" s="60"/>
      <c r="CZ423" s="20"/>
      <c r="DA423" s="20"/>
      <c r="DB423" s="20"/>
      <c r="DD423" s="20"/>
      <c r="DF423" s="122"/>
      <c r="DG423" s="60"/>
      <c r="DH423" s="61"/>
      <c r="DI423" s="62"/>
    </row>
    <row r="424" spans="1:113">
      <c r="A424"/>
      <c r="B424" s="20"/>
      <c r="CP424" s="2"/>
      <c r="CQ424" s="2"/>
      <c r="CR424" s="2"/>
      <c r="CS424" s="2"/>
      <c r="CT424" s="2"/>
      <c r="CU424" s="2"/>
      <c r="CV424" s="34"/>
      <c r="CW424" s="60"/>
      <c r="CX424" s="60"/>
      <c r="CY424" s="60"/>
      <c r="CZ424" s="20"/>
      <c r="DA424" s="20"/>
      <c r="DB424" s="20"/>
      <c r="DD424" s="20"/>
      <c r="DF424" s="122"/>
      <c r="DG424" s="60"/>
      <c r="DH424" s="61"/>
      <c r="DI424" s="62"/>
    </row>
    <row r="425" spans="1:113">
      <c r="A425"/>
      <c r="B425" s="20"/>
      <c r="CP425" s="2"/>
      <c r="CQ425" s="2"/>
      <c r="CR425" s="2"/>
      <c r="CS425" s="2"/>
      <c r="CT425" s="2"/>
      <c r="CU425" s="2"/>
      <c r="CV425" s="34"/>
      <c r="CW425" s="60"/>
      <c r="CX425" s="60"/>
      <c r="CY425" s="60"/>
      <c r="CZ425" s="20"/>
      <c r="DA425" s="20"/>
      <c r="DB425" s="20"/>
      <c r="DD425" s="20"/>
      <c r="DF425" s="122"/>
      <c r="DG425" s="60"/>
      <c r="DH425" s="61"/>
      <c r="DI425" s="62"/>
    </row>
    <row r="426" spans="1:113">
      <c r="B426" s="20"/>
      <c r="CP426" s="2"/>
      <c r="CQ426" s="2"/>
      <c r="CR426" s="2"/>
      <c r="CS426" s="2"/>
      <c r="CT426" s="2"/>
      <c r="CU426" s="2"/>
      <c r="CV426" s="34"/>
      <c r="CW426" s="60"/>
      <c r="CX426" s="60"/>
      <c r="CY426" s="60"/>
      <c r="CZ426" s="20"/>
      <c r="DA426" s="20"/>
      <c r="DB426" s="20"/>
      <c r="DD426" s="20"/>
      <c r="DF426" s="122"/>
      <c r="DG426" s="60"/>
      <c r="DH426" s="61"/>
      <c r="DI426" s="62"/>
    </row>
    <row r="427" spans="1:113">
      <c r="B427" s="20"/>
      <c r="CP427" s="2"/>
      <c r="CQ427" s="2"/>
      <c r="CR427" s="2"/>
      <c r="CS427" s="2"/>
      <c r="CT427" s="2"/>
      <c r="CU427" s="2"/>
      <c r="CV427" s="34"/>
      <c r="CW427" s="60"/>
      <c r="CX427" s="60"/>
      <c r="CY427" s="60"/>
      <c r="CZ427" s="20"/>
      <c r="DA427" s="20"/>
      <c r="DB427" s="20"/>
      <c r="DD427" s="20"/>
      <c r="DF427" s="122"/>
      <c r="DG427" s="60"/>
      <c r="DH427" s="61"/>
      <c r="DI427" s="62"/>
    </row>
    <row r="428" spans="1:113">
      <c r="B428" s="20"/>
      <c r="CP428" s="2"/>
      <c r="CQ428" s="2"/>
      <c r="CR428" s="2"/>
      <c r="CS428" s="2"/>
      <c r="CT428" s="2"/>
      <c r="CU428" s="2"/>
      <c r="CV428" s="34"/>
      <c r="CW428" s="60"/>
      <c r="CX428" s="60"/>
      <c r="CY428" s="60"/>
      <c r="CZ428" s="20"/>
      <c r="DA428" s="20"/>
      <c r="DB428" s="20"/>
      <c r="DD428" s="20"/>
      <c r="DF428" s="122"/>
      <c r="DG428" s="60"/>
      <c r="DH428" s="61"/>
      <c r="DI428" s="62"/>
    </row>
    <row r="429" spans="1:113">
      <c r="B429" s="20"/>
      <c r="CP429" s="2"/>
      <c r="CQ429" s="2"/>
      <c r="CR429" s="2"/>
      <c r="CS429" s="2"/>
      <c r="CT429" s="2"/>
      <c r="CU429" s="2"/>
      <c r="CV429" s="34"/>
      <c r="CW429" s="60"/>
      <c r="CX429" s="60"/>
      <c r="CY429" s="60"/>
      <c r="CZ429" s="20"/>
      <c r="DA429" s="20"/>
      <c r="DB429" s="20"/>
      <c r="DD429" s="20"/>
      <c r="DF429" s="122"/>
      <c r="DG429" s="60"/>
      <c r="DH429" s="61"/>
      <c r="DI429" s="62"/>
    </row>
    <row r="430" spans="1:113">
      <c r="B430" s="20"/>
      <c r="CP430" s="2"/>
      <c r="CQ430" s="2"/>
      <c r="CR430" s="2"/>
      <c r="CS430" s="2"/>
      <c r="CT430" s="2"/>
      <c r="CU430" s="2"/>
      <c r="CV430" s="34"/>
      <c r="CW430" s="60"/>
      <c r="CX430" s="60"/>
      <c r="CY430" s="60"/>
      <c r="CZ430" s="20"/>
      <c r="DA430" s="20"/>
      <c r="DB430" s="20"/>
      <c r="DD430" s="20"/>
      <c r="DF430" s="122"/>
      <c r="DG430" s="60"/>
      <c r="DH430" s="61"/>
      <c r="DI430" s="62"/>
    </row>
    <row r="431" spans="1:113">
      <c r="B431" s="20"/>
      <c r="CP431" s="2"/>
      <c r="CQ431" s="2"/>
      <c r="CR431" s="2"/>
      <c r="CS431" s="2"/>
      <c r="CT431" s="2"/>
      <c r="CU431" s="2"/>
      <c r="CV431" s="34"/>
      <c r="CW431" s="60"/>
      <c r="CX431" s="60"/>
      <c r="CY431" s="60"/>
      <c r="CZ431" s="20"/>
      <c r="DA431" s="20"/>
      <c r="DB431" s="20"/>
      <c r="DD431" s="20"/>
      <c r="DF431" s="122"/>
      <c r="DG431" s="60"/>
      <c r="DH431" s="61"/>
      <c r="DI431" s="62"/>
    </row>
    <row r="432" spans="1:113">
      <c r="B432" s="20"/>
      <c r="CP432" s="2"/>
      <c r="CQ432" s="2"/>
      <c r="CR432" s="2"/>
      <c r="CS432" s="2"/>
      <c r="CT432" s="2"/>
      <c r="CU432" s="2"/>
      <c r="CV432" s="34"/>
      <c r="CW432" s="60"/>
      <c r="CX432" s="60"/>
      <c r="CY432" s="60"/>
      <c r="CZ432" s="20"/>
      <c r="DA432" s="20"/>
      <c r="DB432" s="20"/>
      <c r="DD432" s="20"/>
      <c r="DF432" s="122"/>
      <c r="DG432" s="60"/>
      <c r="DH432" s="61"/>
      <c r="DI432" s="62"/>
    </row>
    <row r="433" spans="2:113">
      <c r="B433" s="20"/>
      <c r="CP433" s="2"/>
      <c r="CQ433" s="2"/>
      <c r="CR433" s="2"/>
      <c r="CS433" s="2"/>
      <c r="CT433" s="2"/>
      <c r="CU433" s="2"/>
      <c r="CV433" s="34"/>
      <c r="CW433" s="60"/>
      <c r="CX433" s="60"/>
      <c r="CY433" s="60"/>
      <c r="CZ433" s="20"/>
      <c r="DA433" s="20"/>
      <c r="DB433" s="20"/>
      <c r="DD433" s="20"/>
      <c r="DF433" s="122"/>
      <c r="DG433" s="60"/>
      <c r="DH433" s="61"/>
      <c r="DI433" s="62"/>
    </row>
    <row r="434" spans="2:113">
      <c r="B434" s="20"/>
      <c r="CP434" s="2"/>
      <c r="CQ434" s="2"/>
      <c r="CR434" s="2"/>
      <c r="CS434" s="2"/>
      <c r="CT434" s="2"/>
      <c r="CU434" s="2"/>
      <c r="CV434" s="34"/>
      <c r="CW434" s="60"/>
      <c r="CX434" s="60"/>
      <c r="CY434" s="60"/>
      <c r="CZ434" s="20"/>
      <c r="DA434" s="20"/>
      <c r="DB434" s="20"/>
      <c r="DD434" s="20"/>
      <c r="DF434" s="122"/>
      <c r="DG434" s="60"/>
      <c r="DH434" s="61"/>
      <c r="DI434" s="62"/>
    </row>
    <row r="435" spans="2:113">
      <c r="B435" s="20"/>
      <c r="CP435" s="2"/>
      <c r="CQ435" s="2"/>
      <c r="CR435" s="2"/>
      <c r="CS435" s="2"/>
      <c r="CT435" s="2"/>
      <c r="CU435" s="2"/>
      <c r="CV435" s="34"/>
      <c r="CW435" s="60"/>
      <c r="CX435" s="60"/>
      <c r="CY435" s="60"/>
      <c r="CZ435" s="20"/>
      <c r="DA435" s="20"/>
      <c r="DB435" s="20"/>
      <c r="DD435" s="20"/>
      <c r="DF435" s="122"/>
      <c r="DG435" s="60"/>
      <c r="DH435" s="61"/>
      <c r="DI435" s="62"/>
    </row>
    <row r="436" spans="2:113">
      <c r="B436" s="20"/>
      <c r="CP436" s="2"/>
      <c r="CQ436" s="2"/>
      <c r="CR436" s="2"/>
      <c r="CS436" s="2"/>
      <c r="CT436" s="2"/>
      <c r="CU436" s="2"/>
      <c r="CV436" s="34"/>
      <c r="CW436" s="60"/>
      <c r="CX436" s="60"/>
      <c r="CY436" s="60"/>
      <c r="CZ436" s="20"/>
      <c r="DA436" s="20"/>
      <c r="DB436" s="20"/>
      <c r="DD436" s="20"/>
      <c r="DF436" s="122"/>
      <c r="DG436" s="60"/>
      <c r="DH436" s="61"/>
      <c r="DI436" s="62"/>
    </row>
    <row r="437" spans="2:113">
      <c r="B437" s="20"/>
      <c r="CP437" s="2"/>
      <c r="CQ437" s="2"/>
      <c r="CR437" s="2"/>
      <c r="CS437" s="2"/>
      <c r="CT437" s="2"/>
      <c r="CU437" s="2"/>
      <c r="CV437" s="34"/>
      <c r="CW437" s="60"/>
      <c r="CX437" s="60"/>
      <c r="CY437" s="60"/>
      <c r="CZ437" s="20"/>
      <c r="DA437" s="20"/>
      <c r="DB437" s="20"/>
      <c r="DD437" s="20"/>
      <c r="DF437" s="122"/>
      <c r="DG437" s="60"/>
      <c r="DH437" s="61"/>
      <c r="DI437" s="62"/>
    </row>
    <row r="438" spans="2:113">
      <c r="B438" s="20"/>
      <c r="CP438" s="2"/>
      <c r="CQ438" s="2"/>
      <c r="CR438" s="2"/>
      <c r="CS438" s="2"/>
      <c r="CT438" s="2"/>
      <c r="CU438" s="2"/>
      <c r="CV438" s="34"/>
      <c r="CW438" s="60"/>
      <c r="CX438" s="60"/>
      <c r="CY438" s="60"/>
      <c r="CZ438" s="20"/>
      <c r="DA438" s="20"/>
      <c r="DB438" s="20"/>
      <c r="DD438" s="20"/>
      <c r="DF438" s="122"/>
      <c r="DG438" s="60"/>
      <c r="DH438" s="61"/>
      <c r="DI438" s="62"/>
    </row>
    <row r="439" spans="2:113">
      <c r="B439" s="20"/>
      <c r="CP439" s="2"/>
      <c r="CQ439" s="2"/>
      <c r="CR439" s="2"/>
      <c r="CS439" s="2"/>
      <c r="CT439" s="2"/>
      <c r="CU439" s="2"/>
      <c r="CV439" s="34"/>
      <c r="CW439" s="60"/>
      <c r="CX439" s="60"/>
      <c r="CY439" s="60"/>
      <c r="CZ439" s="20"/>
      <c r="DA439" s="20"/>
      <c r="DB439" s="20"/>
      <c r="DD439" s="20"/>
      <c r="DF439" s="122"/>
      <c r="DG439" s="60"/>
      <c r="DH439" s="61"/>
      <c r="DI439" s="62"/>
    </row>
    <row r="440" spans="2:113">
      <c r="B440" s="20"/>
      <c r="CP440" s="2"/>
      <c r="CQ440" s="2"/>
      <c r="CR440" s="2"/>
      <c r="CS440" s="2"/>
      <c r="CT440" s="2"/>
      <c r="CU440" s="2"/>
      <c r="CV440" s="34"/>
      <c r="CW440" s="60"/>
      <c r="CX440" s="60"/>
      <c r="CY440" s="60"/>
      <c r="CZ440" s="20"/>
      <c r="DA440" s="20"/>
      <c r="DB440" s="20"/>
      <c r="DD440" s="20"/>
      <c r="DF440" s="122"/>
      <c r="DG440" s="60"/>
      <c r="DH440" s="61"/>
      <c r="DI440" s="62"/>
    </row>
    <row r="441" spans="2:113">
      <c r="B441" s="20"/>
      <c r="CP441" s="2"/>
      <c r="CQ441" s="2"/>
      <c r="CR441" s="2"/>
      <c r="CS441" s="2"/>
      <c r="CT441" s="2"/>
      <c r="CU441" s="2"/>
      <c r="CV441" s="34"/>
      <c r="CW441" s="60"/>
      <c r="CX441" s="60"/>
      <c r="CY441" s="60"/>
      <c r="CZ441" s="20"/>
      <c r="DA441" s="20"/>
      <c r="DB441" s="20"/>
      <c r="DD441" s="20"/>
      <c r="DF441" s="122"/>
      <c r="DG441" s="60"/>
      <c r="DH441" s="61"/>
      <c r="DI441" s="62"/>
    </row>
    <row r="442" spans="2:113">
      <c r="B442" s="20"/>
      <c r="CP442" s="2"/>
      <c r="CQ442" s="2"/>
      <c r="CR442" s="2"/>
      <c r="CS442" s="2"/>
      <c r="CT442" s="2"/>
      <c r="CU442" s="2"/>
      <c r="CV442" s="34"/>
      <c r="CW442" s="60"/>
      <c r="CX442" s="60"/>
      <c r="CY442" s="60"/>
      <c r="CZ442" s="20"/>
      <c r="DA442" s="20"/>
      <c r="DB442" s="20"/>
      <c r="DD442" s="20"/>
      <c r="DF442" s="122"/>
      <c r="DG442" s="60"/>
      <c r="DH442" s="61"/>
      <c r="DI442" s="62"/>
    </row>
    <row r="443" spans="2:113">
      <c r="B443" s="20"/>
      <c r="CP443" s="2"/>
      <c r="CQ443" s="2"/>
      <c r="CR443" s="2"/>
      <c r="CS443" s="2"/>
      <c r="CT443" s="2"/>
      <c r="CU443" s="2"/>
      <c r="CV443" s="34"/>
      <c r="CW443" s="60"/>
      <c r="CX443" s="60"/>
      <c r="CY443" s="60"/>
      <c r="CZ443" s="20"/>
      <c r="DA443" s="20"/>
      <c r="DB443" s="20"/>
      <c r="DD443" s="20"/>
      <c r="DF443" s="122"/>
      <c r="DG443" s="60"/>
      <c r="DH443" s="61"/>
      <c r="DI443" s="62"/>
    </row>
    <row r="444" spans="2:113">
      <c r="B444" s="20"/>
      <c r="CP444" s="2"/>
      <c r="CQ444" s="2"/>
      <c r="CR444" s="2"/>
      <c r="CS444" s="2"/>
      <c r="CT444" s="2"/>
      <c r="CU444" s="2"/>
      <c r="CV444" s="34"/>
      <c r="CW444" s="60"/>
      <c r="CX444" s="60"/>
      <c r="CY444" s="60"/>
      <c r="CZ444" s="20"/>
      <c r="DA444" s="20"/>
      <c r="DB444" s="20"/>
      <c r="DD444" s="20"/>
      <c r="DF444" s="122"/>
      <c r="DG444" s="60"/>
      <c r="DH444" s="61"/>
      <c r="DI444" s="62"/>
    </row>
    <row r="445" spans="2:113">
      <c r="B445" s="20"/>
      <c r="CP445" s="2"/>
      <c r="CQ445" s="2"/>
      <c r="CR445" s="2"/>
      <c r="CS445" s="2"/>
      <c r="CT445" s="2"/>
      <c r="CU445" s="2"/>
      <c r="CV445" s="34"/>
      <c r="CW445" s="60"/>
      <c r="CX445" s="60"/>
      <c r="CY445" s="60"/>
      <c r="CZ445" s="20"/>
      <c r="DA445" s="20"/>
      <c r="DB445" s="20"/>
      <c r="DD445" s="20"/>
      <c r="DF445" s="122"/>
      <c r="DG445" s="60"/>
      <c r="DH445" s="61"/>
      <c r="DI445" s="62"/>
    </row>
    <row r="446" spans="2:113">
      <c r="B446" s="20"/>
      <c r="CP446" s="2"/>
      <c r="CQ446" s="2"/>
      <c r="CR446" s="2"/>
      <c r="CS446" s="2"/>
      <c r="CT446" s="2"/>
      <c r="CU446" s="2"/>
      <c r="CV446" s="34"/>
      <c r="CW446" s="60"/>
      <c r="CX446" s="60"/>
      <c r="CY446" s="60"/>
      <c r="CZ446" s="20"/>
      <c r="DA446" s="20"/>
      <c r="DB446" s="20"/>
      <c r="DD446" s="20"/>
      <c r="DF446" s="122"/>
      <c r="DG446" s="60"/>
      <c r="DH446" s="61"/>
      <c r="DI446" s="62"/>
    </row>
    <row r="447" spans="2:113">
      <c r="B447" s="20"/>
      <c r="CP447" s="2"/>
      <c r="CQ447" s="2"/>
      <c r="CR447" s="2"/>
      <c r="CS447" s="2"/>
      <c r="CT447" s="2"/>
      <c r="CU447" s="2"/>
      <c r="CV447" s="34"/>
      <c r="CW447" s="60"/>
      <c r="CX447" s="60"/>
      <c r="CY447" s="60"/>
      <c r="CZ447" s="20"/>
      <c r="DA447" s="20"/>
      <c r="DB447" s="20"/>
      <c r="DD447" s="20"/>
      <c r="DF447" s="122"/>
      <c r="DG447" s="60"/>
      <c r="DH447" s="61"/>
      <c r="DI447" s="62"/>
    </row>
    <row r="448" spans="2:113">
      <c r="B448" s="20"/>
      <c r="CP448" s="2"/>
      <c r="CQ448" s="2"/>
      <c r="CR448" s="2"/>
      <c r="CS448" s="2"/>
      <c r="CT448" s="2"/>
      <c r="CU448" s="2"/>
      <c r="CV448" s="34"/>
      <c r="CW448" s="60"/>
      <c r="CX448" s="60"/>
      <c r="CY448" s="60"/>
      <c r="CZ448" s="20"/>
      <c r="DA448" s="20"/>
      <c r="DB448" s="20"/>
      <c r="DD448" s="20"/>
      <c r="DF448" s="122"/>
      <c r="DG448" s="60"/>
      <c r="DH448" s="61"/>
      <c r="DI448" s="62"/>
    </row>
    <row r="449" spans="2:113">
      <c r="B449" s="20"/>
      <c r="CP449" s="2"/>
      <c r="CQ449" s="2"/>
      <c r="CR449" s="2"/>
      <c r="CS449" s="2"/>
      <c r="CT449" s="2"/>
      <c r="CU449" s="2"/>
      <c r="CV449" s="34"/>
      <c r="CW449" s="60"/>
      <c r="CX449" s="60"/>
      <c r="CY449" s="60"/>
      <c r="CZ449" s="20"/>
      <c r="DA449" s="20"/>
      <c r="DB449" s="20"/>
      <c r="DD449" s="20"/>
      <c r="DF449" s="122"/>
      <c r="DG449" s="60"/>
      <c r="DH449" s="61"/>
      <c r="DI449" s="62"/>
    </row>
    <row r="450" spans="2:113">
      <c r="B450" s="20"/>
      <c r="CP450" s="2"/>
      <c r="CQ450" s="2"/>
      <c r="CR450" s="2"/>
      <c r="CS450" s="2"/>
      <c r="CT450" s="2"/>
      <c r="CU450" s="2"/>
      <c r="CV450" s="34"/>
      <c r="CW450" s="60"/>
      <c r="CX450" s="60"/>
      <c r="CY450" s="60"/>
      <c r="CZ450" s="20"/>
      <c r="DA450" s="20"/>
      <c r="DB450" s="20"/>
      <c r="DD450" s="20"/>
      <c r="DF450" s="122"/>
      <c r="DG450" s="60"/>
      <c r="DH450" s="61"/>
      <c r="DI450" s="62"/>
    </row>
    <row r="451" spans="2:113">
      <c r="B451" s="20"/>
      <c r="CP451" s="2"/>
      <c r="CQ451" s="2"/>
      <c r="CR451" s="2"/>
      <c r="CS451" s="2"/>
      <c r="CT451" s="2"/>
      <c r="CU451" s="2"/>
      <c r="CV451" s="34"/>
      <c r="CW451" s="60"/>
      <c r="CX451" s="60"/>
      <c r="CY451" s="60"/>
      <c r="CZ451" s="20"/>
      <c r="DA451" s="20"/>
      <c r="DB451" s="20"/>
      <c r="DD451" s="20"/>
      <c r="DF451" s="122"/>
      <c r="DG451" s="60"/>
      <c r="DH451" s="61"/>
      <c r="DI451" s="62"/>
    </row>
    <row r="452" spans="2:113">
      <c r="B452" s="20"/>
      <c r="CP452" s="2"/>
      <c r="CQ452" s="2"/>
      <c r="CR452" s="2"/>
      <c r="CS452" s="2"/>
      <c r="CT452" s="2"/>
      <c r="CU452" s="2"/>
      <c r="CV452" s="34"/>
      <c r="CW452" s="60"/>
      <c r="CX452" s="60"/>
      <c r="CY452" s="60"/>
      <c r="CZ452" s="20"/>
      <c r="DA452" s="20"/>
      <c r="DB452" s="20"/>
      <c r="DD452" s="20"/>
      <c r="DF452" s="122"/>
      <c r="DG452" s="60"/>
      <c r="DH452" s="61"/>
      <c r="DI452" s="62"/>
    </row>
    <row r="453" spans="2:113">
      <c r="B453" s="20"/>
      <c r="CP453" s="2"/>
      <c r="CQ453" s="2"/>
      <c r="CR453" s="2"/>
      <c r="CS453" s="2"/>
      <c r="CT453" s="2"/>
      <c r="CU453" s="2"/>
      <c r="CV453" s="34"/>
      <c r="CW453" s="60"/>
      <c r="CX453" s="60"/>
      <c r="CY453" s="60"/>
      <c r="CZ453" s="20"/>
      <c r="DA453" s="20"/>
      <c r="DB453" s="20"/>
      <c r="DD453" s="20"/>
      <c r="DF453" s="122"/>
      <c r="DG453" s="60"/>
      <c r="DH453" s="61"/>
      <c r="DI453" s="62"/>
    </row>
    <row r="454" spans="2:113">
      <c r="B454" s="20"/>
      <c r="CP454" s="2"/>
      <c r="CQ454" s="2"/>
      <c r="CR454" s="2"/>
      <c r="CS454" s="2"/>
      <c r="CT454" s="2"/>
      <c r="CU454" s="2"/>
      <c r="CV454" s="34"/>
      <c r="CW454" s="60"/>
      <c r="CX454" s="60"/>
      <c r="CY454" s="60"/>
      <c r="CZ454" s="20"/>
      <c r="DA454" s="20"/>
      <c r="DB454" s="20"/>
      <c r="DD454" s="20"/>
      <c r="DF454" s="122"/>
      <c r="DG454" s="60"/>
      <c r="DH454" s="61"/>
      <c r="DI454" s="62"/>
    </row>
    <row r="455" spans="2:113">
      <c r="B455" s="20"/>
      <c r="CP455" s="2"/>
      <c r="CQ455" s="2"/>
      <c r="CR455" s="2"/>
      <c r="CS455" s="2"/>
      <c r="CT455" s="2"/>
      <c r="CU455" s="2"/>
      <c r="CV455" s="34"/>
      <c r="CW455" s="60"/>
      <c r="CX455" s="60"/>
      <c r="CY455" s="60"/>
      <c r="CZ455" s="20"/>
      <c r="DA455" s="20"/>
      <c r="DB455" s="20"/>
      <c r="DD455" s="20"/>
      <c r="DF455" s="122"/>
      <c r="DG455" s="60"/>
      <c r="DH455" s="61"/>
      <c r="DI455" s="62"/>
    </row>
    <row r="456" spans="2:113">
      <c r="B456" s="20"/>
      <c r="CP456" s="2"/>
      <c r="CQ456" s="2"/>
      <c r="CR456" s="2"/>
      <c r="CS456" s="2"/>
      <c r="CT456" s="2"/>
      <c r="CU456" s="2"/>
      <c r="CV456" s="34"/>
      <c r="CW456" s="60"/>
      <c r="CX456" s="60"/>
      <c r="CY456" s="60"/>
      <c r="CZ456" s="20"/>
      <c r="DA456" s="20"/>
      <c r="DB456" s="20"/>
      <c r="DD456" s="20"/>
      <c r="DF456" s="122"/>
      <c r="DG456" s="60"/>
      <c r="DH456" s="61"/>
      <c r="DI456" s="62"/>
    </row>
    <row r="457" spans="2:113">
      <c r="B457" s="20"/>
      <c r="CP457" s="2"/>
      <c r="CQ457" s="2"/>
      <c r="CR457" s="2"/>
      <c r="CS457" s="2"/>
      <c r="CT457" s="2"/>
      <c r="CU457" s="2"/>
      <c r="CV457" s="34"/>
      <c r="CW457" s="60"/>
      <c r="CX457" s="60"/>
      <c r="CY457" s="60"/>
      <c r="CZ457" s="20"/>
      <c r="DA457" s="20"/>
      <c r="DB457" s="20"/>
      <c r="DD457" s="20"/>
      <c r="DF457" s="122"/>
      <c r="DG457" s="60"/>
      <c r="DH457" s="61"/>
      <c r="DI457" s="62"/>
    </row>
    <row r="458" spans="2:113">
      <c r="B458" s="20"/>
      <c r="CP458" s="2"/>
      <c r="CQ458" s="2"/>
      <c r="CR458" s="2"/>
      <c r="CS458" s="2"/>
      <c r="CT458" s="2"/>
      <c r="CU458" s="2"/>
      <c r="CV458" s="34"/>
      <c r="CW458" s="60"/>
      <c r="CX458" s="60"/>
      <c r="CY458" s="60"/>
      <c r="CZ458" s="20"/>
      <c r="DA458" s="20"/>
      <c r="DB458" s="20"/>
      <c r="DD458" s="20"/>
      <c r="DF458" s="122"/>
      <c r="DG458" s="60"/>
      <c r="DH458" s="61"/>
      <c r="DI458" s="62"/>
    </row>
    <row r="459" spans="2:113">
      <c r="B459" s="20"/>
      <c r="CP459" s="2"/>
      <c r="CQ459" s="2"/>
      <c r="CR459" s="2"/>
      <c r="CS459" s="2"/>
      <c r="CT459" s="2"/>
      <c r="CU459" s="2"/>
      <c r="CV459" s="34"/>
      <c r="CW459" s="60"/>
      <c r="CX459" s="60"/>
      <c r="CY459" s="60"/>
      <c r="CZ459" s="20"/>
      <c r="DA459" s="20"/>
      <c r="DB459" s="20"/>
      <c r="DD459" s="20"/>
      <c r="DF459" s="122"/>
      <c r="DG459" s="60"/>
      <c r="DH459" s="61"/>
      <c r="DI459" s="62"/>
    </row>
    <row r="460" spans="2:113">
      <c r="B460" s="20"/>
      <c r="CP460" s="2"/>
      <c r="CQ460" s="2"/>
      <c r="CR460" s="2"/>
      <c r="CS460" s="2"/>
      <c r="CT460" s="2"/>
      <c r="CU460" s="2"/>
      <c r="CV460" s="34"/>
      <c r="CW460" s="60"/>
      <c r="CX460" s="60"/>
      <c r="CY460" s="60"/>
      <c r="CZ460" s="20"/>
      <c r="DA460" s="20"/>
      <c r="DB460" s="20"/>
      <c r="DD460" s="20"/>
      <c r="DF460" s="122"/>
      <c r="DG460" s="60"/>
      <c r="DH460" s="61"/>
      <c r="DI460" s="62"/>
    </row>
    <row r="461" spans="2:113">
      <c r="B461" s="20"/>
      <c r="CP461" s="2"/>
      <c r="CQ461" s="2"/>
      <c r="CR461" s="2"/>
      <c r="CS461" s="2"/>
      <c r="CT461" s="2"/>
      <c r="CU461" s="2"/>
      <c r="CV461" s="34"/>
      <c r="CW461" s="60"/>
      <c r="CX461" s="60"/>
      <c r="CY461" s="60"/>
      <c r="CZ461" s="20"/>
      <c r="DA461" s="20"/>
      <c r="DB461" s="20"/>
      <c r="DD461" s="20"/>
      <c r="DF461" s="122"/>
      <c r="DG461" s="60"/>
      <c r="DH461" s="61"/>
      <c r="DI461" s="62"/>
    </row>
    <row r="462" spans="2:113">
      <c r="B462" s="20"/>
      <c r="CP462" s="2"/>
      <c r="CQ462" s="2"/>
      <c r="CR462" s="2"/>
      <c r="CS462" s="2"/>
      <c r="CT462" s="2"/>
      <c r="CU462" s="2"/>
      <c r="CV462" s="34"/>
      <c r="CW462" s="60"/>
      <c r="CX462" s="60"/>
      <c r="CY462" s="60"/>
      <c r="CZ462" s="20"/>
      <c r="DA462" s="20"/>
      <c r="DB462" s="20"/>
      <c r="DD462" s="20"/>
      <c r="DF462" s="122"/>
      <c r="DG462" s="60"/>
      <c r="DH462" s="61"/>
      <c r="DI462" s="62"/>
    </row>
    <row r="463" spans="2:113">
      <c r="B463" s="20"/>
      <c r="CP463" s="2"/>
      <c r="CQ463" s="2"/>
      <c r="CR463" s="2"/>
      <c r="CS463" s="2"/>
      <c r="CT463" s="2"/>
      <c r="CU463" s="2"/>
      <c r="CV463" s="34"/>
      <c r="CW463" s="60"/>
      <c r="CX463" s="60"/>
      <c r="CY463" s="60"/>
      <c r="CZ463" s="20"/>
      <c r="DA463" s="20"/>
      <c r="DB463" s="20"/>
      <c r="DD463" s="20"/>
      <c r="DF463" s="122"/>
      <c r="DG463" s="60"/>
      <c r="DH463" s="61"/>
      <c r="DI463" s="62"/>
    </row>
    <row r="464" spans="2:113">
      <c r="B464" s="20"/>
      <c r="CP464" s="2"/>
      <c r="CQ464" s="2"/>
      <c r="CR464" s="2"/>
      <c r="CS464" s="2"/>
      <c r="CT464" s="2"/>
      <c r="CU464" s="2"/>
      <c r="CV464" s="34"/>
      <c r="CW464" s="60"/>
      <c r="CX464" s="60"/>
      <c r="CY464" s="60"/>
      <c r="CZ464" s="20"/>
      <c r="DA464" s="20"/>
      <c r="DB464" s="20"/>
      <c r="DD464" s="20"/>
      <c r="DF464" s="122"/>
      <c r="DG464" s="60"/>
      <c r="DH464" s="61"/>
      <c r="DI464" s="62"/>
    </row>
    <row r="465" spans="2:113">
      <c r="B465" s="20"/>
      <c r="CP465" s="2"/>
      <c r="CQ465" s="2"/>
      <c r="CR465" s="2"/>
      <c r="CS465" s="2"/>
      <c r="CT465" s="2"/>
      <c r="CU465" s="2"/>
      <c r="CV465" s="34"/>
      <c r="CW465" s="60"/>
      <c r="CX465" s="60"/>
      <c r="CY465" s="60"/>
      <c r="CZ465" s="20"/>
      <c r="DA465" s="20"/>
      <c r="DB465" s="20"/>
      <c r="DD465" s="20"/>
      <c r="DF465" s="122"/>
      <c r="DG465" s="60"/>
      <c r="DH465" s="61"/>
      <c r="DI465" s="62"/>
    </row>
    <row r="466" spans="2:113">
      <c r="B466" s="20"/>
      <c r="CP466" s="2"/>
      <c r="CQ466" s="2"/>
      <c r="CR466" s="2"/>
      <c r="CS466" s="2"/>
      <c r="CT466" s="2"/>
      <c r="CU466" s="2"/>
      <c r="CV466" s="34"/>
      <c r="CW466" s="60"/>
      <c r="CX466" s="60"/>
      <c r="CY466" s="60"/>
      <c r="CZ466" s="20"/>
      <c r="DA466" s="20"/>
      <c r="DB466" s="20"/>
      <c r="DD466" s="20"/>
      <c r="DF466" s="122"/>
      <c r="DG466" s="60"/>
      <c r="DH466" s="61"/>
      <c r="DI466" s="62"/>
    </row>
    <row r="467" spans="2:113">
      <c r="B467" s="20"/>
      <c r="CP467" s="2"/>
      <c r="CQ467" s="2"/>
      <c r="CR467" s="2"/>
      <c r="CS467" s="2"/>
      <c r="CT467" s="2"/>
      <c r="CU467" s="2"/>
      <c r="CV467" s="34"/>
      <c r="CW467" s="60"/>
      <c r="CX467" s="60"/>
      <c r="CY467" s="60"/>
      <c r="CZ467" s="20"/>
      <c r="DA467" s="20"/>
      <c r="DB467" s="20"/>
      <c r="DD467" s="20"/>
      <c r="DF467" s="122"/>
      <c r="DG467" s="60"/>
      <c r="DH467" s="61"/>
      <c r="DI467" s="62"/>
    </row>
    <row r="468" spans="2:113">
      <c r="B468" s="20"/>
      <c r="CP468" s="2"/>
      <c r="CQ468" s="2"/>
      <c r="CR468" s="2"/>
      <c r="CS468" s="2"/>
      <c r="CT468" s="2"/>
      <c r="CU468" s="2"/>
      <c r="CV468" s="34"/>
      <c r="CW468" s="60"/>
      <c r="CX468" s="60"/>
      <c r="CY468" s="60"/>
      <c r="CZ468" s="20"/>
      <c r="DA468" s="20"/>
      <c r="DB468" s="20"/>
      <c r="DD468" s="20"/>
      <c r="DF468" s="122"/>
      <c r="DG468" s="60"/>
      <c r="DH468" s="61"/>
      <c r="DI468" s="62"/>
    </row>
    <row r="469" spans="2:113">
      <c r="B469" s="20"/>
      <c r="CP469" s="2"/>
      <c r="CQ469" s="2"/>
      <c r="CR469" s="2"/>
      <c r="CS469" s="2"/>
      <c r="CT469" s="2"/>
      <c r="CU469" s="2"/>
      <c r="CV469" s="34"/>
      <c r="CW469" s="60"/>
      <c r="CX469" s="60"/>
      <c r="CY469" s="60"/>
      <c r="CZ469" s="20"/>
      <c r="DA469" s="20"/>
      <c r="DB469" s="20"/>
      <c r="DD469" s="20"/>
      <c r="DF469" s="122"/>
      <c r="DG469" s="60"/>
      <c r="DH469" s="61"/>
      <c r="DI469" s="62"/>
    </row>
    <row r="470" spans="2:113">
      <c r="B470" s="20"/>
      <c r="CP470" s="2"/>
      <c r="CQ470" s="2"/>
      <c r="CR470" s="2"/>
      <c r="CS470" s="2"/>
      <c r="CT470" s="2"/>
      <c r="CU470" s="2"/>
      <c r="CV470" s="34"/>
      <c r="CW470" s="60"/>
      <c r="CX470" s="60"/>
      <c r="CY470" s="60"/>
      <c r="CZ470" s="20"/>
      <c r="DA470" s="20"/>
      <c r="DB470" s="20"/>
      <c r="DD470" s="20"/>
      <c r="DF470" s="122"/>
      <c r="DG470" s="60"/>
      <c r="DH470" s="61"/>
      <c r="DI470" s="62"/>
    </row>
    <row r="471" spans="2:113">
      <c r="B471" s="20"/>
      <c r="CP471" s="2"/>
      <c r="CQ471" s="2"/>
      <c r="CR471" s="2"/>
      <c r="CS471" s="2"/>
      <c r="CT471" s="2"/>
      <c r="CU471" s="2"/>
      <c r="CV471" s="34"/>
      <c r="CW471" s="60"/>
      <c r="CX471" s="60"/>
      <c r="CY471" s="60"/>
      <c r="CZ471" s="20"/>
      <c r="DA471" s="20"/>
      <c r="DB471" s="20"/>
      <c r="DD471" s="20"/>
      <c r="DF471" s="122"/>
      <c r="DG471" s="60"/>
      <c r="DH471" s="61"/>
      <c r="DI471" s="62"/>
    </row>
    <row r="472" spans="2:113">
      <c r="B472" s="20"/>
      <c r="CP472" s="2"/>
      <c r="CQ472" s="2"/>
      <c r="CR472" s="2"/>
      <c r="CS472" s="2"/>
      <c r="CT472" s="2"/>
      <c r="CU472" s="2"/>
      <c r="CV472" s="34"/>
      <c r="CW472" s="60"/>
      <c r="CX472" s="60"/>
      <c r="CY472" s="60"/>
      <c r="CZ472" s="20"/>
      <c r="DA472" s="20"/>
      <c r="DB472" s="20"/>
      <c r="DD472" s="20"/>
      <c r="DF472" s="122"/>
      <c r="DG472" s="60"/>
      <c r="DH472" s="61"/>
      <c r="DI472" s="62"/>
    </row>
    <row r="473" spans="2:113">
      <c r="B473" s="20"/>
      <c r="CP473" s="2"/>
      <c r="CQ473" s="2"/>
      <c r="CR473" s="2"/>
      <c r="CS473" s="2"/>
      <c r="CT473" s="2"/>
      <c r="CU473" s="2"/>
      <c r="CV473" s="34"/>
      <c r="CW473" s="60"/>
      <c r="CX473" s="60"/>
      <c r="CY473" s="60"/>
      <c r="CZ473" s="20"/>
      <c r="DA473" s="20"/>
      <c r="DB473" s="20"/>
      <c r="DD473" s="20"/>
      <c r="DF473" s="122"/>
      <c r="DG473" s="60"/>
      <c r="DH473" s="61"/>
      <c r="DI473" s="62"/>
    </row>
    <row r="474" spans="2:113">
      <c r="B474" s="20"/>
      <c r="CP474" s="2"/>
      <c r="CQ474" s="2"/>
      <c r="CR474" s="2"/>
      <c r="CS474" s="2"/>
      <c r="CT474" s="2"/>
      <c r="CU474" s="2"/>
      <c r="CV474" s="34"/>
      <c r="CW474" s="60"/>
      <c r="CX474" s="60"/>
      <c r="CY474" s="60"/>
      <c r="CZ474" s="20"/>
      <c r="DA474" s="20"/>
      <c r="DB474" s="20"/>
      <c r="DD474" s="20"/>
      <c r="DF474" s="122"/>
      <c r="DG474" s="60"/>
      <c r="DH474" s="61"/>
      <c r="DI474" s="62"/>
    </row>
    <row r="475" spans="2:113">
      <c r="B475" s="20"/>
      <c r="CP475" s="2"/>
      <c r="CQ475" s="2"/>
      <c r="CR475" s="2"/>
      <c r="CS475" s="2"/>
      <c r="CT475" s="2"/>
      <c r="CU475" s="2"/>
      <c r="CV475" s="34"/>
      <c r="CW475" s="60"/>
      <c r="CX475" s="60"/>
      <c r="CY475" s="60"/>
      <c r="CZ475" s="20"/>
      <c r="DA475" s="20"/>
      <c r="DB475" s="20"/>
      <c r="DD475" s="20"/>
      <c r="DF475" s="122"/>
      <c r="DG475" s="60"/>
      <c r="DH475" s="61"/>
      <c r="DI475" s="62"/>
    </row>
    <row r="476" spans="2:113">
      <c r="B476" s="20"/>
      <c r="CP476" s="2"/>
      <c r="CQ476" s="2"/>
      <c r="CR476" s="2"/>
      <c r="CS476" s="2"/>
      <c r="CT476" s="2"/>
      <c r="CU476" s="2"/>
      <c r="CV476" s="34"/>
      <c r="CW476" s="60"/>
      <c r="CX476" s="60"/>
      <c r="CY476" s="60"/>
      <c r="CZ476" s="20"/>
      <c r="DA476" s="20"/>
      <c r="DB476" s="20"/>
      <c r="DD476" s="20"/>
      <c r="DF476" s="122"/>
      <c r="DG476" s="60"/>
      <c r="DH476" s="61"/>
      <c r="DI476" s="62"/>
    </row>
    <row r="477" spans="2:113">
      <c r="B477" s="20"/>
      <c r="CP477" s="2"/>
      <c r="CQ477" s="2"/>
      <c r="CR477" s="2"/>
      <c r="CS477" s="2"/>
      <c r="CT477" s="2"/>
      <c r="CU477" s="2"/>
      <c r="CV477" s="34"/>
      <c r="CW477" s="60"/>
      <c r="CX477" s="60"/>
      <c r="CY477" s="60"/>
      <c r="CZ477" s="20"/>
      <c r="DA477" s="20"/>
      <c r="DB477" s="20"/>
      <c r="DD477" s="20"/>
      <c r="DF477" s="122"/>
      <c r="DG477" s="60"/>
      <c r="DH477" s="61"/>
      <c r="DI477" s="62"/>
    </row>
    <row r="478" spans="2:113">
      <c r="B478" s="20"/>
      <c r="CP478" s="2"/>
      <c r="CQ478" s="2"/>
      <c r="CR478" s="2"/>
      <c r="CS478" s="2"/>
      <c r="CT478" s="2"/>
      <c r="CU478" s="2"/>
      <c r="CV478" s="34"/>
      <c r="CW478" s="60"/>
      <c r="CX478" s="60"/>
      <c r="CY478" s="60"/>
      <c r="CZ478" s="20"/>
      <c r="DA478" s="20"/>
      <c r="DB478" s="20"/>
      <c r="DD478" s="20"/>
      <c r="DF478" s="122"/>
      <c r="DG478" s="60"/>
      <c r="DH478" s="61"/>
      <c r="DI478" s="62"/>
    </row>
    <row r="479" spans="2:113">
      <c r="B479" s="20"/>
      <c r="CP479" s="2"/>
      <c r="CQ479" s="2"/>
      <c r="CR479" s="2"/>
      <c r="CS479" s="2"/>
      <c r="CT479" s="2"/>
      <c r="CU479" s="2"/>
      <c r="CV479" s="34"/>
      <c r="CW479" s="60"/>
      <c r="CX479" s="60"/>
      <c r="CY479" s="60"/>
      <c r="CZ479" s="20"/>
      <c r="DA479" s="20"/>
      <c r="DB479" s="20"/>
      <c r="DD479" s="20"/>
      <c r="DF479" s="122"/>
      <c r="DG479" s="60"/>
      <c r="DH479" s="61"/>
      <c r="DI479" s="62"/>
    </row>
    <row r="480" spans="2:113">
      <c r="B480" s="20"/>
      <c r="CP480" s="2"/>
      <c r="CQ480" s="2"/>
      <c r="CR480" s="2"/>
      <c r="CS480" s="2"/>
      <c r="CT480" s="2"/>
      <c r="CU480" s="2"/>
      <c r="CV480" s="34"/>
      <c r="CW480" s="60"/>
      <c r="CX480" s="60"/>
      <c r="CY480" s="60"/>
      <c r="CZ480" s="20"/>
      <c r="DA480" s="20"/>
      <c r="DB480" s="20"/>
      <c r="DD480" s="20"/>
      <c r="DF480" s="122"/>
      <c r="DG480" s="60"/>
      <c r="DH480" s="61"/>
      <c r="DI480" s="62"/>
    </row>
    <row r="481" spans="2:113">
      <c r="B481" s="20"/>
      <c r="CP481" s="2"/>
      <c r="CQ481" s="2"/>
      <c r="CR481" s="2"/>
      <c r="CS481" s="2"/>
      <c r="CT481" s="2"/>
      <c r="CU481" s="2"/>
      <c r="CV481" s="34"/>
      <c r="CW481" s="60"/>
      <c r="CX481" s="60"/>
      <c r="CY481" s="60"/>
      <c r="CZ481" s="20"/>
      <c r="DA481" s="20"/>
      <c r="DB481" s="20"/>
      <c r="DD481" s="20"/>
      <c r="DF481" s="122"/>
      <c r="DG481" s="60"/>
      <c r="DH481" s="61"/>
      <c r="DI481" s="62"/>
    </row>
    <row r="482" spans="2:113">
      <c r="B482" s="20"/>
      <c r="CP482" s="2"/>
      <c r="CQ482" s="2"/>
      <c r="CR482" s="2"/>
      <c r="CS482" s="2"/>
      <c r="CT482" s="2"/>
      <c r="CU482" s="2"/>
      <c r="CV482" s="34"/>
      <c r="CW482" s="60"/>
      <c r="CX482" s="60"/>
      <c r="CY482" s="60"/>
      <c r="CZ482" s="20"/>
      <c r="DA482" s="20"/>
      <c r="DB482" s="20"/>
      <c r="DD482" s="20"/>
      <c r="DF482" s="122"/>
      <c r="DG482" s="60"/>
      <c r="DH482" s="61"/>
      <c r="DI482" s="62"/>
    </row>
    <row r="483" spans="2:113">
      <c r="B483" s="20"/>
      <c r="CP483" s="2"/>
      <c r="CQ483" s="2"/>
      <c r="CR483" s="2"/>
      <c r="CS483" s="2"/>
      <c r="CT483" s="2"/>
      <c r="CU483" s="2"/>
      <c r="CV483" s="34"/>
      <c r="CW483" s="60"/>
      <c r="CX483" s="60"/>
      <c r="CY483" s="60"/>
      <c r="CZ483" s="20"/>
      <c r="DA483" s="20"/>
      <c r="DB483" s="20"/>
      <c r="DD483" s="20"/>
      <c r="DF483" s="122"/>
      <c r="DG483" s="60"/>
      <c r="DH483" s="61"/>
      <c r="DI483" s="62"/>
    </row>
    <row r="484" spans="2:113">
      <c r="B484" s="20"/>
      <c r="CP484" s="2"/>
      <c r="CQ484" s="2"/>
      <c r="CR484" s="2"/>
      <c r="CS484" s="2"/>
      <c r="CT484" s="2"/>
      <c r="CU484" s="2"/>
      <c r="CV484" s="34"/>
      <c r="CW484" s="60"/>
      <c r="CX484" s="60"/>
      <c r="CY484" s="60"/>
      <c r="CZ484" s="20"/>
      <c r="DA484" s="20"/>
      <c r="DB484" s="20"/>
      <c r="DD484" s="20"/>
      <c r="DF484" s="122"/>
      <c r="DG484" s="60"/>
      <c r="DH484" s="61"/>
      <c r="DI484" s="62"/>
    </row>
    <row r="485" spans="2:113">
      <c r="B485" s="20"/>
      <c r="CP485" s="2"/>
      <c r="CQ485" s="2"/>
      <c r="CR485" s="2"/>
      <c r="CS485" s="2"/>
      <c r="CT485" s="2"/>
      <c r="CU485" s="2"/>
      <c r="CV485" s="34"/>
      <c r="CW485" s="60"/>
      <c r="CX485" s="60"/>
      <c r="CY485" s="60"/>
      <c r="CZ485" s="20"/>
      <c r="DA485" s="20"/>
      <c r="DB485" s="20"/>
      <c r="DD485" s="20"/>
      <c r="DF485" s="122"/>
      <c r="DG485" s="60"/>
      <c r="DH485" s="61"/>
      <c r="DI485" s="62"/>
    </row>
    <row r="486" spans="2:113">
      <c r="B486" s="20"/>
      <c r="CP486" s="2"/>
      <c r="CQ486" s="2"/>
      <c r="CR486" s="2"/>
      <c r="CS486" s="2"/>
      <c r="CT486" s="2"/>
      <c r="CU486" s="2"/>
      <c r="CV486" s="34"/>
      <c r="CW486" s="60"/>
      <c r="CX486" s="60"/>
      <c r="CY486" s="60"/>
      <c r="CZ486" s="20"/>
      <c r="DA486" s="20"/>
      <c r="DB486" s="20"/>
      <c r="DD486" s="20"/>
      <c r="DF486" s="122"/>
      <c r="DG486" s="60"/>
      <c r="DH486" s="61"/>
      <c r="DI486" s="62"/>
    </row>
    <row r="487" spans="2:113">
      <c r="B487" s="20"/>
      <c r="CP487" s="2"/>
      <c r="CQ487" s="2"/>
      <c r="CR487" s="2"/>
      <c r="CS487" s="2"/>
      <c r="CT487" s="2"/>
      <c r="CU487" s="2"/>
      <c r="CV487" s="34"/>
      <c r="CW487" s="60"/>
      <c r="CX487" s="60"/>
      <c r="CY487" s="60"/>
      <c r="CZ487" s="20"/>
      <c r="DA487" s="20"/>
      <c r="DB487" s="20"/>
      <c r="DD487" s="20"/>
      <c r="DF487" s="122"/>
      <c r="DG487" s="60"/>
      <c r="DH487" s="61"/>
      <c r="DI487" s="62"/>
    </row>
    <row r="488" spans="2:113">
      <c r="B488" s="20"/>
      <c r="CP488" s="2"/>
      <c r="CQ488" s="2"/>
      <c r="CR488" s="2"/>
      <c r="CS488" s="2"/>
      <c r="CT488" s="2"/>
      <c r="CU488" s="2"/>
      <c r="CV488" s="34"/>
      <c r="CW488" s="60"/>
      <c r="CX488" s="60"/>
      <c r="CY488" s="60"/>
      <c r="CZ488" s="20"/>
      <c r="DA488" s="20"/>
      <c r="DB488" s="20"/>
      <c r="DD488" s="20"/>
      <c r="DF488" s="122"/>
      <c r="DG488" s="60"/>
      <c r="DH488" s="61"/>
      <c r="DI488" s="62"/>
    </row>
    <row r="489" spans="2:113">
      <c r="B489" s="20"/>
      <c r="CP489" s="2"/>
      <c r="CQ489" s="2"/>
      <c r="CR489" s="2"/>
      <c r="CS489" s="2"/>
      <c r="CT489" s="2"/>
      <c r="CU489" s="2"/>
      <c r="CV489" s="34"/>
      <c r="CW489" s="60"/>
      <c r="CX489" s="60"/>
      <c r="CY489" s="60"/>
      <c r="CZ489" s="20"/>
      <c r="DA489" s="20"/>
      <c r="DB489" s="20"/>
      <c r="DD489" s="20"/>
      <c r="DF489" s="122"/>
      <c r="DG489" s="60"/>
      <c r="DH489" s="61"/>
      <c r="DI489" s="62"/>
    </row>
    <row r="490" spans="2:113">
      <c r="B490" s="20"/>
      <c r="CP490" s="2"/>
      <c r="CQ490" s="2"/>
      <c r="CR490" s="2"/>
      <c r="CS490" s="2"/>
      <c r="CT490" s="2"/>
      <c r="CU490" s="2"/>
      <c r="CV490" s="34"/>
      <c r="CW490" s="60"/>
      <c r="CX490" s="60"/>
      <c r="CY490" s="60"/>
      <c r="CZ490" s="20"/>
      <c r="DA490" s="20"/>
      <c r="DB490" s="20"/>
      <c r="DD490" s="20"/>
      <c r="DF490" s="122"/>
      <c r="DG490" s="60"/>
      <c r="DH490" s="61"/>
      <c r="DI490" s="62"/>
    </row>
    <row r="491" spans="2:113">
      <c r="B491" s="20"/>
      <c r="CP491" s="2"/>
      <c r="CQ491" s="2"/>
      <c r="CR491" s="2"/>
      <c r="CS491" s="2"/>
      <c r="CT491" s="2"/>
      <c r="CU491" s="2"/>
      <c r="CV491" s="34"/>
      <c r="CW491" s="60"/>
      <c r="CX491" s="60"/>
      <c r="CY491" s="60"/>
      <c r="CZ491" s="20"/>
      <c r="DA491" s="20"/>
      <c r="DB491" s="20"/>
      <c r="DD491" s="20"/>
      <c r="DF491" s="122"/>
      <c r="DG491" s="60"/>
      <c r="DH491" s="61"/>
      <c r="DI491" s="62"/>
    </row>
    <row r="492" spans="2:113">
      <c r="B492" s="20"/>
      <c r="CP492" s="2"/>
      <c r="CQ492" s="2"/>
      <c r="CR492" s="2"/>
      <c r="CS492" s="2"/>
      <c r="CT492" s="2"/>
      <c r="CU492" s="2"/>
      <c r="CV492" s="34"/>
      <c r="CW492" s="60"/>
      <c r="CX492" s="60"/>
      <c r="CY492" s="60"/>
      <c r="CZ492" s="20"/>
      <c r="DA492" s="20"/>
      <c r="DB492" s="20"/>
      <c r="DD492" s="20"/>
      <c r="DF492" s="122"/>
      <c r="DG492" s="60"/>
      <c r="DH492" s="61"/>
      <c r="DI492" s="62"/>
    </row>
    <row r="493" spans="2:113">
      <c r="B493" s="20"/>
      <c r="CP493" s="2"/>
      <c r="CQ493" s="2"/>
      <c r="CR493" s="2"/>
      <c r="CS493" s="2"/>
      <c r="CT493" s="2"/>
      <c r="CU493" s="2"/>
      <c r="CV493" s="34"/>
      <c r="CW493" s="60"/>
      <c r="CX493" s="60"/>
      <c r="CY493" s="60"/>
      <c r="CZ493" s="20"/>
      <c r="DA493" s="20"/>
      <c r="DB493" s="20"/>
      <c r="DD493" s="20"/>
      <c r="DF493" s="122"/>
      <c r="DG493" s="60"/>
      <c r="DH493" s="61"/>
      <c r="DI493" s="62"/>
    </row>
    <row r="494" spans="2:113">
      <c r="B494" s="20"/>
      <c r="CP494" s="2"/>
      <c r="CQ494" s="2"/>
      <c r="CR494" s="2"/>
      <c r="CS494" s="2"/>
      <c r="CT494" s="2"/>
      <c r="CU494" s="2"/>
      <c r="CV494" s="34"/>
      <c r="CW494" s="60"/>
      <c r="CX494" s="60"/>
      <c r="CY494" s="60"/>
      <c r="CZ494" s="20"/>
      <c r="DA494" s="20"/>
      <c r="DB494" s="20"/>
      <c r="DD494" s="20"/>
      <c r="DF494" s="122"/>
      <c r="DG494" s="60"/>
      <c r="DH494" s="61"/>
      <c r="DI494" s="62"/>
    </row>
    <row r="495" spans="2:113">
      <c r="B495" s="20"/>
      <c r="CP495" s="2"/>
      <c r="CQ495" s="2"/>
      <c r="CR495" s="2"/>
      <c r="CS495" s="2"/>
      <c r="CT495" s="2"/>
      <c r="CU495" s="2"/>
      <c r="CV495" s="34"/>
      <c r="CW495" s="60"/>
      <c r="CX495" s="60"/>
      <c r="CY495" s="60"/>
      <c r="CZ495" s="20"/>
      <c r="DA495" s="20"/>
      <c r="DB495" s="20"/>
      <c r="DD495" s="20"/>
      <c r="DF495" s="122"/>
      <c r="DG495" s="60"/>
      <c r="DH495" s="61"/>
      <c r="DI495" s="62"/>
    </row>
    <row r="496" spans="2:113">
      <c r="B496" s="20"/>
      <c r="CP496" s="2"/>
      <c r="CQ496" s="2"/>
      <c r="CR496" s="2"/>
      <c r="CS496" s="2"/>
      <c r="CT496" s="2"/>
      <c r="CU496" s="2"/>
      <c r="CV496" s="34"/>
      <c r="CW496" s="60"/>
      <c r="CX496" s="60"/>
      <c r="CY496" s="60"/>
      <c r="CZ496" s="20"/>
      <c r="DA496" s="20"/>
      <c r="DB496" s="20"/>
      <c r="DD496" s="20"/>
      <c r="DF496" s="122"/>
      <c r="DG496" s="60"/>
      <c r="DH496" s="61"/>
      <c r="DI496" s="62"/>
    </row>
    <row r="497" spans="2:113">
      <c r="B497" s="20"/>
      <c r="CP497" s="2"/>
      <c r="CQ497" s="2"/>
      <c r="CR497" s="2"/>
      <c r="CS497" s="2"/>
      <c r="CT497" s="2"/>
      <c r="CU497" s="2"/>
      <c r="CV497" s="34"/>
      <c r="CW497" s="60"/>
      <c r="CX497" s="60"/>
      <c r="CY497" s="60"/>
      <c r="CZ497" s="20"/>
      <c r="DA497" s="20"/>
      <c r="DB497" s="20"/>
      <c r="DD497" s="20"/>
      <c r="DF497" s="122"/>
      <c r="DG497" s="60"/>
      <c r="DH497" s="61"/>
      <c r="DI497" s="62"/>
    </row>
    <row r="498" spans="2:113">
      <c r="B498" s="20"/>
      <c r="CP498" s="2"/>
      <c r="CQ498" s="2"/>
      <c r="CR498" s="2"/>
      <c r="CS498" s="2"/>
      <c r="CT498" s="2"/>
      <c r="CU498" s="2"/>
      <c r="CV498" s="34"/>
      <c r="CW498" s="60"/>
      <c r="CX498" s="60"/>
      <c r="CY498" s="60"/>
      <c r="CZ498" s="20"/>
      <c r="DA498" s="20"/>
      <c r="DB498" s="20"/>
      <c r="DD498" s="20"/>
      <c r="DF498" s="122"/>
      <c r="DG498" s="60"/>
      <c r="DH498" s="61"/>
      <c r="DI498" s="62"/>
    </row>
    <row r="499" spans="2:113">
      <c r="B499" s="20"/>
      <c r="CP499" s="2"/>
      <c r="CQ499" s="2"/>
      <c r="CR499" s="2"/>
      <c r="CS499" s="2"/>
      <c r="CT499" s="2"/>
      <c r="CU499" s="2"/>
      <c r="CV499" s="34"/>
      <c r="CW499" s="60"/>
      <c r="CX499" s="60"/>
      <c r="CY499" s="60"/>
      <c r="CZ499" s="20"/>
      <c r="DA499" s="20"/>
      <c r="DB499" s="20"/>
      <c r="DD499" s="20"/>
      <c r="DF499" s="122"/>
      <c r="DG499" s="60"/>
      <c r="DH499" s="61"/>
      <c r="DI499" s="62"/>
    </row>
    <row r="500" spans="2:113">
      <c r="B500" s="20"/>
      <c r="CP500" s="2"/>
      <c r="CQ500" s="2"/>
      <c r="CR500" s="2"/>
      <c r="CS500" s="2"/>
      <c r="CT500" s="2"/>
      <c r="CU500" s="2"/>
      <c r="CV500" s="34"/>
      <c r="CW500" s="60"/>
      <c r="CX500" s="60"/>
      <c r="CY500" s="60"/>
      <c r="CZ500" s="20"/>
      <c r="DA500" s="20"/>
      <c r="DB500" s="20"/>
      <c r="DD500" s="20"/>
      <c r="DF500" s="122"/>
      <c r="DG500" s="60"/>
      <c r="DH500" s="61"/>
      <c r="DI500" s="62"/>
    </row>
    <row r="501" spans="2:113">
      <c r="B501" s="20"/>
      <c r="CP501" s="2"/>
      <c r="CQ501" s="2"/>
      <c r="CR501" s="2"/>
      <c r="CS501" s="2"/>
      <c r="CT501" s="2"/>
      <c r="CU501" s="2"/>
      <c r="CV501" s="34"/>
      <c r="CW501" s="60"/>
      <c r="CX501" s="60"/>
      <c r="CY501" s="60"/>
      <c r="CZ501" s="20"/>
      <c r="DA501" s="20"/>
      <c r="DB501" s="20"/>
      <c r="DD501" s="20"/>
      <c r="DF501" s="122"/>
      <c r="DG501" s="60"/>
      <c r="DH501" s="61"/>
      <c r="DI501" s="62"/>
    </row>
    <row r="502" spans="2:113">
      <c r="B502" s="20"/>
      <c r="CP502" s="2"/>
      <c r="CQ502" s="2"/>
      <c r="CR502" s="2"/>
      <c r="CS502" s="2"/>
      <c r="CT502" s="2"/>
      <c r="CU502" s="2"/>
      <c r="CV502" s="34"/>
      <c r="CW502" s="60"/>
      <c r="CX502" s="60"/>
      <c r="CY502" s="60"/>
      <c r="CZ502" s="20"/>
      <c r="DA502" s="20"/>
      <c r="DB502" s="20"/>
      <c r="DD502" s="20"/>
      <c r="DF502" s="122"/>
      <c r="DG502" s="60"/>
      <c r="DH502" s="61"/>
      <c r="DI502" s="62"/>
    </row>
    <row r="503" spans="2:113">
      <c r="B503" s="20"/>
      <c r="CP503" s="2"/>
      <c r="CQ503" s="2"/>
      <c r="CR503" s="2"/>
      <c r="CS503" s="2"/>
      <c r="CT503" s="2"/>
      <c r="CU503" s="2"/>
      <c r="CV503" s="34"/>
      <c r="CW503" s="60"/>
      <c r="CX503" s="60"/>
      <c r="CY503" s="60"/>
      <c r="CZ503" s="20"/>
      <c r="DA503" s="20"/>
      <c r="DB503" s="20"/>
      <c r="DD503" s="20"/>
      <c r="DF503" s="122"/>
      <c r="DG503" s="60"/>
      <c r="DH503" s="61"/>
      <c r="DI503" s="62"/>
    </row>
    <row r="504" spans="2:113">
      <c r="B504" s="20"/>
      <c r="CP504" s="2"/>
      <c r="CQ504" s="2"/>
      <c r="CR504" s="2"/>
      <c r="CS504" s="2"/>
      <c r="CT504" s="2"/>
      <c r="CU504" s="2"/>
      <c r="CV504" s="34"/>
      <c r="CW504" s="60"/>
      <c r="CX504" s="60"/>
      <c r="CY504" s="60"/>
      <c r="CZ504" s="20"/>
      <c r="DA504" s="20"/>
      <c r="DB504" s="20"/>
      <c r="DD504" s="20"/>
      <c r="DF504" s="122"/>
      <c r="DG504" s="60"/>
      <c r="DH504" s="61"/>
      <c r="DI504" s="62"/>
    </row>
    <row r="505" spans="2:113">
      <c r="B505" s="20"/>
      <c r="CP505" s="2"/>
      <c r="CQ505" s="2"/>
      <c r="CR505" s="2"/>
      <c r="CS505" s="2"/>
      <c r="CT505" s="2"/>
      <c r="CU505" s="2"/>
      <c r="CV505" s="34"/>
      <c r="CW505" s="60"/>
      <c r="CX505" s="60"/>
      <c r="CY505" s="60"/>
      <c r="CZ505" s="20"/>
      <c r="DA505" s="20"/>
      <c r="DB505" s="20"/>
      <c r="DD505" s="20"/>
      <c r="DF505" s="122"/>
      <c r="DG505" s="60"/>
      <c r="DH505" s="61"/>
      <c r="DI505" s="62"/>
    </row>
    <row r="506" spans="2:113">
      <c r="B506" s="20"/>
      <c r="CP506" s="2"/>
      <c r="CQ506" s="2"/>
      <c r="CR506" s="2"/>
      <c r="CS506" s="2"/>
      <c r="CT506" s="2"/>
      <c r="CU506" s="2"/>
      <c r="CV506" s="34"/>
      <c r="CW506" s="60"/>
      <c r="CX506" s="60"/>
      <c r="CY506" s="60"/>
      <c r="CZ506" s="20"/>
      <c r="DA506" s="20"/>
      <c r="DB506" s="20"/>
      <c r="DD506" s="20"/>
      <c r="DF506" s="122"/>
      <c r="DG506" s="60"/>
      <c r="DH506" s="61"/>
      <c r="DI506" s="62"/>
    </row>
    <row r="507" spans="2:113">
      <c r="B507" s="20"/>
      <c r="CP507" s="2"/>
      <c r="CQ507" s="2"/>
      <c r="CR507" s="2"/>
      <c r="CS507" s="2"/>
      <c r="CT507" s="2"/>
      <c r="CU507" s="2"/>
      <c r="CV507" s="34"/>
      <c r="CW507" s="60"/>
      <c r="CX507" s="60"/>
      <c r="CY507" s="60"/>
      <c r="CZ507" s="20"/>
      <c r="DA507" s="20"/>
      <c r="DB507" s="20"/>
      <c r="DD507" s="20"/>
      <c r="DF507" s="122"/>
      <c r="DG507" s="60"/>
      <c r="DH507" s="61"/>
      <c r="DI507" s="62"/>
    </row>
    <row r="508" spans="2:113">
      <c r="B508" s="20"/>
      <c r="CP508" s="2"/>
      <c r="CQ508" s="2"/>
      <c r="CR508" s="2"/>
      <c r="CS508" s="2"/>
      <c r="CT508" s="2"/>
      <c r="CU508" s="2"/>
      <c r="CV508" s="34"/>
      <c r="CW508" s="60"/>
      <c r="CX508" s="60"/>
      <c r="CY508" s="60"/>
      <c r="CZ508" s="20"/>
      <c r="DA508" s="20"/>
      <c r="DB508" s="20"/>
      <c r="DD508" s="20"/>
      <c r="DF508" s="122"/>
      <c r="DG508" s="60"/>
      <c r="DH508" s="61"/>
      <c r="DI508" s="62"/>
    </row>
    <row r="509" spans="2:113">
      <c r="B509" s="20"/>
      <c r="CP509" s="2"/>
      <c r="CQ509" s="2"/>
      <c r="CR509" s="2"/>
      <c r="CS509" s="2"/>
      <c r="CT509" s="2"/>
      <c r="CU509" s="2"/>
      <c r="CV509" s="34"/>
      <c r="CW509" s="60"/>
      <c r="CX509" s="60"/>
      <c r="CY509" s="60"/>
      <c r="CZ509" s="20"/>
      <c r="DA509" s="20"/>
      <c r="DB509" s="20"/>
      <c r="DD509" s="20"/>
      <c r="DF509" s="122"/>
      <c r="DG509" s="60"/>
      <c r="DH509" s="61"/>
      <c r="DI509" s="62"/>
    </row>
    <row r="510" spans="2:113">
      <c r="B510" s="20"/>
      <c r="CP510" s="2"/>
      <c r="CQ510" s="2"/>
      <c r="CR510" s="2"/>
      <c r="CS510" s="2"/>
      <c r="CT510" s="2"/>
      <c r="CU510" s="2"/>
      <c r="CV510" s="34"/>
      <c r="CW510" s="60"/>
      <c r="CX510" s="60"/>
      <c r="CY510" s="60"/>
      <c r="CZ510" s="20"/>
      <c r="DA510" s="20"/>
      <c r="DB510" s="20"/>
      <c r="DD510" s="20"/>
      <c r="DF510" s="122"/>
      <c r="DG510" s="60"/>
      <c r="DH510" s="61"/>
      <c r="DI510" s="62"/>
    </row>
    <row r="511" spans="2:113">
      <c r="B511" s="20"/>
      <c r="CP511" s="2"/>
      <c r="CQ511" s="2"/>
      <c r="CR511" s="2"/>
      <c r="CS511" s="2"/>
      <c r="CT511" s="2"/>
      <c r="CU511" s="2"/>
      <c r="CV511" s="34"/>
      <c r="CW511" s="60"/>
      <c r="CX511" s="60"/>
      <c r="CY511" s="60"/>
      <c r="CZ511" s="20"/>
      <c r="DA511" s="20"/>
      <c r="DB511" s="20"/>
      <c r="DD511" s="20"/>
      <c r="DF511" s="122"/>
      <c r="DG511" s="60"/>
      <c r="DH511" s="61"/>
      <c r="DI511" s="62"/>
    </row>
    <row r="512" spans="2:113">
      <c r="B512" s="20"/>
      <c r="CP512" s="2"/>
      <c r="CQ512" s="2"/>
      <c r="CR512" s="2"/>
      <c r="CS512" s="2"/>
      <c r="CT512" s="2"/>
      <c r="CU512" s="2"/>
      <c r="CV512" s="34"/>
      <c r="CW512" s="60"/>
      <c r="CX512" s="60"/>
      <c r="CY512" s="60"/>
      <c r="CZ512" s="20"/>
      <c r="DA512" s="20"/>
      <c r="DB512" s="20"/>
      <c r="DD512" s="20"/>
      <c r="DF512" s="122"/>
      <c r="DG512" s="60"/>
      <c r="DH512" s="61"/>
      <c r="DI512" s="62"/>
    </row>
    <row r="513" spans="2:113">
      <c r="B513" s="20"/>
      <c r="CP513" s="2"/>
      <c r="CQ513" s="2"/>
      <c r="CR513" s="2"/>
      <c r="CS513" s="2"/>
      <c r="CT513" s="2"/>
      <c r="CU513" s="2"/>
      <c r="CV513" s="34"/>
      <c r="CW513" s="60"/>
      <c r="CX513" s="60"/>
      <c r="CY513" s="60"/>
      <c r="CZ513" s="20"/>
      <c r="DA513" s="20"/>
      <c r="DB513" s="20"/>
      <c r="DD513" s="20"/>
      <c r="DF513" s="122"/>
      <c r="DG513" s="60"/>
      <c r="DH513" s="61"/>
      <c r="DI513" s="62"/>
    </row>
    <row r="514" spans="2:113">
      <c r="B514" s="20"/>
      <c r="CP514" s="2"/>
      <c r="CQ514" s="2"/>
      <c r="CR514" s="2"/>
      <c r="CS514" s="2"/>
      <c r="CT514" s="2"/>
      <c r="CU514" s="2"/>
      <c r="CV514" s="34"/>
      <c r="CW514" s="60"/>
      <c r="CX514" s="60"/>
      <c r="CY514" s="60"/>
      <c r="CZ514" s="20"/>
      <c r="DA514" s="20"/>
      <c r="DB514" s="20"/>
      <c r="DD514" s="20"/>
      <c r="DF514" s="122"/>
      <c r="DG514" s="60"/>
      <c r="DH514" s="61"/>
      <c r="DI514" s="62"/>
    </row>
    <row r="515" spans="2:113">
      <c r="B515" s="20"/>
      <c r="CP515" s="2"/>
      <c r="CQ515" s="2"/>
      <c r="CR515" s="2"/>
      <c r="CS515" s="2"/>
      <c r="CT515" s="2"/>
      <c r="CU515" s="2"/>
      <c r="CV515" s="34"/>
      <c r="CW515" s="60"/>
      <c r="CX515" s="60"/>
      <c r="CY515" s="60"/>
      <c r="CZ515" s="20"/>
      <c r="DA515" s="20"/>
      <c r="DB515" s="20"/>
      <c r="DD515" s="20"/>
      <c r="DF515" s="122"/>
      <c r="DG515" s="60"/>
      <c r="DH515" s="61"/>
      <c r="DI515" s="62"/>
    </row>
    <row r="516" spans="2:113">
      <c r="B516" s="20"/>
      <c r="CP516" s="2"/>
      <c r="CQ516" s="2"/>
      <c r="CR516" s="2"/>
      <c r="CS516" s="2"/>
      <c r="CT516" s="2"/>
      <c r="CU516" s="2"/>
    </row>
    <row r="517" spans="2:113">
      <c r="B517" s="20"/>
    </row>
    <row r="518" spans="2:113">
      <c r="B518" s="20"/>
    </row>
    <row r="519" spans="2:113">
      <c r="B519" s="20"/>
    </row>
  </sheetData>
  <mergeCells count="1">
    <mergeCell ref="CZ17:DB17"/>
  </mergeCells>
  <pageMargins left="0.75" right="0.75" top="1" bottom="1" header="0.5" footer="0.5"/>
  <pageSetup scale="10" orientation="portrait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Button 7">
              <controlPr defaultSize="0" print="0" autoFill="0" autoPict="0" macro="[0]!PriceCurveFetch">
                <anchor moveWithCells="1" sizeWithCells="1">
                  <from>
                    <xdr:col>0</xdr:col>
                    <xdr:colOff>28575</xdr:colOff>
                    <xdr:row>0</xdr:row>
                    <xdr:rowOff>28575</xdr:rowOff>
                  </from>
                  <to>
                    <xdr:col>1</xdr:col>
                    <xdr:colOff>619125</xdr:colOff>
                    <xdr:row>1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5" name="Button 8">
              <controlPr defaultSize="0" print="0" autoFill="0" autoPict="0" macro="[0]!PriceCurveFetch">
                <anchor moveWithCells="1" sizeWithCells="1">
                  <from>
                    <xdr:col>0</xdr:col>
                    <xdr:colOff>38100</xdr:colOff>
                    <xdr:row>1</xdr:row>
                    <xdr:rowOff>161925</xdr:rowOff>
                  </from>
                  <to>
                    <xdr:col>1</xdr:col>
                    <xdr:colOff>619125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6" name="Button 14">
              <controlPr defaultSize="0" print="0" autoFill="0" autoPict="0" macro="[0]!LoadInTheCurves">
                <anchor moveWithCells="1" sizeWithCells="1">
                  <from>
                    <xdr:col>0</xdr:col>
                    <xdr:colOff>9525</xdr:colOff>
                    <xdr:row>3</xdr:row>
                    <xdr:rowOff>0</xdr:rowOff>
                  </from>
                  <to>
                    <xdr:col>1</xdr:col>
                    <xdr:colOff>609600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HJ486"/>
  <sheetViews>
    <sheetView showGridLines="0" zoomScale="75" workbookViewId="0">
      <pane xSplit="2" topLeftCell="C1" activePane="topRight" state="frozen"/>
      <selection pane="topRight" activeCell="E17" sqref="E17"/>
    </sheetView>
  </sheetViews>
  <sheetFormatPr defaultRowHeight="12"/>
  <cols>
    <col min="1" max="1" width="8.140625" style="146" bestFit="1" customWidth="1"/>
    <col min="2" max="2" width="11.5703125" style="141" bestFit="1" customWidth="1"/>
    <col min="3" max="3" width="12.7109375" style="141" customWidth="1"/>
    <col min="4" max="4" width="14.28515625" style="141" customWidth="1"/>
    <col min="5" max="5" width="12.85546875" style="141" customWidth="1"/>
    <col min="6" max="6" width="12.5703125" style="141" customWidth="1"/>
    <col min="7" max="7" width="13.5703125" style="141" customWidth="1"/>
    <col min="8" max="8" width="13.42578125" style="141" customWidth="1"/>
    <col min="9" max="9" width="12.85546875" style="141" customWidth="1"/>
    <col min="10" max="10" width="14.42578125" style="141" bestFit="1" customWidth="1"/>
    <col min="11" max="11" width="14" style="141" customWidth="1"/>
    <col min="12" max="12" width="13.140625" style="141" bestFit="1" customWidth="1"/>
    <col min="13" max="13" width="11.5703125" style="141" bestFit="1" customWidth="1"/>
    <col min="14" max="14" width="6.28515625" style="141" customWidth="1"/>
    <col min="15" max="15" width="9.7109375" style="141" bestFit="1" customWidth="1"/>
    <col min="16" max="16" width="9.85546875" style="141" bestFit="1" customWidth="1"/>
    <col min="17" max="17" width="9.85546875" style="141" customWidth="1"/>
    <col min="18" max="18" width="8.140625" style="141" bestFit="1" customWidth="1"/>
    <col min="19" max="19" width="8.5703125" style="141" bestFit="1" customWidth="1"/>
    <col min="20" max="21" width="8.140625" style="141" bestFit="1" customWidth="1"/>
    <col min="22" max="22" width="8.5703125" style="141" bestFit="1" customWidth="1"/>
    <col min="23" max="23" width="8.140625" style="138" bestFit="1" customWidth="1"/>
    <col min="24" max="24" width="8.5703125" style="138" bestFit="1" customWidth="1"/>
    <col min="25" max="25" width="8.140625" style="138" bestFit="1" customWidth="1"/>
    <col min="26" max="26" width="12.85546875" style="138" customWidth="1"/>
    <col min="27" max="27" width="10.28515625" style="138" bestFit="1" customWidth="1"/>
    <col min="28" max="29" width="11.42578125" style="138" bestFit="1" customWidth="1"/>
    <col min="30" max="30" width="12.5703125" style="138" bestFit="1" customWidth="1"/>
    <col min="31" max="31" width="13.42578125" style="138" customWidth="1"/>
    <col min="32" max="32" width="12.140625" style="138" bestFit="1" customWidth="1"/>
    <col min="33" max="33" width="16.42578125" style="138" customWidth="1"/>
    <col min="34" max="34" width="11.140625" style="138" customWidth="1"/>
    <col min="35" max="35" width="9.85546875" style="138" bestFit="1" customWidth="1"/>
    <col min="36" max="36" width="11.42578125" style="138" bestFit="1" customWidth="1"/>
    <col min="37" max="37" width="16.7109375" style="138" bestFit="1" customWidth="1"/>
    <col min="38" max="38" width="7" style="138" bestFit="1" customWidth="1"/>
    <col min="39" max="39" width="13.7109375" style="138" bestFit="1" customWidth="1"/>
    <col min="40" max="40" width="12" style="138" bestFit="1" customWidth="1"/>
    <col min="41" max="41" width="10.42578125" style="138" bestFit="1" customWidth="1"/>
    <col min="42" max="42" width="9.5703125" style="138" bestFit="1" customWidth="1"/>
    <col min="43" max="43" width="10.42578125" style="138" bestFit="1" customWidth="1"/>
    <col min="44" max="44" width="9.7109375" style="138" bestFit="1" customWidth="1"/>
    <col min="45" max="45" width="19.7109375" style="138" bestFit="1" customWidth="1"/>
    <col min="46" max="46" width="7" style="138" bestFit="1" customWidth="1"/>
    <col min="47" max="51" width="9.140625" style="138"/>
    <col min="52" max="52" width="18.85546875" style="138" bestFit="1" customWidth="1"/>
    <col min="53" max="68" width="9.140625" style="138"/>
    <col min="69" max="69" width="20.140625" style="138" bestFit="1" customWidth="1"/>
    <col min="70" max="70" width="11.5703125" style="138" bestFit="1" customWidth="1"/>
    <col min="71" max="71" width="12" style="138" bestFit="1" customWidth="1"/>
    <col min="72" max="74" width="9.140625" style="138"/>
    <col min="75" max="75" width="25.140625" style="138" bestFit="1" customWidth="1"/>
    <col min="76" max="78" width="9.140625" style="138"/>
    <col min="79" max="79" width="19.140625" style="138" bestFit="1" customWidth="1"/>
    <col min="80" max="80" width="11.5703125" style="138" bestFit="1" customWidth="1"/>
    <col min="81" max="81" width="12" style="138" bestFit="1" customWidth="1"/>
    <col min="82" max="84" width="9.140625" style="138"/>
    <col min="85" max="85" width="23.28515625" style="138" bestFit="1" customWidth="1"/>
    <col min="86" max="88" width="9.140625" style="138"/>
    <col min="89" max="89" width="17.42578125" style="138" bestFit="1" customWidth="1"/>
    <col min="90" max="90" width="9.28515625" style="138" customWidth="1"/>
    <col min="91" max="16384" width="9.140625" style="138"/>
  </cols>
  <sheetData>
    <row r="1" spans="1:218" ht="13.5" thickBot="1">
      <c r="A1" s="138" t="s">
        <v>1192</v>
      </c>
      <c r="B1" s="139" t="s">
        <v>1193</v>
      </c>
      <c r="C1" s="140" t="s">
        <v>1194</v>
      </c>
      <c r="J1" s="334"/>
      <c r="K1" s="335"/>
      <c r="L1" s="334"/>
      <c r="BP1"/>
      <c r="BQ1" s="126" t="s">
        <v>173</v>
      </c>
      <c r="BR1" s="127" t="s">
        <v>174</v>
      </c>
      <c r="BS1" s="126" t="s">
        <v>175</v>
      </c>
      <c r="BT1" s="128" t="s">
        <v>176</v>
      </c>
      <c r="BU1" s="128"/>
      <c r="BV1" s="129"/>
      <c r="BW1" s="130"/>
      <c r="BX1" s="173">
        <v>348</v>
      </c>
      <c r="BZ1"/>
      <c r="CA1" s="126" t="s">
        <v>173</v>
      </c>
      <c r="CB1" s="127" t="s">
        <v>174</v>
      </c>
      <c r="CC1" s="126" t="s">
        <v>175</v>
      </c>
      <c r="CD1" s="128" t="s">
        <v>176</v>
      </c>
      <c r="CE1"/>
      <c r="CF1"/>
      <c r="CG1"/>
      <c r="CH1" s="173">
        <v>348</v>
      </c>
      <c r="CJ1"/>
      <c r="CK1"/>
      <c r="CL1"/>
      <c r="CM1"/>
      <c r="CN1"/>
      <c r="CO1"/>
    </row>
    <row r="2" spans="1:218" ht="13.5" thickBot="1">
      <c r="A2" s="138" t="s">
        <v>1195</v>
      </c>
      <c r="B2" s="139" t="s">
        <v>1193</v>
      </c>
      <c r="C2" s="140" t="s">
        <v>1196</v>
      </c>
      <c r="K2" s="169" t="s">
        <v>1263</v>
      </c>
      <c r="L2" s="177" t="b">
        <v>1</v>
      </c>
      <c r="BP2" s="131">
        <f t="shared" ref="BP2:BP65" si="0">BP1+BV2</f>
        <v>1</v>
      </c>
      <c r="BQ2" s="185" t="s">
        <v>177</v>
      </c>
      <c r="BR2" s="132" t="s">
        <v>178</v>
      </c>
      <c r="BS2" s="133" t="s">
        <v>179</v>
      </c>
      <c r="BT2" s="134" t="s">
        <v>180</v>
      </c>
      <c r="BU2" s="135"/>
      <c r="BV2" s="129">
        <v>1</v>
      </c>
      <c r="BW2" s="130" t="s">
        <v>784</v>
      </c>
      <c r="BX2"/>
      <c r="BZ2" s="131">
        <f t="shared" ref="BZ2:BZ33" si="1">BZ1+CF2</f>
        <v>1</v>
      </c>
      <c r="CA2" s="4" t="s">
        <v>177</v>
      </c>
      <c r="CB2" s="132" t="s">
        <v>181</v>
      </c>
      <c r="CC2" s="133" t="s">
        <v>179</v>
      </c>
      <c r="CD2" s="134" t="s">
        <v>180</v>
      </c>
      <c r="CE2" s="135"/>
      <c r="CF2" s="129">
        <v>1</v>
      </c>
      <c r="CG2" s="130" t="s">
        <v>599</v>
      </c>
      <c r="CH2"/>
      <c r="CJ2"/>
      <c r="CK2" s="94" t="s">
        <v>105</v>
      </c>
      <c r="CL2" s="95" t="s">
        <v>106</v>
      </c>
      <c r="CM2" s="96"/>
      <c r="CN2" s="96"/>
      <c r="CO2" s="97">
        <v>6</v>
      </c>
    </row>
    <row r="3" spans="1:218" ht="12.75">
      <c r="A3" s="138" t="s">
        <v>1197</v>
      </c>
      <c r="B3" s="139" t="s">
        <v>1198</v>
      </c>
      <c r="C3" s="140" t="s">
        <v>1199</v>
      </c>
      <c r="BP3" s="131">
        <f t="shared" si="0"/>
        <v>2</v>
      </c>
      <c r="BQ3" s="185" t="s">
        <v>183</v>
      </c>
      <c r="BR3" s="132" t="s">
        <v>178</v>
      </c>
      <c r="BS3" s="136" t="s">
        <v>179</v>
      </c>
      <c r="BT3" s="134" t="s">
        <v>180</v>
      </c>
      <c r="BU3" s="135"/>
      <c r="BV3" s="129">
        <v>1</v>
      </c>
      <c r="BW3" s="130" t="s">
        <v>785</v>
      </c>
      <c r="BX3"/>
      <c r="BZ3" s="131">
        <f t="shared" si="1"/>
        <v>2</v>
      </c>
      <c r="CA3" s="4" t="s">
        <v>182</v>
      </c>
      <c r="CB3" s="132" t="s">
        <v>181</v>
      </c>
      <c r="CC3" s="133" t="s">
        <v>179</v>
      </c>
      <c r="CD3" s="134" t="s">
        <v>180</v>
      </c>
      <c r="CE3" s="135"/>
      <c r="CF3" s="129">
        <v>1</v>
      </c>
      <c r="CG3" s="130" t="s">
        <v>600</v>
      </c>
      <c r="CH3"/>
      <c r="CJ3">
        <v>1</v>
      </c>
      <c r="CK3" s="163" t="s">
        <v>110</v>
      </c>
      <c r="CL3" s="164" t="s">
        <v>111</v>
      </c>
      <c r="CM3" s="165"/>
      <c r="CN3" s="166"/>
      <c r="CO3" s="167"/>
      <c r="HJ3" s="141"/>
    </row>
    <row r="4" spans="1:218" ht="12.75">
      <c r="A4" s="138"/>
      <c r="B4" s="139"/>
      <c r="C4" s="140"/>
      <c r="J4" s="142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BB4" s="141"/>
      <c r="BC4" s="141"/>
      <c r="BD4" s="141"/>
      <c r="BE4" s="141"/>
      <c r="BF4" s="141"/>
      <c r="BG4" s="141"/>
      <c r="BH4" s="141"/>
      <c r="BI4" s="141"/>
      <c r="BJ4" s="141"/>
      <c r="BK4" s="141"/>
      <c r="BL4" s="141"/>
      <c r="BM4" s="141"/>
      <c r="BN4" s="141"/>
      <c r="BO4" s="141"/>
      <c r="BP4" s="131">
        <f t="shared" si="0"/>
        <v>3</v>
      </c>
      <c r="BQ4" s="185" t="s">
        <v>184</v>
      </c>
      <c r="BR4" s="130" t="s">
        <v>178</v>
      </c>
      <c r="BS4" s="129" t="s">
        <v>179</v>
      </c>
      <c r="BT4" s="135" t="s">
        <v>180</v>
      </c>
      <c r="BU4" s="135"/>
      <c r="BV4" s="129">
        <v>1</v>
      </c>
      <c r="BW4" s="130" t="s">
        <v>786</v>
      </c>
      <c r="BX4"/>
      <c r="BY4" s="141"/>
      <c r="BZ4" s="131">
        <f t="shared" si="1"/>
        <v>3</v>
      </c>
      <c r="CA4" s="4" t="s">
        <v>183</v>
      </c>
      <c r="CB4" s="132" t="s">
        <v>181</v>
      </c>
      <c r="CC4" s="133" t="s">
        <v>179</v>
      </c>
      <c r="CD4" s="134" t="s">
        <v>180</v>
      </c>
      <c r="CE4" s="135"/>
      <c r="CF4" s="129">
        <v>1</v>
      </c>
      <c r="CG4" s="130" t="s">
        <v>601</v>
      </c>
      <c r="CH4"/>
      <c r="CI4" s="141"/>
      <c r="CJ4">
        <v>2</v>
      </c>
      <c r="CK4" s="98" t="s">
        <v>115</v>
      </c>
      <c r="CL4" s="99" t="s">
        <v>116</v>
      </c>
      <c r="CM4" s="100"/>
      <c r="CN4" s="101"/>
      <c r="CO4" s="102"/>
      <c r="CP4" s="141"/>
      <c r="CQ4" s="141"/>
      <c r="CR4" s="141"/>
      <c r="CS4" s="141"/>
      <c r="CT4" s="141"/>
      <c r="CU4" s="141"/>
      <c r="CV4" s="141"/>
      <c r="CW4" s="141"/>
      <c r="CX4" s="141"/>
      <c r="CY4" s="141"/>
      <c r="CZ4" s="141"/>
      <c r="DA4" s="141"/>
      <c r="DB4" s="141"/>
      <c r="DC4" s="141"/>
      <c r="DD4" s="141"/>
      <c r="DE4" s="141"/>
      <c r="DF4" s="141"/>
      <c r="DG4" s="141"/>
      <c r="DH4" s="141"/>
      <c r="DI4" s="141"/>
      <c r="DJ4" s="141"/>
      <c r="DK4" s="141"/>
      <c r="DL4" s="141"/>
      <c r="DM4" s="141"/>
      <c r="DN4" s="141"/>
      <c r="DO4" s="141"/>
      <c r="DP4" s="141"/>
      <c r="DQ4" s="141"/>
      <c r="DR4" s="141"/>
      <c r="DS4" s="141"/>
      <c r="DT4" s="141"/>
      <c r="DU4" s="141"/>
      <c r="DV4" s="141"/>
      <c r="DW4" s="141"/>
      <c r="DX4" s="141"/>
      <c r="DY4" s="141"/>
      <c r="DZ4" s="141"/>
      <c r="EA4" s="141"/>
      <c r="EB4" s="141"/>
      <c r="EC4" s="141"/>
      <c r="ED4" s="141"/>
      <c r="EE4" s="141"/>
      <c r="EF4" s="141"/>
      <c r="EG4" s="141"/>
      <c r="EH4" s="141"/>
      <c r="EI4" s="141"/>
      <c r="EJ4" s="141"/>
      <c r="EK4" s="141"/>
      <c r="EL4" s="141"/>
      <c r="EM4" s="141"/>
      <c r="EN4" s="141"/>
      <c r="EO4" s="141"/>
      <c r="EP4" s="141"/>
      <c r="EQ4" s="141"/>
      <c r="ER4" s="141"/>
      <c r="ES4" s="141"/>
      <c r="ET4" s="141"/>
      <c r="EU4" s="141"/>
      <c r="EV4" s="141"/>
      <c r="EW4" s="141"/>
      <c r="EX4" s="141"/>
      <c r="EY4" s="141"/>
      <c r="EZ4" s="141"/>
      <c r="FA4" s="141"/>
      <c r="FB4" s="141"/>
      <c r="FC4" s="141"/>
      <c r="FD4" s="141"/>
      <c r="FE4" s="141"/>
      <c r="FF4" s="141"/>
      <c r="FG4" s="141"/>
      <c r="FH4" s="141"/>
      <c r="FI4" s="141"/>
      <c r="FJ4" s="141"/>
      <c r="FK4" s="141"/>
      <c r="FL4" s="141"/>
      <c r="FM4" s="141"/>
      <c r="FN4" s="141"/>
      <c r="FO4" s="141"/>
      <c r="FP4" s="141"/>
      <c r="FQ4" s="141"/>
      <c r="FR4" s="141"/>
      <c r="FS4" s="141"/>
      <c r="FT4" s="141"/>
      <c r="FU4" s="141"/>
      <c r="FV4" s="141"/>
      <c r="FW4" s="141"/>
      <c r="FX4" s="141"/>
      <c r="FY4" s="141"/>
      <c r="FZ4" s="141"/>
      <c r="GA4" s="141"/>
      <c r="GB4" s="141"/>
      <c r="GC4" s="141"/>
      <c r="GD4" s="141"/>
      <c r="GE4" s="141"/>
      <c r="GF4" s="141"/>
      <c r="GG4" s="141"/>
      <c r="GH4" s="141"/>
      <c r="GI4" s="141"/>
      <c r="GJ4" s="141"/>
      <c r="GK4" s="141"/>
      <c r="GL4" s="141"/>
      <c r="GM4" s="141"/>
      <c r="GN4" s="141"/>
      <c r="GO4" s="141"/>
      <c r="GP4" s="141"/>
      <c r="GQ4" s="141"/>
      <c r="GR4" s="141"/>
      <c r="GS4" s="141"/>
      <c r="GT4" s="141"/>
      <c r="GU4" s="141"/>
      <c r="GV4" s="141"/>
      <c r="GW4" s="141"/>
      <c r="GX4" s="141"/>
      <c r="GY4" s="141"/>
      <c r="GZ4" s="141"/>
      <c r="HA4" s="141"/>
      <c r="HB4" s="141"/>
      <c r="HC4" s="141"/>
      <c r="HD4" s="141"/>
      <c r="HE4" s="141"/>
      <c r="HF4" s="141"/>
      <c r="HG4" s="141"/>
      <c r="HH4" s="141"/>
      <c r="HI4" s="141"/>
      <c r="HJ4" s="141"/>
    </row>
    <row r="5" spans="1:218" ht="12.75">
      <c r="A5" s="140"/>
      <c r="G5" s="143" t="s">
        <v>1200</v>
      </c>
      <c r="BP5" s="131">
        <f t="shared" si="0"/>
        <v>4</v>
      </c>
      <c r="BQ5" s="185" t="s">
        <v>185</v>
      </c>
      <c r="BR5" s="130" t="s">
        <v>178</v>
      </c>
      <c r="BS5" s="129" t="s">
        <v>179</v>
      </c>
      <c r="BT5" s="135" t="s">
        <v>180</v>
      </c>
      <c r="BU5" s="135"/>
      <c r="BV5" s="129">
        <v>1</v>
      </c>
      <c r="BW5" s="130" t="s">
        <v>787</v>
      </c>
      <c r="BX5"/>
      <c r="BZ5" s="131">
        <f t="shared" si="1"/>
        <v>4</v>
      </c>
      <c r="CA5" s="4" t="s">
        <v>184</v>
      </c>
      <c r="CB5" s="130" t="s">
        <v>181</v>
      </c>
      <c r="CC5" s="129" t="s">
        <v>179</v>
      </c>
      <c r="CD5" s="135" t="s">
        <v>180</v>
      </c>
      <c r="CE5" s="135"/>
      <c r="CF5" s="129">
        <v>1</v>
      </c>
      <c r="CG5" s="130" t="s">
        <v>602</v>
      </c>
      <c r="CH5"/>
      <c r="CJ5">
        <v>3</v>
      </c>
      <c r="CK5" s="98" t="s">
        <v>121</v>
      </c>
      <c r="CL5" s="99" t="s">
        <v>122</v>
      </c>
      <c r="CM5" s="100"/>
      <c r="CN5" s="101"/>
      <c r="CO5" s="102"/>
    </row>
    <row r="6" spans="1:218" ht="12.75">
      <c r="A6" s="144">
        <f ca="1">Inputs!D7</f>
        <v>36586</v>
      </c>
      <c r="C6" s="140"/>
      <c r="BP6" s="131">
        <f t="shared" si="0"/>
        <v>5</v>
      </c>
      <c r="BQ6" s="185" t="s">
        <v>186</v>
      </c>
      <c r="BR6" s="130" t="s">
        <v>178</v>
      </c>
      <c r="BS6" s="129" t="s">
        <v>179</v>
      </c>
      <c r="BT6" s="135" t="s">
        <v>180</v>
      </c>
      <c r="BU6" s="135"/>
      <c r="BV6" s="129">
        <v>1</v>
      </c>
      <c r="BW6" s="130" t="s">
        <v>788</v>
      </c>
      <c r="BX6"/>
      <c r="BZ6" s="131">
        <f t="shared" si="1"/>
        <v>5</v>
      </c>
      <c r="CA6" s="4" t="s">
        <v>186</v>
      </c>
      <c r="CB6" s="130" t="s">
        <v>181</v>
      </c>
      <c r="CC6" s="129" t="s">
        <v>179</v>
      </c>
      <c r="CD6" s="135" t="s">
        <v>180</v>
      </c>
      <c r="CE6" s="135"/>
      <c r="CF6" s="129">
        <v>1</v>
      </c>
      <c r="CG6" s="130" t="s">
        <v>603</v>
      </c>
      <c r="CH6"/>
      <c r="CJ6">
        <v>4</v>
      </c>
      <c r="CK6" s="98" t="s">
        <v>126</v>
      </c>
      <c r="CL6" s="99" t="s">
        <v>127</v>
      </c>
      <c r="CM6" s="100"/>
      <c r="CN6" s="101"/>
      <c r="CO6" s="102"/>
    </row>
    <row r="7" spans="1:218" ht="12.75">
      <c r="A7" s="138"/>
      <c r="B7" s="139"/>
      <c r="C7" s="145"/>
      <c r="L7" s="141" t="s">
        <v>171</v>
      </c>
      <c r="M7" s="141" t="s">
        <v>172</v>
      </c>
      <c r="BP7" s="131">
        <f t="shared" si="0"/>
        <v>6</v>
      </c>
      <c r="BQ7" s="185" t="s">
        <v>188</v>
      </c>
      <c r="BR7" s="130" t="s">
        <v>178</v>
      </c>
      <c r="BS7" s="129" t="s">
        <v>179</v>
      </c>
      <c r="BT7" s="135" t="s">
        <v>180</v>
      </c>
      <c r="BU7" s="135"/>
      <c r="BV7" s="129">
        <v>1</v>
      </c>
      <c r="BW7" s="130" t="s">
        <v>789</v>
      </c>
      <c r="BX7"/>
      <c r="BZ7" s="131">
        <f t="shared" si="1"/>
        <v>6</v>
      </c>
      <c r="CA7" s="4" t="s">
        <v>187</v>
      </c>
      <c r="CB7" s="130" t="s">
        <v>181</v>
      </c>
      <c r="CC7" s="129" t="s">
        <v>179</v>
      </c>
      <c r="CD7" s="135" t="s">
        <v>180</v>
      </c>
      <c r="CE7" s="135"/>
      <c r="CF7" s="129">
        <v>1</v>
      </c>
      <c r="CG7" s="130" t="s">
        <v>604</v>
      </c>
      <c r="CH7"/>
      <c r="CJ7">
        <v>5</v>
      </c>
      <c r="CK7" s="98" t="s">
        <v>131</v>
      </c>
      <c r="CL7" s="99" t="s">
        <v>132</v>
      </c>
      <c r="CM7" s="100"/>
      <c r="CN7" s="101"/>
      <c r="CO7" s="102"/>
    </row>
    <row r="8" spans="1:218" ht="12.75">
      <c r="A8" s="138"/>
      <c r="B8" s="146"/>
      <c r="C8" s="141" t="s">
        <v>1235</v>
      </c>
      <c r="D8" s="143" t="s">
        <v>1415</v>
      </c>
      <c r="E8" s="141" t="s">
        <v>1416</v>
      </c>
      <c r="F8" s="141" t="s">
        <v>1232</v>
      </c>
      <c r="G8" s="141" t="s">
        <v>1231</v>
      </c>
      <c r="H8" s="143" t="s">
        <v>1234</v>
      </c>
      <c r="I8" s="141" t="s">
        <v>1230</v>
      </c>
      <c r="J8" s="141" t="s">
        <v>1229</v>
      </c>
      <c r="K8" s="143" t="s">
        <v>1233</v>
      </c>
      <c r="L8" s="141" t="s">
        <v>598</v>
      </c>
      <c r="M8" s="141" t="s">
        <v>598</v>
      </c>
      <c r="O8" s="141" t="s">
        <v>170</v>
      </c>
      <c r="P8" s="141" t="s">
        <v>1236</v>
      </c>
      <c r="BP8" s="131">
        <f t="shared" si="0"/>
        <v>7</v>
      </c>
      <c r="BQ8" s="185" t="s">
        <v>189</v>
      </c>
      <c r="BR8" s="130" t="s">
        <v>178</v>
      </c>
      <c r="BS8" s="129" t="s">
        <v>179</v>
      </c>
      <c r="BT8" s="135" t="s">
        <v>180</v>
      </c>
      <c r="BU8" s="135"/>
      <c r="BV8" s="129">
        <v>1</v>
      </c>
      <c r="BW8" s="130" t="s">
        <v>790</v>
      </c>
      <c r="BX8"/>
      <c r="BZ8" s="131">
        <f t="shared" si="1"/>
        <v>7</v>
      </c>
      <c r="CA8" s="4" t="s">
        <v>190</v>
      </c>
      <c r="CB8" s="130" t="s">
        <v>181</v>
      </c>
      <c r="CC8" s="129" t="s">
        <v>179</v>
      </c>
      <c r="CD8" s="135" t="s">
        <v>180</v>
      </c>
      <c r="CE8" s="135"/>
      <c r="CF8" s="129">
        <v>1</v>
      </c>
      <c r="CG8" s="130" t="s">
        <v>605</v>
      </c>
      <c r="CH8"/>
      <c r="CJ8">
        <v>6</v>
      </c>
      <c r="CK8" s="98" t="s">
        <v>136</v>
      </c>
      <c r="CL8" s="99" t="s">
        <v>137</v>
      </c>
      <c r="CM8" s="100"/>
      <c r="CN8" s="101"/>
      <c r="CO8" s="102"/>
    </row>
    <row r="9" spans="1:218" ht="12.75">
      <c r="A9" s="138"/>
      <c r="B9" s="146"/>
      <c r="J9" s="142"/>
      <c r="K9" s="142"/>
      <c r="L9" s="142"/>
      <c r="BP9" s="131">
        <f t="shared" si="0"/>
        <v>8</v>
      </c>
      <c r="BQ9" s="185" t="s">
        <v>190</v>
      </c>
      <c r="BR9" s="130" t="s">
        <v>178</v>
      </c>
      <c r="BS9" s="129" t="s">
        <v>179</v>
      </c>
      <c r="BT9" s="135" t="s">
        <v>180</v>
      </c>
      <c r="BU9" s="135"/>
      <c r="BV9" s="129">
        <v>1</v>
      </c>
      <c r="BW9" s="130" t="s">
        <v>791</v>
      </c>
      <c r="BX9"/>
      <c r="BZ9" s="131">
        <f t="shared" si="1"/>
        <v>8</v>
      </c>
      <c r="CA9" s="4" t="s">
        <v>191</v>
      </c>
      <c r="CB9" s="130" t="s">
        <v>181</v>
      </c>
      <c r="CC9" s="129" t="s">
        <v>179</v>
      </c>
      <c r="CD9" s="135" t="s">
        <v>180</v>
      </c>
      <c r="CE9" s="135"/>
      <c r="CF9" s="129">
        <v>1</v>
      </c>
      <c r="CG9" s="130" t="s">
        <v>606</v>
      </c>
      <c r="CH9"/>
      <c r="CJ9">
        <v>7</v>
      </c>
      <c r="CK9" s="98" t="s">
        <v>141</v>
      </c>
      <c r="CL9" s="99" t="s">
        <v>142</v>
      </c>
      <c r="CM9" s="100"/>
      <c r="CN9" s="101"/>
      <c r="CO9" s="102"/>
    </row>
    <row r="10" spans="1:218" ht="12.75">
      <c r="A10" s="138"/>
      <c r="B10" s="141">
        <v>1</v>
      </c>
      <c r="C10" s="141">
        <v>2</v>
      </c>
      <c r="D10" s="141">
        <v>3</v>
      </c>
      <c r="E10" s="141">
        <v>4</v>
      </c>
      <c r="F10" s="141">
        <v>5</v>
      </c>
      <c r="G10" s="141">
        <v>6</v>
      </c>
      <c r="H10" s="141">
        <v>7</v>
      </c>
      <c r="I10" s="141">
        <v>8</v>
      </c>
      <c r="J10" s="141">
        <v>9</v>
      </c>
      <c r="K10" s="141">
        <v>10</v>
      </c>
      <c r="L10" s="141">
        <v>11</v>
      </c>
      <c r="M10" s="141">
        <v>12</v>
      </c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  <c r="BP10" s="131">
        <f t="shared" si="0"/>
        <v>9</v>
      </c>
      <c r="BQ10" s="185" t="s">
        <v>191</v>
      </c>
      <c r="BR10" s="130" t="s">
        <v>178</v>
      </c>
      <c r="BS10" s="129" t="s">
        <v>179</v>
      </c>
      <c r="BT10" s="135" t="s">
        <v>180</v>
      </c>
      <c r="BU10" s="135"/>
      <c r="BV10" s="129">
        <v>1</v>
      </c>
      <c r="BW10" s="130" t="s">
        <v>792</v>
      </c>
      <c r="BX10"/>
      <c r="BZ10" s="131">
        <f t="shared" si="1"/>
        <v>9</v>
      </c>
      <c r="CA10" s="4" t="s">
        <v>192</v>
      </c>
      <c r="CB10" s="130" t="s">
        <v>181</v>
      </c>
      <c r="CC10" s="129" t="s">
        <v>179</v>
      </c>
      <c r="CD10" s="135" t="s">
        <v>180</v>
      </c>
      <c r="CE10" s="135"/>
      <c r="CF10" s="129">
        <v>1</v>
      </c>
      <c r="CG10" s="130" t="s">
        <v>607</v>
      </c>
      <c r="CH10"/>
      <c r="CJ10">
        <v>8</v>
      </c>
      <c r="CK10" s="98" t="s">
        <v>146</v>
      </c>
      <c r="CL10" s="99" t="s">
        <v>147</v>
      </c>
      <c r="CM10" s="100"/>
      <c r="CN10" s="101"/>
      <c r="CO10" s="102"/>
    </row>
    <row r="11" spans="1:218" ht="12.75">
      <c r="A11" s="138"/>
      <c r="B11" s="147" t="s">
        <v>1201</v>
      </c>
      <c r="C11" s="148">
        <f t="shared" ref="C11:M11" ca="1" si="2">Today</f>
        <v>36586</v>
      </c>
      <c r="D11" s="148">
        <f t="shared" ca="1" si="2"/>
        <v>36586</v>
      </c>
      <c r="E11" s="148">
        <f t="shared" ca="1" si="2"/>
        <v>36586</v>
      </c>
      <c r="F11" s="148">
        <f t="shared" ca="1" si="2"/>
        <v>36586</v>
      </c>
      <c r="G11" s="148">
        <f t="shared" ca="1" si="2"/>
        <v>36586</v>
      </c>
      <c r="H11" s="148">
        <f t="shared" ca="1" si="2"/>
        <v>36586</v>
      </c>
      <c r="I11" s="148">
        <f t="shared" ca="1" si="2"/>
        <v>36586</v>
      </c>
      <c r="J11" s="148">
        <f t="shared" ca="1" si="2"/>
        <v>36586</v>
      </c>
      <c r="K11" s="148">
        <f t="shared" ca="1" si="2"/>
        <v>36586</v>
      </c>
      <c r="L11" s="148">
        <f t="shared" ca="1" si="2"/>
        <v>36586</v>
      </c>
      <c r="M11" s="148">
        <f t="shared" ca="1" si="2"/>
        <v>36586</v>
      </c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A11" s="148"/>
      <c r="BB11" s="148"/>
      <c r="BC11" s="148"/>
      <c r="BD11" s="148"/>
      <c r="BE11" s="148"/>
      <c r="BF11" s="148"/>
      <c r="BG11" s="148"/>
      <c r="BH11" s="148"/>
      <c r="BI11" s="148"/>
      <c r="BP11" s="131">
        <f t="shared" si="0"/>
        <v>10</v>
      </c>
      <c r="BQ11" s="185" t="s">
        <v>192</v>
      </c>
      <c r="BR11" s="130" t="s">
        <v>178</v>
      </c>
      <c r="BS11" s="129" t="s">
        <v>179</v>
      </c>
      <c r="BT11" s="135" t="s">
        <v>180</v>
      </c>
      <c r="BU11" s="135"/>
      <c r="BV11" s="129">
        <v>1</v>
      </c>
      <c r="BW11" s="130" t="s">
        <v>793</v>
      </c>
      <c r="BX11"/>
      <c r="BZ11" s="131">
        <f t="shared" si="1"/>
        <v>10</v>
      </c>
      <c r="CA11" s="4" t="s">
        <v>193</v>
      </c>
      <c r="CB11" s="130" t="s">
        <v>181</v>
      </c>
      <c r="CC11" s="129" t="s">
        <v>179</v>
      </c>
      <c r="CD11" s="135" t="s">
        <v>180</v>
      </c>
      <c r="CE11" s="135"/>
      <c r="CF11" s="129">
        <v>1</v>
      </c>
      <c r="CG11" s="130" t="s">
        <v>608</v>
      </c>
      <c r="CH11"/>
      <c r="CJ11">
        <v>9</v>
      </c>
      <c r="CK11" s="98" t="s">
        <v>151</v>
      </c>
      <c r="CL11" s="99" t="s">
        <v>152</v>
      </c>
      <c r="CM11" s="100"/>
      <c r="CN11" s="101"/>
      <c r="CO11" s="102"/>
    </row>
    <row r="12" spans="1:218" ht="12.75">
      <c r="A12" s="138"/>
      <c r="B12" s="147" t="s">
        <v>1202</v>
      </c>
      <c r="C12" s="139">
        <f t="shared" ref="C12:M12" ca="1" si="3">BeginningOfNextMonth(C11)</f>
        <v>36617</v>
      </c>
      <c r="D12" s="139">
        <f t="shared" ca="1" si="3"/>
        <v>36617</v>
      </c>
      <c r="E12" s="139">
        <f t="shared" ca="1" si="3"/>
        <v>36617</v>
      </c>
      <c r="F12" s="139">
        <f t="shared" ca="1" si="3"/>
        <v>36617</v>
      </c>
      <c r="G12" s="139">
        <f t="shared" ca="1" si="3"/>
        <v>36617</v>
      </c>
      <c r="H12" s="139">
        <f t="shared" ca="1" si="3"/>
        <v>36617</v>
      </c>
      <c r="I12" s="139">
        <f t="shared" ca="1" si="3"/>
        <v>36617</v>
      </c>
      <c r="J12" s="139">
        <f t="shared" ca="1" si="3"/>
        <v>36617</v>
      </c>
      <c r="K12" s="139">
        <f t="shared" ca="1" si="3"/>
        <v>36617</v>
      </c>
      <c r="L12" s="139">
        <f t="shared" ca="1" si="3"/>
        <v>36617</v>
      </c>
      <c r="M12" s="139">
        <f t="shared" ca="1" si="3"/>
        <v>36617</v>
      </c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  <c r="AA12" s="139"/>
      <c r="AB12" s="139"/>
      <c r="AC12" s="139"/>
      <c r="AD12" s="139"/>
      <c r="AE12" s="139"/>
      <c r="AF12" s="139"/>
      <c r="AG12" s="139"/>
      <c r="AH12" s="139"/>
      <c r="AI12" s="139"/>
      <c r="AJ12" s="139"/>
      <c r="AK12" s="139"/>
      <c r="AL12" s="139"/>
      <c r="AM12" s="139"/>
      <c r="AN12" s="139"/>
      <c r="AO12" s="139"/>
      <c r="AP12" s="139"/>
      <c r="AQ12" s="139"/>
      <c r="AR12" s="139"/>
      <c r="AS12" s="139"/>
      <c r="AT12" s="139"/>
      <c r="AU12" s="139"/>
      <c r="AV12" s="139"/>
      <c r="AW12" s="139"/>
      <c r="AX12" s="139"/>
      <c r="AY12" s="139"/>
      <c r="AZ12" s="139"/>
      <c r="BA12" s="139"/>
      <c r="BB12" s="139"/>
      <c r="BC12" s="139"/>
      <c r="BD12" s="139"/>
      <c r="BE12" s="139"/>
      <c r="BF12" s="139"/>
      <c r="BG12" s="139"/>
      <c r="BH12" s="139"/>
      <c r="BI12" s="139"/>
      <c r="BP12" s="131">
        <f t="shared" si="0"/>
        <v>11</v>
      </c>
      <c r="BQ12" s="185" t="s">
        <v>193</v>
      </c>
      <c r="BR12" s="130" t="s">
        <v>178</v>
      </c>
      <c r="BS12" s="129" t="s">
        <v>179</v>
      </c>
      <c r="BT12" s="135" t="s">
        <v>180</v>
      </c>
      <c r="BU12" s="135"/>
      <c r="BV12" s="129">
        <v>1</v>
      </c>
      <c r="BW12" s="130" t="s">
        <v>794</v>
      </c>
      <c r="BX12"/>
      <c r="BZ12" s="131">
        <f t="shared" si="1"/>
        <v>11</v>
      </c>
      <c r="CA12" s="4" t="s">
        <v>194</v>
      </c>
      <c r="CB12" s="130" t="s">
        <v>181</v>
      </c>
      <c r="CC12" s="129" t="s">
        <v>179</v>
      </c>
      <c r="CD12" s="135" t="s">
        <v>180</v>
      </c>
      <c r="CE12" s="135"/>
      <c r="CF12" s="129">
        <v>1</v>
      </c>
      <c r="CG12" s="130" t="s">
        <v>609</v>
      </c>
      <c r="CH12"/>
      <c r="CJ12">
        <v>10</v>
      </c>
      <c r="CK12" s="162" t="s">
        <v>155</v>
      </c>
      <c r="CL12" s="159" t="s">
        <v>156</v>
      </c>
      <c r="CM12" s="160"/>
      <c r="CN12" s="161"/>
      <c r="CO12" s="168"/>
    </row>
    <row r="13" spans="1:218" ht="12.75">
      <c r="A13" s="138"/>
      <c r="B13" s="147" t="s">
        <v>1203</v>
      </c>
      <c r="C13" s="149" t="s">
        <v>1204</v>
      </c>
      <c r="D13" s="150" t="str">
        <f>VLOOKUP('Gas Curves'!$CO$2,'Gas Curves'!$CJ$3:$CK$14,2)</f>
        <v>NG_OMICRON_6</v>
      </c>
      <c r="E13" s="150" t="str">
        <f>VLOOKUP('Gas Curves'!$CO$2,'Gas Curves'!$CJ$3:$CK$14,2)</f>
        <v>NG_OMICRON_6</v>
      </c>
      <c r="F13" s="141" t="s">
        <v>1205</v>
      </c>
      <c r="G13" s="141" t="s">
        <v>1205</v>
      </c>
      <c r="H13" s="141" t="s">
        <v>1205</v>
      </c>
      <c r="I13" s="141" t="s">
        <v>1205</v>
      </c>
      <c r="J13" s="141" t="s">
        <v>1205</v>
      </c>
      <c r="K13" s="141" t="s">
        <v>1205</v>
      </c>
      <c r="L13" s="150" t="str">
        <f>VLOOKUP('Gas Curves'!$BX$1,'Gas Curves'!$BP$2:$BQ$409,2)</f>
        <v>IF-TRANSCO/Z6</v>
      </c>
      <c r="M13" s="150" t="str">
        <f>VLOOKUP('Gas Curves'!$CH$1,'Gas Curves'!$BP$2:$BQ$409,2)</f>
        <v>IF-TRANSCO/Z6</v>
      </c>
      <c r="N13" s="150"/>
      <c r="O13" s="151"/>
      <c r="P13" s="151"/>
      <c r="Q13" s="151"/>
      <c r="R13" s="151"/>
      <c r="S13" s="151"/>
      <c r="T13" s="151" t="s">
        <v>171</v>
      </c>
      <c r="U13" s="151"/>
      <c r="V13" s="151"/>
      <c r="W13" s="151"/>
      <c r="X13" s="151" t="s">
        <v>172</v>
      </c>
      <c r="Y13" s="151"/>
      <c r="Z13" s="151"/>
      <c r="AA13" s="151"/>
      <c r="AB13" s="151"/>
      <c r="AC13" s="151"/>
      <c r="AD13" s="151"/>
      <c r="AE13" s="151"/>
      <c r="AF13" s="151"/>
      <c r="AG13" s="150"/>
      <c r="AH13" s="150"/>
      <c r="AI13" s="151"/>
      <c r="AJ13" s="151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  <c r="BE13" s="151"/>
      <c r="BF13" s="151"/>
      <c r="BG13" s="151"/>
      <c r="BH13" s="151"/>
      <c r="BI13" s="151"/>
      <c r="BP13" s="131">
        <f t="shared" si="0"/>
        <v>12</v>
      </c>
      <c r="BQ13" s="185" t="s">
        <v>194</v>
      </c>
      <c r="BR13" s="130" t="s">
        <v>178</v>
      </c>
      <c r="BS13" s="129" t="s">
        <v>179</v>
      </c>
      <c r="BT13" s="135" t="s">
        <v>180</v>
      </c>
      <c r="BU13" s="135"/>
      <c r="BV13" s="129">
        <v>1</v>
      </c>
      <c r="BW13" s="130" t="s">
        <v>795</v>
      </c>
      <c r="BX13"/>
      <c r="BZ13" s="131">
        <f t="shared" si="1"/>
        <v>12</v>
      </c>
      <c r="CA13" s="4" t="s">
        <v>195</v>
      </c>
      <c r="CB13" s="130" t="s">
        <v>181</v>
      </c>
      <c r="CC13" s="129" t="s">
        <v>179</v>
      </c>
      <c r="CD13" s="135" t="s">
        <v>180</v>
      </c>
      <c r="CE13" s="135"/>
      <c r="CF13" s="129">
        <v>1</v>
      </c>
      <c r="CG13" s="130" t="s">
        <v>610</v>
      </c>
      <c r="CH13"/>
      <c r="CJ13">
        <v>11</v>
      </c>
      <c r="CK13" s="98" t="s">
        <v>1219</v>
      </c>
      <c r="CL13" s="99" t="s">
        <v>1217</v>
      </c>
      <c r="CM13" s="100"/>
      <c r="CN13" s="101"/>
      <c r="CO13" s="102"/>
    </row>
    <row r="14" spans="1:218" ht="13.5" thickBot="1">
      <c r="A14" s="138"/>
      <c r="B14" s="147" t="s">
        <v>1206</v>
      </c>
      <c r="C14" s="152" t="s">
        <v>1207</v>
      </c>
      <c r="D14" s="141" t="s">
        <v>1208</v>
      </c>
      <c r="E14" s="141" t="s">
        <v>1208</v>
      </c>
      <c r="F14" s="141" t="s">
        <v>1227</v>
      </c>
      <c r="G14" s="141" t="s">
        <v>1208</v>
      </c>
      <c r="H14" s="141" t="s">
        <v>1228</v>
      </c>
      <c r="I14" s="141" t="s">
        <v>1215</v>
      </c>
      <c r="J14" s="141" t="s">
        <v>179</v>
      </c>
      <c r="K14" s="141" t="s">
        <v>1216</v>
      </c>
      <c r="L14" s="141" t="s">
        <v>179</v>
      </c>
      <c r="M14" s="141" t="s">
        <v>179</v>
      </c>
      <c r="S14" s="141" t="s">
        <v>1221</v>
      </c>
      <c r="T14" s="141" t="s">
        <v>1224</v>
      </c>
      <c r="U14" s="141" t="s">
        <v>1221</v>
      </c>
      <c r="W14" s="141" t="s">
        <v>1221</v>
      </c>
      <c r="X14" s="141" t="s">
        <v>1224</v>
      </c>
      <c r="Y14" s="141" t="s">
        <v>1221</v>
      </c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  <c r="BP14" s="131">
        <f t="shared" si="0"/>
        <v>13</v>
      </c>
      <c r="BQ14" s="185" t="s">
        <v>196</v>
      </c>
      <c r="BR14" s="130" t="s">
        <v>178</v>
      </c>
      <c r="BS14" s="129" t="s">
        <v>179</v>
      </c>
      <c r="BT14" s="135" t="s">
        <v>180</v>
      </c>
      <c r="BU14" s="135"/>
      <c r="BV14" s="129">
        <v>1</v>
      </c>
      <c r="BW14" s="130" t="s">
        <v>796</v>
      </c>
      <c r="BX14"/>
      <c r="BZ14" s="131">
        <f t="shared" si="1"/>
        <v>13</v>
      </c>
      <c r="CA14" s="4" t="s">
        <v>196</v>
      </c>
      <c r="CB14" s="130" t="s">
        <v>181</v>
      </c>
      <c r="CC14" s="129" t="s">
        <v>179</v>
      </c>
      <c r="CD14" s="135" t="s">
        <v>180</v>
      </c>
      <c r="CE14" s="135"/>
      <c r="CF14" s="129">
        <v>1</v>
      </c>
      <c r="CG14" s="130" t="s">
        <v>611</v>
      </c>
      <c r="CH14"/>
      <c r="CJ14">
        <v>12</v>
      </c>
      <c r="CK14" s="111" t="s">
        <v>1220</v>
      </c>
      <c r="CL14" s="112" t="s">
        <v>1218</v>
      </c>
      <c r="CM14" s="113"/>
      <c r="CN14" s="114"/>
      <c r="CO14" s="115"/>
    </row>
    <row r="15" spans="1:218" ht="12.75">
      <c r="A15" s="138"/>
      <c r="B15" s="147" t="s">
        <v>1209</v>
      </c>
      <c r="C15" s="152" t="s">
        <v>1210</v>
      </c>
      <c r="D15" s="141" t="s">
        <v>1211</v>
      </c>
      <c r="E15" s="141" t="s">
        <v>1211</v>
      </c>
      <c r="F15" s="141" t="s">
        <v>1211</v>
      </c>
      <c r="G15" s="141" t="s">
        <v>1211</v>
      </c>
      <c r="H15" s="141" t="s">
        <v>1211</v>
      </c>
      <c r="I15" s="141" t="s">
        <v>1211</v>
      </c>
      <c r="J15" s="141" t="s">
        <v>1211</v>
      </c>
      <c r="K15" s="141" t="s">
        <v>1211</v>
      </c>
      <c r="L15" s="141" t="s">
        <v>178</v>
      </c>
      <c r="M15" s="141" t="s">
        <v>178</v>
      </c>
      <c r="O15" s="141" t="s">
        <v>16</v>
      </c>
      <c r="S15" s="141" t="s">
        <v>1222</v>
      </c>
      <c r="T15" s="141" t="s">
        <v>1225</v>
      </c>
      <c r="U15" s="141" t="s">
        <v>1223</v>
      </c>
      <c r="W15" s="141" t="s">
        <v>1222</v>
      </c>
      <c r="X15" s="141" t="s">
        <v>1225</v>
      </c>
      <c r="Y15" s="141" t="s">
        <v>1223</v>
      </c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  <c r="BP15" s="131">
        <f t="shared" si="0"/>
        <v>14</v>
      </c>
      <c r="BQ15" s="185" t="s">
        <v>197</v>
      </c>
      <c r="BR15" s="130" t="s">
        <v>178</v>
      </c>
      <c r="BS15" s="129" t="s">
        <v>179</v>
      </c>
      <c r="BT15" s="135" t="s">
        <v>180</v>
      </c>
      <c r="BU15" s="135"/>
      <c r="BV15" s="129">
        <v>1</v>
      </c>
      <c r="BW15" s="130" t="s">
        <v>797</v>
      </c>
      <c r="BX15"/>
      <c r="BZ15" s="131">
        <f t="shared" si="1"/>
        <v>14</v>
      </c>
      <c r="CA15" s="4" t="s">
        <v>198</v>
      </c>
      <c r="CB15" s="130" t="s">
        <v>181</v>
      </c>
      <c r="CC15" s="129" t="s">
        <v>179</v>
      </c>
      <c r="CD15" s="135" t="s">
        <v>180</v>
      </c>
      <c r="CE15" s="135"/>
      <c r="CF15" s="129">
        <v>1</v>
      </c>
      <c r="CG15" s="130" t="s">
        <v>612</v>
      </c>
      <c r="CH15"/>
    </row>
    <row r="16" spans="1:218" ht="12.75">
      <c r="A16" s="138"/>
      <c r="B16" s="147" t="s">
        <v>1212</v>
      </c>
      <c r="C16" s="152" t="s">
        <v>1262</v>
      </c>
      <c r="D16" s="141" t="s">
        <v>1254</v>
      </c>
      <c r="E16" s="141" t="s">
        <v>1254</v>
      </c>
      <c r="F16" s="141" t="s">
        <v>1255</v>
      </c>
      <c r="G16" s="141" t="s">
        <v>1255</v>
      </c>
      <c r="H16" s="141" t="s">
        <v>1255</v>
      </c>
      <c r="I16" s="141" t="s">
        <v>1255</v>
      </c>
      <c r="J16" s="141" t="s">
        <v>1255</v>
      </c>
      <c r="K16" s="141" t="s">
        <v>1255</v>
      </c>
      <c r="L16" s="141" t="s">
        <v>1426</v>
      </c>
      <c r="M16" s="141" t="s">
        <v>1420</v>
      </c>
      <c r="O16" s="141" t="s">
        <v>1226</v>
      </c>
      <c r="P16" s="141" t="s">
        <v>1214</v>
      </c>
      <c r="S16" s="170">
        <v>7.0000000000000007E-2</v>
      </c>
      <c r="U16" s="170">
        <v>7.0000000000000007E-2</v>
      </c>
      <c r="W16" s="170">
        <v>7.0000000000000007E-2</v>
      </c>
      <c r="X16" s="141"/>
      <c r="Y16" s="170">
        <v>7.0000000000000007E-2</v>
      </c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  <c r="BP16" s="131">
        <f t="shared" si="0"/>
        <v>15</v>
      </c>
      <c r="BQ16" s="185" t="s">
        <v>199</v>
      </c>
      <c r="BR16" s="130" t="s">
        <v>178</v>
      </c>
      <c r="BS16" s="129" t="s">
        <v>179</v>
      </c>
      <c r="BT16" s="135" t="s">
        <v>180</v>
      </c>
      <c r="BU16" s="135"/>
      <c r="BV16" s="129">
        <v>1</v>
      </c>
      <c r="BW16" s="130" t="s">
        <v>798</v>
      </c>
      <c r="BX16"/>
      <c r="BZ16" s="131">
        <f t="shared" si="1"/>
        <v>15</v>
      </c>
      <c r="CA16" s="4" t="s">
        <v>200</v>
      </c>
      <c r="CB16" s="130" t="s">
        <v>181</v>
      </c>
      <c r="CC16" s="129" t="s">
        <v>179</v>
      </c>
      <c r="CD16" s="135" t="s">
        <v>180</v>
      </c>
      <c r="CE16" s="135"/>
      <c r="CF16" s="129">
        <v>1</v>
      </c>
      <c r="CG16" s="130" t="s">
        <v>613</v>
      </c>
      <c r="CH16"/>
    </row>
    <row r="17" spans="1:86" ht="12.75">
      <c r="A17" s="153"/>
      <c r="B17" s="154">
        <f ca="1">BeginningOfNextMonth(Today)</f>
        <v>36617</v>
      </c>
      <c r="C17" s="142">
        <v>6.0711830429785001E-2</v>
      </c>
      <c r="D17" s="155">
        <v>0.45</v>
      </c>
      <c r="E17" s="155">
        <v>0.45</v>
      </c>
      <c r="F17" s="155">
        <v>0.4375</v>
      </c>
      <c r="G17" s="155">
        <v>0.44500000000000001</v>
      </c>
      <c r="H17" s="155">
        <v>0.45250000000000001</v>
      </c>
      <c r="I17" s="155">
        <v>2.81</v>
      </c>
      <c r="J17" s="155">
        <v>2.8149999999999999</v>
      </c>
      <c r="K17" s="141">
        <v>2.82</v>
      </c>
      <c r="L17" s="155">
        <v>-5.8749999999999997E-2</v>
      </c>
      <c r="M17" s="141">
        <v>0.36249999999999999</v>
      </c>
      <c r="O17" s="125">
        <f ca="1">(IF(MONTH(B17)&gt;=4,IF(MONTH(B17)&lt;=10,Inputs!$H$2,Inputs!$H$3),Inputs!$H$3))</f>
        <v>6.5000000000000002E-2</v>
      </c>
      <c r="P17" s="155">
        <f ca="1">J17+(IF($L$2=TRUE,IF(MONTH(B17)&gt;=4,IF(MONTH(B17)&lt;=10,L17,M17),M17),0))+(IF('Pricing Inputs'!$AN$3=2,O17,0))</f>
        <v>2.7562500000000001</v>
      </c>
      <c r="Q17" s="155"/>
      <c r="R17" s="336">
        <f t="shared" ref="R17:R80" ca="1" si="4">B17</f>
        <v>36617</v>
      </c>
      <c r="S17" s="171">
        <f t="shared" ref="S17:S80" si="5">T17-$S$16</f>
        <v>0.38</v>
      </c>
      <c r="T17" s="170">
        <f>D17</f>
        <v>0.45</v>
      </c>
      <c r="U17" s="172">
        <f t="shared" ref="U17:U80" si="6">$U$16+T17</f>
        <v>0.52</v>
      </c>
      <c r="BP17" s="131">
        <f t="shared" si="0"/>
        <v>16</v>
      </c>
      <c r="BQ17" s="185" t="s">
        <v>200</v>
      </c>
      <c r="BR17" s="130" t="s">
        <v>178</v>
      </c>
      <c r="BS17" s="129" t="s">
        <v>179</v>
      </c>
      <c r="BT17" s="135" t="s">
        <v>180</v>
      </c>
      <c r="BU17" s="135"/>
      <c r="BV17" s="129">
        <v>1</v>
      </c>
      <c r="BW17" s="130" t="s">
        <v>799</v>
      </c>
      <c r="BX17"/>
      <c r="BZ17" s="131">
        <f t="shared" si="1"/>
        <v>16</v>
      </c>
      <c r="CA17" s="4" t="s">
        <v>201</v>
      </c>
      <c r="CB17" s="130" t="s">
        <v>181</v>
      </c>
      <c r="CC17" s="129" t="s">
        <v>179</v>
      </c>
      <c r="CD17" s="135" t="s">
        <v>180</v>
      </c>
      <c r="CE17" s="135"/>
      <c r="CF17" s="129">
        <v>1</v>
      </c>
      <c r="CG17" s="130" t="s">
        <v>614</v>
      </c>
      <c r="CH17"/>
    </row>
    <row r="18" spans="1:86" ht="12.75">
      <c r="A18" s="153"/>
      <c r="B18" s="154">
        <f t="shared" ref="B18:B81" ca="1" si="7">NextMonth(B17)</f>
        <v>36647</v>
      </c>
      <c r="C18" s="141">
        <v>6.1493785480609998E-2</v>
      </c>
      <c r="D18" s="155">
        <v>0.5</v>
      </c>
      <c r="E18" s="155">
        <v>0.5</v>
      </c>
      <c r="F18" s="155">
        <v>0.39750000000000002</v>
      </c>
      <c r="G18" s="155">
        <v>0.40500000000000003</v>
      </c>
      <c r="H18" s="155">
        <v>0.41249999999999998</v>
      </c>
      <c r="I18" s="155">
        <v>2.819</v>
      </c>
      <c r="J18" s="156">
        <v>2.8240000000000003</v>
      </c>
      <c r="K18" s="141">
        <v>2.8290000000000002</v>
      </c>
      <c r="L18" s="156">
        <v>-5.8125000000000003E-2</v>
      </c>
      <c r="M18" s="141">
        <v>0.3075</v>
      </c>
      <c r="O18" s="125">
        <f ca="1">(IF(MONTH(B18)&gt;=4,IF(MONTH(B18)&lt;=10,Inputs!$H$2,Inputs!$H$3),Inputs!$H$3))</f>
        <v>6.5000000000000002E-2</v>
      </c>
      <c r="P18" s="155">
        <f ca="1">J18+(IF($L$2=TRUE,IF(MONTH(B18)&gt;=4,IF(MONTH(B18)&lt;=10,L18,M18),M18),0))+(IF('Pricing Inputs'!$AN$3=2,O18,0))</f>
        <v>2.7658750000000003</v>
      </c>
      <c r="Q18" s="155"/>
      <c r="R18" s="336">
        <f t="shared" ca="1" si="4"/>
        <v>36647</v>
      </c>
      <c r="S18" s="171">
        <f t="shared" si="5"/>
        <v>0.43</v>
      </c>
      <c r="T18" s="170">
        <f t="shared" ref="T18:T81" si="8">D18</f>
        <v>0.5</v>
      </c>
      <c r="U18" s="172">
        <f t="shared" si="6"/>
        <v>0.57000000000000006</v>
      </c>
      <c r="BP18" s="131">
        <f t="shared" si="0"/>
        <v>17</v>
      </c>
      <c r="BQ18" s="185" t="s">
        <v>201</v>
      </c>
      <c r="BR18" s="130" t="s">
        <v>178</v>
      </c>
      <c r="BS18" s="129" t="s">
        <v>179</v>
      </c>
      <c r="BT18" s="135" t="s">
        <v>180</v>
      </c>
      <c r="BU18" s="135"/>
      <c r="BV18" s="129">
        <v>1</v>
      </c>
      <c r="BW18" s="130" t="s">
        <v>800</v>
      </c>
      <c r="BX18"/>
      <c r="BZ18" s="131">
        <f t="shared" si="1"/>
        <v>17</v>
      </c>
      <c r="CA18" s="4" t="s">
        <v>202</v>
      </c>
      <c r="CB18" s="130" t="s">
        <v>181</v>
      </c>
      <c r="CC18" s="129" t="s">
        <v>179</v>
      </c>
      <c r="CD18" s="135" t="s">
        <v>180</v>
      </c>
      <c r="CE18" s="135"/>
      <c r="CF18" s="129">
        <v>1</v>
      </c>
      <c r="CG18" s="130" t="s">
        <v>615</v>
      </c>
      <c r="CH18"/>
    </row>
    <row r="19" spans="1:86" ht="12.75">
      <c r="A19" s="153"/>
      <c r="B19" s="154">
        <f t="shared" ca="1" si="7"/>
        <v>36678</v>
      </c>
      <c r="C19" s="141">
        <v>6.2298357278762005E-2</v>
      </c>
      <c r="D19" s="155">
        <v>0.5</v>
      </c>
      <c r="E19" s="155">
        <v>0.5</v>
      </c>
      <c r="F19" s="155">
        <v>0.38</v>
      </c>
      <c r="G19" s="155">
        <v>0.38750000000000001</v>
      </c>
      <c r="H19" s="155">
        <v>0.39500000000000002</v>
      </c>
      <c r="I19" s="155">
        <v>2.8250000000000002</v>
      </c>
      <c r="J19" s="156">
        <v>2.83</v>
      </c>
      <c r="K19" s="141">
        <v>2.835</v>
      </c>
      <c r="L19" s="156">
        <v>-5.6875000000000002E-2</v>
      </c>
      <c r="M19" s="141">
        <v>0.27500000000000002</v>
      </c>
      <c r="O19" s="125">
        <f ca="1">(IF(MONTH(B19)&gt;=4,IF(MONTH(B19)&lt;=10,Inputs!$H$2,Inputs!$H$3),Inputs!$H$3))</f>
        <v>6.5000000000000002E-2</v>
      </c>
      <c r="P19" s="155">
        <f ca="1">J19+(IF($L$2=TRUE,IF(MONTH(B19)&gt;=4,IF(MONTH(B19)&lt;=10,L19,M19),M19),0))+(IF('Pricing Inputs'!$AN$3=2,O19,0))</f>
        <v>2.7731250000000003</v>
      </c>
      <c r="Q19" s="155"/>
      <c r="R19" s="336">
        <f t="shared" ca="1" si="4"/>
        <v>36678</v>
      </c>
      <c r="S19" s="171">
        <f t="shared" si="5"/>
        <v>0.43</v>
      </c>
      <c r="T19" s="170">
        <f t="shared" si="8"/>
        <v>0.5</v>
      </c>
      <c r="U19" s="172">
        <f t="shared" si="6"/>
        <v>0.57000000000000006</v>
      </c>
      <c r="BP19" s="131">
        <f t="shared" si="0"/>
        <v>18</v>
      </c>
      <c r="BQ19" s="185" t="s">
        <v>202</v>
      </c>
      <c r="BR19" s="130" t="s">
        <v>178</v>
      </c>
      <c r="BS19" s="129" t="s">
        <v>179</v>
      </c>
      <c r="BT19" s="135" t="s">
        <v>180</v>
      </c>
      <c r="BU19" s="135"/>
      <c r="BV19" s="129">
        <v>1</v>
      </c>
      <c r="BW19" s="130" t="s">
        <v>801</v>
      </c>
      <c r="BX19"/>
      <c r="BZ19" s="131">
        <f t="shared" si="1"/>
        <v>18</v>
      </c>
      <c r="CA19" s="4" t="s">
        <v>229</v>
      </c>
      <c r="CB19" s="130" t="s">
        <v>181</v>
      </c>
      <c r="CC19" s="129" t="s">
        <v>179</v>
      </c>
      <c r="CD19" s="135" t="s">
        <v>180</v>
      </c>
      <c r="CE19" s="135"/>
      <c r="CF19" s="129">
        <v>1</v>
      </c>
      <c r="CG19" s="130" t="s">
        <v>616</v>
      </c>
      <c r="CH19"/>
    </row>
    <row r="20" spans="1:86" ht="12.75">
      <c r="A20" s="153"/>
      <c r="B20" s="154">
        <f t="shared" ca="1" si="7"/>
        <v>36708</v>
      </c>
      <c r="C20" s="141">
        <v>6.3186804789157003E-2</v>
      </c>
      <c r="D20" s="155">
        <v>0.5</v>
      </c>
      <c r="E20" s="155">
        <v>0.5</v>
      </c>
      <c r="F20" s="155">
        <v>0.375</v>
      </c>
      <c r="G20" s="155">
        <v>0.38250000000000001</v>
      </c>
      <c r="H20" s="155">
        <v>0.39</v>
      </c>
      <c r="I20" s="155">
        <v>2.835</v>
      </c>
      <c r="J20" s="156">
        <v>2.84</v>
      </c>
      <c r="K20" s="141">
        <v>2.8450000000000002</v>
      </c>
      <c r="L20" s="156">
        <v>-5.6250000000000001E-2</v>
      </c>
      <c r="M20" s="141">
        <v>0.33500000000000002</v>
      </c>
      <c r="O20" s="125">
        <f ca="1">(IF(MONTH(B20)&gt;=4,IF(MONTH(B20)&lt;=10,Inputs!$H$2,Inputs!$H$3),Inputs!$H$3))</f>
        <v>6.5000000000000002E-2</v>
      </c>
      <c r="P20" s="155">
        <f ca="1">J20+(IF($L$2=TRUE,IF(MONTH(B20)&gt;=4,IF(MONTH(B20)&lt;=10,L20,M20),M20),0))+(IF('Pricing Inputs'!$AN$3=2,O20,0))</f>
        <v>2.7837499999999999</v>
      </c>
      <c r="Q20" s="155"/>
      <c r="R20" s="336">
        <f t="shared" ca="1" si="4"/>
        <v>36708</v>
      </c>
      <c r="S20" s="171">
        <f t="shared" si="5"/>
        <v>0.43</v>
      </c>
      <c r="T20" s="170">
        <f t="shared" si="8"/>
        <v>0.5</v>
      </c>
      <c r="U20" s="172">
        <f t="shared" si="6"/>
        <v>0.57000000000000006</v>
      </c>
      <c r="BP20" s="131">
        <f t="shared" si="0"/>
        <v>19</v>
      </c>
      <c r="BQ20" s="185" t="s">
        <v>203</v>
      </c>
      <c r="BR20" s="130" t="s">
        <v>178</v>
      </c>
      <c r="BS20" s="129" t="s">
        <v>204</v>
      </c>
      <c r="BT20" s="135" t="s">
        <v>180</v>
      </c>
      <c r="BU20" s="135"/>
      <c r="BV20" s="129">
        <v>1</v>
      </c>
      <c r="BW20" s="130" t="s">
        <v>802</v>
      </c>
      <c r="BX20"/>
      <c r="BZ20" s="131">
        <f t="shared" si="1"/>
        <v>19</v>
      </c>
      <c r="CA20" s="4" t="s">
        <v>233</v>
      </c>
      <c r="CB20" s="130" t="s">
        <v>181</v>
      </c>
      <c r="CC20" s="129" t="s">
        <v>179</v>
      </c>
      <c r="CD20" s="135" t="s">
        <v>180</v>
      </c>
      <c r="CE20" s="135"/>
      <c r="CF20" s="129">
        <v>1</v>
      </c>
      <c r="CG20" s="130" t="s">
        <v>617</v>
      </c>
      <c r="CH20"/>
    </row>
    <row r="21" spans="1:86" ht="12.75">
      <c r="A21" s="153"/>
      <c r="B21" s="154">
        <f t="shared" ca="1" si="7"/>
        <v>36739</v>
      </c>
      <c r="C21" s="141">
        <v>6.3800434036869011E-2</v>
      </c>
      <c r="D21" s="155">
        <v>0.6</v>
      </c>
      <c r="E21" s="155">
        <v>0.6</v>
      </c>
      <c r="F21" s="155">
        <v>0.37</v>
      </c>
      <c r="G21" s="155">
        <v>0.3775</v>
      </c>
      <c r="H21" s="155">
        <v>0.38500000000000001</v>
      </c>
      <c r="I21" s="155">
        <v>2.8450000000000002</v>
      </c>
      <c r="J21" s="156">
        <v>2.85</v>
      </c>
      <c r="K21" s="141">
        <v>2.855</v>
      </c>
      <c r="L21" s="156">
        <v>-5.5625000000000001E-2</v>
      </c>
      <c r="M21" s="141">
        <v>0.32</v>
      </c>
      <c r="O21" s="125">
        <f ca="1">(IF(MONTH(B21)&gt;=4,IF(MONTH(B21)&lt;=10,Inputs!$H$2,Inputs!$H$3),Inputs!$H$3))</f>
        <v>6.5000000000000002E-2</v>
      </c>
      <c r="P21" s="155">
        <f ca="1">J21+(IF($L$2=TRUE,IF(MONTH(B21)&gt;=4,IF(MONTH(B21)&lt;=10,L21,M21),M21),0))+(IF('Pricing Inputs'!$AN$3=2,O21,0))</f>
        <v>2.7943750000000001</v>
      </c>
      <c r="Q21" s="155"/>
      <c r="R21" s="336">
        <f t="shared" ca="1" si="4"/>
        <v>36739</v>
      </c>
      <c r="S21" s="171">
        <f t="shared" si="5"/>
        <v>0.53</v>
      </c>
      <c r="T21" s="170">
        <f t="shared" si="8"/>
        <v>0.6</v>
      </c>
      <c r="U21" s="172">
        <f t="shared" si="6"/>
        <v>0.66999999999999993</v>
      </c>
      <c r="BP21" s="131">
        <f t="shared" si="0"/>
        <v>20</v>
      </c>
      <c r="BQ21" s="185" t="s">
        <v>205</v>
      </c>
      <c r="BR21" s="130" t="s">
        <v>178</v>
      </c>
      <c r="BS21" s="129" t="s">
        <v>204</v>
      </c>
      <c r="BT21" s="135" t="s">
        <v>180</v>
      </c>
      <c r="BU21" s="135"/>
      <c r="BV21" s="129">
        <v>1</v>
      </c>
      <c r="BW21" s="130" t="s">
        <v>803</v>
      </c>
      <c r="BX21"/>
      <c r="BZ21" s="131">
        <f t="shared" si="1"/>
        <v>20</v>
      </c>
      <c r="CA21" s="4" t="s">
        <v>240</v>
      </c>
      <c r="CB21" s="130" t="s">
        <v>181</v>
      </c>
      <c r="CC21" s="129" t="s">
        <v>179</v>
      </c>
      <c r="CD21" s="135" t="s">
        <v>180</v>
      </c>
      <c r="CE21" s="135"/>
      <c r="CF21" s="129">
        <v>1</v>
      </c>
      <c r="CG21" s="130" t="s">
        <v>618</v>
      </c>
      <c r="CH21"/>
    </row>
    <row r="22" spans="1:86" ht="12.75">
      <c r="A22" s="153"/>
      <c r="B22" s="154">
        <f t="shared" ca="1" si="7"/>
        <v>36770</v>
      </c>
      <c r="C22" s="141">
        <v>6.4414063409461E-2</v>
      </c>
      <c r="D22" s="155">
        <v>0.6</v>
      </c>
      <c r="E22" s="155">
        <v>0.6</v>
      </c>
      <c r="F22" s="155">
        <v>0.375</v>
      </c>
      <c r="G22" s="155">
        <v>0.38250000000000001</v>
      </c>
      <c r="H22" s="155">
        <v>0.39</v>
      </c>
      <c r="I22" s="155">
        <v>2.85</v>
      </c>
      <c r="J22" s="156">
        <v>2.855</v>
      </c>
      <c r="K22" s="141">
        <v>2.86</v>
      </c>
      <c r="L22" s="156">
        <v>-5.7500000000000002E-2</v>
      </c>
      <c r="M22" s="141">
        <v>0.28000000000000003</v>
      </c>
      <c r="O22" s="125">
        <f ca="1">(IF(MONTH(B22)&gt;=4,IF(MONTH(B22)&lt;=10,Inputs!$H$2,Inputs!$H$3),Inputs!$H$3))</f>
        <v>6.5000000000000002E-2</v>
      </c>
      <c r="P22" s="155">
        <f ca="1">J22+(IF($L$2=TRUE,IF(MONTH(B22)&gt;=4,IF(MONTH(B22)&lt;=10,L22,M22),M22),0))+(IF('Pricing Inputs'!$AN$3=2,O22,0))</f>
        <v>2.7974999999999999</v>
      </c>
      <c r="Q22" s="155"/>
      <c r="R22" s="336">
        <f t="shared" ca="1" si="4"/>
        <v>36770</v>
      </c>
      <c r="S22" s="171">
        <f t="shared" si="5"/>
        <v>0.53</v>
      </c>
      <c r="T22" s="170">
        <f t="shared" si="8"/>
        <v>0.6</v>
      </c>
      <c r="U22" s="172">
        <f t="shared" si="6"/>
        <v>0.66999999999999993</v>
      </c>
      <c r="BP22" s="131">
        <f t="shared" si="0"/>
        <v>21</v>
      </c>
      <c r="BQ22" s="185" t="s">
        <v>206</v>
      </c>
      <c r="BR22" s="130" t="s">
        <v>178</v>
      </c>
      <c r="BS22" s="129" t="s">
        <v>204</v>
      </c>
      <c r="BT22" s="135" t="s">
        <v>180</v>
      </c>
      <c r="BU22" s="135"/>
      <c r="BV22" s="129">
        <v>1</v>
      </c>
      <c r="BW22" s="130" t="s">
        <v>804</v>
      </c>
      <c r="BX22"/>
      <c r="BZ22" s="131">
        <f t="shared" si="1"/>
        <v>21</v>
      </c>
      <c r="CA22" s="4" t="s">
        <v>288</v>
      </c>
      <c r="CB22" s="130" t="s">
        <v>181</v>
      </c>
      <c r="CC22" s="129" t="s">
        <v>179</v>
      </c>
      <c r="CD22" s="135" t="s">
        <v>180</v>
      </c>
      <c r="CE22" s="135"/>
      <c r="CF22" s="129">
        <v>1</v>
      </c>
      <c r="CG22" s="130" t="s">
        <v>619</v>
      </c>
      <c r="CH22"/>
    </row>
    <row r="23" spans="1:86" ht="12.75">
      <c r="A23" s="153"/>
      <c r="B23" s="154">
        <f t="shared" ca="1" si="7"/>
        <v>36800</v>
      </c>
      <c r="C23" s="141">
        <v>6.4972245960336003E-2</v>
      </c>
      <c r="D23" s="155">
        <v>0.65</v>
      </c>
      <c r="E23" s="155">
        <v>0.65</v>
      </c>
      <c r="F23" s="155">
        <v>0.3775</v>
      </c>
      <c r="G23" s="155">
        <v>0.38500000000000001</v>
      </c>
      <c r="H23" s="155">
        <v>0.39250000000000002</v>
      </c>
      <c r="I23" s="155">
        <v>2.87</v>
      </c>
      <c r="J23" s="156">
        <v>2.875</v>
      </c>
      <c r="K23" s="141">
        <v>2.88</v>
      </c>
      <c r="L23" s="156">
        <v>-5.9374999999999997E-2</v>
      </c>
      <c r="M23" s="141">
        <v>0.28999999999999998</v>
      </c>
      <c r="O23" s="125">
        <f ca="1">(IF(MONTH(B23)&gt;=4,IF(MONTH(B23)&lt;=10,Inputs!$H$2,Inputs!$H$3),Inputs!$H$3))</f>
        <v>6.5000000000000002E-2</v>
      </c>
      <c r="P23" s="155">
        <f ca="1">J23+(IF($L$2=TRUE,IF(MONTH(B23)&gt;=4,IF(MONTH(B23)&lt;=10,L23,M23),M23),0))+(IF('Pricing Inputs'!$AN$3=2,O23,0))</f>
        <v>2.8156249999999998</v>
      </c>
      <c r="Q23" s="155"/>
      <c r="R23" s="336">
        <f t="shared" ca="1" si="4"/>
        <v>36800</v>
      </c>
      <c r="S23" s="171">
        <f t="shared" si="5"/>
        <v>0.58000000000000007</v>
      </c>
      <c r="T23" s="170">
        <f t="shared" si="8"/>
        <v>0.65</v>
      </c>
      <c r="U23" s="172">
        <f t="shared" si="6"/>
        <v>0.72</v>
      </c>
      <c r="BP23" s="131">
        <f t="shared" si="0"/>
        <v>22</v>
      </c>
      <c r="BQ23" s="185" t="s">
        <v>207</v>
      </c>
      <c r="BR23" s="130" t="s">
        <v>178</v>
      </c>
      <c r="BS23" s="129" t="s">
        <v>204</v>
      </c>
      <c r="BT23" s="135" t="s">
        <v>180</v>
      </c>
      <c r="BU23" s="135"/>
      <c r="BV23" s="129">
        <v>1</v>
      </c>
      <c r="BW23" s="130" t="s">
        <v>805</v>
      </c>
      <c r="BX23"/>
      <c r="BZ23" s="131">
        <f t="shared" si="1"/>
        <v>22</v>
      </c>
      <c r="CA23" s="4" t="s">
        <v>430</v>
      </c>
      <c r="CB23" s="130" t="s">
        <v>181</v>
      </c>
      <c r="CC23" s="129" t="s">
        <v>179</v>
      </c>
      <c r="CD23" s="135" t="s">
        <v>180</v>
      </c>
      <c r="CE23" s="135"/>
      <c r="CF23" s="129">
        <v>1</v>
      </c>
      <c r="CG23" s="130" t="s">
        <v>620</v>
      </c>
      <c r="CH23"/>
    </row>
    <row r="24" spans="1:86" ht="12.75">
      <c r="A24" s="153"/>
      <c r="B24" s="154">
        <f t="shared" ca="1" si="7"/>
        <v>36831</v>
      </c>
      <c r="C24" s="141">
        <v>6.5482946055964997E-2</v>
      </c>
      <c r="D24" s="156">
        <v>0.95</v>
      </c>
      <c r="E24" s="156">
        <v>0.95</v>
      </c>
      <c r="F24" s="156">
        <v>0.38</v>
      </c>
      <c r="G24" s="156">
        <v>0.38750000000000001</v>
      </c>
      <c r="H24" s="156">
        <v>0.39500000000000002</v>
      </c>
      <c r="I24" s="155">
        <v>2.98</v>
      </c>
      <c r="J24" s="156">
        <v>2.9849999999999999</v>
      </c>
      <c r="K24" s="141">
        <v>2.99</v>
      </c>
      <c r="L24" s="156">
        <v>-5.9374999999999997E-2</v>
      </c>
      <c r="M24" s="141">
        <v>0.67</v>
      </c>
      <c r="O24" s="125">
        <f ca="1">(IF(MONTH(B24)&gt;=4,IF(MONTH(B24)&lt;=10,Inputs!$H$2,Inputs!$H$3),Inputs!$H$3))</f>
        <v>6.5000000000000002E-2</v>
      </c>
      <c r="P24" s="155">
        <f ca="1">J24+(IF($L$2=TRUE,IF(MONTH(B24)&gt;=4,IF(MONTH(B24)&lt;=10,L24,M24),M24),0))+(IF('Pricing Inputs'!$AN$3=2,O24,0))</f>
        <v>3.6549999999999998</v>
      </c>
      <c r="Q24" s="155"/>
      <c r="R24" s="336">
        <f t="shared" ca="1" si="4"/>
        <v>36831</v>
      </c>
      <c r="S24" s="171">
        <f t="shared" si="5"/>
        <v>0.87999999999999989</v>
      </c>
      <c r="T24" s="170">
        <f t="shared" si="8"/>
        <v>0.95</v>
      </c>
      <c r="U24" s="172">
        <f t="shared" si="6"/>
        <v>1.02</v>
      </c>
      <c r="BP24" s="131">
        <f t="shared" si="0"/>
        <v>23</v>
      </c>
      <c r="BQ24" s="185" t="s">
        <v>208</v>
      </c>
      <c r="BR24" s="130" t="s">
        <v>178</v>
      </c>
      <c r="BS24" s="129" t="s">
        <v>204</v>
      </c>
      <c r="BT24" s="135" t="s">
        <v>180</v>
      </c>
      <c r="BU24" s="135"/>
      <c r="BV24" s="129">
        <v>1</v>
      </c>
      <c r="BW24" s="130" t="s">
        <v>806</v>
      </c>
      <c r="BX24"/>
      <c r="BZ24" s="131">
        <f t="shared" si="1"/>
        <v>23</v>
      </c>
      <c r="CA24" s="4" t="s">
        <v>431</v>
      </c>
      <c r="CB24" s="130" t="s">
        <v>181</v>
      </c>
      <c r="CC24" s="129" t="s">
        <v>179</v>
      </c>
      <c r="CD24" s="135" t="s">
        <v>180</v>
      </c>
      <c r="CE24" s="135"/>
      <c r="CF24" s="129">
        <v>1</v>
      </c>
      <c r="CG24" s="130" t="s">
        <v>621</v>
      </c>
      <c r="CH24"/>
    </row>
    <row r="25" spans="1:86" ht="12.75">
      <c r="A25" s="153"/>
      <c r="B25" s="154">
        <f t="shared" ca="1" si="7"/>
        <v>36861</v>
      </c>
      <c r="C25" s="141">
        <v>6.5977172037254006E-2</v>
      </c>
      <c r="D25" s="156">
        <v>1.25</v>
      </c>
      <c r="E25" s="156">
        <v>1.25</v>
      </c>
      <c r="F25" s="156">
        <v>0.38250000000000001</v>
      </c>
      <c r="G25" s="156">
        <v>0.39</v>
      </c>
      <c r="H25" s="156">
        <v>0.39750000000000002</v>
      </c>
      <c r="I25" s="155">
        <v>3.0950000000000002</v>
      </c>
      <c r="J25" s="156">
        <v>3.1</v>
      </c>
      <c r="K25" s="141">
        <v>3.105</v>
      </c>
      <c r="L25" s="156">
        <v>-6.5000000000000002E-2</v>
      </c>
      <c r="M25" s="141">
        <v>1.1599999999999999</v>
      </c>
      <c r="O25" s="125">
        <f ca="1">(IF(MONTH(B25)&gt;=4,IF(MONTH(B25)&lt;=10,Inputs!$H$2,Inputs!$H$3),Inputs!$H$3))</f>
        <v>6.5000000000000002E-2</v>
      </c>
      <c r="P25" s="155">
        <f ca="1">J25+(IF($L$2=TRUE,IF(MONTH(B25)&gt;=4,IF(MONTH(B25)&lt;=10,L25,M25),M25),0))+(IF('Pricing Inputs'!$AN$3=2,O25,0))</f>
        <v>4.26</v>
      </c>
      <c r="Q25" s="155"/>
      <c r="R25" s="336">
        <f t="shared" ca="1" si="4"/>
        <v>36861</v>
      </c>
      <c r="S25" s="171">
        <f t="shared" si="5"/>
        <v>1.18</v>
      </c>
      <c r="T25" s="170">
        <f t="shared" si="8"/>
        <v>1.25</v>
      </c>
      <c r="U25" s="172">
        <f t="shared" si="6"/>
        <v>1.32</v>
      </c>
      <c r="BP25" s="131">
        <f t="shared" si="0"/>
        <v>24</v>
      </c>
      <c r="BQ25" s="185" t="s">
        <v>209</v>
      </c>
      <c r="BR25" s="130" t="s">
        <v>178</v>
      </c>
      <c r="BS25" s="129" t="s">
        <v>204</v>
      </c>
      <c r="BT25" s="135" t="s">
        <v>180</v>
      </c>
      <c r="BU25" s="135"/>
      <c r="BV25" s="129">
        <v>1</v>
      </c>
      <c r="BW25" s="130" t="s">
        <v>807</v>
      </c>
      <c r="BX25"/>
      <c r="BZ25" s="131">
        <f t="shared" si="1"/>
        <v>24</v>
      </c>
      <c r="CA25" s="4" t="s">
        <v>432</v>
      </c>
      <c r="CB25" s="130" t="s">
        <v>181</v>
      </c>
      <c r="CC25" s="129" t="s">
        <v>179</v>
      </c>
      <c r="CD25" s="135" t="s">
        <v>180</v>
      </c>
      <c r="CE25" s="135"/>
      <c r="CF25" s="129">
        <v>1</v>
      </c>
      <c r="CG25" s="130" t="s">
        <v>622</v>
      </c>
      <c r="CH25"/>
    </row>
    <row r="26" spans="1:86" ht="12.75">
      <c r="A26" s="153"/>
      <c r="B26" s="154">
        <f t="shared" ca="1" si="7"/>
        <v>36892</v>
      </c>
      <c r="C26" s="141">
        <v>6.6467823306128992E-2</v>
      </c>
      <c r="D26" s="156">
        <v>1.45</v>
      </c>
      <c r="E26" s="156">
        <v>1.45</v>
      </c>
      <c r="F26" s="156">
        <v>0.38750000000000001</v>
      </c>
      <c r="G26" s="156">
        <v>0.39500000000000002</v>
      </c>
      <c r="H26" s="156">
        <v>0.40250000000000002</v>
      </c>
      <c r="I26" s="155">
        <v>3.12</v>
      </c>
      <c r="J26" s="156">
        <v>3.125</v>
      </c>
      <c r="K26" s="141">
        <v>3.13</v>
      </c>
      <c r="L26" s="156">
        <v>-6.5625000000000003E-2</v>
      </c>
      <c r="M26" s="141">
        <v>1.35</v>
      </c>
      <c r="O26" s="125">
        <f ca="1">(IF(MONTH(B26)&gt;=4,IF(MONTH(B26)&lt;=10,Inputs!$H$2,Inputs!$H$3),Inputs!$H$3))</f>
        <v>6.5000000000000002E-2</v>
      </c>
      <c r="P26" s="155">
        <f ca="1">J26+(IF($L$2=TRUE,IF(MONTH(B26)&gt;=4,IF(MONTH(B26)&lt;=10,L26,M26),M26),0))+(IF('Pricing Inputs'!$AN$3=2,O26,0))</f>
        <v>4.4749999999999996</v>
      </c>
      <c r="Q26" s="155"/>
      <c r="R26" s="336">
        <f t="shared" ca="1" si="4"/>
        <v>36892</v>
      </c>
      <c r="S26" s="171">
        <f t="shared" si="5"/>
        <v>1.38</v>
      </c>
      <c r="T26" s="170">
        <f t="shared" si="8"/>
        <v>1.45</v>
      </c>
      <c r="U26" s="172">
        <f t="shared" si="6"/>
        <v>1.52</v>
      </c>
      <c r="BP26" s="131">
        <f t="shared" si="0"/>
        <v>25</v>
      </c>
      <c r="BQ26" s="185" t="s">
        <v>210</v>
      </c>
      <c r="BR26" s="130" t="s">
        <v>178</v>
      </c>
      <c r="BS26" s="129" t="s">
        <v>204</v>
      </c>
      <c r="BT26" s="135" t="s">
        <v>180</v>
      </c>
      <c r="BU26" s="135"/>
      <c r="BV26" s="129">
        <v>1</v>
      </c>
      <c r="BW26" s="130" t="s">
        <v>808</v>
      </c>
      <c r="BX26"/>
      <c r="BZ26" s="131">
        <f t="shared" si="1"/>
        <v>25</v>
      </c>
      <c r="CA26" s="4" t="s">
        <v>433</v>
      </c>
      <c r="CB26" s="130" t="s">
        <v>181</v>
      </c>
      <c r="CC26" s="129" t="s">
        <v>179</v>
      </c>
      <c r="CD26" s="135" t="s">
        <v>180</v>
      </c>
      <c r="CE26" s="135"/>
      <c r="CF26" s="129">
        <v>1</v>
      </c>
      <c r="CG26" s="130" t="s">
        <v>623</v>
      </c>
      <c r="CH26"/>
    </row>
    <row r="27" spans="1:86" ht="12.75">
      <c r="A27" s="153"/>
      <c r="B27" s="154">
        <f t="shared" ca="1" si="7"/>
        <v>36923</v>
      </c>
      <c r="C27" s="141">
        <v>6.6926730404914009E-2</v>
      </c>
      <c r="D27" s="156">
        <v>1.45</v>
      </c>
      <c r="E27" s="156">
        <v>1.45</v>
      </c>
      <c r="F27" s="156">
        <v>0.38250000000000001</v>
      </c>
      <c r="G27" s="156">
        <v>0.39</v>
      </c>
      <c r="H27" s="156">
        <v>0.39750000000000002</v>
      </c>
      <c r="I27" s="155">
        <v>2.9550000000000001</v>
      </c>
      <c r="J27" s="156">
        <v>2.96</v>
      </c>
      <c r="K27" s="141">
        <v>2.9649999999999999</v>
      </c>
      <c r="L27" s="156">
        <v>-6.1249999999999999E-2</v>
      </c>
      <c r="M27" s="141">
        <v>1.375</v>
      </c>
      <c r="O27" s="125">
        <f ca="1">(IF(MONTH(B27)&gt;=4,IF(MONTH(B27)&lt;=10,Inputs!$H$2,Inputs!$H$3),Inputs!$H$3))</f>
        <v>6.5000000000000002E-2</v>
      </c>
      <c r="P27" s="155">
        <f ca="1">J27+(IF($L$2=TRUE,IF(MONTH(B27)&gt;=4,IF(MONTH(B27)&lt;=10,L27,M27),M27),0))+(IF('Pricing Inputs'!$AN$3=2,O27,0))</f>
        <v>4.335</v>
      </c>
      <c r="Q27" s="155"/>
      <c r="R27" s="336">
        <f t="shared" ca="1" si="4"/>
        <v>36923</v>
      </c>
      <c r="S27" s="171">
        <f t="shared" si="5"/>
        <v>1.38</v>
      </c>
      <c r="T27" s="170">
        <f t="shared" si="8"/>
        <v>1.45</v>
      </c>
      <c r="U27" s="172">
        <f t="shared" si="6"/>
        <v>1.52</v>
      </c>
      <c r="BP27" s="131">
        <f t="shared" si="0"/>
        <v>26</v>
      </c>
      <c r="BQ27" s="185" t="s">
        <v>211</v>
      </c>
      <c r="BR27" s="130" t="s">
        <v>178</v>
      </c>
      <c r="BS27" s="129" t="s">
        <v>204</v>
      </c>
      <c r="BT27" s="135" t="s">
        <v>180</v>
      </c>
      <c r="BU27" s="135"/>
      <c r="BV27" s="129">
        <v>1</v>
      </c>
      <c r="BW27" s="130" t="s">
        <v>809</v>
      </c>
      <c r="BX27"/>
      <c r="BZ27" s="131">
        <f t="shared" si="1"/>
        <v>26</v>
      </c>
      <c r="CA27" s="4" t="s">
        <v>434</v>
      </c>
      <c r="CB27" s="130" t="s">
        <v>181</v>
      </c>
      <c r="CC27" s="129" t="s">
        <v>179</v>
      </c>
      <c r="CD27" s="135" t="s">
        <v>180</v>
      </c>
      <c r="CE27" s="135"/>
      <c r="CF27" s="129">
        <v>1</v>
      </c>
      <c r="CG27" s="130" t="s">
        <v>624</v>
      </c>
      <c r="CH27"/>
    </row>
    <row r="28" spans="1:86" ht="12.75">
      <c r="A28" s="153"/>
      <c r="B28" s="154">
        <f t="shared" ca="1" si="7"/>
        <v>36951</v>
      </c>
      <c r="C28" s="141">
        <v>6.7341227199243001E-2</v>
      </c>
      <c r="D28" s="156">
        <v>1</v>
      </c>
      <c r="E28" s="156">
        <v>1</v>
      </c>
      <c r="F28" s="156">
        <v>0.33500000000000002</v>
      </c>
      <c r="G28" s="156">
        <v>0.34250000000000003</v>
      </c>
      <c r="H28" s="156">
        <v>0.35</v>
      </c>
      <c r="I28" s="155">
        <v>2.8149999999999999</v>
      </c>
      <c r="J28" s="156">
        <v>2.82</v>
      </c>
      <c r="K28" s="141">
        <v>2.8250000000000002</v>
      </c>
      <c r="L28" s="156">
        <v>-6.6875000000000004E-2</v>
      </c>
      <c r="M28" s="141">
        <v>0.92</v>
      </c>
      <c r="O28" s="125">
        <f ca="1">(IF(MONTH(B28)&gt;=4,IF(MONTH(B28)&lt;=10,Inputs!$H$2,Inputs!$H$3),Inputs!$H$3))</f>
        <v>6.5000000000000002E-2</v>
      </c>
      <c r="P28" s="155">
        <f ca="1">J28+(IF($L$2=TRUE,IF(MONTH(B28)&gt;=4,IF(MONTH(B28)&lt;=10,L28,M28),M28),0))+(IF('Pricing Inputs'!$AN$3=2,O28,0))</f>
        <v>3.7399999999999998</v>
      </c>
      <c r="Q28" s="155"/>
      <c r="R28" s="336">
        <f t="shared" ca="1" si="4"/>
        <v>36951</v>
      </c>
      <c r="S28" s="171">
        <f t="shared" si="5"/>
        <v>0.92999999999999994</v>
      </c>
      <c r="T28" s="170">
        <f t="shared" si="8"/>
        <v>1</v>
      </c>
      <c r="U28" s="172">
        <f t="shared" si="6"/>
        <v>1.07</v>
      </c>
      <c r="BP28" s="131">
        <f t="shared" si="0"/>
        <v>27</v>
      </c>
      <c r="BQ28" s="185" t="s">
        <v>212</v>
      </c>
      <c r="BR28" s="130" t="s">
        <v>178</v>
      </c>
      <c r="BS28" s="129" t="s">
        <v>204</v>
      </c>
      <c r="BT28" s="135" t="s">
        <v>180</v>
      </c>
      <c r="BU28" s="135"/>
      <c r="BV28" s="129">
        <v>1</v>
      </c>
      <c r="BW28" s="130" t="s">
        <v>810</v>
      </c>
      <c r="BX28"/>
      <c r="BZ28" s="131">
        <f t="shared" si="1"/>
        <v>27</v>
      </c>
      <c r="CA28" s="4" t="s">
        <v>435</v>
      </c>
      <c r="CB28" s="130" t="s">
        <v>181</v>
      </c>
      <c r="CC28" s="129" t="s">
        <v>179</v>
      </c>
      <c r="CD28" s="135" t="s">
        <v>180</v>
      </c>
      <c r="CE28" s="135"/>
      <c r="CF28" s="129">
        <v>1</v>
      </c>
      <c r="CG28" s="130" t="s">
        <v>625</v>
      </c>
      <c r="CH28"/>
    </row>
    <row r="29" spans="1:86" ht="12.75">
      <c r="A29" s="153"/>
      <c r="B29" s="154">
        <f t="shared" ca="1" si="7"/>
        <v>36982</v>
      </c>
      <c r="C29" s="141">
        <v>6.7760452095970994E-2</v>
      </c>
      <c r="D29" s="156">
        <v>0.45</v>
      </c>
      <c r="E29" s="156">
        <v>0.45</v>
      </c>
      <c r="F29" s="156">
        <v>0.27</v>
      </c>
      <c r="G29" s="156">
        <v>0.27750000000000002</v>
      </c>
      <c r="H29" s="156">
        <v>0.28499999999999998</v>
      </c>
      <c r="I29" s="155">
        <v>2.6920000000000002</v>
      </c>
      <c r="J29" s="156">
        <v>2.6970000000000001</v>
      </c>
      <c r="K29" s="141">
        <v>2.702</v>
      </c>
      <c r="L29" s="156">
        <v>-6.0624999999999998E-2</v>
      </c>
      <c r="M29" s="141">
        <v>0.37</v>
      </c>
      <c r="O29" s="125">
        <f ca="1">(IF(MONTH(B29)&gt;=4,IF(MONTH(B29)&lt;=10,Inputs!$H$2,Inputs!$H$3),Inputs!$H$3))</f>
        <v>6.5000000000000002E-2</v>
      </c>
      <c r="P29" s="155">
        <f ca="1">J29+(IF($L$2=TRUE,IF(MONTH(B29)&gt;=4,IF(MONTH(B29)&lt;=10,L29,M29),M29),0))+(IF('Pricing Inputs'!$AN$3=2,O29,0))</f>
        <v>2.6363750000000001</v>
      </c>
      <c r="Q29" s="155"/>
      <c r="R29" s="336">
        <f t="shared" ca="1" si="4"/>
        <v>36982</v>
      </c>
      <c r="S29" s="171">
        <f t="shared" si="5"/>
        <v>0.38</v>
      </c>
      <c r="T29" s="170">
        <f t="shared" si="8"/>
        <v>0.45</v>
      </c>
      <c r="U29" s="172">
        <f t="shared" si="6"/>
        <v>0.52</v>
      </c>
      <c r="BP29" s="131">
        <f t="shared" si="0"/>
        <v>28</v>
      </c>
      <c r="BQ29" s="185" t="s">
        <v>213</v>
      </c>
      <c r="BR29" s="130" t="s">
        <v>178</v>
      </c>
      <c r="BS29" s="129" t="s">
        <v>204</v>
      </c>
      <c r="BT29" s="135" t="s">
        <v>180</v>
      </c>
      <c r="BU29" s="135"/>
      <c r="BV29" s="129">
        <v>1</v>
      </c>
      <c r="BW29" s="130" t="s">
        <v>811</v>
      </c>
      <c r="BX29"/>
      <c r="BZ29" s="131">
        <f t="shared" si="1"/>
        <v>28</v>
      </c>
      <c r="CA29" s="4" t="s">
        <v>436</v>
      </c>
      <c r="CB29" s="130" t="s">
        <v>181</v>
      </c>
      <c r="CC29" s="129" t="s">
        <v>179</v>
      </c>
      <c r="CD29" s="135" t="s">
        <v>180</v>
      </c>
      <c r="CE29" s="135"/>
      <c r="CF29" s="129">
        <v>1</v>
      </c>
      <c r="CG29" s="130" t="s">
        <v>626</v>
      </c>
      <c r="CH29"/>
    </row>
    <row r="30" spans="1:86" ht="12.75">
      <c r="A30" s="153"/>
      <c r="B30" s="154">
        <f t="shared" ca="1" si="7"/>
        <v>37012</v>
      </c>
      <c r="C30" s="141">
        <v>6.8094409945583995E-2</v>
      </c>
      <c r="D30" s="156">
        <v>0.5</v>
      </c>
      <c r="E30" s="156">
        <v>0.5</v>
      </c>
      <c r="F30" s="156">
        <v>0.24</v>
      </c>
      <c r="G30" s="156">
        <v>0.2475</v>
      </c>
      <c r="H30" s="156">
        <v>0.255</v>
      </c>
      <c r="I30" s="155">
        <v>2.6510000000000002</v>
      </c>
      <c r="J30" s="156">
        <v>2.6560000000000001</v>
      </c>
      <c r="K30" s="141">
        <v>2.661</v>
      </c>
      <c r="L30" s="156">
        <v>-5.9374999999999997E-2</v>
      </c>
      <c r="M30" s="141">
        <v>0.2525</v>
      </c>
      <c r="N30" s="158"/>
      <c r="O30" s="125">
        <f ca="1">(IF(MONTH(B30)&gt;=4,IF(MONTH(B30)&lt;=10,Inputs!$H$2,Inputs!$H$3),Inputs!$H$3))</f>
        <v>6.5000000000000002E-2</v>
      </c>
      <c r="P30" s="155">
        <f ca="1">J30+(IF($L$2=TRUE,IF(MONTH(B30)&gt;=4,IF(MONTH(B30)&lt;=10,L30,M30),M30),0))+(IF('Pricing Inputs'!$AN$3=2,O30,0))</f>
        <v>2.596625</v>
      </c>
      <c r="Q30" s="155"/>
      <c r="R30" s="336">
        <f t="shared" ca="1" si="4"/>
        <v>37012</v>
      </c>
      <c r="S30" s="171">
        <f t="shared" si="5"/>
        <v>0.43</v>
      </c>
      <c r="T30" s="170">
        <f t="shared" si="8"/>
        <v>0.5</v>
      </c>
      <c r="U30" s="172">
        <f t="shared" si="6"/>
        <v>0.57000000000000006</v>
      </c>
      <c r="BP30" s="131">
        <f t="shared" si="0"/>
        <v>29</v>
      </c>
      <c r="BQ30" s="185" t="s">
        <v>214</v>
      </c>
      <c r="BR30" s="130" t="s">
        <v>178</v>
      </c>
      <c r="BS30" s="129" t="s">
        <v>204</v>
      </c>
      <c r="BT30" s="135" t="s">
        <v>180</v>
      </c>
      <c r="BU30" s="135"/>
      <c r="BV30" s="129">
        <v>1</v>
      </c>
      <c r="BW30" s="130" t="s">
        <v>812</v>
      </c>
      <c r="BX30"/>
      <c r="BZ30" s="131">
        <f t="shared" si="1"/>
        <v>29</v>
      </c>
      <c r="CA30" s="4" t="s">
        <v>437</v>
      </c>
      <c r="CB30" s="130" t="s">
        <v>181</v>
      </c>
      <c r="CC30" s="129" t="s">
        <v>179</v>
      </c>
      <c r="CD30" s="135" t="s">
        <v>180</v>
      </c>
      <c r="CE30" s="135"/>
      <c r="CF30" s="129">
        <v>1</v>
      </c>
      <c r="CG30" s="130" t="s">
        <v>627</v>
      </c>
      <c r="CH30"/>
    </row>
    <row r="31" spans="1:86" ht="12.75">
      <c r="A31" s="153"/>
      <c r="B31" s="154">
        <f t="shared" ca="1" si="7"/>
        <v>37043</v>
      </c>
      <c r="C31" s="141">
        <v>6.8439499762296005E-2</v>
      </c>
      <c r="D31" s="156">
        <v>0.5</v>
      </c>
      <c r="E31" s="156">
        <v>0.5</v>
      </c>
      <c r="F31" s="156">
        <v>0.23250000000000001</v>
      </c>
      <c r="G31" s="156">
        <v>0.24</v>
      </c>
      <c r="H31" s="156">
        <v>0.2475</v>
      </c>
      <c r="I31" s="155">
        <v>2.6549999999999998</v>
      </c>
      <c r="J31" s="156">
        <v>2.66</v>
      </c>
      <c r="K31" s="141">
        <v>2.665</v>
      </c>
      <c r="L31" s="156">
        <v>-5.7500000000000002E-2</v>
      </c>
      <c r="M31" s="141">
        <v>0.2525</v>
      </c>
      <c r="O31" s="125">
        <f ca="1">(IF(MONTH(B31)&gt;=4,IF(MONTH(B31)&lt;=10,Inputs!$H$2,Inputs!$H$3),Inputs!$H$3))</f>
        <v>6.5000000000000002E-2</v>
      </c>
      <c r="P31" s="155">
        <f ca="1">J31+(IF($L$2=TRUE,IF(MONTH(B31)&gt;=4,IF(MONTH(B31)&lt;=10,L31,M31),M31),0))+(IF('Pricing Inputs'!$AN$3=2,O31,0))</f>
        <v>2.6025</v>
      </c>
      <c r="Q31" s="155"/>
      <c r="R31" s="336">
        <f t="shared" ca="1" si="4"/>
        <v>37043</v>
      </c>
      <c r="S31" s="171">
        <f t="shared" si="5"/>
        <v>0.43</v>
      </c>
      <c r="T31" s="170">
        <f t="shared" si="8"/>
        <v>0.5</v>
      </c>
      <c r="U31" s="172">
        <f t="shared" si="6"/>
        <v>0.57000000000000006</v>
      </c>
      <c r="BP31" s="131">
        <f t="shared" si="0"/>
        <v>30</v>
      </c>
      <c r="BQ31" s="185" t="s">
        <v>215</v>
      </c>
      <c r="BR31" s="130" t="s">
        <v>178</v>
      </c>
      <c r="BS31" s="129" t="s">
        <v>204</v>
      </c>
      <c r="BT31" s="135" t="s">
        <v>180</v>
      </c>
      <c r="BU31" s="135"/>
      <c r="BV31" s="129">
        <v>1</v>
      </c>
      <c r="BW31" s="130" t="s">
        <v>813</v>
      </c>
      <c r="BX31"/>
      <c r="BZ31" s="131">
        <f t="shared" si="1"/>
        <v>30</v>
      </c>
      <c r="CA31" s="4" t="s">
        <v>438</v>
      </c>
      <c r="CB31" s="130" t="s">
        <v>181</v>
      </c>
      <c r="CC31" s="129" t="s">
        <v>179</v>
      </c>
      <c r="CD31" s="135" t="s">
        <v>180</v>
      </c>
      <c r="CE31" s="135"/>
      <c r="CF31" s="129">
        <v>1</v>
      </c>
      <c r="CG31" s="130" t="s">
        <v>628</v>
      </c>
      <c r="CH31"/>
    </row>
    <row r="32" spans="1:86" ht="12.75">
      <c r="A32" s="153"/>
      <c r="B32" s="154">
        <f t="shared" ca="1" si="7"/>
        <v>37073</v>
      </c>
      <c r="C32" s="141">
        <v>6.8753696866555011E-2</v>
      </c>
      <c r="D32" s="156">
        <v>0.5</v>
      </c>
      <c r="E32" s="156">
        <v>0.5</v>
      </c>
      <c r="F32" s="156">
        <v>0.23</v>
      </c>
      <c r="G32" s="156">
        <v>0.23749999999999999</v>
      </c>
      <c r="H32" s="156">
        <v>0.245</v>
      </c>
      <c r="I32" s="155">
        <v>2.665</v>
      </c>
      <c r="J32" s="156">
        <v>2.67</v>
      </c>
      <c r="K32" s="141">
        <v>2.6749999999999998</v>
      </c>
      <c r="L32" s="156">
        <v>-5.7500000000000002E-2</v>
      </c>
      <c r="M32" s="141">
        <v>0.25750000000000001</v>
      </c>
      <c r="O32" s="125">
        <f ca="1">(IF(MONTH(B32)&gt;=4,IF(MONTH(B32)&lt;=10,Inputs!$H$2,Inputs!$H$3),Inputs!$H$3))</f>
        <v>6.5000000000000002E-2</v>
      </c>
      <c r="P32" s="155">
        <f ca="1">J32+(IF($L$2=TRUE,IF(MONTH(B32)&gt;=4,IF(MONTH(B32)&lt;=10,L32,M32),M32),0))+(IF('Pricing Inputs'!$AN$3=2,O32,0))</f>
        <v>2.6124999999999998</v>
      </c>
      <c r="Q32" s="155"/>
      <c r="R32" s="336">
        <f t="shared" ca="1" si="4"/>
        <v>37073</v>
      </c>
      <c r="S32" s="171">
        <f t="shared" si="5"/>
        <v>0.43</v>
      </c>
      <c r="T32" s="170">
        <f t="shared" si="8"/>
        <v>0.5</v>
      </c>
      <c r="U32" s="172">
        <f t="shared" si="6"/>
        <v>0.57000000000000006</v>
      </c>
      <c r="BP32" s="131">
        <f t="shared" si="0"/>
        <v>31</v>
      </c>
      <c r="BQ32" s="185" t="s">
        <v>216</v>
      </c>
      <c r="BR32" s="130" t="s">
        <v>178</v>
      </c>
      <c r="BS32" s="129" t="s">
        <v>204</v>
      </c>
      <c r="BT32" s="135" t="s">
        <v>180</v>
      </c>
      <c r="BU32" s="135"/>
      <c r="BV32" s="129">
        <v>1</v>
      </c>
      <c r="BW32" s="130" t="s">
        <v>814</v>
      </c>
      <c r="BX32"/>
      <c r="BZ32" s="131">
        <f t="shared" si="1"/>
        <v>31</v>
      </c>
      <c r="CA32" s="4" t="s">
        <v>439</v>
      </c>
      <c r="CB32" s="130" t="s">
        <v>181</v>
      </c>
      <c r="CC32" s="129" t="s">
        <v>179</v>
      </c>
      <c r="CD32" s="135" t="s">
        <v>180</v>
      </c>
      <c r="CE32" s="135"/>
      <c r="CF32" s="129">
        <v>1</v>
      </c>
      <c r="CG32" s="130" t="s">
        <v>629</v>
      </c>
      <c r="CH32"/>
    </row>
    <row r="33" spans="1:86" ht="12.75">
      <c r="A33" s="153"/>
      <c r="B33" s="154">
        <f t="shared" ca="1" si="7"/>
        <v>37104</v>
      </c>
      <c r="C33" s="141">
        <v>6.9040994820187995E-2</v>
      </c>
      <c r="D33" s="156">
        <v>0.6</v>
      </c>
      <c r="E33" s="156">
        <v>0.6</v>
      </c>
      <c r="F33" s="156">
        <v>0.23</v>
      </c>
      <c r="G33" s="156">
        <v>0.23749999999999999</v>
      </c>
      <c r="H33" s="156">
        <v>0.245</v>
      </c>
      <c r="I33" s="155">
        <v>2.6720000000000002</v>
      </c>
      <c r="J33" s="156">
        <v>2.677</v>
      </c>
      <c r="K33" s="141">
        <v>2.6819999999999999</v>
      </c>
      <c r="L33" s="156">
        <v>-5.6875000000000002E-2</v>
      </c>
      <c r="M33" s="141">
        <v>0.25750000000000001</v>
      </c>
      <c r="O33" s="125">
        <f ca="1">(IF(MONTH(B33)&gt;=4,IF(MONTH(B33)&lt;=10,Inputs!$H$2,Inputs!$H$3),Inputs!$H$3))</f>
        <v>6.5000000000000002E-2</v>
      </c>
      <c r="P33" s="155">
        <f ca="1">J33+(IF($L$2=TRUE,IF(MONTH(B33)&gt;=4,IF(MONTH(B33)&lt;=10,L33,M33),M33),0))+(IF('Pricing Inputs'!$AN$3=2,O33,0))</f>
        <v>2.6201250000000003</v>
      </c>
      <c r="Q33" s="155"/>
      <c r="R33" s="336">
        <f t="shared" ca="1" si="4"/>
        <v>37104</v>
      </c>
      <c r="S33" s="171">
        <f t="shared" si="5"/>
        <v>0.53</v>
      </c>
      <c r="T33" s="170">
        <f t="shared" si="8"/>
        <v>0.6</v>
      </c>
      <c r="U33" s="172">
        <f t="shared" si="6"/>
        <v>0.66999999999999993</v>
      </c>
      <c r="BP33" s="131">
        <f t="shared" si="0"/>
        <v>32</v>
      </c>
      <c r="BQ33" s="185" t="s">
        <v>217</v>
      </c>
      <c r="BR33" s="130" t="s">
        <v>178</v>
      </c>
      <c r="BS33" s="129" t="s">
        <v>204</v>
      </c>
      <c r="BT33" s="135" t="s">
        <v>180</v>
      </c>
      <c r="BU33" s="135"/>
      <c r="BV33" s="129">
        <v>1</v>
      </c>
      <c r="BW33" s="130" t="s">
        <v>815</v>
      </c>
      <c r="BX33"/>
      <c r="BZ33" s="131">
        <f t="shared" si="1"/>
        <v>32</v>
      </c>
      <c r="CA33" s="4" t="s">
        <v>440</v>
      </c>
      <c r="CB33" s="130" t="s">
        <v>181</v>
      </c>
      <c r="CC33" s="129" t="s">
        <v>179</v>
      </c>
      <c r="CD33" s="135" t="s">
        <v>180</v>
      </c>
      <c r="CE33" s="135"/>
      <c r="CF33" s="129">
        <v>1</v>
      </c>
      <c r="CG33" s="130" t="s">
        <v>630</v>
      </c>
      <c r="CH33"/>
    </row>
    <row r="34" spans="1:86" ht="12.75">
      <c r="A34" s="153"/>
      <c r="B34" s="154">
        <f t="shared" ca="1" si="7"/>
        <v>37135</v>
      </c>
      <c r="C34" s="141">
        <v>6.9328292801126998E-2</v>
      </c>
      <c r="D34" s="156">
        <v>0.6</v>
      </c>
      <c r="E34" s="156">
        <v>0.6</v>
      </c>
      <c r="F34" s="156">
        <v>0.23</v>
      </c>
      <c r="G34" s="156">
        <v>0.23749999999999999</v>
      </c>
      <c r="H34" s="156">
        <v>0.245</v>
      </c>
      <c r="I34" s="155">
        <v>2.68</v>
      </c>
      <c r="J34" s="156">
        <v>2.6850000000000001</v>
      </c>
      <c r="K34" s="141">
        <v>2.69</v>
      </c>
      <c r="L34" s="156">
        <v>-5.9374999999999997E-2</v>
      </c>
      <c r="M34" s="141">
        <v>0.2525</v>
      </c>
      <c r="O34" s="125">
        <f ca="1">(IF(MONTH(B34)&gt;=4,IF(MONTH(B34)&lt;=10,Inputs!$H$2,Inputs!$H$3),Inputs!$H$3))</f>
        <v>6.5000000000000002E-2</v>
      </c>
      <c r="P34" s="155">
        <f ca="1">J34+(IF($L$2=TRUE,IF(MONTH(B34)&gt;=4,IF(MONTH(B34)&lt;=10,L34,M34),M34),0))+(IF('Pricing Inputs'!$AN$3=2,O34,0))</f>
        <v>2.6256249999999999</v>
      </c>
      <c r="Q34" s="155"/>
      <c r="R34" s="336">
        <f t="shared" ca="1" si="4"/>
        <v>37135</v>
      </c>
      <c r="S34" s="171">
        <f t="shared" si="5"/>
        <v>0.53</v>
      </c>
      <c r="T34" s="170">
        <f t="shared" si="8"/>
        <v>0.6</v>
      </c>
      <c r="U34" s="172">
        <f t="shared" si="6"/>
        <v>0.66999999999999993</v>
      </c>
      <c r="BP34" s="131">
        <f t="shared" si="0"/>
        <v>33</v>
      </c>
      <c r="BQ34" s="185" t="s">
        <v>218</v>
      </c>
      <c r="BR34" s="130" t="s">
        <v>178</v>
      </c>
      <c r="BS34" s="129" t="s">
        <v>204</v>
      </c>
      <c r="BT34" s="135" t="s">
        <v>180</v>
      </c>
      <c r="BU34" s="135"/>
      <c r="BV34" s="129">
        <v>1</v>
      </c>
      <c r="BW34" s="130" t="s">
        <v>816</v>
      </c>
      <c r="BX34"/>
      <c r="BZ34" s="131">
        <f t="shared" ref="BZ34:BZ65" si="9">BZ33+CF34</f>
        <v>33</v>
      </c>
      <c r="CA34" s="4" t="s">
        <v>441</v>
      </c>
      <c r="CB34" s="130" t="s">
        <v>181</v>
      </c>
      <c r="CC34" s="129" t="s">
        <v>179</v>
      </c>
      <c r="CD34" s="135" t="s">
        <v>180</v>
      </c>
      <c r="CE34" s="135"/>
      <c r="CF34" s="129">
        <v>1</v>
      </c>
      <c r="CG34" s="130" t="s">
        <v>631</v>
      </c>
      <c r="CH34"/>
    </row>
    <row r="35" spans="1:86" ht="12.75">
      <c r="A35" s="153"/>
      <c r="B35" s="154">
        <f t="shared" ca="1" si="7"/>
        <v>37165</v>
      </c>
      <c r="C35" s="141">
        <v>6.9584614191969998E-2</v>
      </c>
      <c r="D35" s="156">
        <v>0.65</v>
      </c>
      <c r="E35" s="156">
        <v>0.65</v>
      </c>
      <c r="F35" s="156">
        <v>0.23250000000000001</v>
      </c>
      <c r="G35" s="156">
        <v>0.24</v>
      </c>
      <c r="H35" s="156">
        <v>0.2475</v>
      </c>
      <c r="I35" s="155">
        <v>2.7160000000000002</v>
      </c>
      <c r="J35" s="156">
        <v>2.7210000000000001</v>
      </c>
      <c r="K35" s="141">
        <v>2.726</v>
      </c>
      <c r="L35" s="156">
        <v>-5.9374999999999997E-2</v>
      </c>
      <c r="M35" s="141">
        <v>0.255</v>
      </c>
      <c r="O35" s="125">
        <f ca="1">(IF(MONTH(B35)&gt;=4,IF(MONTH(B35)&lt;=10,Inputs!$H$2,Inputs!$H$3),Inputs!$H$3))</f>
        <v>6.5000000000000002E-2</v>
      </c>
      <c r="P35" s="155">
        <f ca="1">J35+(IF($L$2=TRUE,IF(MONTH(B35)&gt;=4,IF(MONTH(B35)&lt;=10,L35,M35),M35),0))+(IF('Pricing Inputs'!$AN$3=2,O35,0))</f>
        <v>2.6616249999999999</v>
      </c>
      <c r="Q35" s="155"/>
      <c r="R35" s="336">
        <f t="shared" ca="1" si="4"/>
        <v>37165</v>
      </c>
      <c r="S35" s="171">
        <f t="shared" si="5"/>
        <v>0.58000000000000007</v>
      </c>
      <c r="T35" s="170">
        <f t="shared" si="8"/>
        <v>0.65</v>
      </c>
      <c r="U35" s="172">
        <f t="shared" si="6"/>
        <v>0.72</v>
      </c>
      <c r="BP35" s="131">
        <f t="shared" si="0"/>
        <v>34</v>
      </c>
      <c r="BQ35" s="185" t="s">
        <v>219</v>
      </c>
      <c r="BR35" s="130" t="s">
        <v>178</v>
      </c>
      <c r="BS35" s="129" t="s">
        <v>204</v>
      </c>
      <c r="BT35" s="135" t="s">
        <v>180</v>
      </c>
      <c r="BU35" s="135"/>
      <c r="BV35" s="129">
        <v>1</v>
      </c>
      <c r="BW35" s="130" t="s">
        <v>817</v>
      </c>
      <c r="BX35"/>
      <c r="BZ35" s="131">
        <f t="shared" si="9"/>
        <v>34</v>
      </c>
      <c r="CA35" s="4" t="s">
        <v>442</v>
      </c>
      <c r="CB35" s="130" t="s">
        <v>181</v>
      </c>
      <c r="CC35" s="129" t="s">
        <v>179</v>
      </c>
      <c r="CD35" s="135" t="s">
        <v>180</v>
      </c>
      <c r="CE35" s="135"/>
      <c r="CF35" s="129">
        <v>1</v>
      </c>
      <c r="CG35" s="130" t="s">
        <v>632</v>
      </c>
      <c r="CH35"/>
    </row>
    <row r="36" spans="1:86" ht="12.75">
      <c r="A36" s="153"/>
      <c r="B36" s="154">
        <f t="shared" ca="1" si="7"/>
        <v>37196</v>
      </c>
      <c r="C36" s="141">
        <v>6.9813795169925003E-2</v>
      </c>
      <c r="D36" s="156">
        <v>0.95</v>
      </c>
      <c r="E36" s="156">
        <v>0.95</v>
      </c>
      <c r="F36" s="156">
        <v>0.23250000000000001</v>
      </c>
      <c r="G36" s="156">
        <v>0.24</v>
      </c>
      <c r="H36" s="156">
        <v>0.2475</v>
      </c>
      <c r="I36" s="155">
        <v>2.839</v>
      </c>
      <c r="J36" s="156">
        <v>2.8440000000000003</v>
      </c>
      <c r="K36" s="141">
        <v>2.8490000000000002</v>
      </c>
      <c r="L36" s="156">
        <v>-6.8125000000000005E-2</v>
      </c>
      <c r="M36" s="141">
        <v>0.7</v>
      </c>
      <c r="O36" s="125">
        <f ca="1">(IF(MONTH(B36)&gt;=4,IF(MONTH(B36)&lt;=10,Inputs!$H$2,Inputs!$H$3),Inputs!$H$3))</f>
        <v>6.5000000000000002E-2</v>
      </c>
      <c r="P36" s="155">
        <f ca="1">J36+(IF($L$2=TRUE,IF(MONTH(B36)&gt;=4,IF(MONTH(B36)&lt;=10,L36,M36),M36),0))+(IF('Pricing Inputs'!$AN$3=2,O36,0))</f>
        <v>3.5440000000000005</v>
      </c>
      <c r="Q36" s="155"/>
      <c r="R36" s="336">
        <f t="shared" ca="1" si="4"/>
        <v>37196</v>
      </c>
      <c r="S36" s="171">
        <f t="shared" si="5"/>
        <v>0.87999999999999989</v>
      </c>
      <c r="T36" s="170">
        <f t="shared" si="8"/>
        <v>0.95</v>
      </c>
      <c r="U36" s="172">
        <f t="shared" si="6"/>
        <v>1.02</v>
      </c>
      <c r="BP36" s="131">
        <f t="shared" si="0"/>
        <v>35</v>
      </c>
      <c r="BQ36" s="185" t="s">
        <v>220</v>
      </c>
      <c r="BR36" s="130" t="s">
        <v>178</v>
      </c>
      <c r="BS36" s="129" t="s">
        <v>204</v>
      </c>
      <c r="BT36" s="135" t="s">
        <v>180</v>
      </c>
      <c r="BU36" s="135"/>
      <c r="BV36" s="129">
        <v>1</v>
      </c>
      <c r="BW36" s="130" t="s">
        <v>818</v>
      </c>
      <c r="BX36"/>
      <c r="BZ36" s="131">
        <f t="shared" si="9"/>
        <v>35</v>
      </c>
      <c r="CA36" s="4" t="s">
        <v>443</v>
      </c>
      <c r="CB36" s="130" t="s">
        <v>181</v>
      </c>
      <c r="CC36" s="129" t="s">
        <v>179</v>
      </c>
      <c r="CD36" s="135" t="s">
        <v>180</v>
      </c>
      <c r="CE36" s="135"/>
      <c r="CF36" s="129">
        <v>1</v>
      </c>
      <c r="CG36" s="130" t="s">
        <v>633</v>
      </c>
      <c r="CH36"/>
    </row>
    <row r="37" spans="1:86" ht="12.75">
      <c r="A37" s="153"/>
      <c r="B37" s="154">
        <f t="shared" ca="1" si="7"/>
        <v>37226</v>
      </c>
      <c r="C37" s="141">
        <v>7.0035583229644996E-2</v>
      </c>
      <c r="D37" s="156">
        <v>1.25</v>
      </c>
      <c r="E37" s="156">
        <v>1.25</v>
      </c>
      <c r="F37" s="156">
        <v>0.23499999999999999</v>
      </c>
      <c r="G37" s="156">
        <v>0.24249999999999999</v>
      </c>
      <c r="H37" s="156">
        <v>0.25</v>
      </c>
      <c r="I37" s="155">
        <v>2.9690000000000003</v>
      </c>
      <c r="J37" s="156">
        <v>2.9740000000000002</v>
      </c>
      <c r="K37" s="141">
        <v>2.9790000000000001</v>
      </c>
      <c r="L37" s="156">
        <v>-7.3749999999999996E-2</v>
      </c>
      <c r="M37" s="141">
        <v>1.05</v>
      </c>
      <c r="O37" s="125">
        <f ca="1">(IF(MONTH(B37)&gt;=4,IF(MONTH(B37)&lt;=10,Inputs!$H$2,Inputs!$H$3),Inputs!$H$3))</f>
        <v>6.5000000000000002E-2</v>
      </c>
      <c r="P37" s="155">
        <f ca="1">J37+(IF($L$2=TRUE,IF(MONTH(B37)&gt;=4,IF(MONTH(B37)&lt;=10,L37,M37),M37),0))+(IF('Pricing Inputs'!$AN$3=2,O37,0))</f>
        <v>4.024</v>
      </c>
      <c r="Q37" s="155"/>
      <c r="R37" s="336">
        <f t="shared" ca="1" si="4"/>
        <v>37226</v>
      </c>
      <c r="S37" s="171">
        <f t="shared" si="5"/>
        <v>1.18</v>
      </c>
      <c r="T37" s="170">
        <f t="shared" si="8"/>
        <v>1.25</v>
      </c>
      <c r="U37" s="172">
        <f t="shared" si="6"/>
        <v>1.32</v>
      </c>
      <c r="BP37" s="131">
        <f t="shared" si="0"/>
        <v>36</v>
      </c>
      <c r="BQ37" s="185" t="s">
        <v>221</v>
      </c>
      <c r="BR37" s="130" t="s">
        <v>178</v>
      </c>
      <c r="BS37" s="129" t="s">
        <v>204</v>
      </c>
      <c r="BT37" s="135" t="s">
        <v>180</v>
      </c>
      <c r="BU37" s="135"/>
      <c r="BV37" s="129">
        <v>1</v>
      </c>
      <c r="BW37" s="130" t="s">
        <v>819</v>
      </c>
      <c r="BX37"/>
      <c r="BZ37" s="131">
        <f t="shared" si="9"/>
        <v>36</v>
      </c>
      <c r="CA37" s="4" t="s">
        <v>444</v>
      </c>
      <c r="CB37" s="130" t="s">
        <v>181</v>
      </c>
      <c r="CC37" s="129" t="s">
        <v>179</v>
      </c>
      <c r="CD37" s="135" t="s">
        <v>180</v>
      </c>
      <c r="CE37" s="135"/>
      <c r="CF37" s="129">
        <v>1</v>
      </c>
      <c r="CG37" s="130" t="s">
        <v>634</v>
      </c>
      <c r="CH37"/>
    </row>
    <row r="38" spans="1:86" ht="12.75">
      <c r="A38" s="153"/>
      <c r="B38" s="154">
        <f t="shared" ca="1" si="7"/>
        <v>37257</v>
      </c>
      <c r="C38" s="141">
        <v>7.0252861138366998E-2</v>
      </c>
      <c r="D38" s="156">
        <v>1.45</v>
      </c>
      <c r="E38" s="156">
        <v>1.45</v>
      </c>
      <c r="F38" s="156">
        <v>0.23749999999999999</v>
      </c>
      <c r="G38" s="156">
        <v>0.245</v>
      </c>
      <c r="H38" s="156">
        <v>0.2525</v>
      </c>
      <c r="I38" s="155">
        <v>3.0010000000000003</v>
      </c>
      <c r="J38" s="156">
        <v>3.0060000000000002</v>
      </c>
      <c r="K38" s="141">
        <v>3.0110000000000001</v>
      </c>
      <c r="L38" s="156">
        <v>-7.4374999999999997E-2</v>
      </c>
      <c r="M38" s="141">
        <v>1.4</v>
      </c>
      <c r="O38" s="125">
        <f ca="1">(IF(MONTH(B38)&gt;=4,IF(MONTH(B38)&lt;=10,Inputs!$H$2,Inputs!$H$3),Inputs!$H$3))</f>
        <v>6.5000000000000002E-2</v>
      </c>
      <c r="P38" s="155">
        <f ca="1">J38+(IF($L$2=TRUE,IF(MONTH(B38)&gt;=4,IF(MONTH(B38)&lt;=10,L38,M38),M38),0))+(IF('Pricing Inputs'!$AN$3=2,O38,0))</f>
        <v>4.4060000000000006</v>
      </c>
      <c r="Q38" s="155"/>
      <c r="R38" s="336">
        <f t="shared" ca="1" si="4"/>
        <v>37257</v>
      </c>
      <c r="S38" s="171">
        <f t="shared" si="5"/>
        <v>1.38</v>
      </c>
      <c r="T38" s="170">
        <f t="shared" si="8"/>
        <v>1.45</v>
      </c>
      <c r="U38" s="172">
        <f t="shared" si="6"/>
        <v>1.52</v>
      </c>
      <c r="BP38" s="131">
        <f t="shared" si="0"/>
        <v>37</v>
      </c>
      <c r="BQ38" s="185" t="s">
        <v>222</v>
      </c>
      <c r="BR38" s="130" t="s">
        <v>178</v>
      </c>
      <c r="BS38" s="129" t="s">
        <v>204</v>
      </c>
      <c r="BT38" s="135" t="s">
        <v>180</v>
      </c>
      <c r="BU38" s="135"/>
      <c r="BV38" s="129">
        <v>1</v>
      </c>
      <c r="BW38" s="130" t="s">
        <v>820</v>
      </c>
      <c r="BX38"/>
      <c r="BZ38" s="131">
        <f t="shared" si="9"/>
        <v>37</v>
      </c>
      <c r="CA38" s="4" t="s">
        <v>445</v>
      </c>
      <c r="CB38" s="130" t="s">
        <v>181</v>
      </c>
      <c r="CC38" s="129" t="s">
        <v>179</v>
      </c>
      <c r="CD38" s="135" t="s">
        <v>180</v>
      </c>
      <c r="CE38" s="135"/>
      <c r="CF38" s="129">
        <v>1</v>
      </c>
      <c r="CG38" s="130" t="s">
        <v>635</v>
      </c>
      <c r="CH38"/>
    </row>
    <row r="39" spans="1:86" ht="12.75">
      <c r="A39" s="153"/>
      <c r="B39" s="154">
        <f t="shared" ca="1" si="7"/>
        <v>37288</v>
      </c>
      <c r="C39" s="141">
        <v>7.0453657841486009E-2</v>
      </c>
      <c r="D39" s="156">
        <v>1.45</v>
      </c>
      <c r="E39" s="156">
        <v>1.45</v>
      </c>
      <c r="F39" s="156">
        <v>0.23499999999999999</v>
      </c>
      <c r="G39" s="156">
        <v>0.24249999999999999</v>
      </c>
      <c r="H39" s="156">
        <v>0.25</v>
      </c>
      <c r="I39" s="155">
        <v>2.875</v>
      </c>
      <c r="J39" s="156">
        <v>2.88</v>
      </c>
      <c r="K39" s="141">
        <v>2.8849999999999998</v>
      </c>
      <c r="L39" s="156">
        <v>-7.0000000000000007E-2</v>
      </c>
      <c r="M39" s="141">
        <v>1.36</v>
      </c>
      <c r="O39" s="125">
        <f ca="1">(IF(MONTH(B39)&gt;=4,IF(MONTH(B39)&lt;=10,Inputs!$H$2,Inputs!$H$3),Inputs!$H$3))</f>
        <v>6.5000000000000002E-2</v>
      </c>
      <c r="P39" s="155">
        <f ca="1">J39+(IF($L$2=TRUE,IF(MONTH(B39)&gt;=4,IF(MONTH(B39)&lt;=10,L39,M39),M39),0))+(IF('Pricing Inputs'!$AN$3=2,O39,0))</f>
        <v>4.24</v>
      </c>
      <c r="Q39" s="155"/>
      <c r="R39" s="336">
        <f t="shared" ca="1" si="4"/>
        <v>37288</v>
      </c>
      <c r="S39" s="171">
        <f t="shared" si="5"/>
        <v>1.38</v>
      </c>
      <c r="T39" s="170">
        <f t="shared" si="8"/>
        <v>1.45</v>
      </c>
      <c r="U39" s="172">
        <f t="shared" si="6"/>
        <v>1.52</v>
      </c>
      <c r="BP39" s="131">
        <f t="shared" si="0"/>
        <v>38</v>
      </c>
      <c r="BQ39" s="185" t="s">
        <v>223</v>
      </c>
      <c r="BR39" s="130" t="s">
        <v>178</v>
      </c>
      <c r="BS39" s="129" t="s">
        <v>204</v>
      </c>
      <c r="BT39" s="135" t="s">
        <v>180</v>
      </c>
      <c r="BU39" s="135"/>
      <c r="BV39" s="129">
        <v>1</v>
      </c>
      <c r="BW39" s="130" t="s">
        <v>821</v>
      </c>
      <c r="BX39"/>
      <c r="BZ39" s="131">
        <f t="shared" si="9"/>
        <v>38</v>
      </c>
      <c r="CA39" s="4" t="s">
        <v>446</v>
      </c>
      <c r="CB39" s="130" t="s">
        <v>181</v>
      </c>
      <c r="CC39" s="129" t="s">
        <v>179</v>
      </c>
      <c r="CD39" s="135" t="s">
        <v>180</v>
      </c>
      <c r="CE39" s="135"/>
      <c r="CF39" s="129">
        <v>1</v>
      </c>
      <c r="CG39" s="130" t="s">
        <v>636</v>
      </c>
      <c r="CH39"/>
    </row>
    <row r="40" spans="1:86" ht="12.75">
      <c r="A40" s="153"/>
      <c r="B40" s="154">
        <f t="shared" ca="1" si="7"/>
        <v>37316</v>
      </c>
      <c r="C40" s="141">
        <v>7.0635022617049001E-2</v>
      </c>
      <c r="D40" s="156">
        <v>1</v>
      </c>
      <c r="E40" s="156">
        <v>1</v>
      </c>
      <c r="F40" s="156">
        <v>0.22</v>
      </c>
      <c r="G40" s="156">
        <v>0.22750000000000001</v>
      </c>
      <c r="H40" s="156">
        <v>0.23499999999999999</v>
      </c>
      <c r="I40" s="155">
        <v>2.7490000000000001</v>
      </c>
      <c r="J40" s="156">
        <v>2.754</v>
      </c>
      <c r="K40" s="141">
        <v>2.7590000000000003</v>
      </c>
      <c r="L40" s="156">
        <v>-6.6875000000000004E-2</v>
      </c>
      <c r="M40" s="141">
        <v>0.84</v>
      </c>
      <c r="O40" s="125">
        <f ca="1">(IF(MONTH(B40)&gt;=4,IF(MONTH(B40)&lt;=10,Inputs!$H$2,Inputs!$H$3),Inputs!$H$3))</f>
        <v>6.5000000000000002E-2</v>
      </c>
      <c r="P40" s="155">
        <f ca="1">J40+(IF($L$2=TRUE,IF(MONTH(B40)&gt;=4,IF(MONTH(B40)&lt;=10,L40,M40),M40),0))+(IF('Pricing Inputs'!$AN$3=2,O40,0))</f>
        <v>3.5939999999999999</v>
      </c>
      <c r="Q40" s="155"/>
      <c r="R40" s="336">
        <f t="shared" ca="1" si="4"/>
        <v>37316</v>
      </c>
      <c r="S40" s="171">
        <f t="shared" si="5"/>
        <v>0.92999999999999994</v>
      </c>
      <c r="T40" s="170">
        <f t="shared" si="8"/>
        <v>1</v>
      </c>
      <c r="U40" s="172">
        <f t="shared" si="6"/>
        <v>1.07</v>
      </c>
      <c r="BP40" s="131">
        <f t="shared" si="0"/>
        <v>39</v>
      </c>
      <c r="BQ40" s="185" t="s">
        <v>224</v>
      </c>
      <c r="BR40" s="130" t="s">
        <v>178</v>
      </c>
      <c r="BS40" s="129" t="s">
        <v>204</v>
      </c>
      <c r="BT40" s="135" t="s">
        <v>180</v>
      </c>
      <c r="BU40" s="135"/>
      <c r="BV40" s="129">
        <v>1</v>
      </c>
      <c r="BW40" s="130" t="s">
        <v>822</v>
      </c>
      <c r="BX40"/>
      <c r="BZ40" s="131">
        <f t="shared" si="9"/>
        <v>39</v>
      </c>
      <c r="CA40" s="4" t="s">
        <v>447</v>
      </c>
      <c r="CB40" s="130" t="s">
        <v>181</v>
      </c>
      <c r="CC40" s="129" t="s">
        <v>179</v>
      </c>
      <c r="CD40" s="135" t="s">
        <v>180</v>
      </c>
      <c r="CE40" s="135"/>
      <c r="CF40" s="129">
        <v>1</v>
      </c>
      <c r="CG40" s="130" t="s">
        <v>637</v>
      </c>
      <c r="CH40"/>
    </row>
    <row r="41" spans="1:86" ht="12.75">
      <c r="A41" s="153"/>
      <c r="B41" s="154">
        <f t="shared" ca="1" si="7"/>
        <v>37347</v>
      </c>
      <c r="C41" s="141">
        <v>7.0812521572685999E-2</v>
      </c>
      <c r="D41" s="156">
        <v>0.45</v>
      </c>
      <c r="E41" s="156">
        <v>0.45</v>
      </c>
      <c r="F41" s="156">
        <v>0.18</v>
      </c>
      <c r="G41" s="156">
        <v>0.1875</v>
      </c>
      <c r="H41" s="156">
        <v>0.19500000000000001</v>
      </c>
      <c r="I41" s="155">
        <v>2.65</v>
      </c>
      <c r="J41" s="156">
        <v>2.6549999999999998</v>
      </c>
      <c r="K41" s="141">
        <v>2.66</v>
      </c>
      <c r="L41" s="156">
        <v>-6.8750000000000006E-2</v>
      </c>
      <c r="M41" s="141">
        <v>0.37</v>
      </c>
      <c r="O41" s="125">
        <f ca="1">(IF(MONTH(B41)&gt;=4,IF(MONTH(B41)&lt;=10,Inputs!$H$2,Inputs!$H$3),Inputs!$H$3))</f>
        <v>6.5000000000000002E-2</v>
      </c>
      <c r="P41" s="155">
        <f ca="1">J41+(IF($L$2=TRUE,IF(MONTH(B41)&gt;=4,IF(MONTH(B41)&lt;=10,L41,M41),M41),0))+(IF('Pricing Inputs'!$AN$3=2,O41,0))</f>
        <v>2.5862499999999997</v>
      </c>
      <c r="Q41" s="155"/>
      <c r="R41" s="336">
        <f t="shared" ca="1" si="4"/>
        <v>37347</v>
      </c>
      <c r="S41" s="171">
        <f t="shared" si="5"/>
        <v>0.38</v>
      </c>
      <c r="T41" s="170">
        <f t="shared" si="8"/>
        <v>0.45</v>
      </c>
      <c r="U41" s="172">
        <f t="shared" si="6"/>
        <v>0.52</v>
      </c>
      <c r="BP41" s="131">
        <f t="shared" si="0"/>
        <v>40</v>
      </c>
      <c r="BQ41" s="185" t="s">
        <v>225</v>
      </c>
      <c r="BR41" s="130" t="s">
        <v>178</v>
      </c>
      <c r="BS41" s="129" t="s">
        <v>204</v>
      </c>
      <c r="BT41" s="135" t="s">
        <v>180</v>
      </c>
      <c r="BU41" s="135"/>
      <c r="BV41" s="129">
        <v>1</v>
      </c>
      <c r="BW41" s="130" t="s">
        <v>823</v>
      </c>
      <c r="BX41"/>
      <c r="BZ41" s="131">
        <f t="shared" si="9"/>
        <v>40</v>
      </c>
      <c r="CA41" s="4" t="s">
        <v>448</v>
      </c>
      <c r="CB41" s="130" t="s">
        <v>181</v>
      </c>
      <c r="CC41" s="129" t="s">
        <v>179</v>
      </c>
      <c r="CD41" s="135" t="s">
        <v>180</v>
      </c>
      <c r="CE41" s="135"/>
      <c r="CF41" s="129">
        <v>1</v>
      </c>
      <c r="CG41" s="130" t="s">
        <v>638</v>
      </c>
      <c r="CH41"/>
    </row>
    <row r="42" spans="1:86" ht="12.75">
      <c r="A42" s="153"/>
      <c r="B42" s="154">
        <f t="shared" ca="1" si="7"/>
        <v>37377</v>
      </c>
      <c r="C42" s="141">
        <v>7.0949656842764997E-2</v>
      </c>
      <c r="D42" s="156">
        <v>0.5</v>
      </c>
      <c r="E42" s="156">
        <v>0.5</v>
      </c>
      <c r="F42" s="156">
        <v>0.17749999999999999</v>
      </c>
      <c r="G42" s="156">
        <v>0.185</v>
      </c>
      <c r="H42" s="156">
        <v>0.1925</v>
      </c>
      <c r="I42" s="155">
        <v>2.6240000000000001</v>
      </c>
      <c r="J42" s="156">
        <v>2.629</v>
      </c>
      <c r="K42" s="141">
        <v>2.6340000000000003</v>
      </c>
      <c r="L42" s="156">
        <v>-6.7500000000000004E-2</v>
      </c>
      <c r="M42" s="141">
        <v>0.2525</v>
      </c>
      <c r="O42" s="125">
        <f ca="1">(IF(MONTH(B42)&gt;=4,IF(MONTH(B42)&lt;=10,Inputs!$H$2,Inputs!$H$3),Inputs!$H$3))</f>
        <v>6.5000000000000002E-2</v>
      </c>
      <c r="P42" s="155">
        <f ca="1">J42+(IF($L$2=TRUE,IF(MONTH(B42)&gt;=4,IF(MONTH(B42)&lt;=10,L42,M42),M42),0))+(IF('Pricing Inputs'!$AN$3=2,O42,0))</f>
        <v>2.5615000000000001</v>
      </c>
      <c r="Q42" s="155"/>
      <c r="R42" s="336">
        <f t="shared" ca="1" si="4"/>
        <v>37377</v>
      </c>
      <c r="S42" s="171">
        <f t="shared" si="5"/>
        <v>0.43</v>
      </c>
      <c r="T42" s="170">
        <f t="shared" si="8"/>
        <v>0.5</v>
      </c>
      <c r="U42" s="172">
        <f t="shared" si="6"/>
        <v>0.57000000000000006</v>
      </c>
      <c r="BP42" s="131">
        <f t="shared" si="0"/>
        <v>41</v>
      </c>
      <c r="BQ42" s="185" t="s">
        <v>226</v>
      </c>
      <c r="BR42" s="130" t="s">
        <v>178</v>
      </c>
      <c r="BS42" s="129" t="s">
        <v>204</v>
      </c>
      <c r="BT42" s="135" t="s">
        <v>180</v>
      </c>
      <c r="BU42" s="135"/>
      <c r="BV42" s="129">
        <v>1</v>
      </c>
      <c r="BW42" s="130" t="s">
        <v>824</v>
      </c>
      <c r="BX42"/>
      <c r="BZ42" s="131">
        <f t="shared" si="9"/>
        <v>41</v>
      </c>
      <c r="CA42" s="4" t="s">
        <v>449</v>
      </c>
      <c r="CB42" s="130" t="s">
        <v>181</v>
      </c>
      <c r="CC42" s="129" t="s">
        <v>179</v>
      </c>
      <c r="CD42" s="135" t="s">
        <v>180</v>
      </c>
      <c r="CE42" s="135"/>
      <c r="CF42" s="129">
        <v>1</v>
      </c>
      <c r="CG42" s="130" t="s">
        <v>639</v>
      </c>
      <c r="CH42"/>
    </row>
    <row r="43" spans="1:86" ht="12.75">
      <c r="A43" s="153"/>
      <c r="B43" s="146">
        <f t="shared" ca="1" si="7"/>
        <v>37408</v>
      </c>
      <c r="C43" s="141">
        <v>7.1091363295042009E-2</v>
      </c>
      <c r="D43" s="156">
        <v>0.5</v>
      </c>
      <c r="E43" s="156">
        <v>0.5</v>
      </c>
      <c r="F43" s="156">
        <v>0.17650000000000002</v>
      </c>
      <c r="G43" s="156">
        <v>0.184</v>
      </c>
      <c r="H43" s="156">
        <v>0.1915</v>
      </c>
      <c r="I43" s="155">
        <v>2.63</v>
      </c>
      <c r="J43" s="156">
        <v>2.6349999999999998</v>
      </c>
      <c r="K43" s="141">
        <v>2.64</v>
      </c>
      <c r="L43" s="156">
        <v>-6.7500000000000004E-2</v>
      </c>
      <c r="M43" s="141">
        <v>0.2525</v>
      </c>
      <c r="O43" s="125">
        <f ca="1">(IF(MONTH(B43)&gt;=4,IF(MONTH(B43)&lt;=10,Inputs!$H$2,Inputs!$H$3),Inputs!$H$3))</f>
        <v>6.5000000000000002E-2</v>
      </c>
      <c r="P43" s="155">
        <f ca="1">J43+(IF($L$2=TRUE,IF(MONTH(B43)&gt;=4,IF(MONTH(B43)&lt;=10,L43,M43),M43),0))+(IF('Pricing Inputs'!$AN$3=2,O43,0))</f>
        <v>2.5674999999999999</v>
      </c>
      <c r="Q43" s="155"/>
      <c r="R43" s="336">
        <f t="shared" ca="1" si="4"/>
        <v>37408</v>
      </c>
      <c r="S43" s="171">
        <f t="shared" si="5"/>
        <v>0.43</v>
      </c>
      <c r="T43" s="170">
        <f t="shared" si="8"/>
        <v>0.5</v>
      </c>
      <c r="U43" s="172">
        <f t="shared" si="6"/>
        <v>0.57000000000000006</v>
      </c>
      <c r="BP43" s="131">
        <f t="shared" si="0"/>
        <v>42</v>
      </c>
      <c r="BQ43" s="185" t="s">
        <v>227</v>
      </c>
      <c r="BR43" s="130" t="s">
        <v>178</v>
      </c>
      <c r="BS43" s="129" t="s">
        <v>204</v>
      </c>
      <c r="BT43" s="135" t="s">
        <v>180</v>
      </c>
      <c r="BU43" s="135"/>
      <c r="BV43" s="129">
        <v>1</v>
      </c>
      <c r="BW43" s="130" t="s">
        <v>825</v>
      </c>
      <c r="BX43"/>
      <c r="BZ43" s="131">
        <f t="shared" si="9"/>
        <v>42</v>
      </c>
      <c r="CA43" s="4" t="s">
        <v>450</v>
      </c>
      <c r="CB43" s="130" t="s">
        <v>181</v>
      </c>
      <c r="CC43" s="129" t="s">
        <v>179</v>
      </c>
      <c r="CD43" s="135" t="s">
        <v>180</v>
      </c>
      <c r="CE43" s="135"/>
      <c r="CF43" s="129">
        <v>1</v>
      </c>
      <c r="CG43" s="130" t="s">
        <v>640</v>
      </c>
      <c r="CH43"/>
    </row>
    <row r="44" spans="1:86" ht="12.75">
      <c r="A44" s="153"/>
      <c r="B44" s="146">
        <f t="shared" ca="1" si="7"/>
        <v>37438</v>
      </c>
      <c r="C44" s="141">
        <v>7.1217617269914005E-2</v>
      </c>
      <c r="D44" s="156">
        <v>0.5</v>
      </c>
      <c r="E44" s="156">
        <v>0.5</v>
      </c>
      <c r="F44" s="156">
        <v>0.17550000000000002</v>
      </c>
      <c r="G44" s="156">
        <v>0.183</v>
      </c>
      <c r="H44" s="156">
        <v>0.1905</v>
      </c>
      <c r="I44" s="155">
        <v>2.64</v>
      </c>
      <c r="J44" s="156">
        <v>2.645</v>
      </c>
      <c r="K44" s="141">
        <v>2.65</v>
      </c>
      <c r="L44" s="156">
        <v>-6.6875000000000004E-2</v>
      </c>
      <c r="M44" s="141">
        <v>0.25750000000000001</v>
      </c>
      <c r="O44" s="125">
        <f ca="1">(IF(MONTH(B44)&gt;=4,IF(MONTH(B44)&lt;=10,Inputs!$H$2,Inputs!$H$3),Inputs!$H$3))</f>
        <v>6.5000000000000002E-2</v>
      </c>
      <c r="P44" s="155">
        <f ca="1">J44+(IF($L$2=TRUE,IF(MONTH(B44)&gt;=4,IF(MONTH(B44)&lt;=10,L44,M44),M44),0))+(IF('Pricing Inputs'!$AN$3=2,O44,0))</f>
        <v>2.578125</v>
      </c>
      <c r="Q44" s="155"/>
      <c r="R44" s="336">
        <f t="shared" ca="1" si="4"/>
        <v>37438</v>
      </c>
      <c r="S44" s="171">
        <f t="shared" si="5"/>
        <v>0.43</v>
      </c>
      <c r="T44" s="170">
        <f t="shared" si="8"/>
        <v>0.5</v>
      </c>
      <c r="U44" s="172">
        <f t="shared" si="6"/>
        <v>0.57000000000000006</v>
      </c>
      <c r="BP44" s="131">
        <f t="shared" si="0"/>
        <v>43</v>
      </c>
      <c r="BQ44" s="185" t="s">
        <v>228</v>
      </c>
      <c r="BR44" s="130" t="s">
        <v>178</v>
      </c>
      <c r="BS44" s="129" t="s">
        <v>204</v>
      </c>
      <c r="BT44" s="135" t="s">
        <v>180</v>
      </c>
      <c r="BU44" s="135"/>
      <c r="BV44" s="129">
        <v>1</v>
      </c>
      <c r="BW44" s="130" t="s">
        <v>826</v>
      </c>
      <c r="BX44"/>
      <c r="BZ44" s="131">
        <f t="shared" si="9"/>
        <v>43</v>
      </c>
      <c r="CA44" s="4" t="s">
        <v>451</v>
      </c>
      <c r="CB44" s="130" t="s">
        <v>181</v>
      </c>
      <c r="CC44" s="129" t="s">
        <v>179</v>
      </c>
      <c r="CD44" s="135" t="s">
        <v>180</v>
      </c>
      <c r="CE44" s="135"/>
      <c r="CF44" s="129">
        <v>1</v>
      </c>
      <c r="CG44" s="130" t="s">
        <v>641</v>
      </c>
      <c r="CH44"/>
    </row>
    <row r="45" spans="1:86" ht="12.75">
      <c r="A45" s="153"/>
      <c r="B45" s="146">
        <f t="shared" ca="1" si="7"/>
        <v>37469</v>
      </c>
      <c r="C45" s="141">
        <v>7.1330136209252007E-2</v>
      </c>
      <c r="D45" s="156">
        <v>0.6</v>
      </c>
      <c r="E45" s="156">
        <v>0.6</v>
      </c>
      <c r="F45" s="156">
        <v>0.17450000000000002</v>
      </c>
      <c r="G45" s="156">
        <v>0.182</v>
      </c>
      <c r="H45" s="156">
        <v>0.1895</v>
      </c>
      <c r="I45" s="155">
        <v>2.6470000000000002</v>
      </c>
      <c r="J45" s="156">
        <v>2.6520000000000001</v>
      </c>
      <c r="K45" s="141">
        <v>2.657</v>
      </c>
      <c r="L45" s="156">
        <v>-6.6875000000000004E-2</v>
      </c>
      <c r="M45" s="141">
        <v>0.25750000000000001</v>
      </c>
      <c r="O45" s="125">
        <f ca="1">(IF(MONTH(B45)&gt;=4,IF(MONTH(B45)&lt;=10,Inputs!$H$2,Inputs!$H$3),Inputs!$H$3))</f>
        <v>6.5000000000000002E-2</v>
      </c>
      <c r="P45" s="155">
        <f ca="1">J45+(IF($L$2=TRUE,IF(MONTH(B45)&gt;=4,IF(MONTH(B45)&lt;=10,L45,M45),M45),0))+(IF('Pricing Inputs'!$AN$3=2,O45,0))</f>
        <v>2.5851250000000001</v>
      </c>
      <c r="Q45" s="155"/>
      <c r="R45" s="336">
        <f t="shared" ca="1" si="4"/>
        <v>37469</v>
      </c>
      <c r="S45" s="171">
        <f t="shared" si="5"/>
        <v>0.53</v>
      </c>
      <c r="T45" s="170">
        <f t="shared" si="8"/>
        <v>0.6</v>
      </c>
      <c r="U45" s="172">
        <f t="shared" si="6"/>
        <v>0.66999999999999993</v>
      </c>
      <c r="BP45" s="131">
        <f t="shared" si="0"/>
        <v>44</v>
      </c>
      <c r="BQ45" s="185" t="s">
        <v>229</v>
      </c>
      <c r="BR45" s="130" t="s">
        <v>178</v>
      </c>
      <c r="BS45" s="129" t="s">
        <v>179</v>
      </c>
      <c r="BT45" s="135" t="s">
        <v>180</v>
      </c>
      <c r="BU45" s="135"/>
      <c r="BV45" s="129">
        <v>1</v>
      </c>
      <c r="BW45" s="130" t="s">
        <v>827</v>
      </c>
      <c r="BX45"/>
      <c r="BZ45" s="131">
        <f t="shared" si="9"/>
        <v>44</v>
      </c>
      <c r="CA45" s="4" t="s">
        <v>452</v>
      </c>
      <c r="CB45" s="130" t="s">
        <v>181</v>
      </c>
      <c r="CC45" s="129" t="s">
        <v>179</v>
      </c>
      <c r="CD45" s="135" t="s">
        <v>180</v>
      </c>
      <c r="CE45" s="135"/>
      <c r="CF45" s="129">
        <v>1</v>
      </c>
      <c r="CG45" s="130" t="s">
        <v>642</v>
      </c>
      <c r="CH45"/>
    </row>
    <row r="46" spans="1:86" ht="12.75">
      <c r="A46" s="153"/>
      <c r="B46" s="146">
        <f t="shared" ca="1" si="7"/>
        <v>37500</v>
      </c>
      <c r="C46" s="141">
        <v>7.1442655152773996E-2</v>
      </c>
      <c r="D46" s="156">
        <v>0.6</v>
      </c>
      <c r="E46" s="156">
        <v>0.6</v>
      </c>
      <c r="F46" s="156">
        <v>0.17350000000000002</v>
      </c>
      <c r="G46" s="156">
        <v>0.18100000000000002</v>
      </c>
      <c r="H46" s="156">
        <v>0.1885</v>
      </c>
      <c r="I46" s="155">
        <v>2.6539999999999999</v>
      </c>
      <c r="J46" s="156">
        <v>2.6590000000000003</v>
      </c>
      <c r="K46" s="141">
        <v>2.6640000000000001</v>
      </c>
      <c r="L46" s="156">
        <v>-6.7500000000000004E-2</v>
      </c>
      <c r="M46" s="141">
        <v>0.2525</v>
      </c>
      <c r="O46" s="125">
        <f ca="1">(IF(MONTH(B46)&gt;=4,IF(MONTH(B46)&lt;=10,Inputs!$H$2,Inputs!$H$3),Inputs!$H$3))</f>
        <v>6.5000000000000002E-2</v>
      </c>
      <c r="P46" s="155">
        <f ca="1">J46+(IF($L$2=TRUE,IF(MONTH(B46)&gt;=4,IF(MONTH(B46)&lt;=10,L46,M46),M46),0))+(IF('Pricing Inputs'!$AN$3=2,O46,0))</f>
        <v>2.5915000000000004</v>
      </c>
      <c r="Q46" s="155"/>
      <c r="R46" s="336">
        <f t="shared" ca="1" si="4"/>
        <v>37500</v>
      </c>
      <c r="S46" s="171">
        <f t="shared" si="5"/>
        <v>0.53</v>
      </c>
      <c r="T46" s="170">
        <f t="shared" si="8"/>
        <v>0.6</v>
      </c>
      <c r="U46" s="172">
        <f t="shared" si="6"/>
        <v>0.66999999999999993</v>
      </c>
      <c r="BP46" s="131">
        <f t="shared" si="0"/>
        <v>45</v>
      </c>
      <c r="BQ46" s="185" t="s">
        <v>229</v>
      </c>
      <c r="BR46" s="130" t="s">
        <v>178</v>
      </c>
      <c r="BS46" s="129" t="s">
        <v>204</v>
      </c>
      <c r="BT46" s="135" t="s">
        <v>180</v>
      </c>
      <c r="BU46" s="135"/>
      <c r="BV46" s="129">
        <v>1</v>
      </c>
      <c r="BW46" s="130" t="s">
        <v>828</v>
      </c>
      <c r="BX46"/>
      <c r="BZ46" s="131">
        <f t="shared" si="9"/>
        <v>45</v>
      </c>
      <c r="CA46" s="4" t="s">
        <v>453</v>
      </c>
      <c r="CB46" s="130" t="s">
        <v>181</v>
      </c>
      <c r="CC46" s="129" t="s">
        <v>179</v>
      </c>
      <c r="CD46" s="135" t="s">
        <v>180</v>
      </c>
      <c r="CE46" s="135"/>
      <c r="CF46" s="129">
        <v>1</v>
      </c>
      <c r="CG46" s="130" t="s">
        <v>643</v>
      </c>
      <c r="CH46"/>
    </row>
    <row r="47" spans="1:86" ht="12.75">
      <c r="A47" s="153"/>
      <c r="B47" s="146">
        <f t="shared" ca="1" si="7"/>
        <v>37530</v>
      </c>
      <c r="C47" s="141">
        <v>7.1542259185124996E-2</v>
      </c>
      <c r="D47" s="156">
        <v>0.65</v>
      </c>
      <c r="E47" s="156">
        <v>0.65</v>
      </c>
      <c r="F47" s="156">
        <v>0.17350000000000002</v>
      </c>
      <c r="G47" s="156">
        <v>0.18100000000000002</v>
      </c>
      <c r="H47" s="156">
        <v>0.1885</v>
      </c>
      <c r="I47" s="155">
        <v>2.68</v>
      </c>
      <c r="J47" s="156">
        <v>2.6850000000000001</v>
      </c>
      <c r="K47" s="141">
        <v>2.69</v>
      </c>
      <c r="L47" s="156">
        <v>-6.7500000000000004E-2</v>
      </c>
      <c r="M47" s="141">
        <v>0.255</v>
      </c>
      <c r="O47" s="125">
        <f ca="1">(IF(MONTH(B47)&gt;=4,IF(MONTH(B47)&lt;=10,Inputs!$H$2,Inputs!$H$3),Inputs!$H$3))</f>
        <v>6.5000000000000002E-2</v>
      </c>
      <c r="P47" s="155">
        <f ca="1">J47+(IF($L$2=TRUE,IF(MONTH(B47)&gt;=4,IF(MONTH(B47)&lt;=10,L47,M47),M47),0))+(IF('Pricing Inputs'!$AN$3=2,O47,0))</f>
        <v>2.6175000000000002</v>
      </c>
      <c r="Q47" s="155"/>
      <c r="R47" s="336">
        <f t="shared" ca="1" si="4"/>
        <v>37530</v>
      </c>
      <c r="S47" s="171">
        <f t="shared" si="5"/>
        <v>0.58000000000000007</v>
      </c>
      <c r="T47" s="170">
        <f t="shared" si="8"/>
        <v>0.65</v>
      </c>
      <c r="U47" s="172">
        <f t="shared" si="6"/>
        <v>0.72</v>
      </c>
      <c r="BP47" s="131">
        <f t="shared" si="0"/>
        <v>46</v>
      </c>
      <c r="BQ47" s="185" t="s">
        <v>230</v>
      </c>
      <c r="BR47" s="130" t="s">
        <v>178</v>
      </c>
      <c r="BS47" s="129" t="s">
        <v>204</v>
      </c>
      <c r="BT47" s="135" t="s">
        <v>180</v>
      </c>
      <c r="BU47" s="135"/>
      <c r="BV47" s="129">
        <v>1</v>
      </c>
      <c r="BW47" s="130" t="s">
        <v>829</v>
      </c>
      <c r="BX47"/>
      <c r="BZ47" s="131">
        <f t="shared" si="9"/>
        <v>46</v>
      </c>
      <c r="CA47" s="4" t="s">
        <v>454</v>
      </c>
      <c r="CB47" s="130" t="s">
        <v>181</v>
      </c>
      <c r="CC47" s="129" t="s">
        <v>179</v>
      </c>
      <c r="CD47" s="135" t="s">
        <v>180</v>
      </c>
      <c r="CE47" s="135"/>
      <c r="CF47" s="129">
        <v>1</v>
      </c>
      <c r="CG47" s="130" t="s">
        <v>644</v>
      </c>
      <c r="CH47"/>
    </row>
    <row r="48" spans="1:86" ht="12.75">
      <c r="A48" s="153"/>
      <c r="B48" s="146">
        <f t="shared" ca="1" si="7"/>
        <v>37561</v>
      </c>
      <c r="C48" s="141">
        <v>7.1631839731324004E-2</v>
      </c>
      <c r="D48" s="156">
        <v>0.95</v>
      </c>
      <c r="E48" s="156">
        <v>0.95</v>
      </c>
      <c r="F48" s="156">
        <v>0.17450000000000002</v>
      </c>
      <c r="G48" s="156">
        <v>0.182</v>
      </c>
      <c r="H48" s="156">
        <v>0.1895</v>
      </c>
      <c r="I48" s="155">
        <v>2.8149999999999999</v>
      </c>
      <c r="J48" s="156">
        <v>2.82</v>
      </c>
      <c r="K48" s="141">
        <v>2.8250000000000002</v>
      </c>
      <c r="L48" s="156">
        <v>-7.1249999999999994E-2</v>
      </c>
      <c r="M48" s="141">
        <v>0.7</v>
      </c>
      <c r="O48" s="125">
        <f ca="1">(IF(MONTH(B48)&gt;=4,IF(MONTH(B48)&lt;=10,Inputs!$H$2,Inputs!$H$3),Inputs!$H$3))</f>
        <v>6.5000000000000002E-2</v>
      </c>
      <c r="P48" s="155">
        <f ca="1">J48+(IF($L$2=TRUE,IF(MONTH(B48)&gt;=4,IF(MONTH(B48)&lt;=10,L48,M48),M48),0))+(IF('Pricing Inputs'!$AN$3=2,O48,0))</f>
        <v>3.5199999999999996</v>
      </c>
      <c r="Q48" s="155"/>
      <c r="R48" s="336">
        <f t="shared" ca="1" si="4"/>
        <v>37561</v>
      </c>
      <c r="S48" s="171">
        <f t="shared" si="5"/>
        <v>0.87999999999999989</v>
      </c>
      <c r="T48" s="170">
        <f t="shared" si="8"/>
        <v>0.95</v>
      </c>
      <c r="U48" s="172">
        <f t="shared" si="6"/>
        <v>1.02</v>
      </c>
      <c r="BP48" s="131">
        <f t="shared" si="0"/>
        <v>47</v>
      </c>
      <c r="BQ48" s="185" t="s">
        <v>231</v>
      </c>
      <c r="BR48" s="130" t="s">
        <v>178</v>
      </c>
      <c r="BS48" s="129" t="s">
        <v>204</v>
      </c>
      <c r="BT48" s="135" t="s">
        <v>180</v>
      </c>
      <c r="BU48" s="135"/>
      <c r="BV48" s="129">
        <v>1</v>
      </c>
      <c r="BW48" s="130" t="s">
        <v>830</v>
      </c>
      <c r="BX48"/>
      <c r="BZ48" s="131">
        <f t="shared" si="9"/>
        <v>47</v>
      </c>
      <c r="CA48" s="4" t="s">
        <v>455</v>
      </c>
      <c r="CB48" s="130" t="s">
        <v>181</v>
      </c>
      <c r="CC48" s="129" t="s">
        <v>179</v>
      </c>
      <c r="CD48" s="135" t="s">
        <v>180</v>
      </c>
      <c r="CE48" s="135"/>
      <c r="CF48" s="129">
        <v>1</v>
      </c>
      <c r="CG48" s="130" t="s">
        <v>645</v>
      </c>
      <c r="CH48"/>
    </row>
    <row r="49" spans="1:86" ht="12.75">
      <c r="A49" s="153"/>
      <c r="B49" s="146">
        <f t="shared" ca="1" si="7"/>
        <v>37591</v>
      </c>
      <c r="C49" s="141">
        <v>7.1718530585009002E-2</v>
      </c>
      <c r="D49" s="156">
        <v>1.25</v>
      </c>
      <c r="E49" s="156">
        <v>1.25</v>
      </c>
      <c r="F49" s="156">
        <v>0.17550000000000002</v>
      </c>
      <c r="G49" s="156">
        <v>0.183</v>
      </c>
      <c r="H49" s="156">
        <v>0.1905</v>
      </c>
      <c r="I49" s="155">
        <v>2.9390000000000001</v>
      </c>
      <c r="J49" s="156">
        <v>2.944</v>
      </c>
      <c r="K49" s="141">
        <v>2.9490000000000003</v>
      </c>
      <c r="L49" s="156">
        <v>-7.7499999999999999E-2</v>
      </c>
      <c r="M49" s="141">
        <v>1</v>
      </c>
      <c r="O49" s="125">
        <f ca="1">(IF(MONTH(B49)&gt;=4,IF(MONTH(B49)&lt;=10,Inputs!$H$2,Inputs!$H$3),Inputs!$H$3))</f>
        <v>6.5000000000000002E-2</v>
      </c>
      <c r="P49" s="155">
        <f ca="1">J49+(IF($L$2=TRUE,IF(MONTH(B49)&gt;=4,IF(MONTH(B49)&lt;=10,L49,M49),M49),0))+(IF('Pricing Inputs'!$AN$3=2,O49,0))</f>
        <v>3.944</v>
      </c>
      <c r="Q49" s="155"/>
      <c r="R49" s="336">
        <f t="shared" ca="1" si="4"/>
        <v>37591</v>
      </c>
      <c r="S49" s="171">
        <f t="shared" si="5"/>
        <v>1.18</v>
      </c>
      <c r="T49" s="170">
        <f t="shared" si="8"/>
        <v>1.25</v>
      </c>
      <c r="U49" s="172">
        <f t="shared" si="6"/>
        <v>1.32</v>
      </c>
      <c r="BP49" s="131">
        <f t="shared" si="0"/>
        <v>48</v>
      </c>
      <c r="BQ49" s="185" t="s">
        <v>232</v>
      </c>
      <c r="BR49" s="130" t="s">
        <v>178</v>
      </c>
      <c r="BS49" s="129" t="s">
        <v>204</v>
      </c>
      <c r="BT49" s="135" t="s">
        <v>180</v>
      </c>
      <c r="BU49" s="135"/>
      <c r="BV49" s="129">
        <v>1</v>
      </c>
      <c r="BW49" s="130" t="s">
        <v>831</v>
      </c>
      <c r="BX49"/>
      <c r="BZ49" s="131">
        <f t="shared" si="9"/>
        <v>48</v>
      </c>
      <c r="CA49" s="4" t="s">
        <v>456</v>
      </c>
      <c r="CB49" s="130" t="s">
        <v>181</v>
      </c>
      <c r="CC49" s="129" t="s">
        <v>179</v>
      </c>
      <c r="CD49" s="135" t="s">
        <v>180</v>
      </c>
      <c r="CE49" s="135"/>
      <c r="CF49" s="129">
        <v>1</v>
      </c>
      <c r="CG49" s="130" t="s">
        <v>646</v>
      </c>
      <c r="CH49"/>
    </row>
    <row r="50" spans="1:86" ht="12.75">
      <c r="A50" s="153"/>
      <c r="B50" s="146">
        <f t="shared" ca="1" si="7"/>
        <v>37622</v>
      </c>
      <c r="C50" s="141">
        <v>7.1808036216494994E-2</v>
      </c>
      <c r="D50" s="156">
        <v>1.45</v>
      </c>
      <c r="E50" s="156">
        <v>1.45</v>
      </c>
      <c r="F50" s="156">
        <v>0.18050000000000002</v>
      </c>
      <c r="G50" s="156">
        <v>0.188</v>
      </c>
      <c r="H50" s="156">
        <v>0.19550000000000001</v>
      </c>
      <c r="I50" s="155">
        <v>2.97</v>
      </c>
      <c r="J50" s="156">
        <v>2.9750000000000001</v>
      </c>
      <c r="K50" s="141">
        <v>2.98</v>
      </c>
      <c r="L50" s="156">
        <v>-7.7499999999999999E-2</v>
      </c>
      <c r="M50" s="141">
        <v>1.45</v>
      </c>
      <c r="O50" s="125">
        <f ca="1">(IF(MONTH(B50)&gt;=4,IF(MONTH(B50)&lt;=10,Inputs!$H$2,Inputs!$H$3),Inputs!$H$3))</f>
        <v>6.5000000000000002E-2</v>
      </c>
      <c r="P50" s="155">
        <f ca="1">J50+(IF($L$2=TRUE,IF(MONTH(B50)&gt;=4,IF(MONTH(B50)&lt;=10,L50,M50),M50),0))+(IF('Pricing Inputs'!$AN$3=2,O50,0))</f>
        <v>4.4249999999999998</v>
      </c>
      <c r="Q50" s="155"/>
      <c r="R50" s="336">
        <f t="shared" ca="1" si="4"/>
        <v>37622</v>
      </c>
      <c r="S50" s="171">
        <f t="shared" si="5"/>
        <v>1.38</v>
      </c>
      <c r="T50" s="170">
        <f t="shared" si="8"/>
        <v>1.45</v>
      </c>
      <c r="U50" s="172">
        <f t="shared" si="6"/>
        <v>1.52</v>
      </c>
      <c r="BP50" s="131">
        <f t="shared" si="0"/>
        <v>49</v>
      </c>
      <c r="BQ50" s="185" t="s">
        <v>233</v>
      </c>
      <c r="BR50" s="130" t="s">
        <v>178</v>
      </c>
      <c r="BS50" s="129" t="s">
        <v>179</v>
      </c>
      <c r="BT50" s="135" t="s">
        <v>180</v>
      </c>
      <c r="BU50" s="135"/>
      <c r="BV50" s="129">
        <v>1</v>
      </c>
      <c r="BW50" s="130" t="s">
        <v>832</v>
      </c>
      <c r="BX50"/>
      <c r="BZ50" s="131">
        <f t="shared" si="9"/>
        <v>49</v>
      </c>
      <c r="CA50" s="4" t="s">
        <v>457</v>
      </c>
      <c r="CB50" s="130" t="s">
        <v>181</v>
      </c>
      <c r="CC50" s="129" t="s">
        <v>179</v>
      </c>
      <c r="CD50" s="135" t="s">
        <v>180</v>
      </c>
      <c r="CE50" s="135"/>
      <c r="CF50" s="129">
        <v>1</v>
      </c>
      <c r="CG50" s="130" t="s">
        <v>647</v>
      </c>
      <c r="CH50"/>
    </row>
    <row r="51" spans="1:86" ht="12.75">
      <c r="A51" s="153"/>
      <c r="B51" s="146">
        <f t="shared" ca="1" si="7"/>
        <v>37653</v>
      </c>
      <c r="C51" s="141">
        <v>7.1897450876422006E-2</v>
      </c>
      <c r="D51" s="156">
        <v>1.45</v>
      </c>
      <c r="E51" s="156">
        <v>1.45</v>
      </c>
      <c r="F51" s="156">
        <v>0.17900000000000002</v>
      </c>
      <c r="G51" s="156">
        <v>0.1865</v>
      </c>
      <c r="H51" s="156">
        <v>0.19400000000000001</v>
      </c>
      <c r="I51" s="155">
        <v>2.8520000000000003</v>
      </c>
      <c r="J51" s="156">
        <v>2.8570000000000002</v>
      </c>
      <c r="K51" s="141">
        <v>2.8620000000000001</v>
      </c>
      <c r="L51" s="156">
        <v>-7.5624999999999998E-2</v>
      </c>
      <c r="M51" s="141">
        <v>1.35</v>
      </c>
      <c r="O51" s="125">
        <f ca="1">(IF(MONTH(B51)&gt;=4,IF(MONTH(B51)&lt;=10,Inputs!$H$2,Inputs!$H$3),Inputs!$H$3))</f>
        <v>6.5000000000000002E-2</v>
      </c>
      <c r="P51" s="155">
        <f ca="1">J51+(IF($L$2=TRUE,IF(MONTH(B51)&gt;=4,IF(MONTH(B51)&lt;=10,L51,M51),M51),0))+(IF('Pricing Inputs'!$AN$3=2,O51,0))</f>
        <v>4.2070000000000007</v>
      </c>
      <c r="Q51" s="155"/>
      <c r="R51" s="336">
        <f t="shared" ca="1" si="4"/>
        <v>37653</v>
      </c>
      <c r="S51" s="171">
        <f t="shared" si="5"/>
        <v>1.38</v>
      </c>
      <c r="T51" s="170">
        <f t="shared" si="8"/>
        <v>1.45</v>
      </c>
      <c r="U51" s="172">
        <f t="shared" si="6"/>
        <v>1.52</v>
      </c>
      <c r="BP51" s="131">
        <f t="shared" si="0"/>
        <v>50</v>
      </c>
      <c r="BQ51" s="185" t="s">
        <v>234</v>
      </c>
      <c r="BR51" s="130" t="s">
        <v>178</v>
      </c>
      <c r="BS51" s="129" t="s">
        <v>204</v>
      </c>
      <c r="BT51" s="135" t="s">
        <v>180</v>
      </c>
      <c r="BU51" s="135"/>
      <c r="BV51" s="129">
        <v>1</v>
      </c>
      <c r="BW51" s="130" t="s">
        <v>833</v>
      </c>
      <c r="BX51"/>
      <c r="BZ51" s="131">
        <f t="shared" si="9"/>
        <v>50</v>
      </c>
      <c r="CA51" s="4" t="s">
        <v>458</v>
      </c>
      <c r="CB51" s="130" t="s">
        <v>181</v>
      </c>
      <c r="CC51" s="129" t="s">
        <v>179</v>
      </c>
      <c r="CD51" s="135" t="s">
        <v>180</v>
      </c>
      <c r="CE51" s="135"/>
      <c r="CF51" s="129">
        <v>1</v>
      </c>
      <c r="CG51" s="130" t="s">
        <v>648</v>
      </c>
      <c r="CH51"/>
    </row>
    <row r="52" spans="1:86" ht="12.75">
      <c r="A52" s="153"/>
      <c r="B52" s="146">
        <f t="shared" ca="1" si="7"/>
        <v>37681</v>
      </c>
      <c r="C52" s="141">
        <v>7.1978212507014E-2</v>
      </c>
      <c r="D52" s="156">
        <v>1</v>
      </c>
      <c r="E52" s="156">
        <v>1</v>
      </c>
      <c r="F52" s="156">
        <v>0.16900000000000001</v>
      </c>
      <c r="G52" s="156">
        <v>0.17650000000000002</v>
      </c>
      <c r="H52" s="156">
        <v>0.184</v>
      </c>
      <c r="I52" s="155">
        <v>2.7320000000000002</v>
      </c>
      <c r="J52" s="156">
        <v>2.7370000000000001</v>
      </c>
      <c r="K52" s="141">
        <v>2.742</v>
      </c>
      <c r="L52" s="156">
        <v>-7.0000000000000007E-2</v>
      </c>
      <c r="M52" s="141">
        <v>0.85</v>
      </c>
      <c r="O52" s="125">
        <f ca="1">(IF(MONTH(B52)&gt;=4,IF(MONTH(B52)&lt;=10,Inputs!$H$2,Inputs!$H$3),Inputs!$H$3))</f>
        <v>6.5000000000000002E-2</v>
      </c>
      <c r="P52" s="155">
        <f ca="1">J52+(IF($L$2=TRUE,IF(MONTH(B52)&gt;=4,IF(MONTH(B52)&lt;=10,L52,M52),M52),0))+(IF('Pricing Inputs'!$AN$3=2,O52,0))</f>
        <v>3.5870000000000002</v>
      </c>
      <c r="Q52" s="155"/>
      <c r="R52" s="336">
        <f t="shared" ca="1" si="4"/>
        <v>37681</v>
      </c>
      <c r="S52" s="171">
        <f t="shared" si="5"/>
        <v>0.92999999999999994</v>
      </c>
      <c r="T52" s="170">
        <f t="shared" si="8"/>
        <v>1</v>
      </c>
      <c r="U52" s="172">
        <f t="shared" si="6"/>
        <v>1.07</v>
      </c>
      <c r="BP52" s="131">
        <f t="shared" si="0"/>
        <v>51</v>
      </c>
      <c r="BQ52" s="185" t="s">
        <v>235</v>
      </c>
      <c r="BR52" s="130" t="s">
        <v>178</v>
      </c>
      <c r="BS52" s="129" t="s">
        <v>204</v>
      </c>
      <c r="BT52" s="135" t="s">
        <v>180</v>
      </c>
      <c r="BU52" s="135"/>
      <c r="BV52" s="129">
        <v>1</v>
      </c>
      <c r="BW52" s="130" t="s">
        <v>834</v>
      </c>
      <c r="BX52"/>
      <c r="BZ52" s="131">
        <f t="shared" si="9"/>
        <v>51</v>
      </c>
      <c r="CA52" s="4" t="s">
        <v>459</v>
      </c>
      <c r="CB52" s="130" t="s">
        <v>181</v>
      </c>
      <c r="CC52" s="129" t="s">
        <v>179</v>
      </c>
      <c r="CD52" s="135" t="s">
        <v>180</v>
      </c>
      <c r="CE52" s="135"/>
      <c r="CF52" s="129">
        <v>1</v>
      </c>
      <c r="CG52" s="130" t="s">
        <v>649</v>
      </c>
      <c r="CH52"/>
    </row>
    <row r="53" spans="1:86" ht="12.75">
      <c r="A53" s="153"/>
      <c r="B53" s="146">
        <f t="shared" ca="1" si="7"/>
        <v>37712</v>
      </c>
      <c r="C53" s="141">
        <v>7.20561019016E-2</v>
      </c>
      <c r="D53" s="156">
        <v>0.45</v>
      </c>
      <c r="E53" s="156">
        <v>0.45</v>
      </c>
      <c r="F53" s="156">
        <v>0.16650000000000001</v>
      </c>
      <c r="G53" s="156">
        <v>0.17400000000000002</v>
      </c>
      <c r="H53" s="156">
        <v>0.18150000000000002</v>
      </c>
      <c r="I53" s="155">
        <v>2.6825000000000001</v>
      </c>
      <c r="J53" s="156">
        <v>2.6875</v>
      </c>
      <c r="K53" s="141">
        <v>2.6924999999999999</v>
      </c>
      <c r="L53" s="156">
        <v>-6.8750000000000006E-2</v>
      </c>
      <c r="M53" s="141">
        <v>0.37</v>
      </c>
      <c r="O53" s="125">
        <f ca="1">(IF(MONTH(B53)&gt;=4,IF(MONTH(B53)&lt;=10,Inputs!$H$2,Inputs!$H$3),Inputs!$H$3))</f>
        <v>6.5000000000000002E-2</v>
      </c>
      <c r="P53" s="155">
        <f ca="1">J53+(IF($L$2=TRUE,IF(MONTH(B53)&gt;=4,IF(MONTH(B53)&lt;=10,L53,M53),M53),0))+(IF('Pricing Inputs'!$AN$3=2,O53,0))</f>
        <v>2.6187499999999999</v>
      </c>
      <c r="Q53" s="155"/>
      <c r="R53" s="336">
        <f t="shared" ca="1" si="4"/>
        <v>37712</v>
      </c>
      <c r="S53" s="171">
        <f t="shared" si="5"/>
        <v>0.38</v>
      </c>
      <c r="T53" s="170">
        <f t="shared" si="8"/>
        <v>0.45</v>
      </c>
      <c r="U53" s="172">
        <f t="shared" si="6"/>
        <v>0.52</v>
      </c>
      <c r="BP53" s="131">
        <f t="shared" si="0"/>
        <v>52</v>
      </c>
      <c r="BQ53" s="185" t="s">
        <v>236</v>
      </c>
      <c r="BR53" s="130" t="s">
        <v>178</v>
      </c>
      <c r="BS53" s="129" t="s">
        <v>204</v>
      </c>
      <c r="BT53" s="135" t="s">
        <v>180</v>
      </c>
      <c r="BU53" s="135"/>
      <c r="BV53" s="129">
        <v>1</v>
      </c>
      <c r="BW53" s="130" t="s">
        <v>835</v>
      </c>
      <c r="BX53"/>
      <c r="BZ53" s="131">
        <f t="shared" si="9"/>
        <v>52</v>
      </c>
      <c r="CA53" s="4" t="s">
        <v>460</v>
      </c>
      <c r="CB53" s="130" t="s">
        <v>181</v>
      </c>
      <c r="CC53" s="129" t="s">
        <v>179</v>
      </c>
      <c r="CD53" s="135" t="s">
        <v>180</v>
      </c>
      <c r="CE53" s="135"/>
      <c r="CF53" s="129">
        <v>1</v>
      </c>
      <c r="CG53" s="130" t="s">
        <v>650</v>
      </c>
      <c r="CH53"/>
    </row>
    <row r="54" spans="1:86" ht="12.75">
      <c r="A54" s="153"/>
      <c r="B54" s="146">
        <f t="shared" ca="1" si="7"/>
        <v>37742</v>
      </c>
      <c r="C54" s="141">
        <v>7.2116257975074011E-2</v>
      </c>
      <c r="D54" s="156">
        <v>0.5</v>
      </c>
      <c r="E54" s="156">
        <v>0.5</v>
      </c>
      <c r="F54" s="156">
        <v>0.16400000000000001</v>
      </c>
      <c r="G54" s="156">
        <v>0.17150000000000001</v>
      </c>
      <c r="H54" s="156">
        <v>0.17900000000000002</v>
      </c>
      <c r="I54" s="155">
        <v>2.6565000000000003</v>
      </c>
      <c r="J54" s="156">
        <v>2.6615000000000002</v>
      </c>
      <c r="K54" s="141">
        <v>2.6665000000000001</v>
      </c>
      <c r="L54" s="156">
        <v>-6.7500000000000004E-2</v>
      </c>
      <c r="M54" s="141">
        <v>0.2525</v>
      </c>
      <c r="O54" s="125">
        <f ca="1">(IF(MONTH(B54)&gt;=4,IF(MONTH(B54)&lt;=10,Inputs!$H$2,Inputs!$H$3),Inputs!$H$3))</f>
        <v>6.5000000000000002E-2</v>
      </c>
      <c r="P54" s="155">
        <f ca="1">J54+(IF($L$2=TRUE,IF(MONTH(B54)&gt;=4,IF(MONTH(B54)&lt;=10,L54,M54),M54),0))+(IF('Pricing Inputs'!$AN$3=2,O54,0))</f>
        <v>2.5940000000000003</v>
      </c>
      <c r="Q54" s="155"/>
      <c r="R54" s="336">
        <f t="shared" ca="1" si="4"/>
        <v>37742</v>
      </c>
      <c r="S54" s="171">
        <f t="shared" si="5"/>
        <v>0.43</v>
      </c>
      <c r="T54" s="170">
        <f t="shared" si="8"/>
        <v>0.5</v>
      </c>
      <c r="U54" s="172">
        <f t="shared" si="6"/>
        <v>0.57000000000000006</v>
      </c>
      <c r="BP54" s="131">
        <f t="shared" si="0"/>
        <v>53</v>
      </c>
      <c r="BQ54" s="185" t="s">
        <v>237</v>
      </c>
      <c r="BR54" s="130" t="s">
        <v>178</v>
      </c>
      <c r="BS54" s="129" t="s">
        <v>204</v>
      </c>
      <c r="BT54" s="135" t="s">
        <v>180</v>
      </c>
      <c r="BU54" s="135"/>
      <c r="BV54" s="129">
        <v>1</v>
      </c>
      <c r="BW54" s="130" t="s">
        <v>836</v>
      </c>
      <c r="BX54"/>
      <c r="BZ54" s="131">
        <f t="shared" si="9"/>
        <v>53</v>
      </c>
      <c r="CA54" s="4" t="s">
        <v>461</v>
      </c>
      <c r="CB54" s="130" t="s">
        <v>181</v>
      </c>
      <c r="CC54" s="129" t="s">
        <v>179</v>
      </c>
      <c r="CD54" s="135" t="s">
        <v>180</v>
      </c>
      <c r="CE54" s="135"/>
      <c r="CF54" s="129">
        <v>1</v>
      </c>
      <c r="CG54" s="130" t="s">
        <v>651</v>
      </c>
      <c r="CH54"/>
    </row>
    <row r="55" spans="1:86" ht="12.75">
      <c r="A55" s="153"/>
      <c r="B55" s="146">
        <f t="shared" ca="1" si="7"/>
        <v>37773</v>
      </c>
      <c r="C55" s="141">
        <v>7.2178419252254003E-2</v>
      </c>
      <c r="D55" s="156">
        <v>0.5</v>
      </c>
      <c r="E55" s="156">
        <v>0.5</v>
      </c>
      <c r="F55" s="156">
        <v>0.16400000000000001</v>
      </c>
      <c r="G55" s="156">
        <v>0.17150000000000001</v>
      </c>
      <c r="H55" s="156">
        <v>0.17900000000000002</v>
      </c>
      <c r="I55" s="155">
        <v>2.6625000000000001</v>
      </c>
      <c r="J55" s="156">
        <v>2.6675</v>
      </c>
      <c r="K55" s="141">
        <v>2.6724999999999999</v>
      </c>
      <c r="L55" s="156">
        <v>-6.7500000000000004E-2</v>
      </c>
      <c r="M55" s="141">
        <v>0.2525</v>
      </c>
      <c r="O55" s="125">
        <f ca="1">(IF(MONTH(B55)&gt;=4,IF(MONTH(B55)&lt;=10,Inputs!$H$2,Inputs!$H$3),Inputs!$H$3))</f>
        <v>6.5000000000000002E-2</v>
      </c>
      <c r="P55" s="155">
        <f ca="1">J55+(IF($L$2=TRUE,IF(MONTH(B55)&gt;=4,IF(MONTH(B55)&lt;=10,L55,M55),M55),0))+(IF('Pricing Inputs'!$AN$3=2,O55,0))</f>
        <v>2.6</v>
      </c>
      <c r="Q55" s="155"/>
      <c r="R55" s="336">
        <f t="shared" ca="1" si="4"/>
        <v>37773</v>
      </c>
      <c r="S55" s="171">
        <f t="shared" si="5"/>
        <v>0.43</v>
      </c>
      <c r="T55" s="170">
        <f t="shared" si="8"/>
        <v>0.5</v>
      </c>
      <c r="U55" s="172">
        <f t="shared" si="6"/>
        <v>0.57000000000000006</v>
      </c>
      <c r="BP55" s="131">
        <f t="shared" si="0"/>
        <v>54</v>
      </c>
      <c r="BQ55" s="185" t="s">
        <v>238</v>
      </c>
      <c r="BR55" s="130" t="s">
        <v>178</v>
      </c>
      <c r="BS55" s="129" t="s">
        <v>204</v>
      </c>
      <c r="BT55" s="135" t="s">
        <v>180</v>
      </c>
      <c r="BU55" s="135"/>
      <c r="BV55" s="129">
        <v>1</v>
      </c>
      <c r="BW55" s="130" t="s">
        <v>837</v>
      </c>
      <c r="BX55"/>
      <c r="BZ55" s="131">
        <f t="shared" si="9"/>
        <v>54</v>
      </c>
      <c r="CA55" s="4" t="s">
        <v>462</v>
      </c>
      <c r="CB55" s="130" t="s">
        <v>181</v>
      </c>
      <c r="CC55" s="129" t="s">
        <v>179</v>
      </c>
      <c r="CD55" s="135" t="s">
        <v>180</v>
      </c>
      <c r="CE55" s="135"/>
      <c r="CF55" s="129">
        <v>1</v>
      </c>
      <c r="CG55" s="130" t="s">
        <v>652</v>
      </c>
      <c r="CH55"/>
    </row>
    <row r="56" spans="1:86" ht="12.75">
      <c r="A56" s="153"/>
      <c r="B56" s="146">
        <f t="shared" ca="1" si="7"/>
        <v>37803</v>
      </c>
      <c r="C56" s="141">
        <v>7.2234722830806009E-2</v>
      </c>
      <c r="D56" s="156">
        <v>0.5</v>
      </c>
      <c r="E56" s="156">
        <v>0.5</v>
      </c>
      <c r="F56" s="156">
        <v>0.16400000000000001</v>
      </c>
      <c r="G56" s="156">
        <v>0.17150000000000001</v>
      </c>
      <c r="H56" s="156">
        <v>0.17900000000000002</v>
      </c>
      <c r="I56" s="155">
        <v>2.6724999999999999</v>
      </c>
      <c r="J56" s="156">
        <v>2.6775000000000002</v>
      </c>
      <c r="K56" s="141">
        <v>2.6825000000000001</v>
      </c>
      <c r="L56" s="156">
        <v>-6.6875000000000004E-2</v>
      </c>
      <c r="M56" s="141">
        <v>0.25750000000000001</v>
      </c>
      <c r="O56" s="125">
        <f ca="1">(IF(MONTH(B56)&gt;=4,IF(MONTH(B56)&lt;=10,Inputs!$H$2,Inputs!$H$3),Inputs!$H$3))</f>
        <v>6.5000000000000002E-2</v>
      </c>
      <c r="P56" s="155">
        <f ca="1">J56+(IF($L$2=TRUE,IF(MONTH(B56)&gt;=4,IF(MONTH(B56)&lt;=10,L56,M56),M56),0))+(IF('Pricing Inputs'!$AN$3=2,O56,0))</f>
        <v>2.6106250000000002</v>
      </c>
      <c r="Q56" s="155"/>
      <c r="R56" s="336">
        <f t="shared" ca="1" si="4"/>
        <v>37803</v>
      </c>
      <c r="S56" s="171">
        <f t="shared" si="5"/>
        <v>0.43</v>
      </c>
      <c r="T56" s="170">
        <f t="shared" si="8"/>
        <v>0.5</v>
      </c>
      <c r="U56" s="172">
        <f t="shared" si="6"/>
        <v>0.57000000000000006</v>
      </c>
      <c r="BP56" s="131">
        <f t="shared" si="0"/>
        <v>55</v>
      </c>
      <c r="BQ56" s="185" t="s">
        <v>239</v>
      </c>
      <c r="BR56" s="130" t="s">
        <v>178</v>
      </c>
      <c r="BS56" s="129" t="s">
        <v>204</v>
      </c>
      <c r="BT56" s="135" t="s">
        <v>180</v>
      </c>
      <c r="BU56" s="135"/>
      <c r="BV56" s="129">
        <v>1</v>
      </c>
      <c r="BW56" s="130" t="s">
        <v>838</v>
      </c>
      <c r="BX56"/>
      <c r="BZ56" s="131">
        <f t="shared" si="9"/>
        <v>55</v>
      </c>
      <c r="CA56" s="4" t="s">
        <v>463</v>
      </c>
      <c r="CB56" s="130" t="s">
        <v>181</v>
      </c>
      <c r="CC56" s="129" t="s">
        <v>179</v>
      </c>
      <c r="CD56" s="135" t="s">
        <v>180</v>
      </c>
      <c r="CE56" s="135"/>
      <c r="CF56" s="129">
        <v>1</v>
      </c>
      <c r="CG56" s="130" t="s">
        <v>653</v>
      </c>
      <c r="CH56"/>
    </row>
    <row r="57" spans="1:86" ht="12.75">
      <c r="A57" s="153"/>
      <c r="B57" s="146">
        <f t="shared" ca="1" si="7"/>
        <v>37834</v>
      </c>
      <c r="C57" s="141">
        <v>7.2287360659209987E-2</v>
      </c>
      <c r="D57" s="156">
        <v>0.6</v>
      </c>
      <c r="E57" s="156">
        <v>0.6</v>
      </c>
      <c r="F57" s="156">
        <v>0.16400000000000001</v>
      </c>
      <c r="G57" s="156">
        <v>0.17150000000000001</v>
      </c>
      <c r="H57" s="156">
        <v>0.17900000000000002</v>
      </c>
      <c r="I57" s="155">
        <v>2.6795</v>
      </c>
      <c r="J57" s="156">
        <v>2.6845000000000003</v>
      </c>
      <c r="K57" s="141">
        <v>2.6895000000000002</v>
      </c>
      <c r="L57" s="156">
        <v>-6.6875000000000004E-2</v>
      </c>
      <c r="M57" s="141">
        <v>0.25750000000000001</v>
      </c>
      <c r="O57" s="125">
        <f ca="1">(IF(MONTH(B57)&gt;=4,IF(MONTH(B57)&lt;=10,Inputs!$H$2,Inputs!$H$3),Inputs!$H$3))</f>
        <v>6.5000000000000002E-2</v>
      </c>
      <c r="P57" s="155">
        <f ca="1">J57+(IF($L$2=TRUE,IF(MONTH(B57)&gt;=4,IF(MONTH(B57)&lt;=10,L57,M57),M57),0))+(IF('Pricing Inputs'!$AN$3=2,O57,0))</f>
        <v>2.6176250000000003</v>
      </c>
      <c r="Q57" s="155"/>
      <c r="R57" s="336">
        <f t="shared" ca="1" si="4"/>
        <v>37834</v>
      </c>
      <c r="S57" s="171">
        <f t="shared" si="5"/>
        <v>0.53</v>
      </c>
      <c r="T57" s="170">
        <f t="shared" si="8"/>
        <v>0.6</v>
      </c>
      <c r="U57" s="172">
        <f t="shared" si="6"/>
        <v>0.66999999999999993</v>
      </c>
      <c r="BP57" s="131">
        <f t="shared" si="0"/>
        <v>56</v>
      </c>
      <c r="BQ57" s="185" t="s">
        <v>240</v>
      </c>
      <c r="BR57" s="130" t="s">
        <v>178</v>
      </c>
      <c r="BS57" s="129" t="s">
        <v>179</v>
      </c>
      <c r="BT57" s="135" t="s">
        <v>180</v>
      </c>
      <c r="BU57" s="135"/>
      <c r="BV57" s="129">
        <v>1</v>
      </c>
      <c r="BW57" s="130" t="s">
        <v>839</v>
      </c>
      <c r="BX57"/>
      <c r="BZ57" s="131">
        <f t="shared" si="9"/>
        <v>56</v>
      </c>
      <c r="CA57" s="4" t="s">
        <v>464</v>
      </c>
      <c r="CB57" s="130" t="s">
        <v>181</v>
      </c>
      <c r="CC57" s="129" t="s">
        <v>179</v>
      </c>
      <c r="CD57" s="135" t="s">
        <v>180</v>
      </c>
      <c r="CE57" s="135"/>
      <c r="CF57" s="129">
        <v>1</v>
      </c>
      <c r="CG57" s="130" t="s">
        <v>654</v>
      </c>
      <c r="CH57"/>
    </row>
    <row r="58" spans="1:86" ht="12.75">
      <c r="A58" s="153"/>
      <c r="B58" s="146">
        <f t="shared" ca="1" si="7"/>
        <v>37865</v>
      </c>
      <c r="C58" s="141">
        <v>7.2339998488529011E-2</v>
      </c>
      <c r="D58" s="156">
        <v>0.6</v>
      </c>
      <c r="E58" s="156">
        <v>0.6</v>
      </c>
      <c r="F58" s="156">
        <v>0.16350000000000001</v>
      </c>
      <c r="G58" s="156">
        <v>0.17100000000000001</v>
      </c>
      <c r="H58" s="156">
        <v>0.17850000000000002</v>
      </c>
      <c r="I58" s="155">
        <v>2.6865000000000001</v>
      </c>
      <c r="J58" s="156">
        <v>2.6915</v>
      </c>
      <c r="K58" s="141">
        <v>2.6965000000000003</v>
      </c>
      <c r="L58" s="156">
        <v>-6.7500000000000004E-2</v>
      </c>
      <c r="M58" s="141">
        <v>0.2525</v>
      </c>
      <c r="O58" s="125">
        <f ca="1">(IF(MONTH(B58)&gt;=4,IF(MONTH(B58)&lt;=10,Inputs!$H$2,Inputs!$H$3),Inputs!$H$3))</f>
        <v>6.5000000000000002E-2</v>
      </c>
      <c r="P58" s="155">
        <f ca="1">J58+(IF($L$2=TRUE,IF(MONTH(B58)&gt;=4,IF(MONTH(B58)&lt;=10,L58,M58),M58),0))+(IF('Pricing Inputs'!$AN$3=2,O58,0))</f>
        <v>2.6240000000000001</v>
      </c>
      <c r="Q58" s="155"/>
      <c r="R58" s="336">
        <f t="shared" ca="1" si="4"/>
        <v>37865</v>
      </c>
      <c r="S58" s="171">
        <f t="shared" si="5"/>
        <v>0.53</v>
      </c>
      <c r="T58" s="170">
        <f t="shared" si="8"/>
        <v>0.6</v>
      </c>
      <c r="U58" s="172">
        <f t="shared" si="6"/>
        <v>0.66999999999999993</v>
      </c>
      <c r="BP58" s="131">
        <f t="shared" si="0"/>
        <v>57</v>
      </c>
      <c r="BQ58" s="185" t="s">
        <v>241</v>
      </c>
      <c r="BR58" s="130" t="s">
        <v>178</v>
      </c>
      <c r="BS58" s="129" t="s">
        <v>204</v>
      </c>
      <c r="BT58" s="135" t="s">
        <v>180</v>
      </c>
      <c r="BU58" s="135"/>
      <c r="BV58" s="129">
        <v>1</v>
      </c>
      <c r="BW58" s="130" t="s">
        <v>840</v>
      </c>
      <c r="BX58"/>
      <c r="BZ58" s="131">
        <f t="shared" si="9"/>
        <v>57</v>
      </c>
      <c r="CA58" s="4" t="s">
        <v>465</v>
      </c>
      <c r="CB58" s="130" t="s">
        <v>181</v>
      </c>
      <c r="CC58" s="129" t="s">
        <v>179</v>
      </c>
      <c r="CD58" s="135" t="s">
        <v>180</v>
      </c>
      <c r="CE58" s="135"/>
      <c r="CF58" s="129">
        <v>1</v>
      </c>
      <c r="CG58" s="130" t="s">
        <v>655</v>
      </c>
      <c r="CH58"/>
    </row>
    <row r="59" spans="1:86" ht="12.75">
      <c r="A59" s="153"/>
      <c r="B59" s="146">
        <f t="shared" ca="1" si="7"/>
        <v>37895</v>
      </c>
      <c r="C59" s="141">
        <v>7.238779519034301E-2</v>
      </c>
      <c r="D59" s="156">
        <v>0.65</v>
      </c>
      <c r="E59" s="156">
        <v>0.65</v>
      </c>
      <c r="F59" s="156">
        <v>0.16350000000000001</v>
      </c>
      <c r="G59" s="156">
        <v>0.17100000000000001</v>
      </c>
      <c r="H59" s="156">
        <v>0.17850000000000002</v>
      </c>
      <c r="I59" s="155">
        <v>2.7124999999999999</v>
      </c>
      <c r="J59" s="156">
        <v>2.7174999999999998</v>
      </c>
      <c r="K59" s="141">
        <v>2.7225000000000001</v>
      </c>
      <c r="L59" s="156">
        <v>-6.7500000000000004E-2</v>
      </c>
      <c r="M59" s="141">
        <v>0.255</v>
      </c>
      <c r="O59" s="125">
        <f ca="1">(IF(MONTH(B59)&gt;=4,IF(MONTH(B59)&lt;=10,Inputs!$H$2,Inputs!$H$3),Inputs!$H$3))</f>
        <v>6.5000000000000002E-2</v>
      </c>
      <c r="P59" s="155">
        <f ca="1">J59+(IF($L$2=TRUE,IF(MONTH(B59)&gt;=4,IF(MONTH(B59)&lt;=10,L59,M59),M59),0))+(IF('Pricing Inputs'!$AN$3=2,O59,0))</f>
        <v>2.65</v>
      </c>
      <c r="Q59" s="155"/>
      <c r="R59" s="336">
        <f t="shared" ca="1" si="4"/>
        <v>37895</v>
      </c>
      <c r="S59" s="171">
        <f t="shared" si="5"/>
        <v>0.58000000000000007</v>
      </c>
      <c r="T59" s="170">
        <f t="shared" si="8"/>
        <v>0.65</v>
      </c>
      <c r="U59" s="172">
        <f t="shared" si="6"/>
        <v>0.72</v>
      </c>
      <c r="BP59" s="131">
        <f t="shared" si="0"/>
        <v>58</v>
      </c>
      <c r="BQ59" s="185" t="s">
        <v>242</v>
      </c>
      <c r="BR59" s="130" t="s">
        <v>178</v>
      </c>
      <c r="BS59" s="129" t="s">
        <v>204</v>
      </c>
      <c r="BT59" s="135" t="s">
        <v>180</v>
      </c>
      <c r="BU59" s="135"/>
      <c r="BV59" s="129">
        <v>1</v>
      </c>
      <c r="BW59" s="130" t="s">
        <v>841</v>
      </c>
      <c r="BX59"/>
      <c r="BZ59" s="131">
        <f t="shared" si="9"/>
        <v>58</v>
      </c>
      <c r="CA59" s="4" t="s">
        <v>466</v>
      </c>
      <c r="CB59" s="130" t="s">
        <v>181</v>
      </c>
      <c r="CC59" s="129" t="s">
        <v>179</v>
      </c>
      <c r="CD59" s="135" t="s">
        <v>180</v>
      </c>
      <c r="CE59" s="135"/>
      <c r="CF59" s="129">
        <v>1</v>
      </c>
      <c r="CG59" s="130" t="s">
        <v>656</v>
      </c>
      <c r="CH59"/>
    </row>
    <row r="60" spans="1:86" ht="12.75">
      <c r="A60" s="153"/>
      <c r="B60" s="146">
        <f t="shared" ca="1" si="7"/>
        <v>37926</v>
      </c>
      <c r="C60" s="141">
        <v>7.2433234070914995E-2</v>
      </c>
      <c r="D60" s="156">
        <v>0.95</v>
      </c>
      <c r="E60" s="156">
        <v>0.95</v>
      </c>
      <c r="F60" s="156">
        <v>0.16350000000000001</v>
      </c>
      <c r="G60" s="156">
        <v>0.17100000000000001</v>
      </c>
      <c r="H60" s="156">
        <v>0.17850000000000002</v>
      </c>
      <c r="I60" s="155">
        <v>2.8475000000000001</v>
      </c>
      <c r="J60" s="156">
        <v>2.8525</v>
      </c>
      <c r="K60" s="141">
        <v>2.8574999999999999</v>
      </c>
      <c r="L60" s="156">
        <v>-7.1249999999999994E-2</v>
      </c>
      <c r="M60" s="141">
        <v>0.70499999999999996</v>
      </c>
      <c r="O60" s="125">
        <f ca="1">(IF(MONTH(B60)&gt;=4,IF(MONTH(B60)&lt;=10,Inputs!$H$2,Inputs!$H$3),Inputs!$H$3))</f>
        <v>6.5000000000000002E-2</v>
      </c>
      <c r="P60" s="155">
        <f ca="1">J60+(IF($L$2=TRUE,IF(MONTH(B60)&gt;=4,IF(MONTH(B60)&lt;=10,L60,M60),M60),0))+(IF('Pricing Inputs'!$AN$3=2,O60,0))</f>
        <v>3.5575000000000001</v>
      </c>
      <c r="Q60" s="155"/>
      <c r="R60" s="336">
        <f t="shared" ca="1" si="4"/>
        <v>37926</v>
      </c>
      <c r="S60" s="171">
        <f t="shared" si="5"/>
        <v>0.87999999999999989</v>
      </c>
      <c r="T60" s="170">
        <f t="shared" si="8"/>
        <v>0.95</v>
      </c>
      <c r="U60" s="172">
        <f t="shared" si="6"/>
        <v>1.02</v>
      </c>
      <c r="BP60" s="131">
        <f t="shared" si="0"/>
        <v>59</v>
      </c>
      <c r="BQ60" s="185" t="s">
        <v>243</v>
      </c>
      <c r="BR60" s="130" t="s">
        <v>178</v>
      </c>
      <c r="BS60" s="129" t="s">
        <v>204</v>
      </c>
      <c r="BT60" s="135" t="s">
        <v>180</v>
      </c>
      <c r="BU60" s="135"/>
      <c r="BV60" s="129">
        <v>1</v>
      </c>
      <c r="BW60" s="130" t="s">
        <v>842</v>
      </c>
      <c r="BX60"/>
      <c r="BZ60" s="131">
        <f t="shared" si="9"/>
        <v>59</v>
      </c>
      <c r="CA60" s="4" t="s">
        <v>467</v>
      </c>
      <c r="CB60" s="130" t="s">
        <v>181</v>
      </c>
      <c r="CC60" s="129" t="s">
        <v>179</v>
      </c>
      <c r="CD60" s="135" t="s">
        <v>180</v>
      </c>
      <c r="CE60" s="135"/>
      <c r="CF60" s="129">
        <v>1</v>
      </c>
      <c r="CG60" s="130" t="s">
        <v>657</v>
      </c>
      <c r="CH60"/>
    </row>
    <row r="61" spans="1:86" ht="12.75">
      <c r="A61" s="153"/>
      <c r="B61" s="146">
        <f t="shared" ca="1" si="7"/>
        <v>37956</v>
      </c>
      <c r="C61" s="141">
        <v>7.2477207181795011E-2</v>
      </c>
      <c r="D61" s="156">
        <v>1.25</v>
      </c>
      <c r="E61" s="156">
        <v>1.25</v>
      </c>
      <c r="F61" s="156">
        <v>0.16400000000000001</v>
      </c>
      <c r="G61" s="156">
        <v>0.17150000000000001</v>
      </c>
      <c r="H61" s="156">
        <v>0.17900000000000002</v>
      </c>
      <c r="I61" s="155">
        <v>2.9715000000000003</v>
      </c>
      <c r="J61" s="156">
        <v>2.9765000000000001</v>
      </c>
      <c r="K61" s="141">
        <v>2.9815</v>
      </c>
      <c r="L61" s="156">
        <v>-7.7499999999999999E-2</v>
      </c>
      <c r="M61" s="141">
        <v>1.01</v>
      </c>
      <c r="O61" s="125">
        <f ca="1">(IF(MONTH(B61)&gt;=4,IF(MONTH(B61)&lt;=10,Inputs!$H$2,Inputs!$H$3),Inputs!$H$3))</f>
        <v>6.5000000000000002E-2</v>
      </c>
      <c r="P61" s="155">
        <f ca="1">J61+(IF($L$2=TRUE,IF(MONTH(B61)&gt;=4,IF(MONTH(B61)&lt;=10,L61,M61),M61),0))+(IF('Pricing Inputs'!$AN$3=2,O61,0))</f>
        <v>3.9865000000000004</v>
      </c>
      <c r="Q61" s="155"/>
      <c r="R61" s="336">
        <f t="shared" ca="1" si="4"/>
        <v>37956</v>
      </c>
      <c r="S61" s="171">
        <f t="shared" si="5"/>
        <v>1.18</v>
      </c>
      <c r="T61" s="170">
        <f t="shared" si="8"/>
        <v>1.25</v>
      </c>
      <c r="U61" s="172">
        <f t="shared" si="6"/>
        <v>1.32</v>
      </c>
      <c r="BP61" s="131">
        <f t="shared" si="0"/>
        <v>60</v>
      </c>
      <c r="BQ61" s="185" t="s">
        <v>244</v>
      </c>
      <c r="BR61" s="130" t="s">
        <v>178</v>
      </c>
      <c r="BS61" s="129" t="s">
        <v>204</v>
      </c>
      <c r="BT61" s="135" t="s">
        <v>180</v>
      </c>
      <c r="BU61" s="135"/>
      <c r="BV61" s="129">
        <v>1</v>
      </c>
      <c r="BW61" s="130" t="s">
        <v>843</v>
      </c>
      <c r="BX61"/>
      <c r="BZ61" s="131">
        <f t="shared" si="9"/>
        <v>60</v>
      </c>
      <c r="CA61" s="4" t="s">
        <v>468</v>
      </c>
      <c r="CB61" s="130" t="s">
        <v>181</v>
      </c>
      <c r="CC61" s="129" t="s">
        <v>179</v>
      </c>
      <c r="CD61" s="135" t="s">
        <v>180</v>
      </c>
      <c r="CE61" s="135"/>
      <c r="CF61" s="129">
        <v>1</v>
      </c>
      <c r="CG61" s="130" t="s">
        <v>658</v>
      </c>
      <c r="CH61"/>
    </row>
    <row r="62" spans="1:86" ht="12.75">
      <c r="A62" s="153"/>
      <c r="B62" s="146">
        <f t="shared" ca="1" si="7"/>
        <v>37987</v>
      </c>
      <c r="C62" s="141">
        <v>7.2526454080711011E-2</v>
      </c>
      <c r="D62" s="156">
        <v>1.45</v>
      </c>
      <c r="E62" s="156">
        <v>1.45</v>
      </c>
      <c r="F62" s="156">
        <v>0.16650000000000001</v>
      </c>
      <c r="G62" s="156">
        <v>0.17400000000000002</v>
      </c>
      <c r="H62" s="156">
        <v>0.18150000000000002</v>
      </c>
      <c r="I62" s="155">
        <v>3.01</v>
      </c>
      <c r="J62" s="156">
        <v>3.0150000000000001</v>
      </c>
      <c r="K62" s="141">
        <v>3.02</v>
      </c>
      <c r="L62" s="156">
        <v>-7.7499999999999999E-2</v>
      </c>
      <c r="M62" s="141">
        <v>1.4650000000000001</v>
      </c>
      <c r="O62" s="125">
        <f ca="1">(IF(MONTH(B62)&gt;=4,IF(MONTH(B62)&lt;=10,Inputs!$H$2,Inputs!$H$3),Inputs!$H$3))</f>
        <v>6.5000000000000002E-2</v>
      </c>
      <c r="P62" s="155">
        <f ca="1">J62+(IF($L$2=TRUE,IF(MONTH(B62)&gt;=4,IF(MONTH(B62)&lt;=10,L62,M62),M62),0))+(IF('Pricing Inputs'!$AN$3=2,O62,0))</f>
        <v>4.4800000000000004</v>
      </c>
      <c r="Q62" s="155"/>
      <c r="R62" s="336">
        <f t="shared" ca="1" si="4"/>
        <v>37987</v>
      </c>
      <c r="S62" s="171">
        <f t="shared" si="5"/>
        <v>1.38</v>
      </c>
      <c r="T62" s="170">
        <f t="shared" si="8"/>
        <v>1.45</v>
      </c>
      <c r="U62" s="172">
        <f t="shared" si="6"/>
        <v>1.52</v>
      </c>
      <c r="BP62" s="131">
        <f t="shared" si="0"/>
        <v>61</v>
      </c>
      <c r="BQ62" s="185" t="s">
        <v>245</v>
      </c>
      <c r="BR62" s="130" t="s">
        <v>178</v>
      </c>
      <c r="BS62" s="129" t="s">
        <v>204</v>
      </c>
      <c r="BT62" s="135" t="s">
        <v>180</v>
      </c>
      <c r="BU62" s="135"/>
      <c r="BV62" s="129">
        <v>1</v>
      </c>
      <c r="BW62" s="130" t="s">
        <v>844</v>
      </c>
      <c r="BX62"/>
      <c r="BZ62" s="131">
        <f t="shared" si="9"/>
        <v>61</v>
      </c>
      <c r="CA62" s="4" t="s">
        <v>469</v>
      </c>
      <c r="CB62" s="130" t="s">
        <v>181</v>
      </c>
      <c r="CC62" s="129" t="s">
        <v>179</v>
      </c>
      <c r="CD62" s="135" t="s">
        <v>180</v>
      </c>
      <c r="CE62" s="135"/>
      <c r="CF62" s="129">
        <v>1</v>
      </c>
      <c r="CG62" s="130" t="s">
        <v>659</v>
      </c>
      <c r="CH62"/>
    </row>
    <row r="63" spans="1:86" ht="12.75">
      <c r="A63" s="153"/>
      <c r="B63" s="146">
        <f t="shared" ca="1" si="7"/>
        <v>38018</v>
      </c>
      <c r="C63" s="141">
        <v>7.2579762865304001E-2</v>
      </c>
      <c r="D63" s="156">
        <v>1.45</v>
      </c>
      <c r="E63" s="156">
        <v>1.45</v>
      </c>
      <c r="F63" s="156">
        <v>0.16500000000000001</v>
      </c>
      <c r="G63" s="156">
        <v>0.17249999999999999</v>
      </c>
      <c r="H63" s="156">
        <v>0.18</v>
      </c>
      <c r="I63" s="155">
        <v>2.8920000000000003</v>
      </c>
      <c r="J63" s="156">
        <v>2.8970000000000002</v>
      </c>
      <c r="K63" s="141">
        <v>2.9020000000000001</v>
      </c>
      <c r="L63" s="156">
        <v>-7.5624999999999998E-2</v>
      </c>
      <c r="M63" s="141">
        <v>1.365</v>
      </c>
      <c r="O63" s="125">
        <f ca="1">(IF(MONTH(B63)&gt;=4,IF(MONTH(B63)&lt;=10,Inputs!$H$2,Inputs!$H$3),Inputs!$H$3))</f>
        <v>6.5000000000000002E-2</v>
      </c>
      <c r="P63" s="155">
        <f ca="1">J63+(IF($L$2=TRUE,IF(MONTH(B63)&gt;=4,IF(MONTH(B63)&lt;=10,L63,M63),M63),0))+(IF('Pricing Inputs'!$AN$3=2,O63,0))</f>
        <v>4.2620000000000005</v>
      </c>
      <c r="Q63" s="155"/>
      <c r="R63" s="336">
        <f t="shared" ca="1" si="4"/>
        <v>38018</v>
      </c>
      <c r="S63" s="171">
        <f t="shared" si="5"/>
        <v>1.38</v>
      </c>
      <c r="T63" s="170">
        <f t="shared" si="8"/>
        <v>1.45</v>
      </c>
      <c r="U63" s="172">
        <f t="shared" si="6"/>
        <v>1.52</v>
      </c>
      <c r="BP63" s="131">
        <f t="shared" si="0"/>
        <v>62</v>
      </c>
      <c r="BQ63" s="185" t="s">
        <v>246</v>
      </c>
      <c r="BR63" s="130" t="s">
        <v>178</v>
      </c>
      <c r="BS63" s="129" t="s">
        <v>204</v>
      </c>
      <c r="BT63" s="135" t="s">
        <v>180</v>
      </c>
      <c r="BU63" s="135"/>
      <c r="BV63" s="129">
        <v>1</v>
      </c>
      <c r="BW63" s="130" t="s">
        <v>845</v>
      </c>
      <c r="BX63"/>
      <c r="BZ63" s="131">
        <f t="shared" si="9"/>
        <v>62</v>
      </c>
      <c r="CA63" s="4" t="s">
        <v>470</v>
      </c>
      <c r="CB63" s="130" t="s">
        <v>181</v>
      </c>
      <c r="CC63" s="129" t="s">
        <v>179</v>
      </c>
      <c r="CD63" s="135" t="s">
        <v>180</v>
      </c>
      <c r="CE63" s="135"/>
      <c r="CF63" s="129">
        <v>1</v>
      </c>
      <c r="CG63" s="130" t="s">
        <v>660</v>
      </c>
      <c r="CH63"/>
    </row>
    <row r="64" spans="1:86" ht="12.75">
      <c r="A64" s="153"/>
      <c r="B64" s="146">
        <f t="shared" ca="1" si="7"/>
        <v>38047</v>
      </c>
      <c r="C64" s="141">
        <v>7.2629632374320005E-2</v>
      </c>
      <c r="D64" s="156">
        <v>1</v>
      </c>
      <c r="E64" s="156">
        <v>1</v>
      </c>
      <c r="F64" s="156">
        <v>0.16250000000000001</v>
      </c>
      <c r="G64" s="156">
        <v>0.17</v>
      </c>
      <c r="H64" s="156">
        <v>0.17749999999999999</v>
      </c>
      <c r="I64" s="155">
        <v>2.7720000000000002</v>
      </c>
      <c r="J64" s="156">
        <v>2.7770000000000001</v>
      </c>
      <c r="K64" s="141">
        <v>2.782</v>
      </c>
      <c r="L64" s="156">
        <v>-7.0000000000000007E-2</v>
      </c>
      <c r="M64" s="141">
        <v>0.85499999999999998</v>
      </c>
      <c r="O64" s="125">
        <f ca="1">(IF(MONTH(B64)&gt;=4,IF(MONTH(B64)&lt;=10,Inputs!$H$2,Inputs!$H$3),Inputs!$H$3))</f>
        <v>6.5000000000000002E-2</v>
      </c>
      <c r="P64" s="155">
        <f ca="1">J64+(IF($L$2=TRUE,IF(MONTH(B64)&gt;=4,IF(MONTH(B64)&lt;=10,L64,M64),M64),0))+(IF('Pricing Inputs'!$AN$3=2,O64,0))</f>
        <v>3.6320000000000001</v>
      </c>
      <c r="Q64" s="155"/>
      <c r="R64" s="336">
        <f t="shared" ca="1" si="4"/>
        <v>38047</v>
      </c>
      <c r="S64" s="171">
        <f t="shared" si="5"/>
        <v>0.92999999999999994</v>
      </c>
      <c r="T64" s="170">
        <f t="shared" si="8"/>
        <v>1</v>
      </c>
      <c r="U64" s="172">
        <f t="shared" si="6"/>
        <v>1.07</v>
      </c>
      <c r="BP64" s="131">
        <f t="shared" si="0"/>
        <v>63</v>
      </c>
      <c r="BQ64" s="185" t="s">
        <v>247</v>
      </c>
      <c r="BR64" s="130" t="s">
        <v>178</v>
      </c>
      <c r="BS64" s="129" t="s">
        <v>204</v>
      </c>
      <c r="BT64" s="135" t="s">
        <v>180</v>
      </c>
      <c r="BU64" s="135"/>
      <c r="BV64" s="129">
        <v>1</v>
      </c>
      <c r="BW64" s="130" t="s">
        <v>846</v>
      </c>
      <c r="BX64"/>
      <c r="BZ64" s="131">
        <f t="shared" si="9"/>
        <v>63</v>
      </c>
      <c r="CA64" s="4" t="s">
        <v>471</v>
      </c>
      <c r="CB64" s="130" t="s">
        <v>181</v>
      </c>
      <c r="CC64" s="129" t="s">
        <v>179</v>
      </c>
      <c r="CD64" s="135" t="s">
        <v>180</v>
      </c>
      <c r="CE64" s="135"/>
      <c r="CF64" s="129">
        <v>1</v>
      </c>
      <c r="CG64" s="130" t="s">
        <v>661</v>
      </c>
      <c r="CH64"/>
    </row>
    <row r="65" spans="1:86" ht="12.75">
      <c r="A65" s="153"/>
      <c r="B65" s="146">
        <f t="shared" ca="1" si="7"/>
        <v>38078</v>
      </c>
      <c r="C65" s="141">
        <v>7.2675147877700005E-2</v>
      </c>
      <c r="D65" s="156">
        <v>0.45</v>
      </c>
      <c r="E65" s="156">
        <v>0.45</v>
      </c>
      <c r="F65" s="156">
        <v>0.16</v>
      </c>
      <c r="G65" s="156">
        <v>0.16750000000000001</v>
      </c>
      <c r="H65" s="156">
        <v>0.17499999999999999</v>
      </c>
      <c r="I65" s="155">
        <v>2.7225000000000001</v>
      </c>
      <c r="J65" s="156">
        <v>2.7275</v>
      </c>
      <c r="K65" s="141">
        <v>2.7324999999999999</v>
      </c>
      <c r="L65" s="156">
        <v>-6.6875000000000004E-2</v>
      </c>
      <c r="M65" s="141">
        <v>0.37</v>
      </c>
      <c r="O65" s="125">
        <f ca="1">(IF(MONTH(B65)&gt;=4,IF(MONTH(B65)&lt;=10,Inputs!$H$2,Inputs!$H$3),Inputs!$H$3))</f>
        <v>6.5000000000000002E-2</v>
      </c>
      <c r="P65" s="155">
        <f ca="1">J65+(IF($L$2=TRUE,IF(MONTH(B65)&gt;=4,IF(MONTH(B65)&lt;=10,L65,M65),M65),0))+(IF('Pricing Inputs'!$AN$3=2,O65,0))</f>
        <v>2.660625</v>
      </c>
      <c r="Q65" s="155"/>
      <c r="R65" s="336">
        <f t="shared" ca="1" si="4"/>
        <v>38078</v>
      </c>
      <c r="S65" s="171">
        <f t="shared" si="5"/>
        <v>0.38</v>
      </c>
      <c r="T65" s="170">
        <f t="shared" si="8"/>
        <v>0.45</v>
      </c>
      <c r="U65" s="172">
        <f t="shared" si="6"/>
        <v>0.52</v>
      </c>
      <c r="BP65" s="131">
        <f t="shared" si="0"/>
        <v>64</v>
      </c>
      <c r="BQ65" s="185" t="s">
        <v>248</v>
      </c>
      <c r="BR65" s="130" t="s">
        <v>178</v>
      </c>
      <c r="BS65" s="129" t="s">
        <v>204</v>
      </c>
      <c r="BT65" s="135" t="s">
        <v>180</v>
      </c>
      <c r="BU65" s="135"/>
      <c r="BV65" s="129">
        <v>1</v>
      </c>
      <c r="BW65" s="130" t="s">
        <v>847</v>
      </c>
      <c r="BX65"/>
      <c r="BZ65" s="131">
        <f t="shared" si="9"/>
        <v>64</v>
      </c>
      <c r="CA65" s="4" t="s">
        <v>472</v>
      </c>
      <c r="CB65" s="130" t="s">
        <v>181</v>
      </c>
      <c r="CC65" s="129" t="s">
        <v>179</v>
      </c>
      <c r="CD65" s="135" t="s">
        <v>180</v>
      </c>
      <c r="CE65" s="135"/>
      <c r="CF65" s="129">
        <v>1</v>
      </c>
      <c r="CG65" s="130" t="s">
        <v>662</v>
      </c>
      <c r="CH65"/>
    </row>
    <row r="66" spans="1:86" ht="12.75">
      <c r="A66" s="153"/>
      <c r="B66" s="146">
        <f t="shared" ca="1" si="7"/>
        <v>38108</v>
      </c>
      <c r="C66" s="141">
        <v>7.2711150460336008E-2</v>
      </c>
      <c r="D66" s="156">
        <v>0.5</v>
      </c>
      <c r="E66" s="156">
        <v>0.5</v>
      </c>
      <c r="F66" s="156">
        <v>0.158</v>
      </c>
      <c r="G66" s="156">
        <v>0.16550000000000001</v>
      </c>
      <c r="H66" s="156">
        <v>0.17300000000000001</v>
      </c>
      <c r="I66" s="155">
        <v>2.6965000000000003</v>
      </c>
      <c r="J66" s="156">
        <v>2.7015000000000002</v>
      </c>
      <c r="K66" s="141">
        <v>2.7065000000000001</v>
      </c>
      <c r="L66" s="156">
        <v>-6.5625000000000003E-2</v>
      </c>
      <c r="M66" s="141">
        <v>0.2525</v>
      </c>
      <c r="O66" s="125">
        <f ca="1">(IF(MONTH(B66)&gt;=4,IF(MONTH(B66)&lt;=10,Inputs!$H$2,Inputs!$H$3),Inputs!$H$3))</f>
        <v>6.5000000000000002E-2</v>
      </c>
      <c r="P66" s="155">
        <f ca="1">J66+(IF($L$2=TRUE,IF(MONTH(B66)&gt;=4,IF(MONTH(B66)&lt;=10,L66,M66),M66),0))+(IF('Pricing Inputs'!$AN$3=2,O66,0))</f>
        <v>2.6358750000000004</v>
      </c>
      <c r="Q66" s="155"/>
      <c r="R66" s="336">
        <f t="shared" ca="1" si="4"/>
        <v>38108</v>
      </c>
      <c r="S66" s="171">
        <f t="shared" si="5"/>
        <v>0.43</v>
      </c>
      <c r="T66" s="170">
        <f t="shared" si="8"/>
        <v>0.5</v>
      </c>
      <c r="U66" s="172">
        <f t="shared" si="6"/>
        <v>0.57000000000000006</v>
      </c>
      <c r="BP66" s="131">
        <f t="shared" ref="BP66:BP129" si="10">BP65+BV66</f>
        <v>65</v>
      </c>
      <c r="BQ66" s="185" t="s">
        <v>249</v>
      </c>
      <c r="BR66" s="130" t="s">
        <v>178</v>
      </c>
      <c r="BS66" s="129" t="s">
        <v>204</v>
      </c>
      <c r="BT66" s="135" t="s">
        <v>180</v>
      </c>
      <c r="BU66" s="135"/>
      <c r="BV66" s="129">
        <v>1</v>
      </c>
      <c r="BW66" s="130" t="s">
        <v>848</v>
      </c>
      <c r="BX66"/>
      <c r="BZ66" s="131">
        <f t="shared" ref="BZ66:BZ97" si="11">BZ65+CF66</f>
        <v>65</v>
      </c>
      <c r="CA66" s="4" t="s">
        <v>473</v>
      </c>
      <c r="CB66" s="130" t="s">
        <v>181</v>
      </c>
      <c r="CC66" s="129" t="s">
        <v>179</v>
      </c>
      <c r="CD66" s="135" t="s">
        <v>180</v>
      </c>
      <c r="CE66" s="135"/>
      <c r="CF66" s="129">
        <v>1</v>
      </c>
      <c r="CG66" s="130" t="s">
        <v>663</v>
      </c>
      <c r="CH66"/>
    </row>
    <row r="67" spans="1:86" ht="12.75">
      <c r="A67" s="153"/>
      <c r="B67" s="146">
        <f t="shared" ca="1" si="7"/>
        <v>38139</v>
      </c>
      <c r="C67" s="141">
        <v>7.2748353129509002E-2</v>
      </c>
      <c r="D67" s="156">
        <v>0.5</v>
      </c>
      <c r="E67" s="156">
        <v>0.5</v>
      </c>
      <c r="F67" s="156">
        <v>0.15770000000000001</v>
      </c>
      <c r="G67" s="156">
        <v>0.16520000000000001</v>
      </c>
      <c r="H67" s="156">
        <v>0.17270000000000002</v>
      </c>
      <c r="I67" s="155">
        <v>2.7025000000000001</v>
      </c>
      <c r="J67" s="156">
        <v>2.7075</v>
      </c>
      <c r="K67" s="141">
        <v>2.7124999999999999</v>
      </c>
      <c r="L67" s="156">
        <v>-6.5625000000000003E-2</v>
      </c>
      <c r="M67" s="141">
        <v>0.2525</v>
      </c>
      <c r="O67" s="125">
        <f ca="1">(IF(MONTH(B67)&gt;=4,IF(MONTH(B67)&lt;=10,Inputs!$H$2,Inputs!$H$3),Inputs!$H$3))</f>
        <v>6.5000000000000002E-2</v>
      </c>
      <c r="P67" s="155">
        <f ca="1">J67+(IF($L$2=TRUE,IF(MONTH(B67)&gt;=4,IF(MONTH(B67)&lt;=10,L67,M67),M67),0))+(IF('Pricing Inputs'!$AN$3=2,O67,0))</f>
        <v>2.6418750000000002</v>
      </c>
      <c r="Q67" s="155"/>
      <c r="R67" s="336">
        <f t="shared" ca="1" si="4"/>
        <v>38139</v>
      </c>
      <c r="S67" s="171">
        <f t="shared" si="5"/>
        <v>0.43</v>
      </c>
      <c r="T67" s="170">
        <f t="shared" si="8"/>
        <v>0.5</v>
      </c>
      <c r="U67" s="172">
        <f t="shared" si="6"/>
        <v>0.57000000000000006</v>
      </c>
      <c r="BP67" s="131">
        <f t="shared" si="10"/>
        <v>66</v>
      </c>
      <c r="BQ67" s="185" t="s">
        <v>250</v>
      </c>
      <c r="BR67" s="130" t="s">
        <v>178</v>
      </c>
      <c r="BS67" s="129" t="s">
        <v>204</v>
      </c>
      <c r="BT67" s="135" t="s">
        <v>180</v>
      </c>
      <c r="BU67" s="135"/>
      <c r="BV67" s="129">
        <v>1</v>
      </c>
      <c r="BW67" s="130" t="s">
        <v>849</v>
      </c>
      <c r="BX67"/>
      <c r="BZ67" s="131">
        <f t="shared" si="11"/>
        <v>66</v>
      </c>
      <c r="CA67" s="4" t="s">
        <v>474</v>
      </c>
      <c r="CB67" s="130" t="s">
        <v>181</v>
      </c>
      <c r="CC67" s="129" t="s">
        <v>179</v>
      </c>
      <c r="CD67" s="135" t="s">
        <v>180</v>
      </c>
      <c r="CE67" s="135"/>
      <c r="CF67" s="129">
        <v>1</v>
      </c>
      <c r="CG67" s="130" t="s">
        <v>664</v>
      </c>
      <c r="CH67"/>
    </row>
    <row r="68" spans="1:86" ht="12.75">
      <c r="A68" s="153"/>
      <c r="B68" s="146">
        <f t="shared" ca="1" si="7"/>
        <v>38169</v>
      </c>
      <c r="C68" s="141">
        <v>7.2784355713015003E-2</v>
      </c>
      <c r="D68" s="156">
        <v>0.5</v>
      </c>
      <c r="E68" s="156">
        <v>0.5</v>
      </c>
      <c r="F68" s="156">
        <v>0.15740000000000001</v>
      </c>
      <c r="G68" s="156">
        <v>0.16490000000000002</v>
      </c>
      <c r="H68" s="156">
        <v>0.1724</v>
      </c>
      <c r="I68" s="155">
        <v>2.7124999999999999</v>
      </c>
      <c r="J68" s="156">
        <v>2.7174999999999998</v>
      </c>
      <c r="K68" s="141">
        <v>2.7225000000000001</v>
      </c>
      <c r="L68" s="156">
        <v>-6.5000000000000002E-2</v>
      </c>
      <c r="M68" s="141">
        <v>0.25750000000000001</v>
      </c>
      <c r="O68" s="125">
        <f ca="1">(IF(MONTH(B68)&gt;=4,IF(MONTH(B68)&lt;=10,Inputs!$H$2,Inputs!$H$3),Inputs!$H$3))</f>
        <v>6.5000000000000002E-2</v>
      </c>
      <c r="P68" s="155">
        <f ca="1">J68+(IF($L$2=TRUE,IF(MONTH(B68)&gt;=4,IF(MONTH(B68)&lt;=10,L68,M68),M68),0))+(IF('Pricing Inputs'!$AN$3=2,O68,0))</f>
        <v>2.6524999999999999</v>
      </c>
      <c r="Q68" s="155"/>
      <c r="R68" s="336">
        <f t="shared" ca="1" si="4"/>
        <v>38169</v>
      </c>
      <c r="S68" s="171">
        <f t="shared" si="5"/>
        <v>0.43</v>
      </c>
      <c r="T68" s="170">
        <f t="shared" si="8"/>
        <v>0.5</v>
      </c>
      <c r="U68" s="172">
        <f t="shared" si="6"/>
        <v>0.57000000000000006</v>
      </c>
      <c r="BP68" s="131">
        <f t="shared" si="10"/>
        <v>67</v>
      </c>
      <c r="BQ68" s="185" t="s">
        <v>251</v>
      </c>
      <c r="BR68" s="130" t="s">
        <v>178</v>
      </c>
      <c r="BS68" s="129" t="s">
        <v>204</v>
      </c>
      <c r="BT68" s="135" t="s">
        <v>180</v>
      </c>
      <c r="BU68" s="135"/>
      <c r="BV68" s="129">
        <v>1</v>
      </c>
      <c r="BW68" s="130" t="s">
        <v>850</v>
      </c>
      <c r="BX68"/>
      <c r="BZ68" s="131">
        <f t="shared" si="11"/>
        <v>67</v>
      </c>
      <c r="CA68" s="4" t="s">
        <v>475</v>
      </c>
      <c r="CB68" s="130" t="s">
        <v>181</v>
      </c>
      <c r="CC68" s="129" t="s">
        <v>179</v>
      </c>
      <c r="CD68" s="135" t="s">
        <v>180</v>
      </c>
      <c r="CE68" s="135"/>
      <c r="CF68" s="129">
        <v>1</v>
      </c>
      <c r="CG68" s="130" t="s">
        <v>665</v>
      </c>
      <c r="CH68"/>
    </row>
    <row r="69" spans="1:86" ht="12.75">
      <c r="A69" s="153"/>
      <c r="B69" s="146">
        <f t="shared" ca="1" si="7"/>
        <v>38200</v>
      </c>
      <c r="C69" s="141">
        <v>7.2821558383088E-2</v>
      </c>
      <c r="D69" s="156">
        <v>0.6</v>
      </c>
      <c r="E69" s="156">
        <v>0.6</v>
      </c>
      <c r="F69" s="156">
        <v>0.15710000000000002</v>
      </c>
      <c r="G69" s="156">
        <v>0.1646</v>
      </c>
      <c r="H69" s="156">
        <v>0.1721</v>
      </c>
      <c r="I69" s="155">
        <v>2.7195</v>
      </c>
      <c r="J69" s="156">
        <v>2.7244999999999999</v>
      </c>
      <c r="K69" s="141">
        <v>2.7295000000000003</v>
      </c>
      <c r="L69" s="156">
        <v>-6.5000000000000002E-2</v>
      </c>
      <c r="M69" s="141">
        <v>0.25750000000000001</v>
      </c>
      <c r="O69" s="125">
        <f ca="1">(IF(MONTH(B69)&gt;=4,IF(MONTH(B69)&lt;=10,Inputs!$H$2,Inputs!$H$3),Inputs!$H$3))</f>
        <v>6.5000000000000002E-2</v>
      </c>
      <c r="P69" s="155">
        <f ca="1">J69+(IF($L$2=TRUE,IF(MONTH(B69)&gt;=4,IF(MONTH(B69)&lt;=10,L69,M69),M69),0))+(IF('Pricing Inputs'!$AN$3=2,O69,0))</f>
        <v>2.6595</v>
      </c>
      <c r="Q69" s="155"/>
      <c r="R69" s="336">
        <f t="shared" ca="1" si="4"/>
        <v>38200</v>
      </c>
      <c r="S69" s="171">
        <f t="shared" si="5"/>
        <v>0.53</v>
      </c>
      <c r="T69" s="170">
        <f t="shared" si="8"/>
        <v>0.6</v>
      </c>
      <c r="U69" s="172">
        <f t="shared" si="6"/>
        <v>0.66999999999999993</v>
      </c>
      <c r="BP69" s="131">
        <f t="shared" si="10"/>
        <v>68</v>
      </c>
      <c r="BQ69" s="185" t="s">
        <v>252</v>
      </c>
      <c r="BR69" s="130" t="s">
        <v>178</v>
      </c>
      <c r="BS69" s="129" t="s">
        <v>204</v>
      </c>
      <c r="BT69" s="135" t="s">
        <v>180</v>
      </c>
      <c r="BU69" s="135"/>
      <c r="BV69" s="129">
        <v>1</v>
      </c>
      <c r="BW69" s="130" t="s">
        <v>851</v>
      </c>
      <c r="BX69"/>
      <c r="BZ69" s="131">
        <f t="shared" si="11"/>
        <v>68</v>
      </c>
      <c r="CA69" s="4" t="s">
        <v>476</v>
      </c>
      <c r="CB69" s="130" t="s">
        <v>181</v>
      </c>
      <c r="CC69" s="129" t="s">
        <v>179</v>
      </c>
      <c r="CD69" s="135" t="s">
        <v>180</v>
      </c>
      <c r="CE69" s="135"/>
      <c r="CF69" s="129">
        <v>1</v>
      </c>
      <c r="CG69" s="130" t="s">
        <v>666</v>
      </c>
      <c r="CH69"/>
    </row>
    <row r="70" spans="1:86" ht="12.75">
      <c r="A70" s="153"/>
      <c r="B70" s="146">
        <f t="shared" ca="1" si="7"/>
        <v>38231</v>
      </c>
      <c r="C70" s="141">
        <v>7.2858761053617993E-2</v>
      </c>
      <c r="D70" s="156">
        <v>0.6</v>
      </c>
      <c r="E70" s="156">
        <v>0.6</v>
      </c>
      <c r="F70" s="156">
        <v>0.15679999999999999</v>
      </c>
      <c r="G70" s="156">
        <v>0.1643</v>
      </c>
      <c r="H70" s="156">
        <v>0.17180000000000001</v>
      </c>
      <c r="I70" s="155">
        <v>2.7265000000000001</v>
      </c>
      <c r="J70" s="156">
        <v>2.7315</v>
      </c>
      <c r="K70" s="141">
        <v>2.7364999999999999</v>
      </c>
      <c r="L70" s="156">
        <v>-6.5625000000000003E-2</v>
      </c>
      <c r="M70" s="141">
        <v>0.2525</v>
      </c>
      <c r="O70" s="125">
        <f ca="1">(IF(MONTH(B70)&gt;=4,IF(MONTH(B70)&lt;=10,Inputs!$H$2,Inputs!$H$3),Inputs!$H$3))</f>
        <v>6.5000000000000002E-2</v>
      </c>
      <c r="P70" s="155">
        <f ca="1">J70+(IF($L$2=TRUE,IF(MONTH(B70)&gt;=4,IF(MONTH(B70)&lt;=10,L70,M70),M70),0))+(IF('Pricing Inputs'!$AN$3=2,O70,0))</f>
        <v>2.6658750000000002</v>
      </c>
      <c r="Q70" s="155"/>
      <c r="R70" s="336">
        <f t="shared" ca="1" si="4"/>
        <v>38231</v>
      </c>
      <c r="S70" s="171">
        <f t="shared" si="5"/>
        <v>0.53</v>
      </c>
      <c r="T70" s="170">
        <f t="shared" si="8"/>
        <v>0.6</v>
      </c>
      <c r="U70" s="172">
        <f t="shared" si="6"/>
        <v>0.66999999999999993</v>
      </c>
      <c r="BP70" s="131">
        <f t="shared" si="10"/>
        <v>69</v>
      </c>
      <c r="BQ70" s="185" t="s">
        <v>253</v>
      </c>
      <c r="BR70" s="130" t="s">
        <v>178</v>
      </c>
      <c r="BS70" s="129" t="s">
        <v>204</v>
      </c>
      <c r="BT70" s="135" t="s">
        <v>180</v>
      </c>
      <c r="BU70" s="135"/>
      <c r="BV70" s="129">
        <v>1</v>
      </c>
      <c r="BW70" s="130" t="s">
        <v>852</v>
      </c>
      <c r="BX70"/>
      <c r="BZ70" s="131">
        <f t="shared" si="11"/>
        <v>69</v>
      </c>
      <c r="CA70" s="4" t="s">
        <v>477</v>
      </c>
      <c r="CB70" s="130" t="s">
        <v>181</v>
      </c>
      <c r="CC70" s="129" t="s">
        <v>179</v>
      </c>
      <c r="CD70" s="135" t="s">
        <v>180</v>
      </c>
      <c r="CE70" s="135"/>
      <c r="CF70" s="129">
        <v>1</v>
      </c>
      <c r="CG70" s="130" t="s">
        <v>667</v>
      </c>
      <c r="CH70"/>
    </row>
    <row r="71" spans="1:86" ht="12.75">
      <c r="A71" s="153"/>
      <c r="B71" s="146">
        <f t="shared" ca="1" si="7"/>
        <v>38261</v>
      </c>
      <c r="C71" s="141">
        <v>7.2894763638436999E-2</v>
      </c>
      <c r="D71" s="156">
        <v>0.65</v>
      </c>
      <c r="E71" s="156">
        <v>0.65</v>
      </c>
      <c r="F71" s="156">
        <v>0.1565</v>
      </c>
      <c r="G71" s="156">
        <v>0.16400000000000001</v>
      </c>
      <c r="H71" s="156">
        <v>0.17150000000000001</v>
      </c>
      <c r="I71" s="155">
        <v>2.7524999999999999</v>
      </c>
      <c r="J71" s="156">
        <v>2.7574999999999998</v>
      </c>
      <c r="K71" s="141">
        <v>2.7625000000000002</v>
      </c>
      <c r="L71" s="156">
        <v>-6.5625000000000003E-2</v>
      </c>
      <c r="M71" s="141">
        <v>0.255</v>
      </c>
      <c r="O71" s="125">
        <f ca="1">(IF(MONTH(B71)&gt;=4,IF(MONTH(B71)&lt;=10,Inputs!$H$2,Inputs!$H$3),Inputs!$H$3))</f>
        <v>6.5000000000000002E-2</v>
      </c>
      <c r="P71" s="155">
        <f ca="1">J71+(IF($L$2=TRUE,IF(MONTH(B71)&gt;=4,IF(MONTH(B71)&lt;=10,L71,M71),M71),0))+(IF('Pricing Inputs'!$AN$3=2,O71,0))</f>
        <v>2.691875</v>
      </c>
      <c r="Q71" s="155"/>
      <c r="R71" s="336">
        <f t="shared" ca="1" si="4"/>
        <v>38261</v>
      </c>
      <c r="S71" s="171">
        <f t="shared" si="5"/>
        <v>0.58000000000000007</v>
      </c>
      <c r="T71" s="170">
        <f t="shared" si="8"/>
        <v>0.65</v>
      </c>
      <c r="U71" s="172">
        <f t="shared" si="6"/>
        <v>0.72</v>
      </c>
      <c r="BP71" s="131">
        <f t="shared" si="10"/>
        <v>70</v>
      </c>
      <c r="BQ71" s="185" t="s">
        <v>254</v>
      </c>
      <c r="BR71" s="130" t="s">
        <v>178</v>
      </c>
      <c r="BS71" s="129" t="s">
        <v>204</v>
      </c>
      <c r="BT71" s="135" t="s">
        <v>180</v>
      </c>
      <c r="BU71" s="135"/>
      <c r="BV71" s="129">
        <v>1</v>
      </c>
      <c r="BW71" s="130" t="s">
        <v>853</v>
      </c>
      <c r="BX71"/>
      <c r="BZ71" s="131">
        <f t="shared" si="11"/>
        <v>70</v>
      </c>
      <c r="CA71" s="4" t="s">
        <v>478</v>
      </c>
      <c r="CB71" s="130" t="s">
        <v>181</v>
      </c>
      <c r="CC71" s="129" t="s">
        <v>179</v>
      </c>
      <c r="CD71" s="135" t="s">
        <v>180</v>
      </c>
      <c r="CE71" s="135"/>
      <c r="CF71" s="129">
        <v>1</v>
      </c>
      <c r="CG71" s="130" t="s">
        <v>668</v>
      </c>
      <c r="CH71"/>
    </row>
    <row r="72" spans="1:86" ht="12.75">
      <c r="A72" s="153"/>
      <c r="B72" s="146">
        <f t="shared" ca="1" si="7"/>
        <v>38292</v>
      </c>
      <c r="C72" s="141">
        <v>7.293196630986501E-2</v>
      </c>
      <c r="D72" s="156">
        <v>0.95</v>
      </c>
      <c r="E72" s="156">
        <v>0.95</v>
      </c>
      <c r="F72" s="156">
        <v>0.1565</v>
      </c>
      <c r="G72" s="156">
        <v>0.16400000000000001</v>
      </c>
      <c r="H72" s="156">
        <v>0.17150000000000001</v>
      </c>
      <c r="I72" s="155">
        <v>2.8875000000000002</v>
      </c>
      <c r="J72" s="156">
        <v>2.8925000000000001</v>
      </c>
      <c r="K72" s="141">
        <v>2.8975</v>
      </c>
      <c r="L72" s="156">
        <v>-6.3750000000000001E-2</v>
      </c>
      <c r="M72" s="141">
        <v>0.71</v>
      </c>
      <c r="O72" s="125">
        <f ca="1">(IF(MONTH(B72)&gt;=4,IF(MONTH(B72)&lt;=10,Inputs!$H$2,Inputs!$H$3),Inputs!$H$3))</f>
        <v>6.5000000000000002E-2</v>
      </c>
      <c r="P72" s="155">
        <f ca="1">J72+(IF($L$2=TRUE,IF(MONTH(B72)&gt;=4,IF(MONTH(B72)&lt;=10,L72,M72),M72),0))+(IF('Pricing Inputs'!$AN$3=2,O72,0))</f>
        <v>3.6025</v>
      </c>
      <c r="Q72" s="155"/>
      <c r="R72" s="336">
        <f t="shared" ca="1" si="4"/>
        <v>38292</v>
      </c>
      <c r="S72" s="171">
        <f t="shared" si="5"/>
        <v>0.87999999999999989</v>
      </c>
      <c r="T72" s="170">
        <f t="shared" si="8"/>
        <v>0.95</v>
      </c>
      <c r="U72" s="172">
        <f t="shared" si="6"/>
        <v>1.02</v>
      </c>
      <c r="BP72" s="131">
        <f t="shared" si="10"/>
        <v>71</v>
      </c>
      <c r="BQ72" s="185" t="s">
        <v>255</v>
      </c>
      <c r="BR72" s="130" t="s">
        <v>178</v>
      </c>
      <c r="BS72" s="129" t="s">
        <v>204</v>
      </c>
      <c r="BT72" s="135" t="s">
        <v>180</v>
      </c>
      <c r="BU72" s="135"/>
      <c r="BV72" s="129">
        <v>1</v>
      </c>
      <c r="BW72" s="130" t="s">
        <v>854</v>
      </c>
      <c r="BX72"/>
      <c r="BZ72" s="131">
        <f t="shared" si="11"/>
        <v>71</v>
      </c>
      <c r="CA72" s="4" t="s">
        <v>479</v>
      </c>
      <c r="CB72" s="130" t="s">
        <v>181</v>
      </c>
      <c r="CC72" s="129" t="s">
        <v>179</v>
      </c>
      <c r="CD72" s="135" t="s">
        <v>180</v>
      </c>
      <c r="CE72" s="135"/>
      <c r="CF72" s="129">
        <v>1</v>
      </c>
      <c r="CG72" s="130" t="s">
        <v>669</v>
      </c>
      <c r="CH72"/>
    </row>
    <row r="73" spans="1:86" ht="12.75">
      <c r="A73" s="153"/>
      <c r="B73" s="146">
        <f t="shared" ca="1" si="7"/>
        <v>38322</v>
      </c>
      <c r="C73" s="141">
        <v>7.2967968895554999E-2</v>
      </c>
      <c r="D73" s="156">
        <v>1.25</v>
      </c>
      <c r="E73" s="156">
        <v>1.25</v>
      </c>
      <c r="F73" s="156">
        <v>0.157</v>
      </c>
      <c r="G73" s="156">
        <v>0.16450000000000001</v>
      </c>
      <c r="H73" s="156">
        <v>0.17200000000000001</v>
      </c>
      <c r="I73" s="155">
        <v>3.0115000000000003</v>
      </c>
      <c r="J73" s="156">
        <v>3.0165000000000002</v>
      </c>
      <c r="K73" s="141">
        <v>3.0215000000000001</v>
      </c>
      <c r="L73" s="156">
        <v>-7.0000000000000007E-2</v>
      </c>
      <c r="M73" s="141">
        <v>1.02</v>
      </c>
      <c r="O73" s="125">
        <f ca="1">(IF(MONTH(B73)&gt;=4,IF(MONTH(B73)&lt;=10,Inputs!$H$2,Inputs!$H$3),Inputs!$H$3))</f>
        <v>6.5000000000000002E-2</v>
      </c>
      <c r="P73" s="155">
        <f ca="1">J73+(IF($L$2=TRUE,IF(MONTH(B73)&gt;=4,IF(MONTH(B73)&lt;=10,L73,M73),M73),0))+(IF('Pricing Inputs'!$AN$3=2,O73,0))</f>
        <v>4.0365000000000002</v>
      </c>
      <c r="Q73" s="155"/>
      <c r="R73" s="336">
        <f t="shared" ca="1" si="4"/>
        <v>38322</v>
      </c>
      <c r="S73" s="171">
        <f t="shared" si="5"/>
        <v>1.18</v>
      </c>
      <c r="T73" s="170">
        <f t="shared" si="8"/>
        <v>1.25</v>
      </c>
      <c r="U73" s="172">
        <f t="shared" si="6"/>
        <v>1.32</v>
      </c>
      <c r="BP73" s="131">
        <f t="shared" si="10"/>
        <v>72</v>
      </c>
      <c r="BQ73" s="185" t="s">
        <v>256</v>
      </c>
      <c r="BR73" s="130" t="s">
        <v>178</v>
      </c>
      <c r="BS73" s="129" t="s">
        <v>204</v>
      </c>
      <c r="BT73" s="135" t="s">
        <v>180</v>
      </c>
      <c r="BU73" s="135"/>
      <c r="BV73" s="129">
        <v>1</v>
      </c>
      <c r="BW73" s="130" t="s">
        <v>855</v>
      </c>
      <c r="BX73"/>
      <c r="BZ73" s="131">
        <f t="shared" si="11"/>
        <v>72</v>
      </c>
      <c r="CA73" s="4" t="s">
        <v>480</v>
      </c>
      <c r="CB73" s="130" t="s">
        <v>181</v>
      </c>
      <c r="CC73" s="129" t="s">
        <v>179</v>
      </c>
      <c r="CD73" s="135" t="s">
        <v>180</v>
      </c>
      <c r="CE73" s="135"/>
      <c r="CF73" s="129">
        <v>1</v>
      </c>
      <c r="CG73" s="130" t="s">
        <v>670</v>
      </c>
      <c r="CH73"/>
    </row>
    <row r="74" spans="1:86" ht="12.75">
      <c r="A74" s="153"/>
      <c r="B74" s="146">
        <f t="shared" ca="1" si="7"/>
        <v>38353</v>
      </c>
      <c r="C74" s="141">
        <v>7.3005171567883012E-2</v>
      </c>
      <c r="D74" s="156">
        <v>1.45</v>
      </c>
      <c r="E74" s="156">
        <v>1.45</v>
      </c>
      <c r="F74" s="156">
        <v>0.1585</v>
      </c>
      <c r="G74" s="156">
        <v>0.16600000000000001</v>
      </c>
      <c r="H74" s="156">
        <v>0.17350000000000002</v>
      </c>
      <c r="I74" s="155">
        <v>3.06</v>
      </c>
      <c r="J74" s="156">
        <v>3.0649999999999999</v>
      </c>
      <c r="K74" s="141">
        <v>3.07</v>
      </c>
      <c r="L74" s="156">
        <v>-7.0000000000000007E-2</v>
      </c>
      <c r="M74" s="141">
        <v>1.48</v>
      </c>
      <c r="O74" s="125">
        <f ca="1">(IF(MONTH(B74)&gt;=4,IF(MONTH(B74)&lt;=10,Inputs!$H$2,Inputs!$H$3),Inputs!$H$3))</f>
        <v>6.5000000000000002E-2</v>
      </c>
      <c r="P74" s="155">
        <f ca="1">J74+(IF($L$2=TRUE,IF(MONTH(B74)&gt;=4,IF(MONTH(B74)&lt;=10,L74,M74),M74),0))+(IF('Pricing Inputs'!$AN$3=2,O74,0))</f>
        <v>4.5449999999999999</v>
      </c>
      <c r="Q74" s="155"/>
      <c r="R74" s="336">
        <f t="shared" ca="1" si="4"/>
        <v>38353</v>
      </c>
      <c r="S74" s="171">
        <f t="shared" si="5"/>
        <v>1.38</v>
      </c>
      <c r="T74" s="170">
        <f t="shared" si="8"/>
        <v>1.45</v>
      </c>
      <c r="U74" s="172">
        <f t="shared" si="6"/>
        <v>1.52</v>
      </c>
      <c r="BP74" s="131">
        <f t="shared" si="10"/>
        <v>73</v>
      </c>
      <c r="BQ74" s="185" t="s">
        <v>257</v>
      </c>
      <c r="BR74" s="130" t="s">
        <v>178</v>
      </c>
      <c r="BS74" s="129" t="s">
        <v>204</v>
      </c>
      <c r="BT74" s="135" t="s">
        <v>180</v>
      </c>
      <c r="BU74" s="135"/>
      <c r="BV74" s="129">
        <v>1</v>
      </c>
      <c r="BW74" s="130" t="s">
        <v>856</v>
      </c>
      <c r="BX74"/>
      <c r="BZ74" s="131">
        <f t="shared" si="11"/>
        <v>73</v>
      </c>
      <c r="CA74" s="4" t="s">
        <v>481</v>
      </c>
      <c r="CB74" s="130" t="s">
        <v>181</v>
      </c>
      <c r="CC74" s="129" t="s">
        <v>179</v>
      </c>
      <c r="CD74" s="135" t="s">
        <v>180</v>
      </c>
      <c r="CE74" s="135"/>
      <c r="CF74" s="129">
        <v>1</v>
      </c>
      <c r="CG74" s="130" t="s">
        <v>671</v>
      </c>
      <c r="CH74"/>
    </row>
    <row r="75" spans="1:86" ht="12.75">
      <c r="A75" s="153"/>
      <c r="B75" s="146">
        <f t="shared" ca="1" si="7"/>
        <v>38384</v>
      </c>
      <c r="C75" s="141">
        <v>7.3042374240667993E-2</v>
      </c>
      <c r="D75" s="156">
        <v>1.45</v>
      </c>
      <c r="E75" s="156">
        <v>1.45</v>
      </c>
      <c r="F75" s="156">
        <v>0.1585</v>
      </c>
      <c r="G75" s="156">
        <v>0.16600000000000001</v>
      </c>
      <c r="H75" s="156">
        <v>0.17350000000000002</v>
      </c>
      <c r="I75" s="155">
        <v>2.9420000000000002</v>
      </c>
      <c r="J75" s="156">
        <v>2.9470000000000001</v>
      </c>
      <c r="K75" s="141">
        <v>2.952</v>
      </c>
      <c r="L75" s="156">
        <v>-6.8125000000000005E-2</v>
      </c>
      <c r="M75" s="141">
        <v>1.38</v>
      </c>
      <c r="O75" s="125">
        <f ca="1">(IF(MONTH(B75)&gt;=4,IF(MONTH(B75)&lt;=10,Inputs!$H$2,Inputs!$H$3),Inputs!$H$3))</f>
        <v>6.5000000000000002E-2</v>
      </c>
      <c r="P75" s="155">
        <f ca="1">J75+(IF($L$2=TRUE,IF(MONTH(B75)&gt;=4,IF(MONTH(B75)&lt;=10,L75,M75),M75),0))+(IF('Pricing Inputs'!$AN$3=2,O75,0))</f>
        <v>4.327</v>
      </c>
      <c r="Q75" s="155"/>
      <c r="R75" s="336">
        <f t="shared" ca="1" si="4"/>
        <v>38384</v>
      </c>
      <c r="S75" s="171">
        <f t="shared" si="5"/>
        <v>1.38</v>
      </c>
      <c r="T75" s="170">
        <f t="shared" si="8"/>
        <v>1.45</v>
      </c>
      <c r="U75" s="172">
        <f t="shared" si="6"/>
        <v>1.52</v>
      </c>
      <c r="BP75" s="131">
        <f t="shared" si="10"/>
        <v>74</v>
      </c>
      <c r="BQ75" s="185" t="s">
        <v>258</v>
      </c>
      <c r="BR75" s="130" t="s">
        <v>178</v>
      </c>
      <c r="BS75" s="129" t="s">
        <v>204</v>
      </c>
      <c r="BT75" s="135" t="s">
        <v>180</v>
      </c>
      <c r="BU75" s="135"/>
      <c r="BV75" s="129">
        <v>1</v>
      </c>
      <c r="BW75" s="130" t="s">
        <v>857</v>
      </c>
      <c r="BX75"/>
      <c r="BZ75" s="131">
        <f t="shared" si="11"/>
        <v>74</v>
      </c>
      <c r="CA75" s="4" t="s">
        <v>482</v>
      </c>
      <c r="CB75" s="130" t="s">
        <v>181</v>
      </c>
      <c r="CC75" s="129" t="s">
        <v>179</v>
      </c>
      <c r="CD75" s="135" t="s">
        <v>180</v>
      </c>
      <c r="CE75" s="135"/>
      <c r="CF75" s="129">
        <v>1</v>
      </c>
      <c r="CG75" s="130" t="s">
        <v>672</v>
      </c>
      <c r="CH75"/>
    </row>
    <row r="76" spans="1:86" ht="12.75">
      <c r="A76" s="153"/>
      <c r="B76" s="146">
        <f t="shared" ca="1" si="7"/>
        <v>38412</v>
      </c>
      <c r="C76" s="141">
        <v>7.3075976655189001E-2</v>
      </c>
      <c r="D76" s="156">
        <v>1</v>
      </c>
      <c r="E76" s="156">
        <v>1</v>
      </c>
      <c r="F76" s="156">
        <v>0.1565</v>
      </c>
      <c r="G76" s="156">
        <v>0.16400000000000001</v>
      </c>
      <c r="H76" s="156">
        <v>0.17150000000000001</v>
      </c>
      <c r="I76" s="155">
        <v>2.8220000000000001</v>
      </c>
      <c r="J76" s="156">
        <v>2.827</v>
      </c>
      <c r="K76" s="141">
        <v>2.8320000000000003</v>
      </c>
      <c r="L76" s="156">
        <v>-6.25E-2</v>
      </c>
      <c r="M76" s="141">
        <v>0.86</v>
      </c>
      <c r="O76" s="125">
        <f ca="1">(IF(MONTH(B76)&gt;=4,IF(MONTH(B76)&lt;=10,Inputs!$H$2,Inputs!$H$3),Inputs!$H$3))</f>
        <v>6.5000000000000002E-2</v>
      </c>
      <c r="P76" s="155">
        <f ca="1">J76+(IF($L$2=TRUE,IF(MONTH(B76)&gt;=4,IF(MONTH(B76)&lt;=10,L76,M76),M76),0))+(IF('Pricing Inputs'!$AN$3=2,O76,0))</f>
        <v>3.6869999999999998</v>
      </c>
      <c r="Q76" s="155"/>
      <c r="R76" s="336">
        <f t="shared" ca="1" si="4"/>
        <v>38412</v>
      </c>
      <c r="S76" s="171">
        <f t="shared" si="5"/>
        <v>0.92999999999999994</v>
      </c>
      <c r="T76" s="170">
        <f t="shared" si="8"/>
        <v>1</v>
      </c>
      <c r="U76" s="172">
        <f t="shared" si="6"/>
        <v>1.07</v>
      </c>
      <c r="BP76" s="131">
        <f t="shared" si="10"/>
        <v>75</v>
      </c>
      <c r="BQ76" s="185" t="s">
        <v>259</v>
      </c>
      <c r="BR76" s="130" t="s">
        <v>178</v>
      </c>
      <c r="BS76" s="129" t="s">
        <v>204</v>
      </c>
      <c r="BT76" s="135" t="s">
        <v>180</v>
      </c>
      <c r="BU76" s="135"/>
      <c r="BV76" s="129">
        <v>1</v>
      </c>
      <c r="BW76" s="130" t="s">
        <v>858</v>
      </c>
      <c r="BX76"/>
      <c r="BZ76" s="131">
        <f t="shared" si="11"/>
        <v>75</v>
      </c>
      <c r="CA76" s="4" t="s">
        <v>483</v>
      </c>
      <c r="CB76" s="130" t="s">
        <v>181</v>
      </c>
      <c r="CC76" s="129" t="s">
        <v>179</v>
      </c>
      <c r="CD76" s="135" t="s">
        <v>180</v>
      </c>
      <c r="CE76" s="135"/>
      <c r="CF76" s="129">
        <v>1</v>
      </c>
      <c r="CG76" s="130" t="s">
        <v>673</v>
      </c>
      <c r="CH76"/>
    </row>
    <row r="77" spans="1:86" ht="12.75">
      <c r="A77" s="153"/>
      <c r="B77" s="146">
        <f t="shared" ca="1" si="7"/>
        <v>38443</v>
      </c>
      <c r="C77" s="141">
        <v>7.3101626699756006E-2</v>
      </c>
      <c r="D77" s="156">
        <v>0.45</v>
      </c>
      <c r="E77" s="156">
        <v>0.45</v>
      </c>
      <c r="F77" s="156">
        <v>0.1545</v>
      </c>
      <c r="G77" s="156">
        <v>0.16200000000000001</v>
      </c>
      <c r="H77" s="156">
        <v>0.16950000000000001</v>
      </c>
      <c r="I77" s="155">
        <v>2.7725</v>
      </c>
      <c r="J77" s="156">
        <v>2.7774999999999999</v>
      </c>
      <c r="K77" s="141">
        <v>2.7825000000000002</v>
      </c>
      <c r="L77" s="156">
        <v>-6.4375000000000002E-2</v>
      </c>
      <c r="M77" s="141">
        <v>0.37</v>
      </c>
      <c r="O77" s="125">
        <f ca="1">(IF(MONTH(B77)&gt;=4,IF(MONTH(B77)&lt;=10,Inputs!$H$2,Inputs!$H$3),Inputs!$H$3))</f>
        <v>6.5000000000000002E-2</v>
      </c>
      <c r="P77" s="155">
        <f ca="1">J77+(IF($L$2=TRUE,IF(MONTH(B77)&gt;=4,IF(MONTH(B77)&lt;=10,L77,M77),M77),0))+(IF('Pricing Inputs'!$AN$3=2,O77,0))</f>
        <v>2.7131249999999998</v>
      </c>
      <c r="Q77" s="155"/>
      <c r="R77" s="336">
        <f t="shared" ca="1" si="4"/>
        <v>38443</v>
      </c>
      <c r="S77" s="171">
        <f t="shared" si="5"/>
        <v>0.38</v>
      </c>
      <c r="T77" s="170">
        <f t="shared" si="8"/>
        <v>0.45</v>
      </c>
      <c r="U77" s="172">
        <f t="shared" si="6"/>
        <v>0.52</v>
      </c>
      <c r="BP77" s="131">
        <f t="shared" si="10"/>
        <v>76</v>
      </c>
      <c r="BQ77" s="185" t="s">
        <v>260</v>
      </c>
      <c r="BR77" s="130" t="s">
        <v>178</v>
      </c>
      <c r="BS77" s="129" t="s">
        <v>204</v>
      </c>
      <c r="BT77" s="135" t="s">
        <v>180</v>
      </c>
      <c r="BU77" s="135"/>
      <c r="BV77" s="129">
        <v>1</v>
      </c>
      <c r="BW77" s="130" t="s">
        <v>859</v>
      </c>
      <c r="BX77"/>
      <c r="BZ77" s="131">
        <f t="shared" si="11"/>
        <v>76</v>
      </c>
      <c r="CA77" s="4" t="s">
        <v>484</v>
      </c>
      <c r="CB77" s="130" t="s">
        <v>181</v>
      </c>
      <c r="CC77" s="129" t="s">
        <v>179</v>
      </c>
      <c r="CD77" s="135" t="s">
        <v>180</v>
      </c>
      <c r="CE77" s="135"/>
      <c r="CF77" s="129">
        <v>1</v>
      </c>
      <c r="CG77" s="130" t="s">
        <v>674</v>
      </c>
      <c r="CH77"/>
    </row>
    <row r="78" spans="1:86" ht="12.75">
      <c r="A78" s="153"/>
      <c r="B78" s="146">
        <f t="shared" ca="1" si="7"/>
        <v>38473</v>
      </c>
      <c r="C78" s="141">
        <v>7.3125678291756008E-2</v>
      </c>
      <c r="D78" s="156">
        <v>0.5</v>
      </c>
      <c r="E78" s="156">
        <v>0.5</v>
      </c>
      <c r="F78" s="156">
        <v>0.1535</v>
      </c>
      <c r="G78" s="156">
        <v>0.161</v>
      </c>
      <c r="H78" s="156">
        <v>0.16850000000000001</v>
      </c>
      <c r="I78" s="155">
        <v>2.7465000000000002</v>
      </c>
      <c r="J78" s="156">
        <v>2.7515000000000001</v>
      </c>
      <c r="K78" s="141">
        <v>2.7565</v>
      </c>
      <c r="L78" s="156">
        <v>-6.3125000000000001E-2</v>
      </c>
      <c r="M78" s="141">
        <v>0.2525</v>
      </c>
      <c r="O78" s="125">
        <f ca="1">(IF(MONTH(B78)&gt;=4,IF(MONTH(B78)&lt;=10,Inputs!$H$2,Inputs!$H$3),Inputs!$H$3))</f>
        <v>6.5000000000000002E-2</v>
      </c>
      <c r="P78" s="155">
        <f ca="1">J78+(IF($L$2=TRUE,IF(MONTH(B78)&gt;=4,IF(MONTH(B78)&lt;=10,L78,M78),M78),0))+(IF('Pricing Inputs'!$AN$3=2,O78,0))</f>
        <v>2.6883750000000002</v>
      </c>
      <c r="Q78" s="155"/>
      <c r="R78" s="336">
        <f t="shared" ca="1" si="4"/>
        <v>38473</v>
      </c>
      <c r="S78" s="171">
        <f t="shared" si="5"/>
        <v>0.43</v>
      </c>
      <c r="T78" s="170">
        <f t="shared" si="8"/>
        <v>0.5</v>
      </c>
      <c r="U78" s="172">
        <f t="shared" si="6"/>
        <v>0.57000000000000006</v>
      </c>
      <c r="BP78" s="131">
        <f t="shared" si="10"/>
        <v>77</v>
      </c>
      <c r="BQ78" s="185" t="s">
        <v>261</v>
      </c>
      <c r="BR78" s="130" t="s">
        <v>178</v>
      </c>
      <c r="BS78" s="129" t="s">
        <v>204</v>
      </c>
      <c r="BT78" s="135" t="s">
        <v>180</v>
      </c>
      <c r="BU78" s="135"/>
      <c r="BV78" s="129">
        <v>1</v>
      </c>
      <c r="BW78" s="130" t="s">
        <v>860</v>
      </c>
      <c r="BX78"/>
      <c r="BZ78" s="131">
        <f t="shared" si="11"/>
        <v>77</v>
      </c>
      <c r="CA78" s="4" t="s">
        <v>485</v>
      </c>
      <c r="CB78" s="130" t="s">
        <v>181</v>
      </c>
      <c r="CC78" s="129" t="s">
        <v>179</v>
      </c>
      <c r="CD78" s="135" t="s">
        <v>180</v>
      </c>
      <c r="CE78" s="135"/>
      <c r="CF78" s="129">
        <v>1</v>
      </c>
      <c r="CG78" s="130" t="s">
        <v>675</v>
      </c>
      <c r="CH78"/>
    </row>
    <row r="79" spans="1:86" ht="12.75">
      <c r="A79" s="153"/>
      <c r="B79" s="146">
        <f t="shared" ca="1" si="7"/>
        <v>38504</v>
      </c>
      <c r="C79" s="141">
        <v>7.3150531603689992E-2</v>
      </c>
      <c r="D79" s="156">
        <v>0.5</v>
      </c>
      <c r="E79" s="156">
        <v>0.5</v>
      </c>
      <c r="F79" s="156">
        <v>0.1532</v>
      </c>
      <c r="G79" s="156">
        <v>0.16070000000000001</v>
      </c>
      <c r="H79" s="156">
        <v>0.16820000000000002</v>
      </c>
      <c r="I79" s="155">
        <v>2.7524999999999999</v>
      </c>
      <c r="J79" s="156">
        <v>2.7574999999999998</v>
      </c>
      <c r="K79" s="141">
        <v>2.7625000000000002</v>
      </c>
      <c r="L79" s="156">
        <v>-6.3125000000000001E-2</v>
      </c>
      <c r="M79" s="141">
        <v>0.2525</v>
      </c>
      <c r="O79" s="125">
        <f ca="1">(IF(MONTH(B79)&gt;=4,IF(MONTH(B79)&lt;=10,Inputs!$H$2,Inputs!$H$3),Inputs!$H$3))</f>
        <v>6.5000000000000002E-2</v>
      </c>
      <c r="P79" s="155">
        <f ca="1">J79+(IF($L$2=TRUE,IF(MONTH(B79)&gt;=4,IF(MONTH(B79)&lt;=10,L79,M79),M79),0))+(IF('Pricing Inputs'!$AN$3=2,O79,0))</f>
        <v>2.694375</v>
      </c>
      <c r="Q79" s="155"/>
      <c r="R79" s="336">
        <f t="shared" ca="1" si="4"/>
        <v>38504</v>
      </c>
      <c r="S79" s="171">
        <f t="shared" si="5"/>
        <v>0.43</v>
      </c>
      <c r="T79" s="170">
        <f t="shared" si="8"/>
        <v>0.5</v>
      </c>
      <c r="U79" s="172">
        <f t="shared" si="6"/>
        <v>0.57000000000000006</v>
      </c>
      <c r="BP79" s="131">
        <f t="shared" si="10"/>
        <v>78</v>
      </c>
      <c r="BQ79" s="185" t="s">
        <v>262</v>
      </c>
      <c r="BR79" s="130" t="s">
        <v>178</v>
      </c>
      <c r="BS79" s="129" t="s">
        <v>204</v>
      </c>
      <c r="BT79" s="135" t="s">
        <v>180</v>
      </c>
      <c r="BU79" s="135"/>
      <c r="BV79" s="129">
        <v>1</v>
      </c>
      <c r="BW79" s="130" t="s">
        <v>861</v>
      </c>
      <c r="BX79"/>
      <c r="BZ79" s="131">
        <f t="shared" si="11"/>
        <v>78</v>
      </c>
      <c r="CA79" s="4" t="s">
        <v>486</v>
      </c>
      <c r="CB79" s="130" t="s">
        <v>181</v>
      </c>
      <c r="CC79" s="129" t="s">
        <v>179</v>
      </c>
      <c r="CD79" s="135" t="s">
        <v>180</v>
      </c>
      <c r="CE79" s="135"/>
      <c r="CF79" s="129">
        <v>1</v>
      </c>
      <c r="CG79" s="130" t="s">
        <v>676</v>
      </c>
      <c r="CH79"/>
    </row>
    <row r="80" spans="1:86" ht="12.75">
      <c r="A80" s="153"/>
      <c r="B80" s="146">
        <f t="shared" ca="1" si="7"/>
        <v>38534</v>
      </c>
      <c r="C80" s="141">
        <v>7.3174583196079002E-2</v>
      </c>
      <c r="D80" s="156">
        <v>0.5</v>
      </c>
      <c r="E80" s="156">
        <v>0.5</v>
      </c>
      <c r="F80" s="156">
        <v>0.15290000000000001</v>
      </c>
      <c r="G80" s="156">
        <v>0.16040000000000001</v>
      </c>
      <c r="H80" s="156">
        <v>0.16790000000000002</v>
      </c>
      <c r="I80" s="155">
        <v>2.7625000000000002</v>
      </c>
      <c r="J80" s="156">
        <v>2.7675000000000001</v>
      </c>
      <c r="K80" s="141">
        <v>2.7725</v>
      </c>
      <c r="L80" s="156">
        <v>-6.25E-2</v>
      </c>
      <c r="M80" s="141">
        <v>0.25750000000000001</v>
      </c>
      <c r="O80" s="125">
        <f ca="1">(IF(MONTH(B80)&gt;=4,IF(MONTH(B80)&lt;=10,Inputs!$H$2,Inputs!$H$3),Inputs!$H$3))</f>
        <v>6.5000000000000002E-2</v>
      </c>
      <c r="P80" s="155">
        <f ca="1">J80+(IF($L$2=TRUE,IF(MONTH(B80)&gt;=4,IF(MONTH(B80)&lt;=10,L80,M80),M80),0))+(IF('Pricing Inputs'!$AN$3=2,O80,0))</f>
        <v>2.7050000000000001</v>
      </c>
      <c r="Q80" s="155"/>
      <c r="R80" s="336">
        <f t="shared" ca="1" si="4"/>
        <v>38534</v>
      </c>
      <c r="S80" s="171">
        <f t="shared" si="5"/>
        <v>0.43</v>
      </c>
      <c r="T80" s="170">
        <f t="shared" si="8"/>
        <v>0.5</v>
      </c>
      <c r="U80" s="172">
        <f t="shared" si="6"/>
        <v>0.57000000000000006</v>
      </c>
      <c r="BP80" s="131">
        <f t="shared" si="10"/>
        <v>79</v>
      </c>
      <c r="BQ80" s="185" t="s">
        <v>263</v>
      </c>
      <c r="BR80" s="130" t="s">
        <v>178</v>
      </c>
      <c r="BS80" s="129" t="s">
        <v>204</v>
      </c>
      <c r="BT80" s="135" t="s">
        <v>180</v>
      </c>
      <c r="BU80" s="135"/>
      <c r="BV80" s="129">
        <v>1</v>
      </c>
      <c r="BW80" s="130" t="s">
        <v>862</v>
      </c>
      <c r="BX80"/>
      <c r="BZ80" s="131">
        <f t="shared" si="11"/>
        <v>79</v>
      </c>
      <c r="CA80" s="4" t="s">
        <v>487</v>
      </c>
      <c r="CB80" s="130" t="s">
        <v>181</v>
      </c>
      <c r="CC80" s="129" t="s">
        <v>179</v>
      </c>
      <c r="CD80" s="135" t="s">
        <v>180</v>
      </c>
      <c r="CE80" s="135"/>
      <c r="CF80" s="129">
        <v>1</v>
      </c>
      <c r="CG80" s="130" t="s">
        <v>677</v>
      </c>
      <c r="CH80"/>
    </row>
    <row r="81" spans="1:86" ht="12.75">
      <c r="A81" s="153"/>
      <c r="B81" s="146">
        <f t="shared" ca="1" si="7"/>
        <v>38565</v>
      </c>
      <c r="C81" s="141">
        <v>7.3199436508414997E-2</v>
      </c>
      <c r="D81" s="156">
        <v>0.6</v>
      </c>
      <c r="E81" s="156">
        <v>0.6</v>
      </c>
      <c r="F81" s="156">
        <v>0.15260000000000001</v>
      </c>
      <c r="G81" s="156">
        <v>0.16010000000000002</v>
      </c>
      <c r="H81" s="156">
        <v>0.1676</v>
      </c>
      <c r="I81" s="155">
        <v>2.7695000000000003</v>
      </c>
      <c r="J81" s="156">
        <v>2.7745000000000002</v>
      </c>
      <c r="K81" s="141">
        <v>2.7795000000000001</v>
      </c>
      <c r="L81" s="156">
        <v>-6.25E-2</v>
      </c>
      <c r="M81" s="141">
        <v>0.25750000000000001</v>
      </c>
      <c r="O81" s="125">
        <f ca="1">(IF(MONTH(B81)&gt;=4,IF(MONTH(B81)&lt;=10,Inputs!$H$2,Inputs!$H$3),Inputs!$H$3))</f>
        <v>6.5000000000000002E-2</v>
      </c>
      <c r="P81" s="155">
        <f ca="1">J81+(IF($L$2=TRUE,IF(MONTH(B81)&gt;=4,IF(MONTH(B81)&lt;=10,L81,M81),M81),0))+(IF('Pricing Inputs'!$AN$3=2,O81,0))</f>
        <v>2.7120000000000002</v>
      </c>
      <c r="Q81" s="155"/>
      <c r="R81" s="336">
        <f t="shared" ref="R81:R144" ca="1" si="12">B81</f>
        <v>38565</v>
      </c>
      <c r="S81" s="171">
        <f t="shared" ref="S81:S144" si="13">T81-$S$16</f>
        <v>0.53</v>
      </c>
      <c r="T81" s="170">
        <f t="shared" si="8"/>
        <v>0.6</v>
      </c>
      <c r="U81" s="172">
        <f t="shared" ref="U81:U144" si="14">$U$16+T81</f>
        <v>0.66999999999999993</v>
      </c>
      <c r="BP81" s="131">
        <f t="shared" si="10"/>
        <v>80</v>
      </c>
      <c r="BQ81" s="185" t="s">
        <v>264</v>
      </c>
      <c r="BR81" s="130" t="s">
        <v>178</v>
      </c>
      <c r="BS81" s="129" t="s">
        <v>204</v>
      </c>
      <c r="BT81" s="135" t="s">
        <v>180</v>
      </c>
      <c r="BU81" s="135"/>
      <c r="BV81" s="129">
        <v>1</v>
      </c>
      <c r="BW81" s="130" t="s">
        <v>863</v>
      </c>
      <c r="BX81"/>
      <c r="BZ81" s="131">
        <f t="shared" si="11"/>
        <v>80</v>
      </c>
      <c r="CA81" s="4" t="s">
        <v>488</v>
      </c>
      <c r="CB81" s="130" t="s">
        <v>181</v>
      </c>
      <c r="CC81" s="129" t="s">
        <v>179</v>
      </c>
      <c r="CD81" s="135" t="s">
        <v>180</v>
      </c>
      <c r="CE81" s="135"/>
      <c r="CF81" s="129">
        <v>1</v>
      </c>
      <c r="CG81" s="130" t="s">
        <v>678</v>
      </c>
      <c r="CH81"/>
    </row>
    <row r="82" spans="1:86" ht="12.75">
      <c r="A82" s="153"/>
      <c r="B82" s="146">
        <f t="shared" ref="B82:B145" ca="1" si="15">NextMonth(B81)</f>
        <v>38596</v>
      </c>
      <c r="C82" s="141">
        <v>7.3224289820954996E-2</v>
      </c>
      <c r="D82" s="156">
        <v>0.6</v>
      </c>
      <c r="E82" s="156">
        <v>0.6</v>
      </c>
      <c r="F82" s="156">
        <v>0.15230000000000002</v>
      </c>
      <c r="G82" s="156">
        <v>0.1598</v>
      </c>
      <c r="H82" s="156">
        <v>0.1673</v>
      </c>
      <c r="I82" s="155">
        <v>2.7765</v>
      </c>
      <c r="J82" s="156">
        <v>2.7815000000000003</v>
      </c>
      <c r="K82" s="141">
        <v>2.7865000000000002</v>
      </c>
      <c r="L82" s="156">
        <v>-6.3125000000000001E-2</v>
      </c>
      <c r="M82" s="141">
        <v>0.2525</v>
      </c>
      <c r="O82" s="125">
        <f ca="1">(IF(MONTH(B82)&gt;=4,IF(MONTH(B82)&lt;=10,Inputs!$H$2,Inputs!$H$3),Inputs!$H$3))</f>
        <v>6.5000000000000002E-2</v>
      </c>
      <c r="P82" s="155">
        <f ca="1">J82+(IF($L$2=TRUE,IF(MONTH(B82)&gt;=4,IF(MONTH(B82)&lt;=10,L82,M82),M82),0))+(IF('Pricing Inputs'!$AN$3=2,O82,0))</f>
        <v>2.7183750000000004</v>
      </c>
      <c r="Q82" s="155"/>
      <c r="R82" s="336">
        <f t="shared" ca="1" si="12"/>
        <v>38596</v>
      </c>
      <c r="S82" s="171">
        <f t="shared" si="13"/>
        <v>0.53</v>
      </c>
      <c r="T82" s="170">
        <f t="shared" ref="T82:T145" si="16">D82</f>
        <v>0.6</v>
      </c>
      <c r="U82" s="172">
        <f t="shared" si="14"/>
        <v>0.66999999999999993</v>
      </c>
      <c r="BP82" s="131">
        <f t="shared" si="10"/>
        <v>81</v>
      </c>
      <c r="BQ82" s="185" t="s">
        <v>265</v>
      </c>
      <c r="BR82" s="130" t="s">
        <v>178</v>
      </c>
      <c r="BS82" s="129" t="s">
        <v>204</v>
      </c>
      <c r="BT82" s="135" t="s">
        <v>180</v>
      </c>
      <c r="BU82" s="135"/>
      <c r="BV82" s="129">
        <v>1</v>
      </c>
      <c r="BW82" s="130" t="s">
        <v>864</v>
      </c>
      <c r="BX82"/>
      <c r="BZ82" s="131">
        <f t="shared" si="11"/>
        <v>81</v>
      </c>
      <c r="CA82" s="4" t="s">
        <v>489</v>
      </c>
      <c r="CB82" s="130" t="s">
        <v>181</v>
      </c>
      <c r="CC82" s="129" t="s">
        <v>179</v>
      </c>
      <c r="CD82" s="135" t="s">
        <v>180</v>
      </c>
      <c r="CE82" s="135"/>
      <c r="CF82" s="129">
        <v>1</v>
      </c>
      <c r="CG82" s="130" t="s">
        <v>679</v>
      </c>
      <c r="CH82"/>
    </row>
    <row r="83" spans="1:86" ht="12.75">
      <c r="A83" s="153"/>
      <c r="B83" s="146">
        <f t="shared" ca="1" si="15"/>
        <v>38626</v>
      </c>
      <c r="C83" s="141">
        <v>7.3248341413929996E-2</v>
      </c>
      <c r="D83" s="156">
        <v>0.65</v>
      </c>
      <c r="E83" s="156">
        <v>0.65</v>
      </c>
      <c r="F83" s="156">
        <v>0.152</v>
      </c>
      <c r="G83" s="156">
        <v>0.1595</v>
      </c>
      <c r="H83" s="156">
        <v>0.16700000000000001</v>
      </c>
      <c r="I83" s="155">
        <v>2.8025000000000002</v>
      </c>
      <c r="J83" s="156">
        <v>2.8075000000000001</v>
      </c>
      <c r="K83" s="141">
        <v>2.8125</v>
      </c>
      <c r="L83" s="156">
        <v>-6.3125000000000001E-2</v>
      </c>
      <c r="M83" s="141">
        <v>0.255</v>
      </c>
      <c r="O83" s="125">
        <f ca="1">(IF(MONTH(B83)&gt;=4,IF(MONTH(B83)&lt;=10,Inputs!$H$2,Inputs!$H$3),Inputs!$H$3))</f>
        <v>6.5000000000000002E-2</v>
      </c>
      <c r="P83" s="155">
        <f ca="1">J83+(IF($L$2=TRUE,IF(MONTH(B83)&gt;=4,IF(MONTH(B83)&lt;=10,L83,M83),M83),0))+(IF('Pricing Inputs'!$AN$3=2,O83,0))</f>
        <v>2.7443750000000002</v>
      </c>
      <c r="Q83" s="155"/>
      <c r="R83" s="336">
        <f t="shared" ca="1" si="12"/>
        <v>38626</v>
      </c>
      <c r="S83" s="171">
        <f t="shared" si="13"/>
        <v>0.58000000000000007</v>
      </c>
      <c r="T83" s="170">
        <f t="shared" si="16"/>
        <v>0.65</v>
      </c>
      <c r="U83" s="172">
        <f t="shared" si="14"/>
        <v>0.72</v>
      </c>
      <c r="BP83" s="131">
        <f t="shared" si="10"/>
        <v>82</v>
      </c>
      <c r="BQ83" s="185" t="s">
        <v>266</v>
      </c>
      <c r="BR83" s="130" t="s">
        <v>178</v>
      </c>
      <c r="BS83" s="129" t="s">
        <v>204</v>
      </c>
      <c r="BT83" s="135" t="s">
        <v>180</v>
      </c>
      <c r="BU83" s="135"/>
      <c r="BV83" s="129">
        <v>1</v>
      </c>
      <c r="BW83" s="130" t="s">
        <v>865</v>
      </c>
      <c r="BX83"/>
      <c r="BZ83" s="131">
        <f t="shared" si="11"/>
        <v>82</v>
      </c>
      <c r="CA83" s="4" t="s">
        <v>490</v>
      </c>
      <c r="CB83" s="130" t="s">
        <v>181</v>
      </c>
      <c r="CC83" s="129" t="s">
        <v>179</v>
      </c>
      <c r="CD83" s="135" t="s">
        <v>180</v>
      </c>
      <c r="CE83" s="135"/>
      <c r="CF83" s="129">
        <v>1</v>
      </c>
      <c r="CG83" s="130" t="s">
        <v>680</v>
      </c>
      <c r="CH83"/>
    </row>
    <row r="84" spans="1:86" ht="12.75">
      <c r="A84" s="153"/>
      <c r="B84" s="146">
        <f t="shared" ca="1" si="15"/>
        <v>38657</v>
      </c>
      <c r="C84" s="141">
        <v>7.3273194726871008E-2</v>
      </c>
      <c r="D84" s="156">
        <v>0.95</v>
      </c>
      <c r="E84" s="156">
        <v>0.95</v>
      </c>
      <c r="F84" s="156">
        <v>0.152</v>
      </c>
      <c r="G84" s="156">
        <v>0.1595</v>
      </c>
      <c r="H84" s="156">
        <v>0.16700000000000001</v>
      </c>
      <c r="I84" s="155">
        <v>2.9375</v>
      </c>
      <c r="J84" s="156">
        <v>2.9424999999999999</v>
      </c>
      <c r="K84" s="141">
        <v>2.9474999999999998</v>
      </c>
      <c r="L84" s="156">
        <v>-6.9375000000000006E-2</v>
      </c>
      <c r="M84" s="141">
        <v>0.71499999999999997</v>
      </c>
      <c r="O84" s="125">
        <f ca="1">(IF(MONTH(B84)&gt;=4,IF(MONTH(B84)&lt;=10,Inputs!$H$2,Inputs!$H$3),Inputs!$H$3))</f>
        <v>6.5000000000000002E-2</v>
      </c>
      <c r="P84" s="155">
        <f ca="1">J84+(IF($L$2=TRUE,IF(MONTH(B84)&gt;=4,IF(MONTH(B84)&lt;=10,L84,M84),M84),0))+(IF('Pricing Inputs'!$AN$3=2,O84,0))</f>
        <v>3.6574999999999998</v>
      </c>
      <c r="Q84" s="155"/>
      <c r="R84" s="336">
        <f t="shared" ca="1" si="12"/>
        <v>38657</v>
      </c>
      <c r="S84" s="171">
        <f t="shared" si="13"/>
        <v>0.87999999999999989</v>
      </c>
      <c r="T84" s="170">
        <f t="shared" si="16"/>
        <v>0.95</v>
      </c>
      <c r="U84" s="172">
        <f t="shared" si="14"/>
        <v>1.02</v>
      </c>
      <c r="BP84" s="131">
        <f t="shared" si="10"/>
        <v>83</v>
      </c>
      <c r="BQ84" s="185" t="s">
        <v>267</v>
      </c>
      <c r="BR84" s="130" t="s">
        <v>178</v>
      </c>
      <c r="BS84" s="129" t="s">
        <v>204</v>
      </c>
      <c r="BT84" s="135" t="s">
        <v>180</v>
      </c>
      <c r="BU84" s="135"/>
      <c r="BV84" s="129">
        <v>1</v>
      </c>
      <c r="BW84" s="130" t="s">
        <v>866</v>
      </c>
      <c r="BX84"/>
      <c r="BZ84" s="131">
        <f t="shared" si="11"/>
        <v>83</v>
      </c>
      <c r="CA84" s="4" t="s">
        <v>491</v>
      </c>
      <c r="CB84" s="130" t="s">
        <v>181</v>
      </c>
      <c r="CC84" s="129" t="s">
        <v>179</v>
      </c>
      <c r="CD84" s="135" t="s">
        <v>180</v>
      </c>
      <c r="CE84" s="135"/>
      <c r="CF84" s="129">
        <v>1</v>
      </c>
      <c r="CG84" s="130" t="s">
        <v>681</v>
      </c>
      <c r="CH84"/>
    </row>
    <row r="85" spans="1:86" ht="12.75">
      <c r="A85" s="153"/>
      <c r="B85" s="146">
        <f t="shared" ca="1" si="15"/>
        <v>38687</v>
      </c>
      <c r="C85" s="141">
        <v>7.3297246320234002E-2</v>
      </c>
      <c r="D85" s="156">
        <v>1.25</v>
      </c>
      <c r="E85" s="156">
        <v>1.25</v>
      </c>
      <c r="F85" s="156">
        <v>0.152</v>
      </c>
      <c r="G85" s="156">
        <v>0.1595</v>
      </c>
      <c r="H85" s="156">
        <v>0.16700000000000001</v>
      </c>
      <c r="I85" s="155">
        <v>3.0615000000000001</v>
      </c>
      <c r="J85" s="156">
        <v>3.0665</v>
      </c>
      <c r="K85" s="141">
        <v>3.0715000000000003</v>
      </c>
      <c r="L85" s="156">
        <v>-7.5624999999999998E-2</v>
      </c>
      <c r="M85" s="141">
        <v>1.03</v>
      </c>
      <c r="O85" s="125">
        <f ca="1">(IF(MONTH(B85)&gt;=4,IF(MONTH(B85)&lt;=10,Inputs!$H$2,Inputs!$H$3),Inputs!$H$3))</f>
        <v>6.5000000000000002E-2</v>
      </c>
      <c r="P85" s="155">
        <f ca="1">J85+(IF($L$2=TRUE,IF(MONTH(B85)&gt;=4,IF(MONTH(B85)&lt;=10,L85,M85),M85),0))+(IF('Pricing Inputs'!$AN$3=2,O85,0))</f>
        <v>4.0964999999999998</v>
      </c>
      <c r="Q85" s="155"/>
      <c r="R85" s="336">
        <f t="shared" ca="1" si="12"/>
        <v>38687</v>
      </c>
      <c r="S85" s="171">
        <f t="shared" si="13"/>
        <v>1.18</v>
      </c>
      <c r="T85" s="170">
        <f t="shared" si="16"/>
        <v>1.25</v>
      </c>
      <c r="U85" s="172">
        <f t="shared" si="14"/>
        <v>1.32</v>
      </c>
      <c r="BP85" s="131">
        <f t="shared" si="10"/>
        <v>84</v>
      </c>
      <c r="BQ85" s="185" t="s">
        <v>268</v>
      </c>
      <c r="BR85" s="130" t="s">
        <v>178</v>
      </c>
      <c r="BS85" s="129" t="s">
        <v>204</v>
      </c>
      <c r="BT85" s="135" t="s">
        <v>180</v>
      </c>
      <c r="BU85" s="135"/>
      <c r="BV85" s="129">
        <v>1</v>
      </c>
      <c r="BW85" s="130" t="s">
        <v>867</v>
      </c>
      <c r="BX85"/>
      <c r="BZ85" s="131">
        <f t="shared" si="11"/>
        <v>84</v>
      </c>
      <c r="CA85" s="4" t="s">
        <v>492</v>
      </c>
      <c r="CB85" s="130" t="s">
        <v>181</v>
      </c>
      <c r="CC85" s="129" t="s">
        <v>179</v>
      </c>
      <c r="CD85" s="135" t="s">
        <v>180</v>
      </c>
      <c r="CE85" s="135"/>
      <c r="CF85" s="129">
        <v>1</v>
      </c>
      <c r="CG85" s="130" t="s">
        <v>682</v>
      </c>
      <c r="CH85"/>
    </row>
    <row r="86" spans="1:86" ht="12.75">
      <c r="A86" s="153"/>
      <c r="B86" s="146">
        <f t="shared" ca="1" si="15"/>
        <v>38718</v>
      </c>
      <c r="C86" s="141">
        <v>7.3322099633577012E-2</v>
      </c>
      <c r="D86" s="156">
        <v>1.45</v>
      </c>
      <c r="E86" s="156">
        <v>1.45</v>
      </c>
      <c r="F86" s="156">
        <v>0.152</v>
      </c>
      <c r="G86" s="156">
        <v>0.1595</v>
      </c>
      <c r="H86" s="156">
        <v>0.16700000000000001</v>
      </c>
      <c r="I86" s="155">
        <v>3.1150000000000002</v>
      </c>
      <c r="J86" s="156">
        <v>3.12</v>
      </c>
      <c r="K86" s="141">
        <v>3.125</v>
      </c>
      <c r="L86" s="156">
        <v>-7.5624999999999998E-2</v>
      </c>
      <c r="M86" s="141">
        <v>1.4950000000000001</v>
      </c>
      <c r="O86" s="125">
        <f ca="1">(IF(MONTH(B86)&gt;=4,IF(MONTH(B86)&lt;=10,Inputs!$H$2,Inputs!$H$3),Inputs!$H$3))</f>
        <v>6.5000000000000002E-2</v>
      </c>
      <c r="P86" s="155">
        <f ca="1">J86+(IF($L$2=TRUE,IF(MONTH(B86)&gt;=4,IF(MONTH(B86)&lt;=10,L86,M86),M86),0))+(IF('Pricing Inputs'!$AN$3=2,O86,0))</f>
        <v>4.6150000000000002</v>
      </c>
      <c r="Q86" s="155"/>
      <c r="R86" s="336">
        <f t="shared" ca="1" si="12"/>
        <v>38718</v>
      </c>
      <c r="S86" s="171">
        <f t="shared" si="13"/>
        <v>1.38</v>
      </c>
      <c r="T86" s="170">
        <f t="shared" si="16"/>
        <v>1.45</v>
      </c>
      <c r="U86" s="172">
        <f t="shared" si="14"/>
        <v>1.52</v>
      </c>
      <c r="BP86" s="131">
        <f t="shared" si="10"/>
        <v>85</v>
      </c>
      <c r="BQ86" s="185" t="s">
        <v>269</v>
      </c>
      <c r="BR86" s="130" t="s">
        <v>178</v>
      </c>
      <c r="BS86" s="129" t="s">
        <v>204</v>
      </c>
      <c r="BT86" s="135" t="s">
        <v>180</v>
      </c>
      <c r="BU86" s="135"/>
      <c r="BV86" s="129">
        <v>1</v>
      </c>
      <c r="BW86" s="130" t="s">
        <v>868</v>
      </c>
      <c r="BX86"/>
      <c r="BZ86" s="131">
        <f t="shared" si="11"/>
        <v>85</v>
      </c>
      <c r="CA86" s="4" t="s">
        <v>493</v>
      </c>
      <c r="CB86" s="130" t="s">
        <v>181</v>
      </c>
      <c r="CC86" s="129" t="s">
        <v>179</v>
      </c>
      <c r="CD86" s="135" t="s">
        <v>180</v>
      </c>
      <c r="CE86" s="135"/>
      <c r="CF86" s="129">
        <v>1</v>
      </c>
      <c r="CG86" s="130" t="s">
        <v>683</v>
      </c>
      <c r="CH86"/>
    </row>
    <row r="87" spans="1:86" ht="12.75">
      <c r="A87" s="153"/>
      <c r="B87" s="146">
        <f t="shared" ca="1" si="15"/>
        <v>38749</v>
      </c>
      <c r="C87" s="141">
        <v>7.3346952947122013E-2</v>
      </c>
      <c r="D87" s="156">
        <v>1.45</v>
      </c>
      <c r="E87" s="156">
        <v>1.45</v>
      </c>
      <c r="F87" s="156">
        <v>0.152</v>
      </c>
      <c r="G87" s="156">
        <v>0.1595</v>
      </c>
      <c r="H87" s="156">
        <v>0.16700000000000001</v>
      </c>
      <c r="I87" s="155">
        <v>2.9970000000000003</v>
      </c>
      <c r="J87" s="156">
        <v>3.0020000000000002</v>
      </c>
      <c r="K87" s="141">
        <v>3.0070000000000001</v>
      </c>
      <c r="L87" s="156">
        <v>-7.3749999999999996E-2</v>
      </c>
      <c r="M87" s="141">
        <v>1.395</v>
      </c>
      <c r="O87" s="125">
        <f ca="1">(IF(MONTH(B87)&gt;=4,IF(MONTH(B87)&lt;=10,Inputs!$H$2,Inputs!$H$3),Inputs!$H$3))</f>
        <v>6.5000000000000002E-2</v>
      </c>
      <c r="P87" s="155">
        <f ca="1">J87+(IF($L$2=TRUE,IF(MONTH(B87)&gt;=4,IF(MONTH(B87)&lt;=10,L87,M87),M87),0))+(IF('Pricing Inputs'!$AN$3=2,O87,0))</f>
        <v>4.3970000000000002</v>
      </c>
      <c r="Q87" s="155"/>
      <c r="R87" s="336">
        <f t="shared" ca="1" si="12"/>
        <v>38749</v>
      </c>
      <c r="S87" s="171">
        <f t="shared" si="13"/>
        <v>1.38</v>
      </c>
      <c r="T87" s="170">
        <f t="shared" si="16"/>
        <v>1.45</v>
      </c>
      <c r="U87" s="172">
        <f t="shared" si="14"/>
        <v>1.52</v>
      </c>
      <c r="BP87" s="131">
        <f t="shared" si="10"/>
        <v>86</v>
      </c>
      <c r="BQ87" s="185" t="s">
        <v>270</v>
      </c>
      <c r="BR87" s="130" t="s">
        <v>178</v>
      </c>
      <c r="BS87" s="129" t="s">
        <v>204</v>
      </c>
      <c r="BT87" s="135" t="s">
        <v>180</v>
      </c>
      <c r="BU87" s="135"/>
      <c r="BV87" s="129">
        <v>1</v>
      </c>
      <c r="BW87" s="130" t="s">
        <v>869</v>
      </c>
      <c r="BX87"/>
      <c r="BZ87" s="131">
        <f t="shared" si="11"/>
        <v>86</v>
      </c>
      <c r="CA87" s="4" t="s">
        <v>494</v>
      </c>
      <c r="CB87" s="130" t="s">
        <v>181</v>
      </c>
      <c r="CC87" s="129" t="s">
        <v>179</v>
      </c>
      <c r="CD87" s="135" t="s">
        <v>180</v>
      </c>
      <c r="CE87" s="135"/>
      <c r="CF87" s="129">
        <v>1</v>
      </c>
      <c r="CG87" s="130" t="s">
        <v>684</v>
      </c>
      <c r="CH87"/>
    </row>
    <row r="88" spans="1:86" ht="12.75">
      <c r="A88" s="153"/>
      <c r="B88" s="146">
        <f t="shared" ca="1" si="15"/>
        <v>38777</v>
      </c>
      <c r="C88" s="141">
        <v>7.3369401101469001E-2</v>
      </c>
      <c r="D88" s="156">
        <v>1</v>
      </c>
      <c r="E88" s="156">
        <v>1</v>
      </c>
      <c r="F88" s="156">
        <v>0.151</v>
      </c>
      <c r="G88" s="156">
        <v>0.1585</v>
      </c>
      <c r="H88" s="156">
        <v>0.16600000000000001</v>
      </c>
      <c r="I88" s="155">
        <v>2.8770000000000002</v>
      </c>
      <c r="J88" s="156">
        <v>2.8820000000000001</v>
      </c>
      <c r="K88" s="141">
        <v>2.887</v>
      </c>
      <c r="L88" s="156">
        <v>-6.8125000000000005E-2</v>
      </c>
      <c r="M88" s="141">
        <v>0.86499999999999999</v>
      </c>
      <c r="O88" s="125">
        <f ca="1">(IF(MONTH(B88)&gt;=4,IF(MONTH(B88)&lt;=10,Inputs!$H$2,Inputs!$H$3),Inputs!$H$3))</f>
        <v>6.5000000000000002E-2</v>
      </c>
      <c r="P88" s="155">
        <f ca="1">J88+(IF($L$2=TRUE,IF(MONTH(B88)&gt;=4,IF(MONTH(B88)&lt;=10,L88,M88),M88),0))+(IF('Pricing Inputs'!$AN$3=2,O88,0))</f>
        <v>3.7469999999999999</v>
      </c>
      <c r="Q88" s="155"/>
      <c r="R88" s="336">
        <f t="shared" ca="1" si="12"/>
        <v>38777</v>
      </c>
      <c r="S88" s="171">
        <f t="shared" si="13"/>
        <v>0.92999999999999994</v>
      </c>
      <c r="T88" s="170">
        <f t="shared" si="16"/>
        <v>1</v>
      </c>
      <c r="U88" s="172">
        <f t="shared" si="14"/>
        <v>1.07</v>
      </c>
      <c r="BP88" s="131">
        <f t="shared" si="10"/>
        <v>87</v>
      </c>
      <c r="BQ88" s="185" t="s">
        <v>271</v>
      </c>
      <c r="BR88" s="130" t="s">
        <v>178</v>
      </c>
      <c r="BS88" s="129" t="s">
        <v>204</v>
      </c>
      <c r="BT88" s="135" t="s">
        <v>180</v>
      </c>
      <c r="BU88" s="135"/>
      <c r="BV88" s="129">
        <v>1</v>
      </c>
      <c r="BW88" s="130" t="s">
        <v>870</v>
      </c>
      <c r="BX88"/>
      <c r="BZ88" s="131">
        <f t="shared" si="11"/>
        <v>87</v>
      </c>
      <c r="CA88" s="4" t="s">
        <v>495</v>
      </c>
      <c r="CB88" s="130" t="s">
        <v>181</v>
      </c>
      <c r="CC88" s="129" t="s">
        <v>179</v>
      </c>
      <c r="CD88" s="135" t="s">
        <v>180</v>
      </c>
      <c r="CE88" s="135"/>
      <c r="CF88" s="129">
        <v>1</v>
      </c>
      <c r="CG88" s="130" t="s">
        <v>685</v>
      </c>
      <c r="CH88"/>
    </row>
    <row r="89" spans="1:86" ht="12.75">
      <c r="A89" s="153"/>
      <c r="B89" s="146">
        <f t="shared" ca="1" si="15"/>
        <v>38808</v>
      </c>
      <c r="C89" s="141">
        <v>7.339425441540301E-2</v>
      </c>
      <c r="D89" s="156">
        <v>0.45</v>
      </c>
      <c r="E89" s="156">
        <v>0.45</v>
      </c>
      <c r="F89" s="156">
        <v>0.15</v>
      </c>
      <c r="G89" s="156">
        <v>0.1575</v>
      </c>
      <c r="H89" s="156">
        <v>0.16500000000000001</v>
      </c>
      <c r="I89" s="155">
        <v>2.8275000000000001</v>
      </c>
      <c r="J89" s="156">
        <v>2.8325</v>
      </c>
      <c r="K89" s="141">
        <v>2.8374999999999999</v>
      </c>
      <c r="L89" s="156">
        <v>-5.6875000000000002E-2</v>
      </c>
      <c r="M89" s="141">
        <v>0.37</v>
      </c>
      <c r="O89" s="125">
        <f ca="1">(IF(MONTH(B89)&gt;=4,IF(MONTH(B89)&lt;=10,Inputs!$H$2,Inputs!$H$3),Inputs!$H$3))</f>
        <v>6.5000000000000002E-2</v>
      </c>
      <c r="P89" s="155">
        <f ca="1">J89+(IF($L$2=TRUE,IF(MONTH(B89)&gt;=4,IF(MONTH(B89)&lt;=10,L89,M89),M89),0))+(IF('Pricing Inputs'!$AN$3=2,O89,0))</f>
        <v>2.7756250000000002</v>
      </c>
      <c r="Q89" s="155"/>
      <c r="R89" s="336">
        <f t="shared" ca="1" si="12"/>
        <v>38808</v>
      </c>
      <c r="S89" s="171">
        <f t="shared" si="13"/>
        <v>0.38</v>
      </c>
      <c r="T89" s="170">
        <f t="shared" si="16"/>
        <v>0.45</v>
      </c>
      <c r="U89" s="172">
        <f t="shared" si="14"/>
        <v>0.52</v>
      </c>
      <c r="BP89" s="131">
        <f t="shared" si="10"/>
        <v>88</v>
      </c>
      <c r="BQ89" s="185" t="s">
        <v>272</v>
      </c>
      <c r="BR89" s="130" t="s">
        <v>178</v>
      </c>
      <c r="BS89" s="129" t="s">
        <v>204</v>
      </c>
      <c r="BT89" s="135" t="s">
        <v>180</v>
      </c>
      <c r="BU89" s="135"/>
      <c r="BV89" s="129">
        <v>1</v>
      </c>
      <c r="BW89" s="130" t="s">
        <v>871</v>
      </c>
      <c r="BX89"/>
      <c r="BZ89" s="131">
        <f t="shared" si="11"/>
        <v>88</v>
      </c>
      <c r="CA89" s="4" t="s">
        <v>496</v>
      </c>
      <c r="CB89" s="130" t="s">
        <v>181</v>
      </c>
      <c r="CC89" s="129" t="s">
        <v>179</v>
      </c>
      <c r="CD89" s="135" t="s">
        <v>180</v>
      </c>
      <c r="CE89" s="135"/>
      <c r="CF89" s="129">
        <v>1</v>
      </c>
      <c r="CG89" s="130" t="s">
        <v>686</v>
      </c>
      <c r="CH89"/>
    </row>
    <row r="90" spans="1:86" ht="12.75">
      <c r="A90" s="153"/>
      <c r="B90" s="146">
        <f t="shared" ca="1" si="15"/>
        <v>38838</v>
      </c>
      <c r="C90" s="141">
        <v>7.3418306009727E-2</v>
      </c>
      <c r="D90" s="156">
        <v>0.5</v>
      </c>
      <c r="E90" s="156">
        <v>0.5</v>
      </c>
      <c r="F90" s="156">
        <v>0.15</v>
      </c>
      <c r="G90" s="156">
        <v>0.1575</v>
      </c>
      <c r="H90" s="156">
        <v>0.16500000000000001</v>
      </c>
      <c r="I90" s="155">
        <v>2.8015000000000003</v>
      </c>
      <c r="J90" s="156">
        <v>2.8065000000000002</v>
      </c>
      <c r="K90" s="141">
        <v>2.8115000000000001</v>
      </c>
      <c r="L90" s="156">
        <v>-5.5625000000000001E-2</v>
      </c>
      <c r="M90" s="141">
        <v>0.2525</v>
      </c>
      <c r="O90" s="125">
        <f ca="1">(IF(MONTH(B90)&gt;=4,IF(MONTH(B90)&lt;=10,Inputs!$H$2,Inputs!$H$3),Inputs!$H$3))</f>
        <v>6.5000000000000002E-2</v>
      </c>
      <c r="P90" s="155">
        <f ca="1">J90+(IF($L$2=TRUE,IF(MONTH(B90)&gt;=4,IF(MONTH(B90)&lt;=10,L90,M90),M90),0))+(IF('Pricing Inputs'!$AN$3=2,O90,0))</f>
        <v>2.7508750000000002</v>
      </c>
      <c r="Q90" s="155"/>
      <c r="R90" s="336">
        <f t="shared" ca="1" si="12"/>
        <v>38838</v>
      </c>
      <c r="S90" s="171">
        <f t="shared" si="13"/>
        <v>0.43</v>
      </c>
      <c r="T90" s="170">
        <f t="shared" si="16"/>
        <v>0.5</v>
      </c>
      <c r="U90" s="172">
        <f t="shared" si="14"/>
        <v>0.57000000000000006</v>
      </c>
      <c r="BP90" s="131">
        <f t="shared" si="10"/>
        <v>89</v>
      </c>
      <c r="BQ90" s="185" t="s">
        <v>273</v>
      </c>
      <c r="BR90" s="130" t="s">
        <v>178</v>
      </c>
      <c r="BS90" s="129" t="s">
        <v>204</v>
      </c>
      <c r="BT90" s="135" t="s">
        <v>180</v>
      </c>
      <c r="BU90" s="135"/>
      <c r="BV90" s="129">
        <v>1</v>
      </c>
      <c r="BW90" s="130" t="s">
        <v>872</v>
      </c>
      <c r="BX90"/>
      <c r="BZ90" s="131">
        <f t="shared" si="11"/>
        <v>89</v>
      </c>
      <c r="CA90" s="4" t="s">
        <v>497</v>
      </c>
      <c r="CB90" s="130" t="s">
        <v>181</v>
      </c>
      <c r="CC90" s="129" t="s">
        <v>179</v>
      </c>
      <c r="CD90" s="135" t="s">
        <v>180</v>
      </c>
      <c r="CE90" s="135"/>
      <c r="CF90" s="129">
        <v>1</v>
      </c>
      <c r="CG90" s="130" t="s">
        <v>687</v>
      </c>
      <c r="CH90"/>
    </row>
    <row r="91" spans="1:86" ht="12.75">
      <c r="A91" s="153"/>
      <c r="B91" s="146">
        <f t="shared" ca="1" si="15"/>
        <v>38869</v>
      </c>
      <c r="C91" s="141">
        <v>7.3443159324062993E-2</v>
      </c>
      <c r="D91" s="156">
        <v>0.5</v>
      </c>
      <c r="E91" s="156">
        <v>0.5</v>
      </c>
      <c r="F91" s="156">
        <v>0.15</v>
      </c>
      <c r="G91" s="156">
        <v>0.1575</v>
      </c>
      <c r="H91" s="156">
        <v>0.16500000000000001</v>
      </c>
      <c r="I91" s="155">
        <v>2.8075000000000001</v>
      </c>
      <c r="J91" s="156">
        <v>2.8125</v>
      </c>
      <c r="K91" s="141">
        <v>2.8174999999999999</v>
      </c>
      <c r="L91" s="156">
        <v>-5.5625000000000001E-2</v>
      </c>
      <c r="M91" s="141">
        <v>0.2525</v>
      </c>
      <c r="O91" s="125">
        <f ca="1">(IF(MONTH(B91)&gt;=4,IF(MONTH(B91)&lt;=10,Inputs!$H$2,Inputs!$H$3),Inputs!$H$3))</f>
        <v>6.5000000000000002E-2</v>
      </c>
      <c r="P91" s="155">
        <f ca="1">J91+(IF($L$2=TRUE,IF(MONTH(B91)&gt;=4,IF(MONTH(B91)&lt;=10,L91,M91),M91),0))+(IF('Pricing Inputs'!$AN$3=2,O91,0))</f>
        <v>2.756875</v>
      </c>
      <c r="Q91" s="155"/>
      <c r="R91" s="336">
        <f t="shared" ca="1" si="12"/>
        <v>38869</v>
      </c>
      <c r="S91" s="171">
        <f t="shared" si="13"/>
        <v>0.43</v>
      </c>
      <c r="T91" s="170">
        <f t="shared" si="16"/>
        <v>0.5</v>
      </c>
      <c r="U91" s="172">
        <f t="shared" si="14"/>
        <v>0.57000000000000006</v>
      </c>
      <c r="BP91" s="131">
        <f t="shared" si="10"/>
        <v>90</v>
      </c>
      <c r="BQ91" s="185" t="s">
        <v>274</v>
      </c>
      <c r="BR91" s="130" t="s">
        <v>178</v>
      </c>
      <c r="BS91" s="129" t="s">
        <v>204</v>
      </c>
      <c r="BT91" s="135" t="s">
        <v>180</v>
      </c>
      <c r="BU91" s="135"/>
      <c r="BV91" s="129">
        <v>1</v>
      </c>
      <c r="BW91" s="130" t="s">
        <v>873</v>
      </c>
      <c r="BX91"/>
      <c r="BZ91" s="131">
        <f t="shared" si="11"/>
        <v>90</v>
      </c>
      <c r="CA91" s="4" t="s">
        <v>498</v>
      </c>
      <c r="CB91" s="130" t="s">
        <v>181</v>
      </c>
      <c r="CC91" s="129" t="s">
        <v>179</v>
      </c>
      <c r="CD91" s="135" t="s">
        <v>180</v>
      </c>
      <c r="CE91" s="135"/>
      <c r="CF91" s="129">
        <v>1</v>
      </c>
      <c r="CG91" s="130" t="s">
        <v>688</v>
      </c>
      <c r="CH91"/>
    </row>
    <row r="92" spans="1:86" ht="12.75">
      <c r="A92" s="153"/>
      <c r="B92" s="146">
        <f t="shared" ca="1" si="15"/>
        <v>38899</v>
      </c>
      <c r="C92" s="141">
        <v>7.3467210918776005E-2</v>
      </c>
      <c r="D92" s="156">
        <v>0.5</v>
      </c>
      <c r="E92" s="156">
        <v>0.5</v>
      </c>
      <c r="F92" s="156">
        <v>0.15</v>
      </c>
      <c r="G92" s="156">
        <v>0.1575</v>
      </c>
      <c r="H92" s="156">
        <v>0.16500000000000001</v>
      </c>
      <c r="I92" s="155">
        <v>2.8174999999999999</v>
      </c>
      <c r="J92" s="156">
        <v>2.8224999999999998</v>
      </c>
      <c r="K92" s="141">
        <v>2.8275000000000001</v>
      </c>
      <c r="L92" s="156">
        <v>-5.5E-2</v>
      </c>
      <c r="M92" s="141">
        <v>0.25750000000000001</v>
      </c>
      <c r="O92" s="125">
        <f ca="1">(IF(MONTH(B92)&gt;=4,IF(MONTH(B92)&lt;=10,Inputs!$H$2,Inputs!$H$3),Inputs!$H$3))</f>
        <v>6.5000000000000002E-2</v>
      </c>
      <c r="P92" s="155">
        <f ca="1">J92+(IF($L$2=TRUE,IF(MONTH(B92)&gt;=4,IF(MONTH(B92)&lt;=10,L92,M92),M92),0))+(IF('Pricing Inputs'!$AN$3=2,O92,0))</f>
        <v>2.7674999999999996</v>
      </c>
      <c r="Q92" s="155"/>
      <c r="R92" s="336">
        <f t="shared" ca="1" si="12"/>
        <v>38899</v>
      </c>
      <c r="S92" s="171">
        <f t="shared" si="13"/>
        <v>0.43</v>
      </c>
      <c r="T92" s="170">
        <f t="shared" si="16"/>
        <v>0.5</v>
      </c>
      <c r="U92" s="172">
        <f t="shared" si="14"/>
        <v>0.57000000000000006</v>
      </c>
      <c r="BP92" s="131">
        <f t="shared" si="10"/>
        <v>91</v>
      </c>
      <c r="BQ92" s="185" t="s">
        <v>275</v>
      </c>
      <c r="BR92" s="130" t="s">
        <v>178</v>
      </c>
      <c r="BS92" s="129" t="s">
        <v>204</v>
      </c>
      <c r="BT92" s="135" t="s">
        <v>180</v>
      </c>
      <c r="BU92" s="135"/>
      <c r="BV92" s="129">
        <v>1</v>
      </c>
      <c r="BW92" s="130" t="s">
        <v>874</v>
      </c>
      <c r="BX92"/>
      <c r="BZ92" s="131">
        <f t="shared" si="11"/>
        <v>91</v>
      </c>
      <c r="CA92" s="4" t="s">
        <v>499</v>
      </c>
      <c r="CB92" s="130" t="s">
        <v>181</v>
      </c>
      <c r="CC92" s="129" t="s">
        <v>179</v>
      </c>
      <c r="CD92" s="135" t="s">
        <v>180</v>
      </c>
      <c r="CE92" s="135"/>
      <c r="CF92" s="129">
        <v>1</v>
      </c>
      <c r="CG92" s="130" t="s">
        <v>689</v>
      </c>
      <c r="CH92"/>
    </row>
    <row r="93" spans="1:86" ht="12.75">
      <c r="A93" s="153"/>
      <c r="B93" s="146">
        <f t="shared" ca="1" si="15"/>
        <v>38930</v>
      </c>
      <c r="C93" s="141">
        <v>7.3492064233512996E-2</v>
      </c>
      <c r="D93" s="156">
        <v>0.6</v>
      </c>
      <c r="E93" s="156">
        <v>0.6</v>
      </c>
      <c r="F93" s="156">
        <v>0.15</v>
      </c>
      <c r="G93" s="156">
        <v>0.1575</v>
      </c>
      <c r="H93" s="156">
        <v>0.16500000000000001</v>
      </c>
      <c r="I93" s="155">
        <v>2.8245</v>
      </c>
      <c r="J93" s="156">
        <v>2.8295000000000003</v>
      </c>
      <c r="K93" s="141">
        <v>2.8345000000000002</v>
      </c>
      <c r="L93" s="156">
        <v>-5.5E-2</v>
      </c>
      <c r="M93" s="141">
        <v>0.25750000000000001</v>
      </c>
      <c r="O93" s="125">
        <f ca="1">(IF(MONTH(B93)&gt;=4,IF(MONTH(B93)&lt;=10,Inputs!$H$2,Inputs!$H$3),Inputs!$H$3))</f>
        <v>6.5000000000000002E-2</v>
      </c>
      <c r="P93" s="155">
        <f ca="1">J93+(IF($L$2=TRUE,IF(MONTH(B93)&gt;=4,IF(MONTH(B93)&lt;=10,L93,M93),M93),0))+(IF('Pricing Inputs'!$AN$3=2,O93,0))</f>
        <v>2.7745000000000002</v>
      </c>
      <c r="Q93" s="155"/>
      <c r="R93" s="336">
        <f t="shared" ca="1" si="12"/>
        <v>38930</v>
      </c>
      <c r="S93" s="171">
        <f t="shared" si="13"/>
        <v>0.53</v>
      </c>
      <c r="T93" s="170">
        <f t="shared" si="16"/>
        <v>0.6</v>
      </c>
      <c r="U93" s="172">
        <f t="shared" si="14"/>
        <v>0.66999999999999993</v>
      </c>
      <c r="BP93" s="131">
        <f t="shared" si="10"/>
        <v>92</v>
      </c>
      <c r="BQ93" s="185" t="s">
        <v>276</v>
      </c>
      <c r="BR93" s="130" t="s">
        <v>178</v>
      </c>
      <c r="BS93" s="129" t="s">
        <v>204</v>
      </c>
      <c r="BT93" s="135" t="s">
        <v>180</v>
      </c>
      <c r="BU93" s="135"/>
      <c r="BV93" s="129">
        <v>1</v>
      </c>
      <c r="BW93" s="130" t="s">
        <v>875</v>
      </c>
      <c r="BX93"/>
      <c r="BZ93" s="131">
        <f t="shared" si="11"/>
        <v>92</v>
      </c>
      <c r="CA93" s="4" t="s">
        <v>500</v>
      </c>
      <c r="CB93" s="130" t="s">
        <v>181</v>
      </c>
      <c r="CC93" s="129" t="s">
        <v>179</v>
      </c>
      <c r="CD93" s="135" t="s">
        <v>180</v>
      </c>
      <c r="CE93" s="135"/>
      <c r="CF93" s="129">
        <v>1</v>
      </c>
      <c r="CG93" s="130" t="s">
        <v>690</v>
      </c>
      <c r="CH93"/>
    </row>
    <row r="94" spans="1:86" ht="12.75">
      <c r="A94" s="153"/>
      <c r="B94" s="146">
        <f t="shared" ca="1" si="15"/>
        <v>38961</v>
      </c>
      <c r="C94" s="141">
        <v>7.3516917548453006E-2</v>
      </c>
      <c r="D94" s="156">
        <v>0.6</v>
      </c>
      <c r="E94" s="156">
        <v>0.6</v>
      </c>
      <c r="F94" s="156">
        <v>0.15</v>
      </c>
      <c r="G94" s="156">
        <v>0.1575</v>
      </c>
      <c r="H94" s="156">
        <v>0.16500000000000001</v>
      </c>
      <c r="I94" s="155">
        <v>2.8315000000000001</v>
      </c>
      <c r="J94" s="156">
        <v>2.8365</v>
      </c>
      <c r="K94" s="141">
        <v>2.8414999999999999</v>
      </c>
      <c r="L94" s="156">
        <v>-5.5625000000000001E-2</v>
      </c>
      <c r="M94" s="141">
        <v>0.2525</v>
      </c>
      <c r="O94" s="125">
        <f ca="1">(IF(MONTH(B94)&gt;=4,IF(MONTH(B94)&lt;=10,Inputs!$H$2,Inputs!$H$3),Inputs!$H$3))</f>
        <v>6.5000000000000002E-2</v>
      </c>
      <c r="P94" s="155">
        <f ca="1">J94+(IF($L$2=TRUE,IF(MONTH(B94)&gt;=4,IF(MONTH(B94)&lt;=10,L94,M94),M94),0))+(IF('Pricing Inputs'!$AN$3=2,O94,0))</f>
        <v>2.780875</v>
      </c>
      <c r="Q94" s="155"/>
      <c r="R94" s="336">
        <f t="shared" ca="1" si="12"/>
        <v>38961</v>
      </c>
      <c r="S94" s="171">
        <f t="shared" si="13"/>
        <v>0.53</v>
      </c>
      <c r="T94" s="170">
        <f t="shared" si="16"/>
        <v>0.6</v>
      </c>
      <c r="U94" s="172">
        <f t="shared" si="14"/>
        <v>0.66999999999999993</v>
      </c>
      <c r="BP94" s="131">
        <f t="shared" si="10"/>
        <v>93</v>
      </c>
      <c r="BQ94" s="185" t="s">
        <v>277</v>
      </c>
      <c r="BR94" s="130" t="s">
        <v>178</v>
      </c>
      <c r="BS94" s="129" t="s">
        <v>204</v>
      </c>
      <c r="BT94" s="135" t="s">
        <v>180</v>
      </c>
      <c r="BU94" s="135"/>
      <c r="BV94" s="129">
        <v>1</v>
      </c>
      <c r="BW94" s="130" t="s">
        <v>876</v>
      </c>
      <c r="BX94"/>
      <c r="BZ94" s="131">
        <f t="shared" si="11"/>
        <v>93</v>
      </c>
      <c r="CA94" s="4" t="s">
        <v>501</v>
      </c>
      <c r="CB94" s="130" t="s">
        <v>181</v>
      </c>
      <c r="CC94" s="129" t="s">
        <v>179</v>
      </c>
      <c r="CD94" s="135" t="s">
        <v>180</v>
      </c>
      <c r="CE94" s="135"/>
      <c r="CF94" s="129">
        <v>1</v>
      </c>
      <c r="CG94" s="130" t="s">
        <v>691</v>
      </c>
      <c r="CH94"/>
    </row>
    <row r="95" spans="1:86" ht="12.75">
      <c r="A95" s="153"/>
      <c r="B95" s="146">
        <f t="shared" ca="1" si="15"/>
        <v>38991</v>
      </c>
      <c r="C95" s="141">
        <v>7.3540969143751009E-2</v>
      </c>
      <c r="D95" s="156">
        <v>0.65</v>
      </c>
      <c r="E95" s="156">
        <v>0.65</v>
      </c>
      <c r="F95" s="156">
        <v>0.15</v>
      </c>
      <c r="G95" s="156">
        <v>0.1575</v>
      </c>
      <c r="H95" s="156">
        <v>0.16500000000000001</v>
      </c>
      <c r="I95" s="155">
        <v>2.8574999999999999</v>
      </c>
      <c r="J95" s="156">
        <v>2.8624999999999998</v>
      </c>
      <c r="K95" s="141">
        <v>2.8675000000000002</v>
      </c>
      <c r="L95" s="156">
        <v>-5.5625000000000001E-2</v>
      </c>
      <c r="M95" s="141">
        <v>0.255</v>
      </c>
      <c r="O95" s="125">
        <f ca="1">(IF(MONTH(B95)&gt;=4,IF(MONTH(B95)&lt;=10,Inputs!$H$2,Inputs!$H$3),Inputs!$H$3))</f>
        <v>6.5000000000000002E-2</v>
      </c>
      <c r="P95" s="155">
        <f ca="1">J95+(IF($L$2=TRUE,IF(MONTH(B95)&gt;=4,IF(MONTH(B95)&lt;=10,L95,M95),M95),0))+(IF('Pricing Inputs'!$AN$3=2,O95,0))</f>
        <v>2.8068749999999998</v>
      </c>
      <c r="Q95" s="155"/>
      <c r="R95" s="336">
        <f t="shared" ca="1" si="12"/>
        <v>38991</v>
      </c>
      <c r="S95" s="171">
        <f t="shared" si="13"/>
        <v>0.58000000000000007</v>
      </c>
      <c r="T95" s="170">
        <f t="shared" si="16"/>
        <v>0.65</v>
      </c>
      <c r="U95" s="172">
        <f t="shared" si="14"/>
        <v>0.72</v>
      </c>
      <c r="BP95" s="131">
        <f t="shared" si="10"/>
        <v>94</v>
      </c>
      <c r="BQ95" s="185" t="s">
        <v>278</v>
      </c>
      <c r="BR95" s="130" t="s">
        <v>178</v>
      </c>
      <c r="BS95" s="129" t="s">
        <v>204</v>
      </c>
      <c r="BT95" s="135" t="s">
        <v>180</v>
      </c>
      <c r="BU95" s="135"/>
      <c r="BV95" s="129">
        <v>1</v>
      </c>
      <c r="BW95" s="130" t="s">
        <v>877</v>
      </c>
      <c r="BX95"/>
      <c r="BZ95" s="131">
        <f t="shared" si="11"/>
        <v>94</v>
      </c>
      <c r="CA95" s="4" t="s">
        <v>502</v>
      </c>
      <c r="CB95" s="130" t="s">
        <v>181</v>
      </c>
      <c r="CC95" s="129" t="s">
        <v>179</v>
      </c>
      <c r="CD95" s="135" t="s">
        <v>180</v>
      </c>
      <c r="CE95" s="135"/>
      <c r="CF95" s="129">
        <v>1</v>
      </c>
      <c r="CG95" s="130" t="s">
        <v>692</v>
      </c>
      <c r="CH95"/>
    </row>
    <row r="96" spans="1:86" ht="12.75">
      <c r="A96" s="153"/>
      <c r="B96" s="146">
        <f t="shared" ca="1" si="15"/>
        <v>39022</v>
      </c>
      <c r="C96" s="141">
        <v>7.3565822459093003E-2</v>
      </c>
      <c r="D96" s="156">
        <v>0.95</v>
      </c>
      <c r="E96" s="156">
        <v>0.95</v>
      </c>
      <c r="F96" s="156">
        <v>0.15</v>
      </c>
      <c r="G96" s="156">
        <v>0.1575</v>
      </c>
      <c r="H96" s="156">
        <v>0.16500000000000001</v>
      </c>
      <c r="I96" s="155">
        <v>2.9925000000000002</v>
      </c>
      <c r="J96" s="156">
        <v>2.9975000000000001</v>
      </c>
      <c r="K96" s="141">
        <v>3.0024999999999999</v>
      </c>
      <c r="L96" s="156">
        <v>-6.7500000000000004E-2</v>
      </c>
      <c r="M96" s="141">
        <v>0.71499999999999997</v>
      </c>
      <c r="O96" s="125">
        <f ca="1">(IF(MONTH(B96)&gt;=4,IF(MONTH(B96)&lt;=10,Inputs!$H$2,Inputs!$H$3),Inputs!$H$3))</f>
        <v>6.5000000000000002E-2</v>
      </c>
      <c r="P96" s="155">
        <f ca="1">J96+(IF($L$2=TRUE,IF(MONTH(B96)&gt;=4,IF(MONTH(B96)&lt;=10,L96,M96),M96),0))+(IF('Pricing Inputs'!$AN$3=2,O96,0))</f>
        <v>3.7124999999999999</v>
      </c>
      <c r="Q96" s="155"/>
      <c r="R96" s="336">
        <f t="shared" ca="1" si="12"/>
        <v>39022</v>
      </c>
      <c r="S96" s="171">
        <f t="shared" si="13"/>
        <v>0.87999999999999989</v>
      </c>
      <c r="T96" s="170">
        <f t="shared" si="16"/>
        <v>0.95</v>
      </c>
      <c r="U96" s="172">
        <f t="shared" si="14"/>
        <v>1.02</v>
      </c>
      <c r="BP96" s="131">
        <f t="shared" si="10"/>
        <v>95</v>
      </c>
      <c r="BQ96" s="185" t="s">
        <v>279</v>
      </c>
      <c r="BR96" s="130" t="s">
        <v>178</v>
      </c>
      <c r="BS96" s="129" t="s">
        <v>204</v>
      </c>
      <c r="BT96" s="135" t="s">
        <v>180</v>
      </c>
      <c r="BU96" s="135"/>
      <c r="BV96" s="129">
        <v>1</v>
      </c>
      <c r="BW96" s="130" t="s">
        <v>878</v>
      </c>
      <c r="BX96"/>
      <c r="BZ96" s="131">
        <f t="shared" si="11"/>
        <v>95</v>
      </c>
      <c r="CA96" s="4" t="s">
        <v>503</v>
      </c>
      <c r="CB96" s="130" t="s">
        <v>181</v>
      </c>
      <c r="CC96" s="129" t="s">
        <v>179</v>
      </c>
      <c r="CD96" s="135" t="s">
        <v>180</v>
      </c>
      <c r="CE96" s="135"/>
      <c r="CF96" s="129">
        <v>1</v>
      </c>
      <c r="CG96" s="130" t="s">
        <v>693</v>
      </c>
      <c r="CH96"/>
    </row>
    <row r="97" spans="1:86" ht="12.75">
      <c r="A97" s="153"/>
      <c r="B97" s="146">
        <f t="shared" ca="1" si="15"/>
        <v>39052</v>
      </c>
      <c r="C97" s="141">
        <v>7.3589874054779E-2</v>
      </c>
      <c r="D97" s="156">
        <v>1.25</v>
      </c>
      <c r="E97" s="156">
        <v>1.25</v>
      </c>
      <c r="F97" s="156">
        <v>0.15</v>
      </c>
      <c r="G97" s="156">
        <v>0.1575</v>
      </c>
      <c r="H97" s="156">
        <v>0.16500000000000001</v>
      </c>
      <c r="I97" s="155">
        <v>3.1165000000000003</v>
      </c>
      <c r="J97" s="156">
        <v>3.1215000000000002</v>
      </c>
      <c r="K97" s="141">
        <v>3.1265000000000001</v>
      </c>
      <c r="L97" s="156">
        <v>-7.3749999999999996E-2</v>
      </c>
      <c r="M97" s="141">
        <v>1.03</v>
      </c>
      <c r="O97" s="125">
        <f ca="1">(IF(MONTH(B97)&gt;=4,IF(MONTH(B97)&lt;=10,Inputs!$H$2,Inputs!$H$3),Inputs!$H$3))</f>
        <v>6.5000000000000002E-2</v>
      </c>
      <c r="P97" s="155">
        <f ca="1">J97+(IF($L$2=TRUE,IF(MONTH(B97)&gt;=4,IF(MONTH(B97)&lt;=10,L97,M97),M97),0))+(IF('Pricing Inputs'!$AN$3=2,O97,0))</f>
        <v>4.1515000000000004</v>
      </c>
      <c r="Q97" s="155"/>
      <c r="R97" s="336">
        <f t="shared" ca="1" si="12"/>
        <v>39052</v>
      </c>
      <c r="S97" s="171">
        <f t="shared" si="13"/>
        <v>1.18</v>
      </c>
      <c r="T97" s="170">
        <f t="shared" si="16"/>
        <v>1.25</v>
      </c>
      <c r="U97" s="172">
        <f t="shared" si="14"/>
        <v>1.32</v>
      </c>
      <c r="BP97" s="131">
        <f t="shared" si="10"/>
        <v>96</v>
      </c>
      <c r="BQ97" s="185" t="s">
        <v>280</v>
      </c>
      <c r="BR97" s="130" t="s">
        <v>178</v>
      </c>
      <c r="BS97" s="129" t="s">
        <v>204</v>
      </c>
      <c r="BT97" s="135" t="s">
        <v>180</v>
      </c>
      <c r="BU97" s="135"/>
      <c r="BV97" s="129">
        <v>1</v>
      </c>
      <c r="BW97" s="130" t="s">
        <v>879</v>
      </c>
      <c r="BX97"/>
      <c r="BZ97" s="131">
        <f t="shared" si="11"/>
        <v>96</v>
      </c>
      <c r="CA97" s="4" t="s">
        <v>504</v>
      </c>
      <c r="CB97" s="130" t="s">
        <v>181</v>
      </c>
      <c r="CC97" s="129" t="s">
        <v>179</v>
      </c>
      <c r="CD97" s="135" t="s">
        <v>180</v>
      </c>
      <c r="CE97" s="135"/>
      <c r="CF97" s="129">
        <v>1</v>
      </c>
      <c r="CG97" s="130" t="s">
        <v>694</v>
      </c>
      <c r="CH97"/>
    </row>
    <row r="98" spans="1:86" ht="12.75">
      <c r="A98" s="153"/>
      <c r="B98" s="146">
        <f t="shared" ca="1" si="15"/>
        <v>39083</v>
      </c>
      <c r="C98" s="141">
        <v>7.3614727370522992E-2</v>
      </c>
      <c r="D98" s="156">
        <v>1.45</v>
      </c>
      <c r="E98" s="156">
        <v>1.45</v>
      </c>
      <c r="F98" s="156">
        <v>0.15</v>
      </c>
      <c r="G98" s="156">
        <v>0.1575</v>
      </c>
      <c r="H98" s="156">
        <v>0.16500000000000001</v>
      </c>
      <c r="I98" s="155">
        <v>3.1749999999999998</v>
      </c>
      <c r="J98" s="156">
        <v>3.18</v>
      </c>
      <c r="K98" s="141">
        <v>3.1850000000000001</v>
      </c>
      <c r="L98" s="156">
        <v>-7.3749999999999996E-2</v>
      </c>
      <c r="M98" s="141">
        <v>1.4950000000000001</v>
      </c>
      <c r="O98" s="125">
        <f ca="1">(IF(MONTH(B98)&gt;=4,IF(MONTH(B98)&lt;=10,Inputs!$H$2,Inputs!$H$3),Inputs!$H$3))</f>
        <v>6.5000000000000002E-2</v>
      </c>
      <c r="P98" s="155">
        <f ca="1">J98+(IF($L$2=TRUE,IF(MONTH(B98)&gt;=4,IF(MONTH(B98)&lt;=10,L98,M98),M98),0))+(IF('Pricing Inputs'!$AN$3=2,O98,0))</f>
        <v>4.6750000000000007</v>
      </c>
      <c r="Q98" s="155"/>
      <c r="R98" s="336">
        <f t="shared" ca="1" si="12"/>
        <v>39083</v>
      </c>
      <c r="S98" s="171">
        <f t="shared" si="13"/>
        <v>1.38</v>
      </c>
      <c r="T98" s="170">
        <f t="shared" si="16"/>
        <v>1.45</v>
      </c>
      <c r="U98" s="172">
        <f t="shared" si="14"/>
        <v>1.52</v>
      </c>
      <c r="BP98" s="131">
        <f t="shared" si="10"/>
        <v>97</v>
      </c>
      <c r="BQ98" s="185" t="s">
        <v>281</v>
      </c>
      <c r="BR98" s="130" t="s">
        <v>178</v>
      </c>
      <c r="BS98" s="129" t="s">
        <v>204</v>
      </c>
      <c r="BT98" s="135" t="s">
        <v>180</v>
      </c>
      <c r="BU98" s="135"/>
      <c r="BV98" s="129">
        <v>1</v>
      </c>
      <c r="BW98" s="130" t="s">
        <v>880</v>
      </c>
      <c r="BX98"/>
      <c r="BZ98" s="131">
        <f t="shared" ref="BZ98:BZ129" si="17">BZ97+CF98</f>
        <v>97</v>
      </c>
      <c r="CA98" s="4" t="s">
        <v>505</v>
      </c>
      <c r="CB98" s="130" t="s">
        <v>181</v>
      </c>
      <c r="CC98" s="129" t="s">
        <v>179</v>
      </c>
      <c r="CD98" s="135" t="s">
        <v>180</v>
      </c>
      <c r="CE98" s="135"/>
      <c r="CF98" s="129">
        <v>1</v>
      </c>
      <c r="CG98" s="130" t="s">
        <v>695</v>
      </c>
      <c r="CH98"/>
    </row>
    <row r="99" spans="1:86" ht="12.75">
      <c r="A99" s="153"/>
      <c r="B99" s="146">
        <f t="shared" ca="1" si="15"/>
        <v>39114</v>
      </c>
      <c r="C99" s="141">
        <v>7.3639580686470002E-2</v>
      </c>
      <c r="D99" s="156">
        <v>1.45</v>
      </c>
      <c r="E99" s="156">
        <v>1.45</v>
      </c>
      <c r="F99" s="156">
        <v>0.15</v>
      </c>
      <c r="G99" s="156">
        <v>0.1575</v>
      </c>
      <c r="H99" s="156">
        <v>0.16500000000000001</v>
      </c>
      <c r="I99" s="155">
        <v>3.0569999999999999</v>
      </c>
      <c r="J99" s="156">
        <v>3.0620000000000003</v>
      </c>
      <c r="K99" s="141">
        <v>3.0670000000000002</v>
      </c>
      <c r="L99" s="156">
        <v>-7.1874999999999994E-2</v>
      </c>
      <c r="M99" s="141">
        <v>1.395</v>
      </c>
      <c r="O99" s="125">
        <f ca="1">(IF(MONTH(B99)&gt;=4,IF(MONTH(B99)&lt;=10,Inputs!$H$2,Inputs!$H$3),Inputs!$H$3))</f>
        <v>6.5000000000000002E-2</v>
      </c>
      <c r="P99" s="155">
        <f ca="1">J99+(IF($L$2=TRUE,IF(MONTH(B99)&gt;=4,IF(MONTH(B99)&lt;=10,L99,M99),M99),0))+(IF('Pricing Inputs'!$AN$3=2,O99,0))</f>
        <v>4.4570000000000007</v>
      </c>
      <c r="Q99" s="155"/>
      <c r="R99" s="336">
        <f t="shared" ca="1" si="12"/>
        <v>39114</v>
      </c>
      <c r="S99" s="171">
        <f t="shared" si="13"/>
        <v>1.38</v>
      </c>
      <c r="T99" s="170">
        <f t="shared" si="16"/>
        <v>1.45</v>
      </c>
      <c r="U99" s="172">
        <f t="shared" si="14"/>
        <v>1.52</v>
      </c>
      <c r="BP99" s="131">
        <f t="shared" si="10"/>
        <v>98</v>
      </c>
      <c r="BQ99" s="185" t="s">
        <v>282</v>
      </c>
      <c r="BR99" s="130" t="s">
        <v>178</v>
      </c>
      <c r="BS99" s="129" t="s">
        <v>204</v>
      </c>
      <c r="BT99" s="135" t="s">
        <v>180</v>
      </c>
      <c r="BU99" s="135"/>
      <c r="BV99" s="129">
        <v>1</v>
      </c>
      <c r="BW99" s="130" t="s">
        <v>881</v>
      </c>
      <c r="BX99"/>
      <c r="BZ99" s="131">
        <f t="shared" si="17"/>
        <v>98</v>
      </c>
      <c r="CA99" s="4" t="s">
        <v>506</v>
      </c>
      <c r="CB99" s="130" t="s">
        <v>181</v>
      </c>
      <c r="CC99" s="129" t="s">
        <v>179</v>
      </c>
      <c r="CD99" s="135" t="s">
        <v>180</v>
      </c>
      <c r="CE99" s="135"/>
      <c r="CF99" s="129">
        <v>1</v>
      </c>
      <c r="CG99" s="130" t="s">
        <v>696</v>
      </c>
      <c r="CH99"/>
    </row>
    <row r="100" spans="1:86" ht="12.75">
      <c r="A100" s="153"/>
      <c r="B100" s="146">
        <f t="shared" ca="1" si="15"/>
        <v>39142</v>
      </c>
      <c r="C100" s="141">
        <v>7.3662028842984992E-2</v>
      </c>
      <c r="D100" s="156">
        <v>1</v>
      </c>
      <c r="E100" s="156">
        <v>1</v>
      </c>
      <c r="F100" s="156">
        <v>0.15</v>
      </c>
      <c r="G100" s="156">
        <v>0.1575</v>
      </c>
      <c r="H100" s="156">
        <v>0.16500000000000001</v>
      </c>
      <c r="I100" s="155">
        <v>2.9370000000000003</v>
      </c>
      <c r="J100" s="156">
        <v>2.9420000000000002</v>
      </c>
      <c r="K100" s="141">
        <v>2.9470000000000001</v>
      </c>
      <c r="L100" s="156">
        <v>-6.6250000000000003E-2</v>
      </c>
      <c r="M100" s="141">
        <v>0.86499999999999999</v>
      </c>
      <c r="O100" s="125">
        <f ca="1">(IF(MONTH(B100)&gt;=4,IF(MONTH(B100)&lt;=10,Inputs!$H$2,Inputs!$H$3),Inputs!$H$3))</f>
        <v>6.5000000000000002E-2</v>
      </c>
      <c r="P100" s="155">
        <f ca="1">J100+(IF($L$2=TRUE,IF(MONTH(B100)&gt;=4,IF(MONTH(B100)&lt;=10,L100,M100),M100),0))+(IF('Pricing Inputs'!$AN$3=2,O100,0))</f>
        <v>3.8070000000000004</v>
      </c>
      <c r="Q100" s="155"/>
      <c r="R100" s="336">
        <f t="shared" ca="1" si="12"/>
        <v>39142</v>
      </c>
      <c r="S100" s="171">
        <f t="shared" si="13"/>
        <v>0.92999999999999994</v>
      </c>
      <c r="T100" s="170">
        <f t="shared" si="16"/>
        <v>1</v>
      </c>
      <c r="U100" s="172">
        <f t="shared" si="14"/>
        <v>1.07</v>
      </c>
      <c r="BP100" s="131">
        <f t="shared" si="10"/>
        <v>99</v>
      </c>
      <c r="BQ100" s="185" t="s">
        <v>283</v>
      </c>
      <c r="BR100" s="130" t="s">
        <v>178</v>
      </c>
      <c r="BS100" s="129" t="s">
        <v>204</v>
      </c>
      <c r="BT100" s="135" t="s">
        <v>180</v>
      </c>
      <c r="BU100" s="135"/>
      <c r="BV100" s="129">
        <v>1</v>
      </c>
      <c r="BW100" s="130" t="s">
        <v>882</v>
      </c>
      <c r="BX100"/>
      <c r="BZ100" s="131">
        <f t="shared" si="17"/>
        <v>99</v>
      </c>
      <c r="CA100" s="4" t="s">
        <v>507</v>
      </c>
      <c r="CB100" s="130" t="s">
        <v>181</v>
      </c>
      <c r="CC100" s="129" t="s">
        <v>179</v>
      </c>
      <c r="CD100" s="135" t="s">
        <v>180</v>
      </c>
      <c r="CE100" s="135"/>
      <c r="CF100" s="129">
        <v>1</v>
      </c>
      <c r="CG100" s="130" t="s">
        <v>697</v>
      </c>
      <c r="CH100"/>
    </row>
    <row r="101" spans="1:86" ht="12.75">
      <c r="A101" s="153"/>
      <c r="B101" s="146">
        <f t="shared" ca="1" si="15"/>
        <v>39173</v>
      </c>
      <c r="C101" s="141">
        <v>7.3678548860932003E-2</v>
      </c>
      <c r="D101" s="156">
        <v>0.45</v>
      </c>
      <c r="E101" s="156">
        <v>0.45</v>
      </c>
      <c r="F101" s="156">
        <v>0.15</v>
      </c>
      <c r="G101" s="156">
        <v>0.1575</v>
      </c>
      <c r="H101" s="156">
        <v>0.16500000000000001</v>
      </c>
      <c r="I101" s="155">
        <v>2.8875000000000002</v>
      </c>
      <c r="J101" s="156">
        <v>2.8925000000000001</v>
      </c>
      <c r="K101" s="141">
        <v>2.8975</v>
      </c>
      <c r="L101" s="156">
        <v>-5.3755840250000006E-2</v>
      </c>
      <c r="M101" s="141">
        <v>0.37</v>
      </c>
      <c r="O101" s="125">
        <f ca="1">(IF(MONTH(B101)&gt;=4,IF(MONTH(B101)&lt;=10,Inputs!$H$2,Inputs!$H$3),Inputs!$H$3))</f>
        <v>6.5000000000000002E-2</v>
      </c>
      <c r="P101" s="155">
        <f ca="1">J101+(IF($L$2=TRUE,IF(MONTH(B101)&gt;=4,IF(MONTH(B101)&lt;=10,L101,M101),M101),0))+(IF('Pricing Inputs'!$AN$3=2,O101,0))</f>
        <v>2.8387441597500001</v>
      </c>
      <c r="Q101" s="155"/>
      <c r="R101" s="336">
        <f t="shared" ca="1" si="12"/>
        <v>39173</v>
      </c>
      <c r="S101" s="171">
        <f t="shared" si="13"/>
        <v>0.38</v>
      </c>
      <c r="T101" s="170">
        <f t="shared" si="16"/>
        <v>0.45</v>
      </c>
      <c r="U101" s="172">
        <f t="shared" si="14"/>
        <v>0.52</v>
      </c>
      <c r="BP101" s="131">
        <f t="shared" si="10"/>
        <v>100</v>
      </c>
      <c r="BQ101" s="185" t="s">
        <v>284</v>
      </c>
      <c r="BR101" s="130" t="s">
        <v>178</v>
      </c>
      <c r="BS101" s="129" t="s">
        <v>204</v>
      </c>
      <c r="BT101" s="135" t="s">
        <v>180</v>
      </c>
      <c r="BU101" s="135"/>
      <c r="BV101" s="129">
        <v>1</v>
      </c>
      <c r="BW101" s="130" t="s">
        <v>883</v>
      </c>
      <c r="BX101"/>
      <c r="BZ101" s="131">
        <f t="shared" si="17"/>
        <v>100</v>
      </c>
      <c r="CA101" s="4" t="s">
        <v>508</v>
      </c>
      <c r="CB101" s="130" t="s">
        <v>181</v>
      </c>
      <c r="CC101" s="129" t="s">
        <v>179</v>
      </c>
      <c r="CD101" s="135" t="s">
        <v>180</v>
      </c>
      <c r="CE101" s="135"/>
      <c r="CF101" s="129">
        <v>1</v>
      </c>
      <c r="CG101" s="130" t="s">
        <v>698</v>
      </c>
      <c r="CH101"/>
    </row>
    <row r="102" spans="1:86" ht="12.75">
      <c r="A102" s="153"/>
      <c r="B102" s="146">
        <f t="shared" ca="1" si="15"/>
        <v>39203</v>
      </c>
      <c r="C102" s="141">
        <v>7.3693341237034998E-2</v>
      </c>
      <c r="D102" s="156">
        <v>0.5</v>
      </c>
      <c r="E102" s="156">
        <v>0.5</v>
      </c>
      <c r="F102" s="156">
        <v>0.15</v>
      </c>
      <c r="G102" s="156">
        <v>0.1575</v>
      </c>
      <c r="H102" s="156">
        <v>0.16500000000000001</v>
      </c>
      <c r="I102" s="155">
        <v>2.8614999999999999</v>
      </c>
      <c r="J102" s="156">
        <v>2.8665000000000003</v>
      </c>
      <c r="K102" s="141">
        <v>2.8715000000000002</v>
      </c>
      <c r="L102" s="156">
        <v>-5.3757969000000003E-2</v>
      </c>
      <c r="M102" s="141">
        <v>0.2525</v>
      </c>
      <c r="O102" s="125">
        <f ca="1">(IF(MONTH(B102)&gt;=4,IF(MONTH(B102)&lt;=10,Inputs!$H$2,Inputs!$H$3),Inputs!$H$3))</f>
        <v>6.5000000000000002E-2</v>
      </c>
      <c r="P102" s="155">
        <f ca="1">J102+(IF($L$2=TRUE,IF(MONTH(B102)&gt;=4,IF(MONTH(B102)&lt;=10,L102,M102),M102),0))+(IF('Pricing Inputs'!$AN$3=2,O102,0))</f>
        <v>2.8127420310000004</v>
      </c>
      <c r="Q102" s="155"/>
      <c r="R102" s="336">
        <f t="shared" ca="1" si="12"/>
        <v>39203</v>
      </c>
      <c r="S102" s="171">
        <f t="shared" si="13"/>
        <v>0.43</v>
      </c>
      <c r="T102" s="170">
        <f t="shared" si="16"/>
        <v>0.5</v>
      </c>
      <c r="U102" s="172">
        <f t="shared" si="14"/>
        <v>0.57000000000000006</v>
      </c>
      <c r="BP102" s="131">
        <f t="shared" si="10"/>
        <v>101</v>
      </c>
      <c r="BQ102" s="185" t="s">
        <v>285</v>
      </c>
      <c r="BR102" s="130" t="s">
        <v>178</v>
      </c>
      <c r="BS102" s="129" t="s">
        <v>204</v>
      </c>
      <c r="BT102" s="135" t="s">
        <v>180</v>
      </c>
      <c r="BU102" s="135"/>
      <c r="BV102" s="129">
        <v>1</v>
      </c>
      <c r="BW102" s="130" t="s">
        <v>884</v>
      </c>
      <c r="BX102"/>
      <c r="BZ102" s="131">
        <f t="shared" si="17"/>
        <v>101</v>
      </c>
      <c r="CA102" s="4" t="s">
        <v>509</v>
      </c>
      <c r="CB102" s="130" t="s">
        <v>181</v>
      </c>
      <c r="CC102" s="129" t="s">
        <v>179</v>
      </c>
      <c r="CD102" s="135" t="s">
        <v>180</v>
      </c>
      <c r="CE102" s="135"/>
      <c r="CF102" s="129">
        <v>1</v>
      </c>
      <c r="CG102" s="130" t="s">
        <v>699</v>
      </c>
      <c r="CH102"/>
    </row>
    <row r="103" spans="1:86" ht="12.75">
      <c r="A103" s="153"/>
      <c r="B103" s="146">
        <f t="shared" ca="1" si="15"/>
        <v>39234</v>
      </c>
      <c r="C103" s="141">
        <v>7.3708626692417997E-2</v>
      </c>
      <c r="D103" s="156">
        <v>0.5</v>
      </c>
      <c r="E103" s="156">
        <v>0.5</v>
      </c>
      <c r="F103" s="156">
        <v>0.15</v>
      </c>
      <c r="G103" s="156">
        <v>0.1575</v>
      </c>
      <c r="H103" s="156">
        <v>0.16500000000000001</v>
      </c>
      <c r="I103" s="155">
        <v>2.8675000000000002</v>
      </c>
      <c r="J103" s="156">
        <v>2.8725000000000001</v>
      </c>
      <c r="K103" s="141">
        <v>2.8774999999999999</v>
      </c>
      <c r="L103" s="156">
        <v>-5.3757969000000003E-2</v>
      </c>
      <c r="M103" s="141">
        <v>0.2525</v>
      </c>
      <c r="O103" s="125">
        <f ca="1">(IF(MONTH(B103)&gt;=4,IF(MONTH(B103)&lt;=10,Inputs!$H$2,Inputs!$H$3),Inputs!$H$3))</f>
        <v>6.5000000000000002E-2</v>
      </c>
      <c r="P103" s="155">
        <f ca="1">J103+(IF($L$2=TRUE,IF(MONTH(B103)&gt;=4,IF(MONTH(B103)&lt;=10,L103,M103),M103),0))+(IF('Pricing Inputs'!$AN$3=2,O103,0))</f>
        <v>2.8187420310000002</v>
      </c>
      <c r="Q103" s="155"/>
      <c r="R103" s="336">
        <f t="shared" ca="1" si="12"/>
        <v>39234</v>
      </c>
      <c r="S103" s="171">
        <f t="shared" si="13"/>
        <v>0.43</v>
      </c>
      <c r="T103" s="170">
        <f t="shared" si="16"/>
        <v>0.5</v>
      </c>
      <c r="U103" s="172">
        <f t="shared" si="14"/>
        <v>0.57000000000000006</v>
      </c>
      <c r="BP103" s="131">
        <f t="shared" si="10"/>
        <v>102</v>
      </c>
      <c r="BQ103" s="185" t="s">
        <v>286</v>
      </c>
      <c r="BR103" s="130" t="s">
        <v>178</v>
      </c>
      <c r="BS103" s="129" t="s">
        <v>204</v>
      </c>
      <c r="BT103" s="135" t="s">
        <v>180</v>
      </c>
      <c r="BU103" s="135"/>
      <c r="BV103" s="129">
        <v>1</v>
      </c>
      <c r="BW103" s="130" t="s">
        <v>885</v>
      </c>
      <c r="BX103"/>
      <c r="BZ103" s="131">
        <f t="shared" si="17"/>
        <v>102</v>
      </c>
      <c r="CA103" s="4" t="s">
        <v>510</v>
      </c>
      <c r="CB103" s="130" t="s">
        <v>181</v>
      </c>
      <c r="CC103" s="129" t="s">
        <v>179</v>
      </c>
      <c r="CD103" s="135" t="s">
        <v>180</v>
      </c>
      <c r="CE103" s="135"/>
      <c r="CF103" s="129">
        <v>1</v>
      </c>
      <c r="CG103" s="130" t="s">
        <v>700</v>
      </c>
      <c r="CH103"/>
    </row>
    <row r="104" spans="1:86" ht="12.75">
      <c r="A104" s="153"/>
      <c r="B104" s="146">
        <f t="shared" ca="1" si="15"/>
        <v>39264</v>
      </c>
      <c r="C104" s="141">
        <v>7.3723419068668999E-2</v>
      </c>
      <c r="D104" s="156">
        <v>0.5</v>
      </c>
      <c r="E104" s="156">
        <v>0.5</v>
      </c>
      <c r="F104" s="156">
        <v>0.15</v>
      </c>
      <c r="G104" s="156">
        <v>0.1575</v>
      </c>
      <c r="H104" s="156">
        <v>0.16500000000000001</v>
      </c>
      <c r="I104" s="155">
        <v>2.8774999999999999</v>
      </c>
      <c r="J104" s="156">
        <v>2.8824999999999998</v>
      </c>
      <c r="K104" s="141">
        <v>2.8875000000000002</v>
      </c>
      <c r="L104" s="156">
        <v>-5.3757969000000003E-2</v>
      </c>
      <c r="M104" s="141">
        <v>0.25750000000000001</v>
      </c>
      <c r="O104" s="125">
        <f ca="1">(IF(MONTH(B104)&gt;=4,IF(MONTH(B104)&lt;=10,Inputs!$H$2,Inputs!$H$3),Inputs!$H$3))</f>
        <v>6.5000000000000002E-2</v>
      </c>
      <c r="P104" s="155">
        <f ca="1">J104+(IF($L$2=TRUE,IF(MONTH(B104)&gt;=4,IF(MONTH(B104)&lt;=10,L104,M104),M104),0))+(IF('Pricing Inputs'!$AN$3=2,O104,0))</f>
        <v>2.828742031</v>
      </c>
      <c r="Q104" s="155"/>
      <c r="R104" s="336">
        <f t="shared" ca="1" si="12"/>
        <v>39264</v>
      </c>
      <c r="S104" s="171">
        <f t="shared" si="13"/>
        <v>0.43</v>
      </c>
      <c r="T104" s="170">
        <f t="shared" si="16"/>
        <v>0.5</v>
      </c>
      <c r="U104" s="172">
        <f t="shared" si="14"/>
        <v>0.57000000000000006</v>
      </c>
      <c r="BP104" s="131">
        <f t="shared" si="10"/>
        <v>103</v>
      </c>
      <c r="BQ104" s="185" t="s">
        <v>287</v>
      </c>
      <c r="BR104" s="130" t="s">
        <v>178</v>
      </c>
      <c r="BS104" s="129" t="s">
        <v>204</v>
      </c>
      <c r="BT104" s="135" t="s">
        <v>180</v>
      </c>
      <c r="BU104" s="135"/>
      <c r="BV104" s="129">
        <v>1</v>
      </c>
      <c r="BW104" s="130" t="s">
        <v>886</v>
      </c>
      <c r="BX104"/>
      <c r="BZ104" s="131">
        <f t="shared" si="17"/>
        <v>103</v>
      </c>
      <c r="CA104" s="4" t="s">
        <v>511</v>
      </c>
      <c r="CB104" s="130" t="s">
        <v>181</v>
      </c>
      <c r="CC104" s="129" t="s">
        <v>179</v>
      </c>
      <c r="CD104" s="135" t="s">
        <v>180</v>
      </c>
      <c r="CE104" s="135"/>
      <c r="CF104" s="129">
        <v>1</v>
      </c>
      <c r="CG104" s="130" t="s">
        <v>701</v>
      </c>
      <c r="CH104"/>
    </row>
    <row r="105" spans="1:86" ht="12.75">
      <c r="A105" s="153"/>
      <c r="B105" s="146">
        <f t="shared" ca="1" si="15"/>
        <v>39295</v>
      </c>
      <c r="C105" s="141">
        <v>7.3738704524204002E-2</v>
      </c>
      <c r="D105" s="156">
        <v>0.6</v>
      </c>
      <c r="E105" s="156">
        <v>0.6</v>
      </c>
      <c r="F105" s="156">
        <v>0.15</v>
      </c>
      <c r="G105" s="156">
        <v>0.1575</v>
      </c>
      <c r="H105" s="156">
        <v>0.16500000000000001</v>
      </c>
      <c r="I105" s="155">
        <v>2.8845000000000001</v>
      </c>
      <c r="J105" s="156">
        <v>2.8895</v>
      </c>
      <c r="K105" s="141">
        <v>2.8945000000000003</v>
      </c>
      <c r="L105" s="156">
        <v>-5.3757969000000003E-2</v>
      </c>
      <c r="M105" s="141">
        <v>0.25750000000000001</v>
      </c>
      <c r="O105" s="125">
        <f ca="1">(IF(MONTH(B105)&gt;=4,IF(MONTH(B105)&lt;=10,Inputs!$H$2,Inputs!$H$3),Inputs!$H$3))</f>
        <v>6.5000000000000002E-2</v>
      </c>
      <c r="P105" s="155">
        <f ca="1">J105+(IF($L$2=TRUE,IF(MONTH(B105)&gt;=4,IF(MONTH(B105)&lt;=10,L105,M105),M105),0))+(IF('Pricing Inputs'!$AN$3=2,O105,0))</f>
        <v>2.8357420310000001</v>
      </c>
      <c r="Q105" s="155"/>
      <c r="R105" s="336">
        <f t="shared" ca="1" si="12"/>
        <v>39295</v>
      </c>
      <c r="S105" s="171">
        <f t="shared" si="13"/>
        <v>0.53</v>
      </c>
      <c r="T105" s="170">
        <f t="shared" si="16"/>
        <v>0.6</v>
      </c>
      <c r="U105" s="172">
        <f t="shared" si="14"/>
        <v>0.66999999999999993</v>
      </c>
      <c r="BP105" s="131">
        <f t="shared" si="10"/>
        <v>104</v>
      </c>
      <c r="BQ105" s="185" t="s">
        <v>288</v>
      </c>
      <c r="BR105" s="130" t="s">
        <v>178</v>
      </c>
      <c r="BS105" s="129" t="s">
        <v>179</v>
      </c>
      <c r="BT105" s="135" t="s">
        <v>180</v>
      </c>
      <c r="BU105" s="135"/>
      <c r="BV105" s="129">
        <v>1</v>
      </c>
      <c r="BW105" s="130" t="s">
        <v>887</v>
      </c>
      <c r="BX105"/>
      <c r="BZ105" s="131">
        <f t="shared" si="17"/>
        <v>104</v>
      </c>
      <c r="CA105" s="4" t="s">
        <v>512</v>
      </c>
      <c r="CB105" s="130" t="s">
        <v>181</v>
      </c>
      <c r="CC105" s="129" t="s">
        <v>179</v>
      </c>
      <c r="CD105" s="135" t="s">
        <v>180</v>
      </c>
      <c r="CE105" s="135"/>
      <c r="CF105" s="129">
        <v>1</v>
      </c>
      <c r="CG105" s="130" t="s">
        <v>702</v>
      </c>
      <c r="CH105"/>
    </row>
    <row r="106" spans="1:86" ht="12.75">
      <c r="A106" s="153"/>
      <c r="B106" s="146">
        <f t="shared" ca="1" si="15"/>
        <v>39326</v>
      </c>
      <c r="C106" s="141">
        <v>7.3753989979814999E-2</v>
      </c>
      <c r="D106" s="156">
        <v>0.6</v>
      </c>
      <c r="E106" s="156">
        <v>0.6</v>
      </c>
      <c r="F106" s="156">
        <v>0.15</v>
      </c>
      <c r="G106" s="156">
        <v>0.1575</v>
      </c>
      <c r="H106" s="156">
        <v>0.16500000000000001</v>
      </c>
      <c r="I106" s="155">
        <v>2.8915000000000002</v>
      </c>
      <c r="J106" s="156">
        <v>2.8965000000000001</v>
      </c>
      <c r="K106" s="141">
        <v>2.9015</v>
      </c>
      <c r="L106" s="156">
        <v>-5.3757969000000003E-2</v>
      </c>
      <c r="M106" s="141">
        <v>0.2525</v>
      </c>
      <c r="O106" s="125">
        <f ca="1">(IF(MONTH(B106)&gt;=4,IF(MONTH(B106)&lt;=10,Inputs!$H$2,Inputs!$H$3),Inputs!$H$3))</f>
        <v>6.5000000000000002E-2</v>
      </c>
      <c r="P106" s="155">
        <f ca="1">J106+(IF($L$2=TRUE,IF(MONTH(B106)&gt;=4,IF(MONTH(B106)&lt;=10,L106,M106),M106),0))+(IF('Pricing Inputs'!$AN$3=2,O106,0))</f>
        <v>2.8427420310000002</v>
      </c>
      <c r="Q106" s="155"/>
      <c r="R106" s="336">
        <f t="shared" ca="1" si="12"/>
        <v>39326</v>
      </c>
      <c r="S106" s="171">
        <f t="shared" si="13"/>
        <v>0.53</v>
      </c>
      <c r="T106" s="170">
        <f t="shared" si="16"/>
        <v>0.6</v>
      </c>
      <c r="U106" s="172">
        <f t="shared" si="14"/>
        <v>0.66999999999999993</v>
      </c>
      <c r="BP106" s="131">
        <f t="shared" si="10"/>
        <v>105</v>
      </c>
      <c r="BQ106" s="185" t="s">
        <v>289</v>
      </c>
      <c r="BR106" s="130" t="s">
        <v>178</v>
      </c>
      <c r="BS106" s="129" t="s">
        <v>204</v>
      </c>
      <c r="BT106" s="135" t="s">
        <v>180</v>
      </c>
      <c r="BU106" s="135"/>
      <c r="BV106" s="129">
        <v>1</v>
      </c>
      <c r="BW106" s="130" t="s">
        <v>888</v>
      </c>
      <c r="BX106"/>
      <c r="BZ106" s="131">
        <f t="shared" si="17"/>
        <v>105</v>
      </c>
      <c r="CA106" s="4" t="s">
        <v>513</v>
      </c>
      <c r="CB106" s="130" t="s">
        <v>181</v>
      </c>
      <c r="CC106" s="129" t="s">
        <v>179</v>
      </c>
      <c r="CD106" s="135" t="s">
        <v>180</v>
      </c>
      <c r="CE106" s="135"/>
      <c r="CF106" s="129">
        <v>1</v>
      </c>
      <c r="CG106" s="130" t="s">
        <v>703</v>
      </c>
      <c r="CH106"/>
    </row>
    <row r="107" spans="1:86" ht="12.75">
      <c r="A107" s="153"/>
      <c r="B107" s="146">
        <f t="shared" ca="1" si="15"/>
        <v>39356</v>
      </c>
      <c r="C107" s="141">
        <v>7.3768782356288004E-2</v>
      </c>
      <c r="D107" s="156">
        <v>0.65</v>
      </c>
      <c r="E107" s="156">
        <v>0.65</v>
      </c>
      <c r="F107" s="156">
        <v>0.15</v>
      </c>
      <c r="G107" s="156">
        <v>0.1575</v>
      </c>
      <c r="H107" s="156">
        <v>0.16500000000000001</v>
      </c>
      <c r="I107" s="155">
        <v>2.9175</v>
      </c>
      <c r="J107" s="156">
        <v>2.9224999999999999</v>
      </c>
      <c r="K107" s="141">
        <v>2.9275000000000002</v>
      </c>
      <c r="L107" s="156">
        <v>-5.3757969000000003E-2</v>
      </c>
      <c r="M107" s="141">
        <v>0.255</v>
      </c>
      <c r="O107" s="125">
        <f ca="1">(IF(MONTH(B107)&gt;=4,IF(MONTH(B107)&lt;=10,Inputs!$H$2,Inputs!$H$3),Inputs!$H$3))</f>
        <v>6.5000000000000002E-2</v>
      </c>
      <c r="P107" s="155">
        <f ca="1">J107+(IF($L$2=TRUE,IF(MONTH(B107)&gt;=4,IF(MONTH(B107)&lt;=10,L107,M107),M107),0))+(IF('Pricing Inputs'!$AN$3=2,O107,0))</f>
        <v>2.868742031</v>
      </c>
      <c r="Q107" s="155"/>
      <c r="R107" s="336">
        <f t="shared" ca="1" si="12"/>
        <v>39356</v>
      </c>
      <c r="S107" s="171">
        <f t="shared" si="13"/>
        <v>0.58000000000000007</v>
      </c>
      <c r="T107" s="170">
        <f t="shared" si="16"/>
        <v>0.65</v>
      </c>
      <c r="U107" s="172">
        <f t="shared" si="14"/>
        <v>0.72</v>
      </c>
      <c r="BP107" s="131">
        <f t="shared" si="10"/>
        <v>106</v>
      </c>
      <c r="BQ107" s="185" t="s">
        <v>290</v>
      </c>
      <c r="BR107" s="130" t="s">
        <v>178</v>
      </c>
      <c r="BS107" s="129" t="s">
        <v>204</v>
      </c>
      <c r="BT107" s="135" t="s">
        <v>180</v>
      </c>
      <c r="BU107" s="135"/>
      <c r="BV107" s="129">
        <v>1</v>
      </c>
      <c r="BW107" s="130" t="s">
        <v>889</v>
      </c>
      <c r="BX107"/>
      <c r="BZ107" s="131">
        <f t="shared" si="17"/>
        <v>106</v>
      </c>
      <c r="CA107" s="4" t="s">
        <v>514</v>
      </c>
      <c r="CB107" s="130" t="s">
        <v>181</v>
      </c>
      <c r="CC107" s="129" t="s">
        <v>179</v>
      </c>
      <c r="CD107" s="135" t="s">
        <v>180</v>
      </c>
      <c r="CE107" s="135"/>
      <c r="CF107" s="129">
        <v>1</v>
      </c>
      <c r="CG107" s="130" t="s">
        <v>704</v>
      </c>
      <c r="CH107"/>
    </row>
    <row r="108" spans="1:86" ht="12.75">
      <c r="A108" s="153"/>
      <c r="B108" s="146">
        <f t="shared" ca="1" si="15"/>
        <v>39387</v>
      </c>
      <c r="C108" s="141">
        <v>7.3784067812051005E-2</v>
      </c>
      <c r="D108" s="156">
        <v>0.95</v>
      </c>
      <c r="E108" s="156">
        <v>0.95</v>
      </c>
      <c r="F108" s="156">
        <v>0.15</v>
      </c>
      <c r="G108" s="156">
        <v>0.1575</v>
      </c>
      <c r="H108" s="156">
        <v>0.16500000000000001</v>
      </c>
      <c r="I108" s="155">
        <v>3.0525000000000002</v>
      </c>
      <c r="J108" s="156">
        <v>3.0575000000000001</v>
      </c>
      <c r="K108" s="141">
        <v>3.0625</v>
      </c>
      <c r="L108" s="156">
        <v>-6.999717825E-2</v>
      </c>
      <c r="M108" s="141">
        <v>0.71499999999999997</v>
      </c>
      <c r="O108" s="125">
        <f ca="1">(IF(MONTH(B108)&gt;=4,IF(MONTH(B108)&lt;=10,Inputs!$H$2,Inputs!$H$3),Inputs!$H$3))</f>
        <v>6.5000000000000002E-2</v>
      </c>
      <c r="P108" s="155">
        <f ca="1">J108+(IF($L$2=TRUE,IF(MONTH(B108)&gt;=4,IF(MONTH(B108)&lt;=10,L108,M108),M108),0))+(IF('Pricing Inputs'!$AN$3=2,O108,0))</f>
        <v>3.7725</v>
      </c>
      <c r="Q108" s="155"/>
      <c r="R108" s="336">
        <f t="shared" ca="1" si="12"/>
        <v>39387</v>
      </c>
      <c r="S108" s="171">
        <f t="shared" si="13"/>
        <v>0.87999999999999989</v>
      </c>
      <c r="T108" s="170">
        <f t="shared" si="16"/>
        <v>0.95</v>
      </c>
      <c r="U108" s="172">
        <f t="shared" si="14"/>
        <v>1.02</v>
      </c>
      <c r="BP108" s="131">
        <f t="shared" si="10"/>
        <v>107</v>
      </c>
      <c r="BQ108" s="185" t="s">
        <v>291</v>
      </c>
      <c r="BR108" s="130" t="s">
        <v>178</v>
      </c>
      <c r="BS108" s="129" t="s">
        <v>204</v>
      </c>
      <c r="BT108" s="135" t="s">
        <v>180</v>
      </c>
      <c r="BU108" s="135"/>
      <c r="BV108" s="129">
        <v>1</v>
      </c>
      <c r="BW108" s="130" t="s">
        <v>890</v>
      </c>
      <c r="BX108"/>
      <c r="BZ108" s="131">
        <f t="shared" si="17"/>
        <v>107</v>
      </c>
      <c r="CA108" s="4" t="s">
        <v>515</v>
      </c>
      <c r="CB108" s="130" t="s">
        <v>181</v>
      </c>
      <c r="CC108" s="129" t="s">
        <v>179</v>
      </c>
      <c r="CD108" s="135" t="s">
        <v>180</v>
      </c>
      <c r="CE108" s="135"/>
      <c r="CF108" s="129">
        <v>1</v>
      </c>
      <c r="CG108" s="130" t="s">
        <v>705</v>
      </c>
      <c r="CH108"/>
    </row>
    <row r="109" spans="1:86" ht="12.75">
      <c r="A109" s="153"/>
      <c r="B109" s="146">
        <f t="shared" ca="1" si="15"/>
        <v>39417</v>
      </c>
      <c r="C109" s="141">
        <v>7.3798860188670004E-2</v>
      </c>
      <c r="D109" s="156">
        <v>1.25</v>
      </c>
      <c r="E109" s="156">
        <v>1.25</v>
      </c>
      <c r="F109" s="156">
        <v>0.15</v>
      </c>
      <c r="G109" s="156">
        <v>0.1575</v>
      </c>
      <c r="H109" s="156">
        <v>0.16500000000000001</v>
      </c>
      <c r="I109" s="155">
        <v>3.1765000000000003</v>
      </c>
      <c r="J109" s="156">
        <v>3.1815000000000002</v>
      </c>
      <c r="K109" s="141">
        <v>3.1865000000000001</v>
      </c>
      <c r="L109" s="156">
        <v>-7.3737984500000006E-2</v>
      </c>
      <c r="M109" s="141">
        <v>1.03</v>
      </c>
      <c r="O109" s="125">
        <f ca="1">(IF(MONTH(B109)&gt;=4,IF(MONTH(B109)&lt;=10,Inputs!$H$2,Inputs!$H$3),Inputs!$H$3))</f>
        <v>6.5000000000000002E-2</v>
      </c>
      <c r="P109" s="155">
        <f ca="1">J109+(IF($L$2=TRUE,IF(MONTH(B109)&gt;=4,IF(MONTH(B109)&lt;=10,L109,M109),M109),0))+(IF('Pricing Inputs'!$AN$3=2,O109,0))</f>
        <v>4.2115</v>
      </c>
      <c r="Q109" s="155"/>
      <c r="R109" s="336">
        <f t="shared" ca="1" si="12"/>
        <v>39417</v>
      </c>
      <c r="S109" s="171">
        <f t="shared" si="13"/>
        <v>1.18</v>
      </c>
      <c r="T109" s="170">
        <f t="shared" si="16"/>
        <v>1.25</v>
      </c>
      <c r="U109" s="172">
        <f t="shared" si="14"/>
        <v>1.32</v>
      </c>
      <c r="BP109" s="131">
        <f t="shared" si="10"/>
        <v>108</v>
      </c>
      <c r="BQ109" s="185" t="s">
        <v>292</v>
      </c>
      <c r="BR109" s="130" t="s">
        <v>178</v>
      </c>
      <c r="BS109" s="129" t="s">
        <v>204</v>
      </c>
      <c r="BT109" s="135" t="s">
        <v>180</v>
      </c>
      <c r="BU109" s="135"/>
      <c r="BV109" s="129">
        <v>1</v>
      </c>
      <c r="BW109" s="130" t="s">
        <v>891</v>
      </c>
      <c r="BX109"/>
      <c r="BZ109" s="131">
        <f t="shared" si="17"/>
        <v>108</v>
      </c>
      <c r="CA109" s="4" t="s">
        <v>516</v>
      </c>
      <c r="CB109" s="130" t="s">
        <v>181</v>
      </c>
      <c r="CC109" s="129" t="s">
        <v>179</v>
      </c>
      <c r="CD109" s="135" t="s">
        <v>180</v>
      </c>
      <c r="CE109" s="135"/>
      <c r="CF109" s="129">
        <v>1</v>
      </c>
      <c r="CG109" s="130" t="s">
        <v>706</v>
      </c>
      <c r="CH109"/>
    </row>
    <row r="110" spans="1:86" ht="12.75">
      <c r="A110" s="153"/>
      <c r="B110" s="146">
        <f t="shared" ca="1" si="15"/>
        <v>39448</v>
      </c>
      <c r="C110" s="141">
        <v>7.3814145644586007E-2</v>
      </c>
      <c r="D110" s="156">
        <v>1.45</v>
      </c>
      <c r="E110" s="156">
        <v>1.45</v>
      </c>
      <c r="F110" s="156">
        <v>0.15</v>
      </c>
      <c r="G110" s="156">
        <v>0.1575</v>
      </c>
      <c r="H110" s="156">
        <v>0.16500000000000001</v>
      </c>
      <c r="I110" s="155">
        <v>3.24</v>
      </c>
      <c r="J110" s="156">
        <v>3.2450000000000001</v>
      </c>
      <c r="K110" s="141">
        <v>3.25</v>
      </c>
      <c r="L110" s="156">
        <v>-7.3738796000000009E-2</v>
      </c>
      <c r="M110" s="141">
        <v>1.4950000000000001</v>
      </c>
      <c r="O110" s="125">
        <f ca="1">(IF(MONTH(B110)&gt;=4,IF(MONTH(B110)&lt;=10,Inputs!$H$2,Inputs!$H$3),Inputs!$H$3))</f>
        <v>6.5000000000000002E-2</v>
      </c>
      <c r="P110" s="155">
        <f ca="1">J110+(IF($L$2=TRUE,IF(MONTH(B110)&gt;=4,IF(MONTH(B110)&lt;=10,L110,M110),M110),0))+(IF('Pricing Inputs'!$AN$3=2,O110,0))</f>
        <v>4.74</v>
      </c>
      <c r="Q110" s="155"/>
      <c r="R110" s="336">
        <f t="shared" ca="1" si="12"/>
        <v>39448</v>
      </c>
      <c r="S110" s="171">
        <f t="shared" si="13"/>
        <v>1.38</v>
      </c>
      <c r="T110" s="170">
        <f t="shared" si="16"/>
        <v>1.45</v>
      </c>
      <c r="U110" s="172">
        <f t="shared" si="14"/>
        <v>1.52</v>
      </c>
      <c r="BP110" s="131">
        <f t="shared" si="10"/>
        <v>109</v>
      </c>
      <c r="BQ110" s="185" t="s">
        <v>293</v>
      </c>
      <c r="BR110" s="130" t="s">
        <v>178</v>
      </c>
      <c r="BS110" s="129" t="s">
        <v>204</v>
      </c>
      <c r="BT110" s="135" t="s">
        <v>180</v>
      </c>
      <c r="BU110" s="135"/>
      <c r="BV110" s="129">
        <v>1</v>
      </c>
      <c r="BW110" s="130" t="s">
        <v>892</v>
      </c>
      <c r="BX110"/>
      <c r="BZ110" s="131">
        <f t="shared" si="17"/>
        <v>109</v>
      </c>
      <c r="CA110" s="4" t="s">
        <v>517</v>
      </c>
      <c r="CB110" s="130" t="s">
        <v>181</v>
      </c>
      <c r="CC110" s="129" t="s">
        <v>179</v>
      </c>
      <c r="CD110" s="135" t="s">
        <v>180</v>
      </c>
      <c r="CE110" s="135"/>
      <c r="CF110" s="129">
        <v>1</v>
      </c>
      <c r="CG110" s="130" t="s">
        <v>707</v>
      </c>
      <c r="CH110"/>
    </row>
    <row r="111" spans="1:86" ht="12.75">
      <c r="A111" s="153"/>
      <c r="B111" s="146">
        <f t="shared" ca="1" si="15"/>
        <v>39479</v>
      </c>
      <c r="C111" s="141">
        <v>7.3829431100578005E-2</v>
      </c>
      <c r="D111" s="156">
        <v>1.45</v>
      </c>
      <c r="E111" s="156">
        <v>1.45</v>
      </c>
      <c r="F111" s="156">
        <v>0.15</v>
      </c>
      <c r="G111" s="156">
        <v>0.1575</v>
      </c>
      <c r="H111" s="156">
        <v>0.16500000000000001</v>
      </c>
      <c r="I111" s="155">
        <v>3.1220000000000003</v>
      </c>
      <c r="J111" s="156">
        <v>3.1270000000000002</v>
      </c>
      <c r="K111" s="141">
        <v>3.1320000000000001</v>
      </c>
      <c r="L111" s="156">
        <v>-6.7489355750000007E-2</v>
      </c>
      <c r="M111" s="141">
        <v>1.395</v>
      </c>
      <c r="O111" s="125">
        <f ca="1">(IF(MONTH(B111)&gt;=4,IF(MONTH(B111)&lt;=10,Inputs!$H$2,Inputs!$H$3),Inputs!$H$3))</f>
        <v>6.5000000000000002E-2</v>
      </c>
      <c r="P111" s="155">
        <f ca="1">J111+(IF($L$2=TRUE,IF(MONTH(B111)&gt;=4,IF(MONTH(B111)&lt;=10,L111,M111),M111),0))+(IF('Pricing Inputs'!$AN$3=2,O111,0))</f>
        <v>4.5220000000000002</v>
      </c>
      <c r="Q111" s="155"/>
      <c r="R111" s="336">
        <f t="shared" ca="1" si="12"/>
        <v>39479</v>
      </c>
      <c r="S111" s="171">
        <f t="shared" si="13"/>
        <v>1.38</v>
      </c>
      <c r="T111" s="170">
        <f t="shared" si="16"/>
        <v>1.45</v>
      </c>
      <c r="U111" s="172">
        <f t="shared" si="14"/>
        <v>1.52</v>
      </c>
      <c r="BP111" s="131">
        <f t="shared" si="10"/>
        <v>110</v>
      </c>
      <c r="BQ111" s="185" t="s">
        <v>294</v>
      </c>
      <c r="BR111" s="130" t="s">
        <v>178</v>
      </c>
      <c r="BS111" s="129" t="s">
        <v>204</v>
      </c>
      <c r="BT111" s="135" t="s">
        <v>180</v>
      </c>
      <c r="BU111" s="135"/>
      <c r="BV111" s="129">
        <v>1</v>
      </c>
      <c r="BW111" s="130" t="s">
        <v>893</v>
      </c>
      <c r="BX111"/>
      <c r="BZ111" s="131">
        <f t="shared" si="17"/>
        <v>110</v>
      </c>
      <c r="CA111" s="4" t="s">
        <v>518</v>
      </c>
      <c r="CB111" s="130" t="s">
        <v>181</v>
      </c>
      <c r="CC111" s="129" t="s">
        <v>179</v>
      </c>
      <c r="CD111" s="135" t="s">
        <v>180</v>
      </c>
      <c r="CE111" s="135"/>
      <c r="CF111" s="129">
        <v>1</v>
      </c>
      <c r="CG111" s="130" t="s">
        <v>708</v>
      </c>
      <c r="CH111"/>
    </row>
    <row r="112" spans="1:86" ht="12.75">
      <c r="A112" s="153"/>
      <c r="B112" s="146">
        <f t="shared" ca="1" si="15"/>
        <v>39508</v>
      </c>
      <c r="C112" s="141">
        <v>7.3843730398189991E-2</v>
      </c>
      <c r="D112" s="156">
        <v>1</v>
      </c>
      <c r="E112" s="156">
        <v>1</v>
      </c>
      <c r="F112" s="156">
        <v>0.15</v>
      </c>
      <c r="G112" s="156">
        <v>0.1575</v>
      </c>
      <c r="H112" s="156">
        <v>0.16500000000000001</v>
      </c>
      <c r="I112" s="155">
        <v>3.0020000000000002</v>
      </c>
      <c r="J112" s="156">
        <v>3.0070000000000001</v>
      </c>
      <c r="K112" s="141">
        <v>3.012</v>
      </c>
      <c r="L112" s="156">
        <v>-6.4989355750000005E-2</v>
      </c>
      <c r="M112" s="141">
        <v>0.86499999999999999</v>
      </c>
      <c r="O112" s="125">
        <f ca="1">(IF(MONTH(B112)&gt;=4,IF(MONTH(B112)&lt;=10,Inputs!$H$2,Inputs!$H$3),Inputs!$H$3))</f>
        <v>6.5000000000000002E-2</v>
      </c>
      <c r="P112" s="155">
        <f ca="1">J112+(IF($L$2=TRUE,IF(MONTH(B112)&gt;=4,IF(MONTH(B112)&lt;=10,L112,M112),M112),0))+(IF('Pricing Inputs'!$AN$3=2,O112,0))</f>
        <v>3.8719999999999999</v>
      </c>
      <c r="Q112" s="155"/>
      <c r="R112" s="336">
        <f t="shared" ca="1" si="12"/>
        <v>39508</v>
      </c>
      <c r="S112" s="171">
        <f t="shared" si="13"/>
        <v>0.92999999999999994</v>
      </c>
      <c r="T112" s="170">
        <f t="shared" si="16"/>
        <v>1</v>
      </c>
      <c r="U112" s="172">
        <f t="shared" si="14"/>
        <v>1.07</v>
      </c>
      <c r="BP112" s="131">
        <f t="shared" si="10"/>
        <v>111</v>
      </c>
      <c r="BQ112" s="185" t="s">
        <v>295</v>
      </c>
      <c r="BR112" s="130" t="s">
        <v>178</v>
      </c>
      <c r="BS112" s="129" t="s">
        <v>204</v>
      </c>
      <c r="BT112" s="135" t="s">
        <v>180</v>
      </c>
      <c r="BU112" s="135"/>
      <c r="BV112" s="129">
        <v>1</v>
      </c>
      <c r="BW112" s="130" t="s">
        <v>894</v>
      </c>
      <c r="BX112"/>
      <c r="BZ112" s="131">
        <f t="shared" si="17"/>
        <v>111</v>
      </c>
      <c r="CA112" s="4" t="s">
        <v>519</v>
      </c>
      <c r="CB112" s="130" t="s">
        <v>181</v>
      </c>
      <c r="CC112" s="129" t="s">
        <v>179</v>
      </c>
      <c r="CD112" s="135" t="s">
        <v>180</v>
      </c>
      <c r="CE112" s="135"/>
      <c r="CF112" s="129">
        <v>1</v>
      </c>
      <c r="CG112" s="130" t="s">
        <v>709</v>
      </c>
      <c r="CH112"/>
    </row>
    <row r="113" spans="1:86" ht="12.75">
      <c r="A113" s="153"/>
      <c r="B113" s="146">
        <f t="shared" ca="1" si="15"/>
        <v>39539</v>
      </c>
      <c r="C113" s="141">
        <v>7.3859015854331009E-2</v>
      </c>
      <c r="D113" s="156">
        <v>0.45</v>
      </c>
      <c r="E113" s="156">
        <v>0.45</v>
      </c>
      <c r="F113" s="156">
        <v>0.15</v>
      </c>
      <c r="G113" s="156">
        <v>0.1575</v>
      </c>
      <c r="H113" s="156">
        <v>0.16500000000000001</v>
      </c>
      <c r="I113" s="155">
        <v>2.9525000000000001</v>
      </c>
      <c r="J113" s="156">
        <v>2.9575</v>
      </c>
      <c r="K113" s="141">
        <v>2.9624999999999999</v>
      </c>
      <c r="L113" s="156">
        <v>-5.1880840250000004E-2</v>
      </c>
      <c r="M113" s="141">
        <v>0.37</v>
      </c>
      <c r="O113" s="125">
        <f ca="1">(IF(MONTH(B113)&gt;=4,IF(MONTH(B113)&lt;=10,Inputs!$H$2,Inputs!$H$3),Inputs!$H$3))</f>
        <v>6.5000000000000002E-2</v>
      </c>
      <c r="P113" s="155">
        <f ca="1">J113+(IF($L$2=TRUE,IF(MONTH(B113)&gt;=4,IF(MONTH(B113)&lt;=10,L113,M113),M113),0))+(IF('Pricing Inputs'!$AN$3=2,O113,0))</f>
        <v>2.9056191597500001</v>
      </c>
      <c r="Q113" s="155"/>
      <c r="R113" s="336">
        <f t="shared" ca="1" si="12"/>
        <v>39539</v>
      </c>
      <c r="S113" s="171">
        <f t="shared" si="13"/>
        <v>0.38</v>
      </c>
      <c r="T113" s="170">
        <f t="shared" si="16"/>
        <v>0.45</v>
      </c>
      <c r="U113" s="172">
        <f t="shared" si="14"/>
        <v>0.52</v>
      </c>
      <c r="BP113" s="131">
        <f t="shared" si="10"/>
        <v>112</v>
      </c>
      <c r="BQ113" s="185" t="s">
        <v>296</v>
      </c>
      <c r="BR113" s="130" t="s">
        <v>178</v>
      </c>
      <c r="BS113" s="129" t="s">
        <v>204</v>
      </c>
      <c r="BT113" s="135" t="s">
        <v>180</v>
      </c>
      <c r="BU113" s="135"/>
      <c r="BV113" s="129">
        <v>1</v>
      </c>
      <c r="BW113" s="130" t="s">
        <v>895</v>
      </c>
      <c r="BX113"/>
      <c r="BZ113" s="131">
        <f t="shared" si="17"/>
        <v>112</v>
      </c>
      <c r="CA113" s="4" t="s">
        <v>520</v>
      </c>
      <c r="CB113" s="130" t="s">
        <v>181</v>
      </c>
      <c r="CC113" s="129" t="s">
        <v>179</v>
      </c>
      <c r="CD113" s="135" t="s">
        <v>180</v>
      </c>
      <c r="CE113" s="135"/>
      <c r="CF113" s="129">
        <v>1</v>
      </c>
      <c r="CG113" s="130" t="s">
        <v>710</v>
      </c>
      <c r="CH113"/>
    </row>
    <row r="114" spans="1:86" ht="12.75">
      <c r="A114" s="153"/>
      <c r="B114" s="146">
        <f t="shared" ca="1" si="15"/>
        <v>39569</v>
      </c>
      <c r="C114" s="141">
        <v>7.3873808231316007E-2</v>
      </c>
      <c r="D114" s="156">
        <v>0.5</v>
      </c>
      <c r="E114" s="156">
        <v>0.5</v>
      </c>
      <c r="F114" s="156">
        <v>0.15</v>
      </c>
      <c r="G114" s="156">
        <v>0.1575</v>
      </c>
      <c r="H114" s="156">
        <v>0.16500000000000001</v>
      </c>
      <c r="I114" s="155">
        <v>2.9265000000000003</v>
      </c>
      <c r="J114" s="156">
        <v>2.9315000000000002</v>
      </c>
      <c r="K114" s="141">
        <v>2.9365000000000001</v>
      </c>
      <c r="L114" s="156">
        <v>-5.1882969000000001E-2</v>
      </c>
      <c r="M114" s="141">
        <v>0.2525</v>
      </c>
      <c r="O114" s="125">
        <f ca="1">(IF(MONTH(B114)&gt;=4,IF(MONTH(B114)&lt;=10,Inputs!$H$2,Inputs!$H$3),Inputs!$H$3))</f>
        <v>6.5000000000000002E-2</v>
      </c>
      <c r="P114" s="155">
        <f ca="1">J114+(IF($L$2=TRUE,IF(MONTH(B114)&gt;=4,IF(MONTH(B114)&lt;=10,L114,M114),M114),0))+(IF('Pricing Inputs'!$AN$3=2,O114,0))</f>
        <v>2.8796170310000004</v>
      </c>
      <c r="Q114" s="155"/>
      <c r="R114" s="336">
        <f t="shared" ca="1" si="12"/>
        <v>39569</v>
      </c>
      <c r="S114" s="171">
        <f t="shared" si="13"/>
        <v>0.43</v>
      </c>
      <c r="T114" s="170">
        <f t="shared" si="16"/>
        <v>0.5</v>
      </c>
      <c r="U114" s="172">
        <f t="shared" si="14"/>
        <v>0.57000000000000006</v>
      </c>
      <c r="BP114" s="131">
        <f t="shared" si="10"/>
        <v>113</v>
      </c>
      <c r="BQ114" s="185" t="s">
        <v>297</v>
      </c>
      <c r="BR114" s="130" t="s">
        <v>178</v>
      </c>
      <c r="BS114" s="129" t="s">
        <v>204</v>
      </c>
      <c r="BT114" s="135" t="s">
        <v>180</v>
      </c>
      <c r="BU114" s="135"/>
      <c r="BV114" s="129">
        <v>1</v>
      </c>
      <c r="BW114" s="130" t="s">
        <v>896</v>
      </c>
      <c r="BX114"/>
      <c r="BZ114" s="131">
        <f t="shared" si="17"/>
        <v>113</v>
      </c>
      <c r="CA114" s="4" t="s">
        <v>521</v>
      </c>
      <c r="CB114" s="130" t="s">
        <v>181</v>
      </c>
      <c r="CC114" s="129" t="s">
        <v>179</v>
      </c>
      <c r="CD114" s="135" t="s">
        <v>180</v>
      </c>
      <c r="CE114" s="135"/>
      <c r="CF114" s="129">
        <v>1</v>
      </c>
      <c r="CG114" s="130" t="s">
        <v>711</v>
      </c>
      <c r="CH114"/>
    </row>
    <row r="115" spans="1:86" ht="12.75">
      <c r="A115" s="153"/>
      <c r="B115" s="146">
        <f t="shared" ca="1" si="15"/>
        <v>39600</v>
      </c>
      <c r="C115" s="141">
        <v>7.3889093687609E-2</v>
      </c>
      <c r="D115" s="156">
        <v>0.5</v>
      </c>
      <c r="E115" s="156">
        <v>0.5</v>
      </c>
      <c r="F115" s="156">
        <v>0.15</v>
      </c>
      <c r="G115" s="156">
        <v>0.1575</v>
      </c>
      <c r="H115" s="156">
        <v>0.16500000000000001</v>
      </c>
      <c r="I115" s="155">
        <v>2.9325000000000001</v>
      </c>
      <c r="J115" s="156">
        <v>2.9375</v>
      </c>
      <c r="K115" s="141">
        <v>2.9424999999999999</v>
      </c>
      <c r="L115" s="156">
        <v>-5.1882969000000001E-2</v>
      </c>
      <c r="M115" s="141">
        <v>0.2525</v>
      </c>
      <c r="O115" s="125">
        <f ca="1">(IF(MONTH(B115)&gt;=4,IF(MONTH(B115)&lt;=10,Inputs!$H$2,Inputs!$H$3),Inputs!$H$3))</f>
        <v>6.5000000000000002E-2</v>
      </c>
      <c r="P115" s="155">
        <f ca="1">J115+(IF($L$2=TRUE,IF(MONTH(B115)&gt;=4,IF(MONTH(B115)&lt;=10,L115,M115),M115),0))+(IF('Pricing Inputs'!$AN$3=2,O115,0))</f>
        <v>2.8856170309999998</v>
      </c>
      <c r="Q115" s="155"/>
      <c r="R115" s="336">
        <f t="shared" ca="1" si="12"/>
        <v>39600</v>
      </c>
      <c r="S115" s="171">
        <f t="shared" si="13"/>
        <v>0.43</v>
      </c>
      <c r="T115" s="170">
        <f t="shared" si="16"/>
        <v>0.5</v>
      </c>
      <c r="U115" s="172">
        <f t="shared" si="14"/>
        <v>0.57000000000000006</v>
      </c>
      <c r="BP115" s="131">
        <f t="shared" si="10"/>
        <v>114</v>
      </c>
      <c r="BQ115" s="185" t="s">
        <v>298</v>
      </c>
      <c r="BR115" s="130" t="s">
        <v>178</v>
      </c>
      <c r="BS115" s="129" t="s">
        <v>204</v>
      </c>
      <c r="BT115" s="135" t="s">
        <v>180</v>
      </c>
      <c r="BU115" s="135"/>
      <c r="BV115" s="129">
        <v>1</v>
      </c>
      <c r="BW115" s="130" t="s">
        <v>897</v>
      </c>
      <c r="BX115"/>
      <c r="BZ115" s="131">
        <f t="shared" si="17"/>
        <v>114</v>
      </c>
      <c r="CA115" s="4" t="s">
        <v>522</v>
      </c>
      <c r="CB115" s="130" t="s">
        <v>181</v>
      </c>
      <c r="CC115" s="129" t="s">
        <v>179</v>
      </c>
      <c r="CD115" s="135" t="s">
        <v>180</v>
      </c>
      <c r="CE115" s="135"/>
      <c r="CF115" s="129">
        <v>1</v>
      </c>
      <c r="CG115" s="130" t="s">
        <v>712</v>
      </c>
      <c r="CH115"/>
    </row>
    <row r="116" spans="1:86" ht="12.75">
      <c r="A116" s="153"/>
      <c r="B116" s="146">
        <f t="shared" ca="1" si="15"/>
        <v>39630</v>
      </c>
      <c r="C116" s="141">
        <v>7.3903886064741006E-2</v>
      </c>
      <c r="D116" s="156">
        <v>0.5</v>
      </c>
      <c r="E116" s="156">
        <v>0.5</v>
      </c>
      <c r="F116" s="156">
        <v>0.15</v>
      </c>
      <c r="G116" s="156">
        <v>0.1575</v>
      </c>
      <c r="H116" s="156">
        <v>0.16500000000000001</v>
      </c>
      <c r="I116" s="155">
        <v>2.9424999999999999</v>
      </c>
      <c r="J116" s="156">
        <v>2.9474999999999998</v>
      </c>
      <c r="K116" s="141">
        <v>2.9525000000000001</v>
      </c>
      <c r="L116" s="156">
        <v>-5.1882969000000001E-2</v>
      </c>
      <c r="M116" s="141">
        <v>0.25750000000000001</v>
      </c>
      <c r="O116" s="125">
        <f ca="1">(IF(MONTH(B116)&gt;=4,IF(MONTH(B116)&lt;=10,Inputs!$H$2,Inputs!$H$3),Inputs!$H$3))</f>
        <v>6.5000000000000002E-2</v>
      </c>
      <c r="P116" s="155">
        <f ca="1">J116+(IF($L$2=TRUE,IF(MONTH(B116)&gt;=4,IF(MONTH(B116)&lt;=10,L116,M116),M116),0))+(IF('Pricing Inputs'!$AN$3=2,O116,0))</f>
        <v>2.8956170309999996</v>
      </c>
      <c r="Q116" s="155"/>
      <c r="R116" s="336">
        <f t="shared" ca="1" si="12"/>
        <v>39630</v>
      </c>
      <c r="S116" s="171">
        <f t="shared" si="13"/>
        <v>0.43</v>
      </c>
      <c r="T116" s="170">
        <f t="shared" si="16"/>
        <v>0.5</v>
      </c>
      <c r="U116" s="172">
        <f t="shared" si="14"/>
        <v>0.57000000000000006</v>
      </c>
      <c r="BP116" s="131">
        <f t="shared" si="10"/>
        <v>115</v>
      </c>
      <c r="BQ116" s="185" t="s">
        <v>299</v>
      </c>
      <c r="BR116" s="130" t="s">
        <v>178</v>
      </c>
      <c r="BS116" s="129" t="s">
        <v>204</v>
      </c>
      <c r="BT116" s="135" t="s">
        <v>180</v>
      </c>
      <c r="BU116" s="135"/>
      <c r="BV116" s="129">
        <v>1</v>
      </c>
      <c r="BW116" s="130" t="s">
        <v>898</v>
      </c>
      <c r="BX116"/>
      <c r="BZ116" s="131">
        <f t="shared" si="17"/>
        <v>115</v>
      </c>
      <c r="CA116" s="4" t="s">
        <v>523</v>
      </c>
      <c r="CB116" s="130" t="s">
        <v>181</v>
      </c>
      <c r="CC116" s="129" t="s">
        <v>179</v>
      </c>
      <c r="CD116" s="135" t="s">
        <v>180</v>
      </c>
      <c r="CE116" s="135"/>
      <c r="CF116" s="129">
        <v>1</v>
      </c>
      <c r="CG116" s="130" t="s">
        <v>713</v>
      </c>
      <c r="CH116"/>
    </row>
    <row r="117" spans="1:86" ht="12.75">
      <c r="A117" s="153"/>
      <c r="B117" s="146">
        <f t="shared" ca="1" si="15"/>
        <v>39661</v>
      </c>
      <c r="C117" s="141">
        <v>7.3919171521186003E-2</v>
      </c>
      <c r="D117" s="156">
        <v>0.6</v>
      </c>
      <c r="E117" s="156">
        <v>0.6</v>
      </c>
      <c r="F117" s="156">
        <v>0.15</v>
      </c>
      <c r="G117" s="156">
        <v>0.1575</v>
      </c>
      <c r="H117" s="156">
        <v>0.16500000000000001</v>
      </c>
      <c r="I117" s="155">
        <v>2.9495</v>
      </c>
      <c r="J117" s="156">
        <v>2.9545000000000003</v>
      </c>
      <c r="K117" s="141">
        <v>2.9595000000000002</v>
      </c>
      <c r="L117" s="156">
        <v>-5.1882969000000001E-2</v>
      </c>
      <c r="M117" s="141">
        <v>0.25750000000000001</v>
      </c>
      <c r="O117" s="125">
        <f ca="1">(IF(MONTH(B117)&gt;=4,IF(MONTH(B117)&lt;=10,Inputs!$H$2,Inputs!$H$3),Inputs!$H$3))</f>
        <v>6.5000000000000002E-2</v>
      </c>
      <c r="P117" s="155">
        <f ca="1">J117+(IF($L$2=TRUE,IF(MONTH(B117)&gt;=4,IF(MONTH(B117)&lt;=10,L117,M117),M117),0))+(IF('Pricing Inputs'!$AN$3=2,O117,0))</f>
        <v>2.9026170310000001</v>
      </c>
      <c r="Q117" s="155"/>
      <c r="R117" s="336">
        <f t="shared" ca="1" si="12"/>
        <v>39661</v>
      </c>
      <c r="S117" s="171">
        <f t="shared" si="13"/>
        <v>0.53</v>
      </c>
      <c r="T117" s="170">
        <f t="shared" si="16"/>
        <v>0.6</v>
      </c>
      <c r="U117" s="172">
        <f t="shared" si="14"/>
        <v>0.66999999999999993</v>
      </c>
      <c r="BP117" s="131">
        <f t="shared" si="10"/>
        <v>116</v>
      </c>
      <c r="BQ117" s="185" t="s">
        <v>300</v>
      </c>
      <c r="BR117" s="130" t="s">
        <v>178</v>
      </c>
      <c r="BS117" s="129" t="s">
        <v>204</v>
      </c>
      <c r="BT117" s="135" t="s">
        <v>180</v>
      </c>
      <c r="BU117" s="135"/>
      <c r="BV117" s="129">
        <v>1</v>
      </c>
      <c r="BW117" s="130" t="s">
        <v>899</v>
      </c>
      <c r="BX117"/>
      <c r="BZ117" s="131">
        <f t="shared" si="17"/>
        <v>116</v>
      </c>
      <c r="CA117" s="4" t="s">
        <v>524</v>
      </c>
      <c r="CB117" s="130" t="s">
        <v>181</v>
      </c>
      <c r="CC117" s="129" t="s">
        <v>179</v>
      </c>
      <c r="CD117" s="135" t="s">
        <v>180</v>
      </c>
      <c r="CE117" s="135"/>
      <c r="CF117" s="129">
        <v>1</v>
      </c>
      <c r="CG117" s="130" t="s">
        <v>714</v>
      </c>
      <c r="CH117"/>
    </row>
    <row r="118" spans="1:86" ht="12.75">
      <c r="A118" s="153"/>
      <c r="B118" s="146">
        <f t="shared" ca="1" si="15"/>
        <v>39692</v>
      </c>
      <c r="C118" s="141">
        <v>7.3934456977709007E-2</v>
      </c>
      <c r="D118" s="156">
        <v>0.6</v>
      </c>
      <c r="E118" s="156">
        <v>0.6</v>
      </c>
      <c r="F118" s="156">
        <v>0.15</v>
      </c>
      <c r="G118" s="156">
        <v>0.1575</v>
      </c>
      <c r="H118" s="156">
        <v>0.16500000000000001</v>
      </c>
      <c r="I118" s="155">
        <v>2.9565000000000001</v>
      </c>
      <c r="J118" s="156">
        <v>2.9615</v>
      </c>
      <c r="K118" s="141">
        <v>2.9665000000000004</v>
      </c>
      <c r="L118" s="156">
        <v>-5.1882969000000001E-2</v>
      </c>
      <c r="M118" s="141">
        <v>0.2525</v>
      </c>
      <c r="O118" s="125">
        <f ca="1">(IF(MONTH(B118)&gt;=4,IF(MONTH(B118)&lt;=10,Inputs!$H$2,Inputs!$H$3),Inputs!$H$3))</f>
        <v>6.5000000000000002E-2</v>
      </c>
      <c r="P118" s="155">
        <f ca="1">J118+(IF($L$2=TRUE,IF(MONTH(B118)&gt;=4,IF(MONTH(B118)&lt;=10,L118,M118),M118),0))+(IF('Pricing Inputs'!$AN$3=2,O118,0))</f>
        <v>2.9096170309999998</v>
      </c>
      <c r="Q118" s="155"/>
      <c r="R118" s="336">
        <f t="shared" ca="1" si="12"/>
        <v>39692</v>
      </c>
      <c r="S118" s="171">
        <f t="shared" si="13"/>
        <v>0.53</v>
      </c>
      <c r="T118" s="170">
        <f t="shared" si="16"/>
        <v>0.6</v>
      </c>
      <c r="U118" s="172">
        <f t="shared" si="14"/>
        <v>0.66999999999999993</v>
      </c>
      <c r="BP118" s="131">
        <f t="shared" si="10"/>
        <v>117</v>
      </c>
      <c r="BQ118" s="185" t="s">
        <v>301</v>
      </c>
      <c r="BR118" s="130" t="s">
        <v>178</v>
      </c>
      <c r="BS118" s="129" t="s">
        <v>204</v>
      </c>
      <c r="BT118" s="135" t="s">
        <v>180</v>
      </c>
      <c r="BU118" s="135"/>
      <c r="BV118" s="129">
        <v>1</v>
      </c>
      <c r="BW118" s="130" t="s">
        <v>900</v>
      </c>
      <c r="BX118"/>
      <c r="BZ118" s="131">
        <f t="shared" si="17"/>
        <v>117</v>
      </c>
      <c r="CA118" s="4" t="s">
        <v>525</v>
      </c>
      <c r="CB118" s="130" t="s">
        <v>181</v>
      </c>
      <c r="CC118" s="129" t="s">
        <v>179</v>
      </c>
      <c r="CD118" s="135" t="s">
        <v>180</v>
      </c>
      <c r="CE118" s="135"/>
      <c r="CF118" s="129">
        <v>1</v>
      </c>
      <c r="CG118" s="130" t="s">
        <v>715</v>
      </c>
      <c r="CH118"/>
    </row>
    <row r="119" spans="1:86" ht="12.75">
      <c r="A119" s="153"/>
      <c r="B119" s="146">
        <f t="shared" ca="1" si="15"/>
        <v>39722</v>
      </c>
      <c r="C119" s="141">
        <v>7.3949249355061003E-2</v>
      </c>
      <c r="D119" s="156">
        <v>0.65</v>
      </c>
      <c r="E119" s="156">
        <v>0.65</v>
      </c>
      <c r="F119" s="156">
        <v>0.15</v>
      </c>
      <c r="G119" s="156">
        <v>0.1575</v>
      </c>
      <c r="H119" s="156">
        <v>0.16500000000000001</v>
      </c>
      <c r="I119" s="155">
        <v>2.9824999999999999</v>
      </c>
      <c r="J119" s="156">
        <v>2.9874999999999998</v>
      </c>
      <c r="K119" s="141">
        <v>2.9925000000000002</v>
      </c>
      <c r="L119" s="156">
        <v>-5.1882969000000001E-2</v>
      </c>
      <c r="M119" s="141">
        <v>0.255</v>
      </c>
      <c r="O119" s="125">
        <f ca="1">(IF(MONTH(B119)&gt;=4,IF(MONTH(B119)&lt;=10,Inputs!$H$2,Inputs!$H$3),Inputs!$H$3))</f>
        <v>6.5000000000000002E-2</v>
      </c>
      <c r="P119" s="155">
        <f ca="1">J119+(IF($L$2=TRUE,IF(MONTH(B119)&gt;=4,IF(MONTH(B119)&lt;=10,L119,M119),M119),0))+(IF('Pricing Inputs'!$AN$3=2,O119,0))</f>
        <v>2.9356170309999996</v>
      </c>
      <c r="Q119" s="155"/>
      <c r="R119" s="336">
        <f t="shared" ca="1" si="12"/>
        <v>39722</v>
      </c>
      <c r="S119" s="171">
        <f t="shared" si="13"/>
        <v>0.58000000000000007</v>
      </c>
      <c r="T119" s="170">
        <f t="shared" si="16"/>
        <v>0.65</v>
      </c>
      <c r="U119" s="172">
        <f t="shared" si="14"/>
        <v>0.72</v>
      </c>
      <c r="BP119" s="131">
        <f t="shared" si="10"/>
        <v>118</v>
      </c>
      <c r="BQ119" s="185" t="s">
        <v>302</v>
      </c>
      <c r="BR119" s="130" t="s">
        <v>178</v>
      </c>
      <c r="BS119" s="129" t="s">
        <v>204</v>
      </c>
      <c r="BT119" s="135" t="s">
        <v>180</v>
      </c>
      <c r="BU119" s="135"/>
      <c r="BV119" s="129">
        <v>1</v>
      </c>
      <c r="BW119" s="130" t="s">
        <v>901</v>
      </c>
      <c r="BX119"/>
      <c r="BZ119" s="131">
        <f t="shared" si="17"/>
        <v>118</v>
      </c>
      <c r="CA119" s="4" t="s">
        <v>526</v>
      </c>
      <c r="CB119" s="130" t="s">
        <v>181</v>
      </c>
      <c r="CC119" s="129" t="s">
        <v>179</v>
      </c>
      <c r="CD119" s="135" t="s">
        <v>180</v>
      </c>
      <c r="CE119" s="135"/>
      <c r="CF119" s="129">
        <v>1</v>
      </c>
      <c r="CG119" s="130" t="s">
        <v>716</v>
      </c>
      <c r="CH119"/>
    </row>
    <row r="120" spans="1:86" ht="12.75">
      <c r="A120" s="153"/>
      <c r="B120" s="146">
        <f t="shared" ca="1" si="15"/>
        <v>39753</v>
      </c>
      <c r="C120" s="141">
        <v>7.3964534811735996E-2</v>
      </c>
      <c r="D120" s="156">
        <v>0.95</v>
      </c>
      <c r="E120" s="156">
        <v>0.95</v>
      </c>
      <c r="F120" s="156">
        <v>0.15</v>
      </c>
      <c r="G120" s="156">
        <v>0.1575</v>
      </c>
      <c r="H120" s="156">
        <v>0.16500000000000001</v>
      </c>
      <c r="I120" s="155">
        <v>3.1175000000000002</v>
      </c>
      <c r="J120" s="156">
        <v>3.1225000000000001</v>
      </c>
      <c r="K120" s="141">
        <v>3.1274999999999999</v>
      </c>
      <c r="L120" s="156">
        <v>-6.8122178249999998E-2</v>
      </c>
      <c r="M120" s="141">
        <v>0.71499999999999997</v>
      </c>
      <c r="O120" s="125">
        <f ca="1">(IF(MONTH(B120)&gt;=4,IF(MONTH(B120)&lt;=10,Inputs!$H$2,Inputs!$H$3),Inputs!$H$3))</f>
        <v>6.5000000000000002E-2</v>
      </c>
      <c r="P120" s="155">
        <f ca="1">J120+(IF($L$2=TRUE,IF(MONTH(B120)&gt;=4,IF(MONTH(B120)&lt;=10,L120,M120),M120),0))+(IF('Pricing Inputs'!$AN$3=2,O120,0))</f>
        <v>3.8374999999999999</v>
      </c>
      <c r="Q120" s="155"/>
      <c r="R120" s="336">
        <f t="shared" ca="1" si="12"/>
        <v>39753</v>
      </c>
      <c r="S120" s="171">
        <f t="shared" si="13"/>
        <v>0.87999999999999989</v>
      </c>
      <c r="T120" s="170">
        <f t="shared" si="16"/>
        <v>0.95</v>
      </c>
      <c r="U120" s="172">
        <f t="shared" si="14"/>
        <v>1.02</v>
      </c>
      <c r="BP120" s="131">
        <f t="shared" si="10"/>
        <v>119</v>
      </c>
      <c r="BQ120" s="185" t="s">
        <v>303</v>
      </c>
      <c r="BR120" s="130" t="s">
        <v>178</v>
      </c>
      <c r="BS120" s="129" t="s">
        <v>204</v>
      </c>
      <c r="BT120" s="135" t="s">
        <v>180</v>
      </c>
      <c r="BU120" s="135"/>
      <c r="BV120" s="129">
        <v>1</v>
      </c>
      <c r="BW120" s="130" t="s">
        <v>902</v>
      </c>
      <c r="BX120"/>
      <c r="BZ120" s="131">
        <f t="shared" si="17"/>
        <v>119</v>
      </c>
      <c r="CA120" s="4" t="s">
        <v>527</v>
      </c>
      <c r="CB120" s="130" t="s">
        <v>181</v>
      </c>
      <c r="CC120" s="129" t="s">
        <v>179</v>
      </c>
      <c r="CD120" s="135" t="s">
        <v>180</v>
      </c>
      <c r="CE120" s="135"/>
      <c r="CF120" s="129">
        <v>1</v>
      </c>
      <c r="CG120" s="130" t="s">
        <v>717</v>
      </c>
      <c r="CH120"/>
    </row>
    <row r="121" spans="1:86" ht="12.75">
      <c r="A121" s="153"/>
      <c r="B121" s="146">
        <f t="shared" ca="1" si="15"/>
        <v>39783</v>
      </c>
      <c r="C121" s="141">
        <v>7.3979327189235999E-2</v>
      </c>
      <c r="D121" s="156">
        <v>1.25</v>
      </c>
      <c r="E121" s="156">
        <v>1.25</v>
      </c>
      <c r="F121" s="156">
        <v>0.15</v>
      </c>
      <c r="G121" s="156">
        <v>0.1575</v>
      </c>
      <c r="H121" s="156">
        <v>0.16500000000000001</v>
      </c>
      <c r="I121" s="155">
        <v>3.2415000000000003</v>
      </c>
      <c r="J121" s="156">
        <v>3.2465000000000002</v>
      </c>
      <c r="K121" s="141">
        <v>3.2515000000000001</v>
      </c>
      <c r="L121" s="156">
        <v>-7.1862984500000004E-2</v>
      </c>
      <c r="M121" s="141">
        <v>1.03</v>
      </c>
      <c r="O121" s="125">
        <f ca="1">(IF(MONTH(B121)&gt;=4,IF(MONTH(B121)&lt;=10,Inputs!$H$2,Inputs!$H$3),Inputs!$H$3))</f>
        <v>6.5000000000000002E-2</v>
      </c>
      <c r="P121" s="155">
        <f ca="1">J121+(IF($L$2=TRUE,IF(MONTH(B121)&gt;=4,IF(MONTH(B121)&lt;=10,L121,M121),M121),0))+(IF('Pricing Inputs'!$AN$3=2,O121,0))</f>
        <v>4.2765000000000004</v>
      </c>
      <c r="Q121" s="155"/>
      <c r="R121" s="336">
        <f t="shared" ca="1" si="12"/>
        <v>39783</v>
      </c>
      <c r="S121" s="171">
        <f t="shared" si="13"/>
        <v>1.18</v>
      </c>
      <c r="T121" s="170">
        <f t="shared" si="16"/>
        <v>1.25</v>
      </c>
      <c r="U121" s="172">
        <f t="shared" si="14"/>
        <v>1.32</v>
      </c>
      <c r="BP121" s="131">
        <f t="shared" si="10"/>
        <v>120</v>
      </c>
      <c r="BQ121" s="185" t="s">
        <v>304</v>
      </c>
      <c r="BR121" s="130" t="s">
        <v>178</v>
      </c>
      <c r="BS121" s="129" t="s">
        <v>204</v>
      </c>
      <c r="BT121" s="135" t="s">
        <v>180</v>
      </c>
      <c r="BU121" s="135"/>
      <c r="BV121" s="129">
        <v>1</v>
      </c>
      <c r="BW121" s="130" t="s">
        <v>903</v>
      </c>
      <c r="BX121"/>
      <c r="BZ121" s="131">
        <f t="shared" si="17"/>
        <v>120</v>
      </c>
      <c r="CA121" s="4" t="s">
        <v>528</v>
      </c>
      <c r="CB121" s="130" t="s">
        <v>181</v>
      </c>
      <c r="CC121" s="129" t="s">
        <v>179</v>
      </c>
      <c r="CD121" s="135" t="s">
        <v>180</v>
      </c>
      <c r="CE121" s="135"/>
      <c r="CF121" s="129">
        <v>1</v>
      </c>
      <c r="CG121" s="130" t="s">
        <v>718</v>
      </c>
      <c r="CH121"/>
    </row>
    <row r="122" spans="1:86" ht="12.75">
      <c r="A122" s="153"/>
      <c r="B122" s="146">
        <f t="shared" ca="1" si="15"/>
        <v>39814</v>
      </c>
      <c r="C122" s="141">
        <v>7.3994612646060998E-2</v>
      </c>
      <c r="D122" s="156">
        <v>1.45</v>
      </c>
      <c r="E122" s="156">
        <v>1.45</v>
      </c>
      <c r="F122" s="156">
        <v>0.15</v>
      </c>
      <c r="G122" s="156">
        <v>0.1575</v>
      </c>
      <c r="H122" s="156">
        <v>0.16500000000000001</v>
      </c>
      <c r="I122" s="155">
        <v>3.31</v>
      </c>
      <c r="J122" s="156">
        <v>3.3149999999999999</v>
      </c>
      <c r="K122" s="141">
        <v>3.32</v>
      </c>
      <c r="L122" s="156">
        <v>-7.1863796000000008E-2</v>
      </c>
      <c r="M122" s="141">
        <v>1.4950000000000001</v>
      </c>
      <c r="O122" s="125">
        <f ca="1">(IF(MONTH(B122)&gt;=4,IF(MONTH(B122)&lt;=10,Inputs!$H$2,Inputs!$H$3),Inputs!$H$3))</f>
        <v>6.5000000000000002E-2</v>
      </c>
      <c r="P122" s="155">
        <f ca="1">J122+(IF($L$2=TRUE,IF(MONTH(B122)&gt;=4,IF(MONTH(B122)&lt;=10,L122,M122),M122),0))+(IF('Pricing Inputs'!$AN$3=2,O122,0))</f>
        <v>4.8100000000000005</v>
      </c>
      <c r="Q122" s="155"/>
      <c r="R122" s="336">
        <f t="shared" ca="1" si="12"/>
        <v>39814</v>
      </c>
      <c r="S122" s="171">
        <f t="shared" si="13"/>
        <v>1.38</v>
      </c>
      <c r="T122" s="170">
        <f t="shared" si="16"/>
        <v>1.45</v>
      </c>
      <c r="U122" s="172">
        <f t="shared" si="14"/>
        <v>1.52</v>
      </c>
      <c r="BP122" s="131">
        <f t="shared" si="10"/>
        <v>121</v>
      </c>
      <c r="BQ122" s="185" t="s">
        <v>305</v>
      </c>
      <c r="BR122" s="130" t="s">
        <v>178</v>
      </c>
      <c r="BS122" s="129" t="s">
        <v>204</v>
      </c>
      <c r="BT122" s="135" t="s">
        <v>180</v>
      </c>
      <c r="BU122" s="135"/>
      <c r="BV122" s="129">
        <v>1</v>
      </c>
      <c r="BW122" s="130" t="s">
        <v>904</v>
      </c>
      <c r="BX122"/>
      <c r="BZ122" s="131">
        <f t="shared" si="17"/>
        <v>121</v>
      </c>
      <c r="CA122" s="4" t="s">
        <v>529</v>
      </c>
      <c r="CB122" s="130" t="s">
        <v>181</v>
      </c>
      <c r="CC122" s="129" t="s">
        <v>179</v>
      </c>
      <c r="CD122" s="135" t="s">
        <v>180</v>
      </c>
      <c r="CE122" s="135"/>
      <c r="CF122" s="129">
        <v>1</v>
      </c>
      <c r="CG122" s="130" t="s">
        <v>719</v>
      </c>
      <c r="CH122"/>
    </row>
    <row r="123" spans="1:86" ht="12.75">
      <c r="A123" s="153"/>
      <c r="B123" s="146">
        <f t="shared" ca="1" si="15"/>
        <v>39845</v>
      </c>
      <c r="C123" s="141">
        <v>7.4009898102964003E-2</v>
      </c>
      <c r="D123" s="156">
        <v>1.45</v>
      </c>
      <c r="E123" s="156">
        <v>1.45</v>
      </c>
      <c r="F123" s="156">
        <v>0.15</v>
      </c>
      <c r="G123" s="156">
        <v>0.1575</v>
      </c>
      <c r="H123" s="156">
        <v>0.16500000000000001</v>
      </c>
      <c r="I123" s="155">
        <v>3.1920000000000002</v>
      </c>
      <c r="J123" s="156">
        <v>3.1970000000000001</v>
      </c>
      <c r="K123" s="141">
        <v>3.202</v>
      </c>
      <c r="L123" s="156">
        <v>-6.5614355750000006E-2</v>
      </c>
      <c r="M123" s="141">
        <v>1.395</v>
      </c>
      <c r="O123" s="125">
        <f ca="1">(IF(MONTH(B123)&gt;=4,IF(MONTH(B123)&lt;=10,Inputs!$H$2,Inputs!$H$3),Inputs!$H$3))</f>
        <v>6.5000000000000002E-2</v>
      </c>
      <c r="P123" s="155">
        <f ca="1">J123+(IF($L$2=TRUE,IF(MONTH(B123)&gt;=4,IF(MONTH(B123)&lt;=10,L123,M123),M123),0))+(IF('Pricing Inputs'!$AN$3=2,O123,0))</f>
        <v>4.5920000000000005</v>
      </c>
      <c r="Q123" s="155"/>
      <c r="R123" s="336">
        <f t="shared" ca="1" si="12"/>
        <v>39845</v>
      </c>
      <c r="S123" s="171">
        <f t="shared" si="13"/>
        <v>1.38</v>
      </c>
      <c r="T123" s="170">
        <f t="shared" si="16"/>
        <v>1.45</v>
      </c>
      <c r="U123" s="172">
        <f t="shared" si="14"/>
        <v>1.52</v>
      </c>
      <c r="BP123" s="131">
        <f t="shared" si="10"/>
        <v>122</v>
      </c>
      <c r="BQ123" s="185" t="s">
        <v>306</v>
      </c>
      <c r="BR123" s="130" t="s">
        <v>178</v>
      </c>
      <c r="BS123" s="129" t="s">
        <v>204</v>
      </c>
      <c r="BT123" s="135" t="s">
        <v>180</v>
      </c>
      <c r="BU123" s="135"/>
      <c r="BV123" s="129">
        <v>1</v>
      </c>
      <c r="BW123" s="130" t="s">
        <v>905</v>
      </c>
      <c r="BX123"/>
      <c r="BZ123" s="131">
        <f t="shared" si="17"/>
        <v>122</v>
      </c>
      <c r="CA123" s="4" t="s">
        <v>530</v>
      </c>
      <c r="CB123" s="130" t="s">
        <v>181</v>
      </c>
      <c r="CC123" s="129" t="s">
        <v>179</v>
      </c>
      <c r="CD123" s="135" t="s">
        <v>180</v>
      </c>
      <c r="CE123" s="135"/>
      <c r="CF123" s="129">
        <v>1</v>
      </c>
      <c r="CG123" s="130" t="s">
        <v>720</v>
      </c>
      <c r="CH123"/>
    </row>
    <row r="124" spans="1:86" ht="12.75">
      <c r="A124" s="153"/>
      <c r="B124" s="146">
        <f t="shared" ca="1" si="15"/>
        <v>39873</v>
      </c>
      <c r="C124" s="141">
        <v>7.4023704322168996E-2</v>
      </c>
      <c r="D124" s="156">
        <v>1</v>
      </c>
      <c r="E124" s="156">
        <v>1</v>
      </c>
      <c r="F124" s="156">
        <v>0.15</v>
      </c>
      <c r="G124" s="156">
        <v>0.1575</v>
      </c>
      <c r="H124" s="156">
        <v>0.16500000000000001</v>
      </c>
      <c r="I124" s="155">
        <v>3.0720000000000001</v>
      </c>
      <c r="J124" s="156">
        <v>3.077</v>
      </c>
      <c r="K124" s="141">
        <v>3.0820000000000003</v>
      </c>
      <c r="L124" s="156">
        <v>-6.3114355750000004E-2</v>
      </c>
      <c r="M124" s="141">
        <v>0.86499999999999999</v>
      </c>
      <c r="O124" s="125">
        <f ca="1">(IF(MONTH(B124)&gt;=4,IF(MONTH(B124)&lt;=10,Inputs!$H$2,Inputs!$H$3),Inputs!$H$3))</f>
        <v>6.5000000000000002E-2</v>
      </c>
      <c r="P124" s="155">
        <f ca="1">J124+(IF($L$2=TRUE,IF(MONTH(B124)&gt;=4,IF(MONTH(B124)&lt;=10,L124,M124),M124),0))+(IF('Pricing Inputs'!$AN$3=2,O124,0))</f>
        <v>3.9420000000000002</v>
      </c>
      <c r="Q124" s="155"/>
      <c r="R124" s="336">
        <f t="shared" ca="1" si="12"/>
        <v>39873</v>
      </c>
      <c r="S124" s="171">
        <f t="shared" si="13"/>
        <v>0.92999999999999994</v>
      </c>
      <c r="T124" s="170">
        <f t="shared" si="16"/>
        <v>1</v>
      </c>
      <c r="U124" s="172">
        <f t="shared" si="14"/>
        <v>1.07</v>
      </c>
      <c r="BP124" s="131">
        <f t="shared" si="10"/>
        <v>123</v>
      </c>
      <c r="BQ124" s="185" t="s">
        <v>307</v>
      </c>
      <c r="BR124" s="130" t="s">
        <v>178</v>
      </c>
      <c r="BS124" s="129" t="s">
        <v>204</v>
      </c>
      <c r="BT124" s="135" t="s">
        <v>180</v>
      </c>
      <c r="BU124" s="135"/>
      <c r="BV124" s="129">
        <v>1</v>
      </c>
      <c r="BW124" s="130" t="s">
        <v>906</v>
      </c>
      <c r="BX124"/>
      <c r="BZ124" s="131">
        <f t="shared" si="17"/>
        <v>123</v>
      </c>
      <c r="CA124" s="4" t="s">
        <v>531</v>
      </c>
      <c r="CB124" s="130" t="s">
        <v>181</v>
      </c>
      <c r="CC124" s="129" t="s">
        <v>179</v>
      </c>
      <c r="CD124" s="135" t="s">
        <v>180</v>
      </c>
      <c r="CE124" s="135"/>
      <c r="CF124" s="129">
        <v>1</v>
      </c>
      <c r="CG124" s="130" t="s">
        <v>721</v>
      </c>
      <c r="CH124"/>
    </row>
    <row r="125" spans="1:86" ht="12.75">
      <c r="A125" s="153"/>
      <c r="B125" s="146">
        <f t="shared" ca="1" si="15"/>
        <v>39904</v>
      </c>
      <c r="C125" s="141">
        <v>7.4038989779217995E-2</v>
      </c>
      <c r="D125" s="156">
        <v>0.45</v>
      </c>
      <c r="E125" s="156">
        <v>0.45</v>
      </c>
      <c r="F125" s="156">
        <v>0.15</v>
      </c>
      <c r="G125" s="156">
        <v>0.1575</v>
      </c>
      <c r="H125" s="156">
        <v>0.16500000000000001</v>
      </c>
      <c r="I125" s="155">
        <v>3.0225</v>
      </c>
      <c r="J125" s="156">
        <v>3.0274999999999999</v>
      </c>
      <c r="K125" s="141">
        <v>3.0325000000000002</v>
      </c>
      <c r="L125" s="156">
        <v>-5.0005840250000003E-2</v>
      </c>
      <c r="M125" s="141">
        <v>0.37</v>
      </c>
      <c r="O125" s="125">
        <f ca="1">(IF(MONTH(B125)&gt;=4,IF(MONTH(B125)&lt;=10,Inputs!$H$2,Inputs!$H$3),Inputs!$H$3))</f>
        <v>6.5000000000000002E-2</v>
      </c>
      <c r="P125" s="155">
        <f ca="1">J125+(IF($L$2=TRUE,IF(MONTH(B125)&gt;=4,IF(MONTH(B125)&lt;=10,L125,M125),M125),0))+(IF('Pricing Inputs'!$AN$3=2,O125,0))</f>
        <v>2.97749415975</v>
      </c>
      <c r="Q125" s="155"/>
      <c r="R125" s="336">
        <f t="shared" ca="1" si="12"/>
        <v>39904</v>
      </c>
      <c r="S125" s="171">
        <f t="shared" si="13"/>
        <v>0.38</v>
      </c>
      <c r="T125" s="170">
        <f t="shared" si="16"/>
        <v>0.45</v>
      </c>
      <c r="U125" s="172">
        <f t="shared" si="14"/>
        <v>0.52</v>
      </c>
      <c r="BP125" s="131">
        <f t="shared" si="10"/>
        <v>124</v>
      </c>
      <c r="BQ125" s="185" t="s">
        <v>308</v>
      </c>
      <c r="BR125" s="130" t="s">
        <v>178</v>
      </c>
      <c r="BS125" s="129" t="s">
        <v>204</v>
      </c>
      <c r="BT125" s="135" t="s">
        <v>180</v>
      </c>
      <c r="BU125" s="135"/>
      <c r="BV125" s="129">
        <v>1</v>
      </c>
      <c r="BW125" s="130" t="s">
        <v>907</v>
      </c>
      <c r="BX125"/>
      <c r="BZ125" s="131">
        <f t="shared" si="17"/>
        <v>124</v>
      </c>
      <c r="CA125" s="4" t="s">
        <v>532</v>
      </c>
      <c r="CB125" s="130" t="s">
        <v>181</v>
      </c>
      <c r="CC125" s="129" t="s">
        <v>179</v>
      </c>
      <c r="CD125" s="135" t="s">
        <v>180</v>
      </c>
      <c r="CE125" s="135"/>
      <c r="CF125" s="129">
        <v>1</v>
      </c>
      <c r="CG125" s="130" t="s">
        <v>722</v>
      </c>
      <c r="CH125"/>
    </row>
    <row r="126" spans="1:86" ht="12.75">
      <c r="A126" s="153"/>
      <c r="B126" s="146">
        <f t="shared" ca="1" si="15"/>
        <v>39934</v>
      </c>
      <c r="C126" s="141">
        <v>7.4053782157081999E-2</v>
      </c>
      <c r="D126" s="156">
        <v>0.5</v>
      </c>
      <c r="E126" s="156">
        <v>0.5</v>
      </c>
      <c r="F126" s="156">
        <v>0.15</v>
      </c>
      <c r="G126" s="156">
        <v>0.1575</v>
      </c>
      <c r="H126" s="156">
        <v>0.16500000000000001</v>
      </c>
      <c r="I126" s="155">
        <v>2.9965000000000002</v>
      </c>
      <c r="J126" s="156">
        <v>3.0015000000000001</v>
      </c>
      <c r="K126" s="141">
        <v>3.0065</v>
      </c>
      <c r="L126" s="156">
        <v>-5.0007968999999999E-2</v>
      </c>
      <c r="M126" s="141">
        <v>0.2525</v>
      </c>
      <c r="O126" s="125">
        <f ca="1">(IF(MONTH(B126)&gt;=4,IF(MONTH(B126)&lt;=10,Inputs!$H$2,Inputs!$H$3),Inputs!$H$3))</f>
        <v>6.5000000000000002E-2</v>
      </c>
      <c r="P126" s="155">
        <f ca="1">J126+(IF($L$2=TRUE,IF(MONTH(B126)&gt;=4,IF(MONTH(B126)&lt;=10,L126,M126),M126),0))+(IF('Pricing Inputs'!$AN$3=2,O126,0))</f>
        <v>2.9514920309999999</v>
      </c>
      <c r="Q126" s="155"/>
      <c r="R126" s="336">
        <f t="shared" ca="1" si="12"/>
        <v>39934</v>
      </c>
      <c r="S126" s="171">
        <f t="shared" si="13"/>
        <v>0.43</v>
      </c>
      <c r="T126" s="170">
        <f t="shared" si="16"/>
        <v>0.5</v>
      </c>
      <c r="U126" s="172">
        <f t="shared" si="14"/>
        <v>0.57000000000000006</v>
      </c>
      <c r="BP126" s="131">
        <f t="shared" si="10"/>
        <v>125</v>
      </c>
      <c r="BQ126" s="185" t="s">
        <v>309</v>
      </c>
      <c r="BR126" s="130" t="s">
        <v>178</v>
      </c>
      <c r="BS126" s="129" t="s">
        <v>204</v>
      </c>
      <c r="BT126" s="135" t="s">
        <v>180</v>
      </c>
      <c r="BU126" s="135"/>
      <c r="BV126" s="129">
        <v>1</v>
      </c>
      <c r="BW126" s="130" t="s">
        <v>908</v>
      </c>
      <c r="BX126"/>
      <c r="BZ126" s="131">
        <f t="shared" si="17"/>
        <v>125</v>
      </c>
      <c r="CA126" s="4" t="s">
        <v>533</v>
      </c>
      <c r="CB126" s="130" t="s">
        <v>181</v>
      </c>
      <c r="CC126" s="129" t="s">
        <v>179</v>
      </c>
      <c r="CD126" s="135" t="s">
        <v>180</v>
      </c>
      <c r="CE126" s="135"/>
      <c r="CF126" s="129">
        <v>1</v>
      </c>
      <c r="CG126" s="130" t="s">
        <v>723</v>
      </c>
      <c r="CH126"/>
    </row>
    <row r="127" spans="1:86" ht="12.75">
      <c r="A127" s="153"/>
      <c r="B127" s="146">
        <f t="shared" ca="1" si="15"/>
        <v>39965</v>
      </c>
      <c r="C127" s="141">
        <v>7.4069067614284001E-2</v>
      </c>
      <c r="D127" s="156">
        <v>0.5</v>
      </c>
      <c r="E127" s="156">
        <v>0.5</v>
      </c>
      <c r="F127" s="156">
        <v>0.15</v>
      </c>
      <c r="G127" s="156">
        <v>0.1575</v>
      </c>
      <c r="H127" s="156">
        <v>0.16500000000000001</v>
      </c>
      <c r="I127" s="155">
        <v>3.0024999999999999</v>
      </c>
      <c r="J127" s="156">
        <v>3.0074999999999998</v>
      </c>
      <c r="K127" s="141">
        <v>3.0125000000000002</v>
      </c>
      <c r="L127" s="156">
        <v>-5.0007968999999999E-2</v>
      </c>
      <c r="M127" s="141">
        <v>0.2525</v>
      </c>
      <c r="O127" s="125">
        <f ca="1">(IF(MONTH(B127)&gt;=4,IF(MONTH(B127)&lt;=10,Inputs!$H$2,Inputs!$H$3),Inputs!$H$3))</f>
        <v>6.5000000000000002E-2</v>
      </c>
      <c r="P127" s="155">
        <f ca="1">J127+(IF($L$2=TRUE,IF(MONTH(B127)&gt;=4,IF(MONTH(B127)&lt;=10,L127,M127),M127),0))+(IF('Pricing Inputs'!$AN$3=2,O127,0))</f>
        <v>2.9574920309999997</v>
      </c>
      <c r="Q127" s="155"/>
      <c r="R127" s="336">
        <f t="shared" ca="1" si="12"/>
        <v>39965</v>
      </c>
      <c r="S127" s="171">
        <f t="shared" si="13"/>
        <v>0.43</v>
      </c>
      <c r="T127" s="170">
        <f t="shared" si="16"/>
        <v>0.5</v>
      </c>
      <c r="U127" s="172">
        <f t="shared" si="14"/>
        <v>0.57000000000000006</v>
      </c>
      <c r="BP127" s="131">
        <f t="shared" si="10"/>
        <v>126</v>
      </c>
      <c r="BQ127" s="185" t="s">
        <v>310</v>
      </c>
      <c r="BR127" s="130" t="s">
        <v>178</v>
      </c>
      <c r="BS127" s="129" t="s">
        <v>204</v>
      </c>
      <c r="BT127" s="135" t="s">
        <v>180</v>
      </c>
      <c r="BU127" s="135"/>
      <c r="BV127" s="129">
        <v>1</v>
      </c>
      <c r="BW127" s="130" t="s">
        <v>909</v>
      </c>
      <c r="BX127"/>
      <c r="BZ127" s="131">
        <f t="shared" si="17"/>
        <v>126</v>
      </c>
      <c r="CA127" s="4" t="s">
        <v>534</v>
      </c>
      <c r="CB127" s="130" t="s">
        <v>181</v>
      </c>
      <c r="CC127" s="129" t="s">
        <v>179</v>
      </c>
      <c r="CD127" s="135" t="s">
        <v>180</v>
      </c>
      <c r="CE127" s="135"/>
      <c r="CF127" s="129">
        <v>1</v>
      </c>
      <c r="CG127" s="130" t="s">
        <v>724</v>
      </c>
      <c r="CH127"/>
    </row>
    <row r="128" spans="1:86" ht="12.75">
      <c r="A128" s="153"/>
      <c r="B128" s="146">
        <f t="shared" ca="1" si="15"/>
        <v>39995</v>
      </c>
      <c r="C128" s="141">
        <v>7.4083859992293999E-2</v>
      </c>
      <c r="D128" s="156">
        <v>0.5</v>
      </c>
      <c r="E128" s="156">
        <v>0.5</v>
      </c>
      <c r="F128" s="156">
        <v>0.15</v>
      </c>
      <c r="G128" s="156">
        <v>0.1575</v>
      </c>
      <c r="H128" s="156">
        <v>0.16500000000000001</v>
      </c>
      <c r="I128" s="155">
        <v>3.0125000000000002</v>
      </c>
      <c r="J128" s="156">
        <v>3.0175000000000001</v>
      </c>
      <c r="K128" s="141">
        <v>3.0225</v>
      </c>
      <c r="L128" s="156">
        <v>-5.0007968999999999E-2</v>
      </c>
      <c r="M128" s="141">
        <v>0.25750000000000001</v>
      </c>
      <c r="O128" s="125">
        <f ca="1">(IF(MONTH(B128)&gt;=4,IF(MONTH(B128)&lt;=10,Inputs!$H$2,Inputs!$H$3),Inputs!$H$3))</f>
        <v>6.5000000000000002E-2</v>
      </c>
      <c r="P128" s="155">
        <f ca="1">J128+(IF($L$2=TRUE,IF(MONTH(B128)&gt;=4,IF(MONTH(B128)&lt;=10,L128,M128),M128),0))+(IF('Pricing Inputs'!$AN$3=2,O128,0))</f>
        <v>2.9674920309999999</v>
      </c>
      <c r="Q128" s="155"/>
      <c r="R128" s="336">
        <f t="shared" ca="1" si="12"/>
        <v>39995</v>
      </c>
      <c r="S128" s="171">
        <f t="shared" si="13"/>
        <v>0.43</v>
      </c>
      <c r="T128" s="170">
        <f t="shared" si="16"/>
        <v>0.5</v>
      </c>
      <c r="U128" s="172">
        <f t="shared" si="14"/>
        <v>0.57000000000000006</v>
      </c>
      <c r="BP128" s="131">
        <f t="shared" si="10"/>
        <v>127</v>
      </c>
      <c r="BQ128" s="185" t="s">
        <v>311</v>
      </c>
      <c r="BR128" s="130" t="s">
        <v>178</v>
      </c>
      <c r="BS128" s="129" t="s">
        <v>204</v>
      </c>
      <c r="BT128" s="135" t="s">
        <v>180</v>
      </c>
      <c r="BU128" s="135"/>
      <c r="BV128" s="129">
        <v>1</v>
      </c>
      <c r="BW128" s="130" t="s">
        <v>910</v>
      </c>
      <c r="BX128"/>
      <c r="BZ128" s="131">
        <f t="shared" si="17"/>
        <v>127</v>
      </c>
      <c r="CA128" s="4" t="s">
        <v>535</v>
      </c>
      <c r="CB128" s="130" t="s">
        <v>181</v>
      </c>
      <c r="CC128" s="129" t="s">
        <v>179</v>
      </c>
      <c r="CD128" s="135" t="s">
        <v>180</v>
      </c>
      <c r="CE128" s="135"/>
      <c r="CF128" s="129">
        <v>1</v>
      </c>
      <c r="CG128" s="130" t="s">
        <v>725</v>
      </c>
      <c r="CH128"/>
    </row>
    <row r="129" spans="1:86" ht="12.75">
      <c r="A129" s="153"/>
      <c r="B129" s="146">
        <f t="shared" ca="1" si="15"/>
        <v>40026</v>
      </c>
      <c r="C129" s="141">
        <v>7.4099145449646006E-2</v>
      </c>
      <c r="D129" s="156">
        <v>0.6</v>
      </c>
      <c r="E129" s="156">
        <v>0.6</v>
      </c>
      <c r="F129" s="156">
        <v>0.15</v>
      </c>
      <c r="G129" s="156">
        <v>0.1575</v>
      </c>
      <c r="H129" s="156">
        <v>0.16500000000000001</v>
      </c>
      <c r="I129" s="155">
        <v>3.0195000000000003</v>
      </c>
      <c r="J129" s="156">
        <v>3.0245000000000002</v>
      </c>
      <c r="K129" s="141">
        <v>3.0295000000000001</v>
      </c>
      <c r="L129" s="156">
        <v>-5.0007968999999999E-2</v>
      </c>
      <c r="M129" s="141">
        <v>0.25750000000000001</v>
      </c>
      <c r="O129" s="125">
        <f ca="1">(IF(MONTH(B129)&gt;=4,IF(MONTH(B129)&lt;=10,Inputs!$H$2,Inputs!$H$3),Inputs!$H$3))</f>
        <v>6.5000000000000002E-2</v>
      </c>
      <c r="P129" s="155">
        <f ca="1">J129+(IF($L$2=TRUE,IF(MONTH(B129)&gt;=4,IF(MONTH(B129)&lt;=10,L129,M129),M129),0))+(IF('Pricing Inputs'!$AN$3=2,O129,0))</f>
        <v>2.974492031</v>
      </c>
      <c r="Q129" s="155"/>
      <c r="R129" s="336">
        <f t="shared" ca="1" si="12"/>
        <v>40026</v>
      </c>
      <c r="S129" s="171">
        <f t="shared" si="13"/>
        <v>0.53</v>
      </c>
      <c r="T129" s="170">
        <f t="shared" si="16"/>
        <v>0.6</v>
      </c>
      <c r="U129" s="172">
        <f t="shared" si="14"/>
        <v>0.66999999999999993</v>
      </c>
      <c r="BP129" s="131">
        <f t="shared" si="10"/>
        <v>128</v>
      </c>
      <c r="BQ129" s="185" t="s">
        <v>312</v>
      </c>
      <c r="BR129" s="130" t="s">
        <v>178</v>
      </c>
      <c r="BS129" s="129" t="s">
        <v>204</v>
      </c>
      <c r="BT129" s="135" t="s">
        <v>180</v>
      </c>
      <c r="BU129" s="135"/>
      <c r="BV129" s="129">
        <v>1</v>
      </c>
      <c r="BW129" s="130" t="s">
        <v>911</v>
      </c>
      <c r="BX129"/>
      <c r="BZ129" s="131">
        <f t="shared" si="17"/>
        <v>128</v>
      </c>
      <c r="CA129" s="4" t="s">
        <v>536</v>
      </c>
      <c r="CB129" s="130" t="s">
        <v>181</v>
      </c>
      <c r="CC129" s="129" t="s">
        <v>179</v>
      </c>
      <c r="CD129" s="135" t="s">
        <v>180</v>
      </c>
      <c r="CE129" s="135"/>
      <c r="CF129" s="129">
        <v>1</v>
      </c>
      <c r="CG129" s="130" t="s">
        <v>726</v>
      </c>
      <c r="CH129"/>
    </row>
    <row r="130" spans="1:86" ht="12.75">
      <c r="A130" s="153"/>
      <c r="B130" s="146">
        <f t="shared" ca="1" si="15"/>
        <v>40057</v>
      </c>
      <c r="C130" s="141">
        <v>7.4114430907077006E-2</v>
      </c>
      <c r="D130" s="156">
        <v>0.6</v>
      </c>
      <c r="E130" s="156">
        <v>0.6</v>
      </c>
      <c r="F130" s="156">
        <v>0.15</v>
      </c>
      <c r="G130" s="156">
        <v>0.1575</v>
      </c>
      <c r="H130" s="156">
        <v>0.16500000000000001</v>
      </c>
      <c r="I130" s="155">
        <v>3.0265</v>
      </c>
      <c r="J130" s="156">
        <v>3.0315000000000003</v>
      </c>
      <c r="K130" s="141">
        <v>3.0365000000000002</v>
      </c>
      <c r="L130" s="156">
        <v>-5.0007968999999999E-2</v>
      </c>
      <c r="M130" s="141">
        <v>0.2525</v>
      </c>
      <c r="O130" s="125">
        <f ca="1">(IF(MONTH(B130)&gt;=4,IF(MONTH(B130)&lt;=10,Inputs!$H$2,Inputs!$H$3),Inputs!$H$3))</f>
        <v>6.5000000000000002E-2</v>
      </c>
      <c r="P130" s="155">
        <f ca="1">J130+(IF($L$2=TRUE,IF(MONTH(B130)&gt;=4,IF(MONTH(B130)&lt;=10,L130,M130),M130),0))+(IF('Pricing Inputs'!$AN$3=2,O130,0))</f>
        <v>2.9814920310000002</v>
      </c>
      <c r="Q130" s="155"/>
      <c r="R130" s="336">
        <f t="shared" ca="1" si="12"/>
        <v>40057</v>
      </c>
      <c r="S130" s="171">
        <f t="shared" si="13"/>
        <v>0.53</v>
      </c>
      <c r="T130" s="170">
        <f t="shared" si="16"/>
        <v>0.6</v>
      </c>
      <c r="U130" s="172">
        <f t="shared" si="14"/>
        <v>0.66999999999999993</v>
      </c>
      <c r="BP130" s="131">
        <f t="shared" ref="BP130:BP193" si="18">BP129+BV130</f>
        <v>129</v>
      </c>
      <c r="BQ130" s="185" t="s">
        <v>313</v>
      </c>
      <c r="BR130" s="130" t="s">
        <v>178</v>
      </c>
      <c r="BS130" s="129" t="s">
        <v>204</v>
      </c>
      <c r="BT130" s="135" t="s">
        <v>180</v>
      </c>
      <c r="BU130" s="135"/>
      <c r="BV130" s="129">
        <v>1</v>
      </c>
      <c r="BW130" s="130" t="s">
        <v>912</v>
      </c>
      <c r="BX130"/>
      <c r="BZ130" s="131">
        <f t="shared" ref="BZ130:BZ161" si="19">BZ129+CF130</f>
        <v>129</v>
      </c>
      <c r="CA130" s="4" t="s">
        <v>537</v>
      </c>
      <c r="CB130" s="130" t="s">
        <v>181</v>
      </c>
      <c r="CC130" s="129" t="s">
        <v>179</v>
      </c>
      <c r="CD130" s="135" t="s">
        <v>180</v>
      </c>
      <c r="CE130" s="135"/>
      <c r="CF130" s="129">
        <v>1</v>
      </c>
      <c r="CG130" s="130" t="s">
        <v>727</v>
      </c>
      <c r="CH130"/>
    </row>
    <row r="131" spans="1:86" ht="12.75">
      <c r="A131" s="153"/>
      <c r="B131" s="146">
        <f t="shared" ca="1" si="15"/>
        <v>40087</v>
      </c>
      <c r="C131" s="141">
        <v>7.4129223285309007E-2</v>
      </c>
      <c r="D131" s="156">
        <v>0.65</v>
      </c>
      <c r="E131" s="156">
        <v>0.65</v>
      </c>
      <c r="F131" s="156">
        <v>0.15</v>
      </c>
      <c r="G131" s="156">
        <v>0.1575</v>
      </c>
      <c r="H131" s="156">
        <v>0.16500000000000001</v>
      </c>
      <c r="I131" s="155">
        <v>3.0525000000000002</v>
      </c>
      <c r="J131" s="156">
        <v>3.0575000000000001</v>
      </c>
      <c r="K131" s="141">
        <v>3.0625</v>
      </c>
      <c r="L131" s="156">
        <v>-5.0007968999999999E-2</v>
      </c>
      <c r="M131" s="141">
        <v>0.255</v>
      </c>
      <c r="O131" s="125">
        <f ca="1">(IF(MONTH(B131)&gt;=4,IF(MONTH(B131)&lt;=10,Inputs!$H$2,Inputs!$H$3),Inputs!$H$3))</f>
        <v>6.5000000000000002E-2</v>
      </c>
      <c r="P131" s="155">
        <f ca="1">J131+(IF($L$2=TRUE,IF(MONTH(B131)&gt;=4,IF(MONTH(B131)&lt;=10,L131,M131),M131),0))+(IF('Pricing Inputs'!$AN$3=2,O131,0))</f>
        <v>3.007492031</v>
      </c>
      <c r="Q131" s="155"/>
      <c r="R131" s="336">
        <f t="shared" ca="1" si="12"/>
        <v>40087</v>
      </c>
      <c r="S131" s="171">
        <f t="shared" si="13"/>
        <v>0.58000000000000007</v>
      </c>
      <c r="T131" s="170">
        <f t="shared" si="16"/>
        <v>0.65</v>
      </c>
      <c r="U131" s="172">
        <f t="shared" si="14"/>
        <v>0.72</v>
      </c>
      <c r="BP131" s="131">
        <f t="shared" si="18"/>
        <v>130</v>
      </c>
      <c r="BQ131" s="185" t="s">
        <v>314</v>
      </c>
      <c r="BR131" s="130" t="s">
        <v>178</v>
      </c>
      <c r="BS131" s="129" t="s">
        <v>204</v>
      </c>
      <c r="BT131" s="135" t="s">
        <v>180</v>
      </c>
      <c r="BU131" s="135"/>
      <c r="BV131" s="129">
        <v>1</v>
      </c>
      <c r="BW131" s="130" t="s">
        <v>913</v>
      </c>
      <c r="BX131"/>
      <c r="BZ131" s="131">
        <f t="shared" si="19"/>
        <v>130</v>
      </c>
      <c r="CA131" s="4" t="s">
        <v>538</v>
      </c>
      <c r="CB131" s="130" t="s">
        <v>181</v>
      </c>
      <c r="CC131" s="129" t="s">
        <v>179</v>
      </c>
      <c r="CD131" s="135" t="s">
        <v>180</v>
      </c>
      <c r="CE131" s="135"/>
      <c r="CF131" s="129">
        <v>1</v>
      </c>
      <c r="CG131" s="130" t="s">
        <v>728</v>
      </c>
      <c r="CH131"/>
    </row>
    <row r="132" spans="1:86" ht="12.75">
      <c r="A132" s="153"/>
      <c r="B132" s="146">
        <f t="shared" ca="1" si="15"/>
        <v>40118</v>
      </c>
      <c r="C132" s="141">
        <v>7.4144508742889997E-2</v>
      </c>
      <c r="D132" s="156">
        <v>0.95</v>
      </c>
      <c r="E132" s="156">
        <v>0.95</v>
      </c>
      <c r="F132" s="156">
        <v>0.15</v>
      </c>
      <c r="G132" s="156">
        <v>0.1575</v>
      </c>
      <c r="H132" s="156">
        <v>0.16500000000000001</v>
      </c>
      <c r="I132" s="155">
        <v>3.1875</v>
      </c>
      <c r="J132" s="156">
        <v>3.1924999999999999</v>
      </c>
      <c r="K132" s="141">
        <v>3.1974999999999998</v>
      </c>
      <c r="L132" s="156">
        <v>-6.5872178249999996E-2</v>
      </c>
      <c r="M132" s="141">
        <v>0.71499999999999997</v>
      </c>
      <c r="O132" s="125">
        <f ca="1">(IF(MONTH(B132)&gt;=4,IF(MONTH(B132)&lt;=10,Inputs!$H$2,Inputs!$H$3),Inputs!$H$3))</f>
        <v>6.5000000000000002E-2</v>
      </c>
      <c r="P132" s="155">
        <f ca="1">J132+(IF($L$2=TRUE,IF(MONTH(B132)&gt;=4,IF(MONTH(B132)&lt;=10,L132,M132),M132),0))+(IF('Pricing Inputs'!$AN$3=2,O132,0))</f>
        <v>3.9074999999999998</v>
      </c>
      <c r="Q132" s="155"/>
      <c r="R132" s="336">
        <f t="shared" ca="1" si="12"/>
        <v>40118</v>
      </c>
      <c r="S132" s="171">
        <f t="shared" si="13"/>
        <v>0.87999999999999989</v>
      </c>
      <c r="T132" s="170">
        <f t="shared" si="16"/>
        <v>0.95</v>
      </c>
      <c r="U132" s="172">
        <f t="shared" si="14"/>
        <v>1.02</v>
      </c>
      <c r="BP132" s="131">
        <f t="shared" si="18"/>
        <v>131</v>
      </c>
      <c r="BQ132" s="185" t="s">
        <v>315</v>
      </c>
      <c r="BR132" s="130" t="s">
        <v>178</v>
      </c>
      <c r="BS132" s="129" t="s">
        <v>204</v>
      </c>
      <c r="BT132" s="135" t="s">
        <v>180</v>
      </c>
      <c r="BU132" s="135"/>
      <c r="BV132" s="129">
        <v>1</v>
      </c>
      <c r="BW132" s="130" t="s">
        <v>914</v>
      </c>
      <c r="BX132"/>
      <c r="BZ132" s="131">
        <f t="shared" si="19"/>
        <v>131</v>
      </c>
      <c r="CA132" s="4" t="s">
        <v>539</v>
      </c>
      <c r="CB132" s="130" t="s">
        <v>181</v>
      </c>
      <c r="CC132" s="129" t="s">
        <v>179</v>
      </c>
      <c r="CD132" s="135" t="s">
        <v>180</v>
      </c>
      <c r="CE132" s="135"/>
      <c r="CF132" s="129">
        <v>1</v>
      </c>
      <c r="CG132" s="130" t="s">
        <v>729</v>
      </c>
      <c r="CH132"/>
    </row>
    <row r="133" spans="1:86" ht="12.75">
      <c r="A133" s="153"/>
      <c r="B133" s="146">
        <f t="shared" ca="1" si="15"/>
        <v>40148</v>
      </c>
      <c r="C133" s="141">
        <v>7.4159301121269006E-2</v>
      </c>
      <c r="D133" s="156">
        <v>1.25</v>
      </c>
      <c r="E133" s="156">
        <v>1.25</v>
      </c>
      <c r="F133" s="156">
        <v>0.14749999999999999</v>
      </c>
      <c r="G133" s="156">
        <v>0.155</v>
      </c>
      <c r="H133" s="156">
        <v>0.16250000000000001</v>
      </c>
      <c r="I133" s="155">
        <v>3.3115000000000001</v>
      </c>
      <c r="J133" s="156">
        <v>3.3165</v>
      </c>
      <c r="K133" s="141">
        <v>3.3215000000000003</v>
      </c>
      <c r="L133" s="156">
        <v>-6.9612984500000002E-2</v>
      </c>
      <c r="M133" s="141">
        <v>1.03</v>
      </c>
      <c r="O133" s="125">
        <f ca="1">(IF(MONTH(B133)&gt;=4,IF(MONTH(B133)&lt;=10,Inputs!$H$2,Inputs!$H$3),Inputs!$H$3))</f>
        <v>6.5000000000000002E-2</v>
      </c>
      <c r="P133" s="155">
        <f ca="1">J133+(IF($L$2=TRUE,IF(MONTH(B133)&gt;=4,IF(MONTH(B133)&lt;=10,L133,M133),M133),0))+(IF('Pricing Inputs'!$AN$3=2,O133,0))</f>
        <v>4.3464999999999998</v>
      </c>
      <c r="Q133" s="155"/>
      <c r="R133" s="336">
        <f t="shared" ca="1" si="12"/>
        <v>40148</v>
      </c>
      <c r="S133" s="171">
        <f t="shared" si="13"/>
        <v>1.18</v>
      </c>
      <c r="T133" s="170">
        <f t="shared" si="16"/>
        <v>1.25</v>
      </c>
      <c r="U133" s="172">
        <f t="shared" si="14"/>
        <v>1.32</v>
      </c>
      <c r="BP133" s="131">
        <f t="shared" si="18"/>
        <v>132</v>
      </c>
      <c r="BQ133" s="185" t="s">
        <v>316</v>
      </c>
      <c r="BR133" s="130" t="s">
        <v>178</v>
      </c>
      <c r="BS133" s="129" t="s">
        <v>204</v>
      </c>
      <c r="BT133" s="135" t="s">
        <v>180</v>
      </c>
      <c r="BU133" s="135"/>
      <c r="BV133" s="129">
        <v>1</v>
      </c>
      <c r="BW133" s="130" t="s">
        <v>915</v>
      </c>
      <c r="BX133"/>
      <c r="BZ133" s="131">
        <f t="shared" si="19"/>
        <v>132</v>
      </c>
      <c r="CA133" s="4" t="s">
        <v>540</v>
      </c>
      <c r="CB133" s="130" t="s">
        <v>181</v>
      </c>
      <c r="CC133" s="129" t="s">
        <v>179</v>
      </c>
      <c r="CD133" s="135" t="s">
        <v>180</v>
      </c>
      <c r="CE133" s="135"/>
      <c r="CF133" s="129">
        <v>1</v>
      </c>
      <c r="CG133" s="130" t="s">
        <v>730</v>
      </c>
      <c r="CH133"/>
    </row>
    <row r="134" spans="1:86" ht="12.75">
      <c r="A134" s="153"/>
      <c r="B134" s="146">
        <f t="shared" ca="1" si="15"/>
        <v>40179</v>
      </c>
      <c r="C134" s="141">
        <v>7.4174586579002E-2</v>
      </c>
      <c r="D134" s="156">
        <v>1.45</v>
      </c>
      <c r="E134" s="156">
        <v>1.45</v>
      </c>
      <c r="F134" s="156">
        <v>0.14249999999999999</v>
      </c>
      <c r="G134" s="156">
        <v>0.15</v>
      </c>
      <c r="H134" s="156">
        <v>0.1575</v>
      </c>
      <c r="I134" s="155">
        <v>3.3849999999999998</v>
      </c>
      <c r="J134" s="156">
        <v>3.39</v>
      </c>
      <c r="K134" s="141">
        <v>3.395</v>
      </c>
      <c r="L134" s="156">
        <v>-9.0863795999999997E-2</v>
      </c>
      <c r="M134" s="141">
        <v>1.4950000000000001</v>
      </c>
      <c r="O134" s="125">
        <f ca="1">(IF(MONTH(B134)&gt;=4,IF(MONTH(B134)&lt;=10,Inputs!$H$2,Inputs!$H$3),Inputs!$H$3))</f>
        <v>6.5000000000000002E-2</v>
      </c>
      <c r="P134" s="155">
        <f ca="1">J134+(IF($L$2=TRUE,IF(MONTH(B134)&gt;=4,IF(MONTH(B134)&lt;=10,L134,M134),M134),0))+(IF('Pricing Inputs'!$AN$3=2,O134,0))</f>
        <v>4.8849999999999998</v>
      </c>
      <c r="Q134" s="155"/>
      <c r="R134" s="336">
        <f t="shared" ca="1" si="12"/>
        <v>40179</v>
      </c>
      <c r="S134" s="171">
        <f t="shared" si="13"/>
        <v>1.38</v>
      </c>
      <c r="T134" s="170">
        <f t="shared" si="16"/>
        <v>1.45</v>
      </c>
      <c r="U134" s="172">
        <f t="shared" si="14"/>
        <v>1.52</v>
      </c>
      <c r="BP134" s="131">
        <f t="shared" si="18"/>
        <v>133</v>
      </c>
      <c r="BQ134" s="185" t="s">
        <v>317</v>
      </c>
      <c r="BR134" s="130" t="s">
        <v>178</v>
      </c>
      <c r="BS134" s="129" t="s">
        <v>204</v>
      </c>
      <c r="BT134" s="135" t="s">
        <v>180</v>
      </c>
      <c r="BU134" s="135"/>
      <c r="BV134" s="129">
        <v>1</v>
      </c>
      <c r="BW134" s="130" t="s">
        <v>916</v>
      </c>
      <c r="BX134"/>
      <c r="BZ134" s="131">
        <f t="shared" si="19"/>
        <v>133</v>
      </c>
      <c r="CA134" s="4" t="s">
        <v>541</v>
      </c>
      <c r="CB134" s="130" t="s">
        <v>181</v>
      </c>
      <c r="CC134" s="129" t="s">
        <v>179</v>
      </c>
      <c r="CD134" s="135" t="s">
        <v>180</v>
      </c>
      <c r="CE134" s="135"/>
      <c r="CF134" s="129">
        <v>1</v>
      </c>
      <c r="CG134" s="130" t="s">
        <v>731</v>
      </c>
      <c r="CH134"/>
    </row>
    <row r="135" spans="1:86" ht="12.75">
      <c r="A135" s="153"/>
      <c r="B135" s="146">
        <f t="shared" ca="1" si="15"/>
        <v>40210</v>
      </c>
      <c r="C135" s="141">
        <v>7.4189872036813001E-2</v>
      </c>
      <c r="D135" s="156">
        <v>1.45</v>
      </c>
      <c r="E135" s="156">
        <v>1.45</v>
      </c>
      <c r="F135" s="156">
        <v>0.14249999999999999</v>
      </c>
      <c r="G135" s="156">
        <v>0.15</v>
      </c>
      <c r="H135" s="156">
        <v>0.1575</v>
      </c>
      <c r="I135" s="155">
        <v>3.2670000000000003</v>
      </c>
      <c r="J135" s="156">
        <v>3.2720000000000002</v>
      </c>
      <c r="K135" s="141">
        <v>3.2770000000000001</v>
      </c>
      <c r="L135" s="156">
        <v>-8.4614355750000009E-2</v>
      </c>
      <c r="M135" s="141">
        <v>1.395</v>
      </c>
      <c r="O135" s="125">
        <f ca="1">(IF(MONTH(B135)&gt;=4,IF(MONTH(B135)&lt;=10,Inputs!$H$2,Inputs!$H$3),Inputs!$H$3))</f>
        <v>6.5000000000000002E-2</v>
      </c>
      <c r="P135" s="155">
        <f ca="1">J135+(IF($L$2=TRUE,IF(MONTH(B135)&gt;=4,IF(MONTH(B135)&lt;=10,L135,M135),M135),0))+(IF('Pricing Inputs'!$AN$3=2,O135,0))</f>
        <v>4.6669999999999998</v>
      </c>
      <c r="Q135" s="155"/>
      <c r="R135" s="336">
        <f t="shared" ca="1" si="12"/>
        <v>40210</v>
      </c>
      <c r="S135" s="171">
        <f t="shared" si="13"/>
        <v>1.38</v>
      </c>
      <c r="T135" s="170">
        <f t="shared" si="16"/>
        <v>1.45</v>
      </c>
      <c r="U135" s="172">
        <f t="shared" si="14"/>
        <v>1.52</v>
      </c>
      <c r="BP135" s="131">
        <f t="shared" si="18"/>
        <v>134</v>
      </c>
      <c r="BQ135" s="185" t="s">
        <v>318</v>
      </c>
      <c r="BR135" s="130" t="s">
        <v>178</v>
      </c>
      <c r="BS135" s="129" t="s">
        <v>204</v>
      </c>
      <c r="BT135" s="135" t="s">
        <v>180</v>
      </c>
      <c r="BU135" s="135"/>
      <c r="BV135" s="129">
        <v>1</v>
      </c>
      <c r="BW135" s="130" t="s">
        <v>917</v>
      </c>
      <c r="BX135"/>
      <c r="BZ135" s="131">
        <f t="shared" si="19"/>
        <v>134</v>
      </c>
      <c r="CA135" s="4" t="s">
        <v>542</v>
      </c>
      <c r="CB135" s="130" t="s">
        <v>181</v>
      </c>
      <c r="CC135" s="129" t="s">
        <v>179</v>
      </c>
      <c r="CD135" s="135" t="s">
        <v>180</v>
      </c>
      <c r="CE135" s="135"/>
      <c r="CF135" s="129">
        <v>1</v>
      </c>
      <c r="CG135" s="130" t="s">
        <v>732</v>
      </c>
      <c r="CH135"/>
    </row>
    <row r="136" spans="1:86" ht="12.75">
      <c r="A136" s="153"/>
      <c r="B136" s="146">
        <f t="shared" ca="1" si="15"/>
        <v>40238</v>
      </c>
      <c r="C136" s="141">
        <v>7.4203678256838004E-2</v>
      </c>
      <c r="D136" s="156">
        <v>1</v>
      </c>
      <c r="E136" s="156">
        <v>1</v>
      </c>
      <c r="F136" s="156">
        <v>0.14249999999999999</v>
      </c>
      <c r="G136" s="156">
        <v>0.15</v>
      </c>
      <c r="H136" s="156">
        <v>0.1575</v>
      </c>
      <c r="I136" s="155">
        <v>3.1470000000000002</v>
      </c>
      <c r="J136" s="156">
        <v>3.1520000000000001</v>
      </c>
      <c r="K136" s="141">
        <v>3.157</v>
      </c>
      <c r="L136" s="156">
        <v>-8.2114355750000007E-2</v>
      </c>
      <c r="M136" s="141">
        <v>0.86499999999999999</v>
      </c>
      <c r="O136" s="125">
        <f ca="1">(IF(MONTH(B136)&gt;=4,IF(MONTH(B136)&lt;=10,Inputs!$H$2,Inputs!$H$3),Inputs!$H$3))</f>
        <v>6.5000000000000002E-2</v>
      </c>
      <c r="P136" s="155">
        <f ca="1">J136+(IF($L$2=TRUE,IF(MONTH(B136)&gt;=4,IF(MONTH(B136)&lt;=10,L136,M136),M136),0))+(IF('Pricing Inputs'!$AN$3=2,O136,0))</f>
        <v>4.0170000000000003</v>
      </c>
      <c r="Q136" s="155"/>
      <c r="R136" s="336">
        <f t="shared" ca="1" si="12"/>
        <v>40238</v>
      </c>
      <c r="S136" s="171">
        <f t="shared" si="13"/>
        <v>0.92999999999999994</v>
      </c>
      <c r="T136" s="170">
        <f t="shared" si="16"/>
        <v>1</v>
      </c>
      <c r="U136" s="172">
        <f t="shared" si="14"/>
        <v>1.07</v>
      </c>
      <c r="BP136" s="131">
        <f t="shared" si="18"/>
        <v>135</v>
      </c>
      <c r="BQ136" s="185" t="s">
        <v>319</v>
      </c>
      <c r="BR136" s="130" t="s">
        <v>178</v>
      </c>
      <c r="BS136" s="129" t="s">
        <v>204</v>
      </c>
      <c r="BT136" s="135" t="s">
        <v>180</v>
      </c>
      <c r="BU136" s="135"/>
      <c r="BV136" s="129">
        <v>1</v>
      </c>
      <c r="BW136" s="130" t="s">
        <v>918</v>
      </c>
      <c r="BX136"/>
      <c r="BZ136" s="131">
        <f t="shared" si="19"/>
        <v>135</v>
      </c>
      <c r="CA136" s="4" t="s">
        <v>543</v>
      </c>
      <c r="CB136" s="130" t="s">
        <v>181</v>
      </c>
      <c r="CC136" s="129" t="s">
        <v>179</v>
      </c>
      <c r="CD136" s="135" t="s">
        <v>180</v>
      </c>
      <c r="CE136" s="135"/>
      <c r="CF136" s="129">
        <v>1</v>
      </c>
      <c r="CG136" s="130" t="s">
        <v>733</v>
      </c>
      <c r="CH136"/>
    </row>
    <row r="137" spans="1:86" ht="12.75">
      <c r="A137" s="153"/>
      <c r="B137" s="146">
        <f t="shared" ca="1" si="15"/>
        <v>40269</v>
      </c>
      <c r="C137" s="141">
        <v>7.4204388711588007E-2</v>
      </c>
      <c r="D137" s="156">
        <v>0.45</v>
      </c>
      <c r="E137" s="156">
        <v>0.45</v>
      </c>
      <c r="F137" s="156">
        <v>0.14249999999999999</v>
      </c>
      <c r="G137" s="156">
        <v>0.15</v>
      </c>
      <c r="H137" s="156">
        <v>0.1575</v>
      </c>
      <c r="I137" s="155">
        <v>3.0975000000000001</v>
      </c>
      <c r="J137" s="156">
        <v>3.1025</v>
      </c>
      <c r="K137" s="141">
        <v>3.1074999999999999</v>
      </c>
      <c r="L137" s="156">
        <v>-6.9005840250000006E-2</v>
      </c>
      <c r="M137" s="141">
        <v>0.37</v>
      </c>
      <c r="O137" s="125">
        <f ca="1">(IF(MONTH(B137)&gt;=4,IF(MONTH(B137)&lt;=10,Inputs!$H$2,Inputs!$H$3),Inputs!$H$3))</f>
        <v>6.5000000000000002E-2</v>
      </c>
      <c r="P137" s="155">
        <f ca="1">J137+(IF($L$2=TRUE,IF(MONTH(B137)&gt;=4,IF(MONTH(B137)&lt;=10,L137,M137),M137),0))+(IF('Pricing Inputs'!$AN$3=2,O137,0))</f>
        <v>3.03349415975</v>
      </c>
      <c r="Q137" s="155"/>
      <c r="R137" s="336">
        <f t="shared" ca="1" si="12"/>
        <v>40269</v>
      </c>
      <c r="S137" s="171">
        <f t="shared" si="13"/>
        <v>0.38</v>
      </c>
      <c r="T137" s="170">
        <f t="shared" si="16"/>
        <v>0.45</v>
      </c>
      <c r="U137" s="172">
        <f t="shared" si="14"/>
        <v>0.52</v>
      </c>
      <c r="BP137" s="131">
        <f t="shared" si="18"/>
        <v>136</v>
      </c>
      <c r="BQ137" s="185" t="s">
        <v>320</v>
      </c>
      <c r="BR137" s="130" t="s">
        <v>178</v>
      </c>
      <c r="BS137" s="129" t="s">
        <v>204</v>
      </c>
      <c r="BT137" s="135" t="s">
        <v>180</v>
      </c>
      <c r="BU137" s="135"/>
      <c r="BV137" s="129">
        <v>1</v>
      </c>
      <c r="BW137" s="130" t="s">
        <v>919</v>
      </c>
      <c r="BX137"/>
      <c r="BZ137" s="131">
        <f t="shared" si="19"/>
        <v>136</v>
      </c>
      <c r="CA137" s="4" t="s">
        <v>545</v>
      </c>
      <c r="CB137" s="130" t="s">
        <v>181</v>
      </c>
      <c r="CC137" s="129" t="s">
        <v>179</v>
      </c>
      <c r="CD137" s="135" t="s">
        <v>180</v>
      </c>
      <c r="CE137" s="135"/>
      <c r="CF137" s="129">
        <v>1</v>
      </c>
      <c r="CG137" s="130" t="s">
        <v>734</v>
      </c>
      <c r="CH137"/>
    </row>
    <row r="138" spans="1:86" ht="12.75">
      <c r="A138" s="153"/>
      <c r="B138" s="146">
        <f t="shared" ca="1" si="15"/>
        <v>40299</v>
      </c>
      <c r="C138" s="141">
        <v>7.4204103500735002E-2</v>
      </c>
      <c r="D138" s="141">
        <v>0.5</v>
      </c>
      <c r="E138" s="141">
        <v>0.5</v>
      </c>
      <c r="F138" s="141">
        <v>0.14249999999999999</v>
      </c>
      <c r="G138" s="141">
        <v>0.15</v>
      </c>
      <c r="H138" s="141">
        <v>0.1575</v>
      </c>
      <c r="I138" s="142">
        <v>3.0715000000000003</v>
      </c>
      <c r="J138" s="141">
        <v>3.0765000000000002</v>
      </c>
      <c r="K138" s="141">
        <v>3.0815000000000001</v>
      </c>
      <c r="L138" s="141">
        <v>-6.9007969000000002E-2</v>
      </c>
      <c r="M138" s="141">
        <v>0.2525</v>
      </c>
      <c r="O138" s="125">
        <f ca="1">(IF(MONTH(B138)&gt;=4,IF(MONTH(B138)&lt;=10,Inputs!$H$2,Inputs!$H$3),Inputs!$H$3))</f>
        <v>6.5000000000000002E-2</v>
      </c>
      <c r="P138" s="155">
        <f ca="1">J138+(IF($L$2=TRUE,IF(MONTH(B138)&gt;=4,IF(MONTH(B138)&lt;=10,L138,M138),M138),0))+(IF('Pricing Inputs'!$AN$3=2,O138,0))</f>
        <v>3.0074920310000004</v>
      </c>
      <c r="Q138" s="155"/>
      <c r="R138" s="336">
        <f t="shared" ca="1" si="12"/>
        <v>40299</v>
      </c>
      <c r="S138" s="171">
        <f t="shared" si="13"/>
        <v>0.43</v>
      </c>
      <c r="T138" s="170">
        <f t="shared" si="16"/>
        <v>0.5</v>
      </c>
      <c r="U138" s="172">
        <f t="shared" si="14"/>
        <v>0.57000000000000006</v>
      </c>
      <c r="BP138" s="131">
        <f t="shared" si="18"/>
        <v>137</v>
      </c>
      <c r="BQ138" s="185" t="s">
        <v>321</v>
      </c>
      <c r="BR138" s="130" t="s">
        <v>178</v>
      </c>
      <c r="BS138" s="129" t="s">
        <v>204</v>
      </c>
      <c r="BT138" s="135" t="s">
        <v>180</v>
      </c>
      <c r="BU138" s="135"/>
      <c r="BV138" s="129">
        <v>1</v>
      </c>
      <c r="BW138" s="130" t="s">
        <v>920</v>
      </c>
      <c r="BX138"/>
      <c r="BZ138" s="131">
        <f t="shared" si="19"/>
        <v>137</v>
      </c>
      <c r="CA138" s="4" t="s">
        <v>546</v>
      </c>
      <c r="CB138" s="130" t="s">
        <v>181</v>
      </c>
      <c r="CC138" s="129" t="s">
        <v>179</v>
      </c>
      <c r="CD138" s="135" t="s">
        <v>180</v>
      </c>
      <c r="CE138" s="135"/>
      <c r="CF138" s="129">
        <v>1</v>
      </c>
      <c r="CG138" s="130" t="s">
        <v>735</v>
      </c>
      <c r="CH138"/>
    </row>
    <row r="139" spans="1:86" ht="12.75">
      <c r="A139" s="153"/>
      <c r="B139" s="146">
        <f t="shared" ca="1" si="15"/>
        <v>40330</v>
      </c>
      <c r="C139" s="141">
        <v>7.4203808782852002E-2</v>
      </c>
      <c r="D139" s="141">
        <v>0.5</v>
      </c>
      <c r="E139" s="141">
        <v>0.5</v>
      </c>
      <c r="F139" s="141">
        <v>0.14249999999999999</v>
      </c>
      <c r="G139" s="141">
        <v>0.15</v>
      </c>
      <c r="H139" s="141">
        <v>0.1575</v>
      </c>
      <c r="I139" s="142">
        <v>3.0775000000000001</v>
      </c>
      <c r="J139" s="141">
        <v>3.0825</v>
      </c>
      <c r="K139" s="141">
        <v>3.0874999999999999</v>
      </c>
      <c r="L139" s="141">
        <v>-6.9007969000000002E-2</v>
      </c>
      <c r="M139" s="141">
        <v>0.2525</v>
      </c>
      <c r="O139" s="125">
        <f ca="1">(IF(MONTH(B139)&gt;=4,IF(MONTH(B139)&lt;=10,Inputs!$H$2,Inputs!$H$3),Inputs!$H$3))</f>
        <v>6.5000000000000002E-2</v>
      </c>
      <c r="P139" s="155">
        <f ca="1">J139+(IF($L$2=TRUE,IF(MONTH(B139)&gt;=4,IF(MONTH(B139)&lt;=10,L139,M139),M139),0))+(IF('Pricing Inputs'!$AN$3=2,O139,0))</f>
        <v>3.0134920310000002</v>
      </c>
      <c r="Q139" s="155"/>
      <c r="R139" s="336">
        <f t="shared" ca="1" si="12"/>
        <v>40330</v>
      </c>
      <c r="S139" s="171">
        <f t="shared" si="13"/>
        <v>0.43</v>
      </c>
      <c r="T139" s="170">
        <f t="shared" si="16"/>
        <v>0.5</v>
      </c>
      <c r="U139" s="172">
        <f t="shared" si="14"/>
        <v>0.57000000000000006</v>
      </c>
      <c r="BP139" s="131">
        <f t="shared" si="18"/>
        <v>138</v>
      </c>
      <c r="BQ139" s="185" t="s">
        <v>322</v>
      </c>
      <c r="BR139" s="130" t="s">
        <v>178</v>
      </c>
      <c r="BS139" s="129" t="s">
        <v>204</v>
      </c>
      <c r="BT139" s="135" t="s">
        <v>180</v>
      </c>
      <c r="BU139" s="135"/>
      <c r="BV139" s="129">
        <v>1</v>
      </c>
      <c r="BW139" s="130" t="s">
        <v>921</v>
      </c>
      <c r="BX139"/>
      <c r="BZ139" s="131">
        <f t="shared" si="19"/>
        <v>138</v>
      </c>
      <c r="CA139" s="4" t="s">
        <v>547</v>
      </c>
      <c r="CB139" s="130" t="s">
        <v>181</v>
      </c>
      <c r="CC139" s="129" t="s">
        <v>179</v>
      </c>
      <c r="CD139" s="135" t="s">
        <v>180</v>
      </c>
      <c r="CE139" s="135"/>
      <c r="CF139" s="129">
        <v>1</v>
      </c>
      <c r="CG139" s="130" t="s">
        <v>736</v>
      </c>
      <c r="CH139"/>
    </row>
    <row r="140" spans="1:86" ht="12.75">
      <c r="A140" s="153"/>
      <c r="B140" s="146">
        <f t="shared" ca="1" si="15"/>
        <v>40360</v>
      </c>
      <c r="C140" s="141">
        <v>7.420352357200001E-2</v>
      </c>
      <c r="D140" s="141">
        <v>0.5</v>
      </c>
      <c r="E140" s="141">
        <v>0.5</v>
      </c>
      <c r="F140" s="141">
        <v>0.14249999999999999</v>
      </c>
      <c r="G140" s="141">
        <v>0.15</v>
      </c>
      <c r="H140" s="141">
        <v>0.1575</v>
      </c>
      <c r="I140" s="142">
        <v>3.0874999999999999</v>
      </c>
      <c r="J140" s="141">
        <v>3.0924999999999998</v>
      </c>
      <c r="K140" s="141">
        <v>3.0975000000000001</v>
      </c>
      <c r="L140" s="141">
        <v>-6.9007969000000002E-2</v>
      </c>
      <c r="M140" s="141">
        <v>0.25750000000000001</v>
      </c>
      <c r="O140" s="125">
        <f ca="1">(IF(MONTH(B140)&gt;=4,IF(MONTH(B140)&lt;=10,Inputs!$H$2,Inputs!$H$3),Inputs!$H$3))</f>
        <v>6.5000000000000002E-2</v>
      </c>
      <c r="P140" s="155">
        <f ca="1">J140+(IF($L$2=TRUE,IF(MONTH(B140)&gt;=4,IF(MONTH(B140)&lt;=10,L140,M140),M140),0))+(IF('Pricing Inputs'!$AN$3=2,O140,0))</f>
        <v>3.023492031</v>
      </c>
      <c r="Q140" s="155"/>
      <c r="R140" s="336">
        <f t="shared" ca="1" si="12"/>
        <v>40360</v>
      </c>
      <c r="S140" s="171">
        <f t="shared" si="13"/>
        <v>0.43</v>
      </c>
      <c r="T140" s="170">
        <f t="shared" si="16"/>
        <v>0.5</v>
      </c>
      <c r="U140" s="172">
        <f t="shared" si="14"/>
        <v>0.57000000000000006</v>
      </c>
      <c r="BP140" s="131">
        <f t="shared" si="18"/>
        <v>139</v>
      </c>
      <c r="BQ140" s="185" t="s">
        <v>323</v>
      </c>
      <c r="BR140" s="130" t="s">
        <v>178</v>
      </c>
      <c r="BS140" s="129" t="s">
        <v>204</v>
      </c>
      <c r="BT140" s="135" t="s">
        <v>180</v>
      </c>
      <c r="BU140" s="135"/>
      <c r="BV140" s="129">
        <v>1</v>
      </c>
      <c r="BW140" s="130" t="s">
        <v>922</v>
      </c>
      <c r="BX140"/>
      <c r="BZ140" s="131">
        <f t="shared" si="19"/>
        <v>139</v>
      </c>
      <c r="CA140" s="4" t="s">
        <v>548</v>
      </c>
      <c r="CB140" s="130" t="s">
        <v>181</v>
      </c>
      <c r="CC140" s="129" t="s">
        <v>179</v>
      </c>
      <c r="CD140" s="135" t="s">
        <v>180</v>
      </c>
      <c r="CE140" s="135"/>
      <c r="CF140" s="129">
        <v>1</v>
      </c>
      <c r="CG140" s="130" t="s">
        <v>737</v>
      </c>
      <c r="CH140"/>
    </row>
    <row r="141" spans="1:86" ht="12.75">
      <c r="A141" s="153"/>
      <c r="B141" s="146">
        <f t="shared" ca="1" si="15"/>
        <v>40391</v>
      </c>
      <c r="C141" s="141">
        <v>7.4203228854115996E-2</v>
      </c>
      <c r="D141" s="141">
        <v>0.6</v>
      </c>
      <c r="E141" s="141">
        <v>0.6</v>
      </c>
      <c r="F141" s="141">
        <v>0.14249999999999999</v>
      </c>
      <c r="G141" s="141">
        <v>0.15</v>
      </c>
      <c r="H141" s="141">
        <v>0.1575</v>
      </c>
      <c r="I141" s="142">
        <v>3.0945</v>
      </c>
      <c r="J141" s="141">
        <v>3.0995000000000004</v>
      </c>
      <c r="K141" s="141">
        <v>3.1045000000000003</v>
      </c>
      <c r="L141" s="141">
        <v>-6.9007969000000002E-2</v>
      </c>
      <c r="M141" s="141">
        <v>0.25750000000000001</v>
      </c>
      <c r="O141" s="125">
        <f ca="1">(IF(MONTH(B141)&gt;=4,IF(MONTH(B141)&lt;=10,Inputs!$H$2,Inputs!$H$3),Inputs!$H$3))</f>
        <v>6.5000000000000002E-2</v>
      </c>
      <c r="P141" s="155">
        <f ca="1">J141+(IF($L$2=TRUE,IF(MONTH(B141)&gt;=4,IF(MONTH(B141)&lt;=10,L141,M141),M141),0))+(IF('Pricing Inputs'!$AN$3=2,O141,0))</f>
        <v>3.0304920310000005</v>
      </c>
      <c r="Q141" s="155"/>
      <c r="R141" s="336">
        <f t="shared" ca="1" si="12"/>
        <v>40391</v>
      </c>
      <c r="S141" s="171">
        <f t="shared" si="13"/>
        <v>0.53</v>
      </c>
      <c r="T141" s="170">
        <f t="shared" si="16"/>
        <v>0.6</v>
      </c>
      <c r="U141" s="172">
        <f t="shared" si="14"/>
        <v>0.66999999999999993</v>
      </c>
      <c r="BP141" s="131">
        <f t="shared" si="18"/>
        <v>140</v>
      </c>
      <c r="BQ141" s="185" t="s">
        <v>324</v>
      </c>
      <c r="BR141" s="130" t="s">
        <v>178</v>
      </c>
      <c r="BS141" s="129" t="s">
        <v>204</v>
      </c>
      <c r="BT141" s="135" t="s">
        <v>180</v>
      </c>
      <c r="BU141" s="135"/>
      <c r="BV141" s="129">
        <v>1</v>
      </c>
      <c r="BW141" s="130" t="s">
        <v>923</v>
      </c>
      <c r="BX141"/>
      <c r="BZ141" s="131">
        <f t="shared" si="19"/>
        <v>140</v>
      </c>
      <c r="CA141" s="4" t="s">
        <v>549</v>
      </c>
      <c r="CB141" s="130" t="s">
        <v>181</v>
      </c>
      <c r="CC141" s="129" t="s">
        <v>179</v>
      </c>
      <c r="CD141" s="135" t="s">
        <v>180</v>
      </c>
      <c r="CE141" s="135"/>
      <c r="CF141" s="129">
        <v>1</v>
      </c>
      <c r="CG141" s="130" t="s">
        <v>738</v>
      </c>
      <c r="CH141"/>
    </row>
    <row r="142" spans="1:86" ht="12.75">
      <c r="A142" s="153"/>
      <c r="B142" s="146">
        <f t="shared" ca="1" si="15"/>
        <v>40422</v>
      </c>
      <c r="C142" s="141">
        <v>7.4202934136234008E-2</v>
      </c>
      <c r="D142" s="141">
        <v>0.6</v>
      </c>
      <c r="E142" s="141">
        <v>0.6</v>
      </c>
      <c r="F142" s="141">
        <v>0.14249999999999999</v>
      </c>
      <c r="G142" s="141">
        <v>0.15</v>
      </c>
      <c r="H142" s="141">
        <v>0.1575</v>
      </c>
      <c r="I142" s="142">
        <v>3.1015000000000001</v>
      </c>
      <c r="J142" s="141">
        <v>3.1065</v>
      </c>
      <c r="K142" s="141">
        <v>3.1114999999999999</v>
      </c>
      <c r="L142" s="141">
        <v>-6.9007969000000002E-2</v>
      </c>
      <c r="M142" s="141">
        <v>0.2525</v>
      </c>
      <c r="O142" s="125">
        <f ca="1">(IF(MONTH(B142)&gt;=4,IF(MONTH(B142)&lt;=10,Inputs!$H$2,Inputs!$H$3),Inputs!$H$3))</f>
        <v>6.5000000000000002E-2</v>
      </c>
      <c r="P142" s="155">
        <f ca="1">J142+(IF($L$2=TRUE,IF(MONTH(B142)&gt;=4,IF(MONTH(B142)&lt;=10,L142,M142),M142),0))+(IF('Pricing Inputs'!$AN$3=2,O142,0))</f>
        <v>3.0374920310000002</v>
      </c>
      <c r="Q142" s="155"/>
      <c r="R142" s="336">
        <f t="shared" ca="1" si="12"/>
        <v>40422</v>
      </c>
      <c r="S142" s="171">
        <f t="shared" si="13"/>
        <v>0.53</v>
      </c>
      <c r="T142" s="170">
        <f t="shared" si="16"/>
        <v>0.6</v>
      </c>
      <c r="U142" s="172">
        <f t="shared" si="14"/>
        <v>0.66999999999999993</v>
      </c>
      <c r="BP142" s="131">
        <f t="shared" si="18"/>
        <v>141</v>
      </c>
      <c r="BQ142" s="185" t="s">
        <v>325</v>
      </c>
      <c r="BR142" s="130" t="s">
        <v>178</v>
      </c>
      <c r="BS142" s="129" t="s">
        <v>204</v>
      </c>
      <c r="BT142" s="135" t="s">
        <v>180</v>
      </c>
      <c r="BU142" s="135"/>
      <c r="BV142" s="129">
        <v>1</v>
      </c>
      <c r="BW142" s="130" t="s">
        <v>924</v>
      </c>
      <c r="BX142"/>
      <c r="BZ142" s="131">
        <f t="shared" si="19"/>
        <v>141</v>
      </c>
      <c r="CA142" s="4" t="s">
        <v>550</v>
      </c>
      <c r="CB142" s="130" t="s">
        <v>181</v>
      </c>
      <c r="CC142" s="129" t="s">
        <v>179</v>
      </c>
      <c r="CD142" s="135" t="s">
        <v>180</v>
      </c>
      <c r="CE142" s="135"/>
      <c r="CF142" s="129">
        <v>1</v>
      </c>
      <c r="CG142" s="130" t="s">
        <v>739</v>
      </c>
      <c r="CH142"/>
    </row>
    <row r="143" spans="1:86" ht="12.75">
      <c r="A143" s="153"/>
      <c r="B143" s="146">
        <f t="shared" ca="1" si="15"/>
        <v>40452</v>
      </c>
      <c r="C143" s="141">
        <v>7.4202648925381004E-2</v>
      </c>
      <c r="D143" s="141">
        <v>0.65</v>
      </c>
      <c r="E143" s="141">
        <v>0.65</v>
      </c>
      <c r="F143" s="141">
        <v>0.14249999999999999</v>
      </c>
      <c r="G143" s="141">
        <v>0.15</v>
      </c>
      <c r="H143" s="141">
        <v>0.1575</v>
      </c>
      <c r="I143" s="142">
        <v>3.1274999999999999</v>
      </c>
      <c r="J143" s="141">
        <v>3.1324999999999998</v>
      </c>
      <c r="K143" s="141">
        <v>3.1375000000000002</v>
      </c>
      <c r="L143" s="141">
        <v>-6.9007969000000002E-2</v>
      </c>
      <c r="M143" s="141">
        <v>0.255</v>
      </c>
      <c r="O143" s="125">
        <f ca="1">(IF(MONTH(B143)&gt;=4,IF(MONTH(B143)&lt;=10,Inputs!$H$2,Inputs!$H$3),Inputs!$H$3))</f>
        <v>6.5000000000000002E-2</v>
      </c>
      <c r="P143" s="155">
        <f ca="1">J143+(IF($L$2=TRUE,IF(MONTH(B143)&gt;=4,IF(MONTH(B143)&lt;=10,L143,M143),M143),0))+(IF('Pricing Inputs'!$AN$3=2,O143,0))</f>
        <v>3.063492031</v>
      </c>
      <c r="Q143" s="155"/>
      <c r="R143" s="336">
        <f t="shared" ca="1" si="12"/>
        <v>40452</v>
      </c>
      <c r="S143" s="171">
        <f t="shared" si="13"/>
        <v>0.58000000000000007</v>
      </c>
      <c r="T143" s="170">
        <f t="shared" si="16"/>
        <v>0.65</v>
      </c>
      <c r="U143" s="172">
        <f t="shared" si="14"/>
        <v>0.72</v>
      </c>
      <c r="BP143" s="131">
        <f t="shared" si="18"/>
        <v>142</v>
      </c>
      <c r="BQ143" s="185" t="s">
        <v>326</v>
      </c>
      <c r="BR143" s="130" t="s">
        <v>178</v>
      </c>
      <c r="BS143" s="129" t="s">
        <v>204</v>
      </c>
      <c r="BT143" s="135" t="s">
        <v>180</v>
      </c>
      <c r="BU143" s="135"/>
      <c r="BV143" s="129">
        <v>1</v>
      </c>
      <c r="BW143" s="130" t="s">
        <v>925</v>
      </c>
      <c r="BX143"/>
      <c r="BZ143" s="131">
        <f t="shared" si="19"/>
        <v>142</v>
      </c>
      <c r="CA143" s="4" t="s">
        <v>551</v>
      </c>
      <c r="CB143" s="130" t="s">
        <v>181</v>
      </c>
      <c r="CC143" s="129" t="s">
        <v>179</v>
      </c>
      <c r="CD143" s="135" t="s">
        <v>180</v>
      </c>
      <c r="CE143" s="135"/>
      <c r="CF143" s="129">
        <v>1</v>
      </c>
      <c r="CG143" s="130" t="s">
        <v>740</v>
      </c>
      <c r="CH143"/>
    </row>
    <row r="144" spans="1:86" ht="12.75">
      <c r="A144" s="153"/>
      <c r="B144" s="146">
        <f t="shared" ca="1" si="15"/>
        <v>40483</v>
      </c>
      <c r="C144" s="141">
        <v>7.4202354207498003E-2</v>
      </c>
      <c r="D144" s="141">
        <v>0.95</v>
      </c>
      <c r="E144" s="141">
        <v>0.95</v>
      </c>
      <c r="F144" s="141">
        <v>0.14249999999999999</v>
      </c>
      <c r="G144" s="141">
        <v>0.15</v>
      </c>
      <c r="H144" s="141">
        <v>0.1575</v>
      </c>
      <c r="I144" s="142">
        <v>3.2625000000000002</v>
      </c>
      <c r="J144" s="141">
        <v>3.2675000000000001</v>
      </c>
      <c r="K144" s="141">
        <v>3.2725</v>
      </c>
      <c r="L144" s="141">
        <v>-8.4872178249999999E-2</v>
      </c>
      <c r="M144" s="141">
        <v>0.71499999999999997</v>
      </c>
      <c r="O144" s="125">
        <f ca="1">(IF(MONTH(B144)&gt;=4,IF(MONTH(B144)&lt;=10,Inputs!$H$2,Inputs!$H$3),Inputs!$H$3))</f>
        <v>6.5000000000000002E-2</v>
      </c>
      <c r="P144" s="155">
        <f ca="1">J144+(IF($L$2=TRUE,IF(MONTH(B144)&gt;=4,IF(MONTH(B144)&lt;=10,L144,M144),M144),0))+(IF('Pricing Inputs'!$AN$3=2,O144,0))</f>
        <v>3.9824999999999999</v>
      </c>
      <c r="Q144" s="155"/>
      <c r="R144" s="336">
        <f t="shared" ca="1" si="12"/>
        <v>40483</v>
      </c>
      <c r="S144" s="171">
        <f t="shared" si="13"/>
        <v>0.87999999999999989</v>
      </c>
      <c r="T144" s="170">
        <f t="shared" si="16"/>
        <v>0.95</v>
      </c>
      <c r="U144" s="172">
        <f t="shared" si="14"/>
        <v>1.02</v>
      </c>
      <c r="BP144" s="131">
        <f t="shared" si="18"/>
        <v>143</v>
      </c>
      <c r="BQ144" s="185" t="s">
        <v>327</v>
      </c>
      <c r="BR144" s="130" t="s">
        <v>178</v>
      </c>
      <c r="BS144" s="129" t="s">
        <v>204</v>
      </c>
      <c r="BT144" s="135" t="s">
        <v>180</v>
      </c>
      <c r="BU144" s="135"/>
      <c r="BV144" s="129">
        <v>1</v>
      </c>
      <c r="BW144" s="130" t="s">
        <v>926</v>
      </c>
      <c r="BX144"/>
      <c r="BZ144" s="131">
        <f t="shared" si="19"/>
        <v>143</v>
      </c>
      <c r="CA144" s="4" t="s">
        <v>552</v>
      </c>
      <c r="CB144" s="130" t="s">
        <v>181</v>
      </c>
      <c r="CC144" s="129" t="s">
        <v>179</v>
      </c>
      <c r="CD144" s="135" t="s">
        <v>180</v>
      </c>
      <c r="CE144" s="135"/>
      <c r="CF144" s="129">
        <v>1</v>
      </c>
      <c r="CG144" s="130" t="s">
        <v>741</v>
      </c>
      <c r="CH144"/>
    </row>
    <row r="145" spans="1:86" ht="12.75">
      <c r="A145" s="153"/>
      <c r="B145" s="146">
        <f t="shared" ca="1" si="15"/>
        <v>40513</v>
      </c>
      <c r="C145" s="141">
        <v>7.4202068996643999E-2</v>
      </c>
      <c r="D145" s="141">
        <v>1.25</v>
      </c>
      <c r="E145" s="141">
        <v>1.25</v>
      </c>
      <c r="F145" s="141">
        <v>0.14249999999999999</v>
      </c>
      <c r="G145" s="141">
        <v>0.15</v>
      </c>
      <c r="H145" s="141">
        <v>0.1575</v>
      </c>
      <c r="I145" s="142">
        <v>3.3865000000000003</v>
      </c>
      <c r="J145" s="141">
        <v>3.3915000000000002</v>
      </c>
      <c r="K145" s="141">
        <v>3.3965000000000001</v>
      </c>
      <c r="L145" s="141">
        <v>-8.8612984500000005E-2</v>
      </c>
      <c r="M145" s="141">
        <v>1.03</v>
      </c>
      <c r="O145" s="125">
        <f ca="1">(IF(MONTH(B145)&gt;=4,IF(MONTH(B145)&lt;=10,Inputs!$H$2,Inputs!$H$3),Inputs!$H$3))</f>
        <v>6.5000000000000002E-2</v>
      </c>
      <c r="P145" s="155">
        <f ca="1">J145+(IF($L$2=TRUE,IF(MONTH(B145)&gt;=4,IF(MONTH(B145)&lt;=10,L145,M145),M145),0))+(IF('Pricing Inputs'!$AN$3=2,O145,0))</f>
        <v>4.4215</v>
      </c>
      <c r="Q145" s="155"/>
      <c r="R145" s="336">
        <f t="shared" ref="R145:R208" ca="1" si="20">B145</f>
        <v>40513</v>
      </c>
      <c r="S145" s="171">
        <f t="shared" ref="S145:S208" si="21">T145-$S$16</f>
        <v>1.18</v>
      </c>
      <c r="T145" s="170">
        <f t="shared" si="16"/>
        <v>1.25</v>
      </c>
      <c r="U145" s="172">
        <f t="shared" ref="U145:U208" si="22">$U$16+T145</f>
        <v>1.32</v>
      </c>
      <c r="BP145" s="131">
        <f t="shared" si="18"/>
        <v>144</v>
      </c>
      <c r="BQ145" s="185" t="s">
        <v>328</v>
      </c>
      <c r="BR145" s="130" t="s">
        <v>178</v>
      </c>
      <c r="BS145" s="129" t="s">
        <v>204</v>
      </c>
      <c r="BT145" s="135" t="s">
        <v>180</v>
      </c>
      <c r="BU145" s="135"/>
      <c r="BV145" s="129">
        <v>1</v>
      </c>
      <c r="BW145" s="130" t="s">
        <v>927</v>
      </c>
      <c r="BX145"/>
      <c r="BZ145" s="131">
        <f t="shared" si="19"/>
        <v>144</v>
      </c>
      <c r="CA145" s="4" t="s">
        <v>553</v>
      </c>
      <c r="CB145" s="130" t="s">
        <v>181</v>
      </c>
      <c r="CC145" s="129" t="s">
        <v>179</v>
      </c>
      <c r="CD145" s="135" t="s">
        <v>180</v>
      </c>
      <c r="CE145" s="135"/>
      <c r="CF145" s="129">
        <v>1</v>
      </c>
      <c r="CG145" s="130" t="s">
        <v>742</v>
      </c>
      <c r="CH145"/>
    </row>
    <row r="146" spans="1:86" ht="12.75">
      <c r="A146" s="153"/>
      <c r="B146" s="146">
        <f t="shared" ref="B146:B209" ca="1" si="23">NextMonth(B145)</f>
        <v>40544</v>
      </c>
      <c r="C146" s="141">
        <v>7.4201774278761998E-2</v>
      </c>
      <c r="D146" s="141">
        <v>1.45</v>
      </c>
      <c r="E146" s="141">
        <v>1.45</v>
      </c>
      <c r="F146" s="141">
        <v>0.14850000000000002</v>
      </c>
      <c r="G146" s="141">
        <v>0.15</v>
      </c>
      <c r="H146" s="141">
        <v>0.16350000000000001</v>
      </c>
      <c r="I146" s="142">
        <v>3.4649999999999999</v>
      </c>
      <c r="J146" s="141">
        <v>3.47</v>
      </c>
      <c r="K146" s="141">
        <v>3.4750000000000001</v>
      </c>
      <c r="L146" s="141">
        <v>-8.7363796000000007E-2</v>
      </c>
      <c r="M146" s="141">
        <v>1.4950000000000001</v>
      </c>
      <c r="O146" s="125">
        <f ca="1">(IF(MONTH(B146)&gt;=4,IF(MONTH(B146)&lt;=10,Inputs!$H$2,Inputs!$H$3),Inputs!$H$3))</f>
        <v>6.5000000000000002E-2</v>
      </c>
      <c r="P146" s="155">
        <f ca="1">J146+(IF($L$2=TRUE,IF(MONTH(B146)&gt;=4,IF(MONTH(B146)&lt;=10,L146,M146),M146),0))+(IF('Pricing Inputs'!$AN$3=2,O146,0))</f>
        <v>4.9649999999999999</v>
      </c>
      <c r="Q146" s="155"/>
      <c r="R146" s="336">
        <f t="shared" ca="1" si="20"/>
        <v>40544</v>
      </c>
      <c r="S146" s="171">
        <f t="shared" si="21"/>
        <v>1.38</v>
      </c>
      <c r="T146" s="170">
        <f t="shared" ref="T146:T209" si="24">D146</f>
        <v>1.45</v>
      </c>
      <c r="U146" s="172">
        <f t="shared" si="22"/>
        <v>1.52</v>
      </c>
      <c r="BP146" s="131">
        <f t="shared" si="18"/>
        <v>145</v>
      </c>
      <c r="BQ146" s="185" t="s">
        <v>329</v>
      </c>
      <c r="BR146" s="130" t="s">
        <v>178</v>
      </c>
      <c r="BS146" s="129" t="s">
        <v>204</v>
      </c>
      <c r="BT146" s="135" t="s">
        <v>180</v>
      </c>
      <c r="BU146" s="135"/>
      <c r="BV146" s="129">
        <v>1</v>
      </c>
      <c r="BW146" s="130" t="s">
        <v>928</v>
      </c>
      <c r="BX146"/>
      <c r="BZ146" s="131">
        <f t="shared" si="19"/>
        <v>145</v>
      </c>
      <c r="CA146" s="4" t="s">
        <v>554</v>
      </c>
      <c r="CB146" s="130" t="s">
        <v>181</v>
      </c>
      <c r="CC146" s="129" t="s">
        <v>179</v>
      </c>
      <c r="CD146" s="135" t="s">
        <v>180</v>
      </c>
      <c r="CE146" s="135"/>
      <c r="CF146" s="129">
        <v>1</v>
      </c>
      <c r="CG146" s="130" t="s">
        <v>743</v>
      </c>
      <c r="CH146"/>
    </row>
    <row r="147" spans="1:86" ht="12.75">
      <c r="A147" s="153"/>
      <c r="B147" s="146">
        <f t="shared" ca="1" si="23"/>
        <v>40575</v>
      </c>
      <c r="C147" s="141">
        <v>7.4201479560880995E-2</v>
      </c>
      <c r="D147" s="141">
        <v>1.45</v>
      </c>
      <c r="E147" s="141">
        <v>1.45</v>
      </c>
      <c r="F147" s="141">
        <v>0.14850000000000002</v>
      </c>
      <c r="G147" s="141">
        <v>0.15</v>
      </c>
      <c r="H147" s="141">
        <v>0.16350000000000001</v>
      </c>
      <c r="I147" s="142">
        <v>3.347</v>
      </c>
      <c r="J147" s="141">
        <v>3.3520000000000003</v>
      </c>
      <c r="K147" s="141">
        <v>3.3570000000000002</v>
      </c>
      <c r="L147" s="141">
        <v>-8.1114355750000006E-2</v>
      </c>
      <c r="M147" s="141">
        <v>1.395</v>
      </c>
      <c r="O147" s="125">
        <f ca="1">(IF(MONTH(B147)&gt;=4,IF(MONTH(B147)&lt;=10,Inputs!$H$2,Inputs!$H$3),Inputs!$H$3))</f>
        <v>6.5000000000000002E-2</v>
      </c>
      <c r="P147" s="155">
        <f ca="1">J147+(IF($L$2=TRUE,IF(MONTH(B147)&gt;=4,IF(MONTH(B147)&lt;=10,L147,M147),M147),0))+(IF('Pricing Inputs'!$AN$3=2,O147,0))</f>
        <v>4.7469999999999999</v>
      </c>
      <c r="Q147" s="155"/>
      <c r="R147" s="336">
        <f t="shared" ca="1" si="20"/>
        <v>40575</v>
      </c>
      <c r="S147" s="171">
        <f t="shared" si="21"/>
        <v>1.38</v>
      </c>
      <c r="T147" s="170">
        <f t="shared" si="24"/>
        <v>1.45</v>
      </c>
      <c r="U147" s="172">
        <f t="shared" si="22"/>
        <v>1.52</v>
      </c>
      <c r="BP147" s="131">
        <f t="shared" si="18"/>
        <v>146</v>
      </c>
      <c r="BQ147" s="185" t="s">
        <v>330</v>
      </c>
      <c r="BR147" s="130" t="s">
        <v>178</v>
      </c>
      <c r="BS147" s="129" t="s">
        <v>204</v>
      </c>
      <c r="BT147" s="135" t="s">
        <v>180</v>
      </c>
      <c r="BU147" s="135"/>
      <c r="BV147" s="129">
        <v>1</v>
      </c>
      <c r="BW147" s="130" t="s">
        <v>929</v>
      </c>
      <c r="BX147"/>
      <c r="BZ147" s="131">
        <f t="shared" si="19"/>
        <v>146</v>
      </c>
      <c r="CA147" s="4" t="s">
        <v>555</v>
      </c>
      <c r="CB147" s="130" t="s">
        <v>181</v>
      </c>
      <c r="CC147" s="129" t="s">
        <v>179</v>
      </c>
      <c r="CD147" s="135" t="s">
        <v>180</v>
      </c>
      <c r="CE147" s="135"/>
      <c r="CF147" s="129">
        <v>1</v>
      </c>
      <c r="CG147" s="130" t="s">
        <v>744</v>
      </c>
      <c r="CH147"/>
    </row>
    <row r="148" spans="1:86" ht="12.75">
      <c r="A148" s="153"/>
      <c r="B148" s="146">
        <f t="shared" ca="1" si="23"/>
        <v>40603</v>
      </c>
      <c r="C148" s="141">
        <v>7.4201213364084001E-2</v>
      </c>
      <c r="D148" s="141">
        <v>1</v>
      </c>
      <c r="E148" s="141">
        <v>1</v>
      </c>
      <c r="F148" s="141">
        <v>0.14850000000000002</v>
      </c>
      <c r="G148" s="141">
        <v>0.15</v>
      </c>
      <c r="H148" s="141">
        <v>0.16350000000000001</v>
      </c>
      <c r="I148" s="142">
        <v>3.2270000000000003</v>
      </c>
      <c r="J148" s="141">
        <v>3.2320000000000002</v>
      </c>
      <c r="K148" s="141">
        <v>3.2370000000000001</v>
      </c>
      <c r="L148" s="141">
        <v>-7.8614355750000003E-2</v>
      </c>
      <c r="M148" s="141">
        <v>0.86499999999999999</v>
      </c>
      <c r="O148" s="125">
        <f ca="1">(IF(MONTH(B148)&gt;=4,IF(MONTH(B148)&lt;=10,Inputs!$H$2,Inputs!$H$3),Inputs!$H$3))</f>
        <v>6.5000000000000002E-2</v>
      </c>
      <c r="P148" s="155">
        <f ca="1">J148+(IF($L$2=TRUE,IF(MONTH(B148)&gt;=4,IF(MONTH(B148)&lt;=10,L148,M148),M148),0))+(IF('Pricing Inputs'!$AN$3=2,O148,0))</f>
        <v>4.0970000000000004</v>
      </c>
      <c r="Q148" s="155"/>
      <c r="R148" s="336">
        <f t="shared" ca="1" si="20"/>
        <v>40603</v>
      </c>
      <c r="S148" s="171">
        <f t="shared" si="21"/>
        <v>0.92999999999999994</v>
      </c>
      <c r="T148" s="170">
        <f t="shared" si="24"/>
        <v>1</v>
      </c>
      <c r="U148" s="172">
        <f t="shared" si="22"/>
        <v>1.07</v>
      </c>
      <c r="BP148" s="131">
        <f t="shared" si="18"/>
        <v>147</v>
      </c>
      <c r="BQ148" s="185" t="s">
        <v>331</v>
      </c>
      <c r="BR148" s="130" t="s">
        <v>178</v>
      </c>
      <c r="BS148" s="129" t="s">
        <v>204</v>
      </c>
      <c r="BT148" s="135" t="s">
        <v>180</v>
      </c>
      <c r="BU148" s="135"/>
      <c r="BV148" s="129">
        <v>1</v>
      </c>
      <c r="BW148" s="130" t="s">
        <v>930</v>
      </c>
      <c r="BX148"/>
      <c r="BZ148" s="131">
        <f t="shared" si="19"/>
        <v>147</v>
      </c>
      <c r="CA148" s="4" t="s">
        <v>556</v>
      </c>
      <c r="CB148" s="130" t="s">
        <v>181</v>
      </c>
      <c r="CC148" s="129" t="s">
        <v>179</v>
      </c>
      <c r="CD148" s="135" t="s">
        <v>180</v>
      </c>
      <c r="CE148" s="135"/>
      <c r="CF148" s="129">
        <v>1</v>
      </c>
      <c r="CG148" s="130" t="s">
        <v>745</v>
      </c>
      <c r="CH148"/>
    </row>
    <row r="149" spans="1:86" ht="12.75">
      <c r="A149" s="153"/>
      <c r="B149" s="146">
        <f t="shared" ca="1" si="23"/>
        <v>40634</v>
      </c>
      <c r="C149" s="141">
        <v>7.4200918646201999E-2</v>
      </c>
      <c r="D149" s="141">
        <v>0.45</v>
      </c>
      <c r="E149" s="141">
        <v>0.45</v>
      </c>
      <c r="F149" s="141">
        <v>0.14850000000000002</v>
      </c>
      <c r="G149" s="141">
        <v>0.15</v>
      </c>
      <c r="H149" s="141">
        <v>0.16350000000000001</v>
      </c>
      <c r="I149" s="142">
        <v>3.1775000000000002</v>
      </c>
      <c r="J149" s="141">
        <v>3.1825000000000001</v>
      </c>
      <c r="K149" s="141">
        <v>3.1875</v>
      </c>
      <c r="L149" s="141">
        <v>-6.5505840250000003E-2</v>
      </c>
      <c r="M149" s="141">
        <v>0.37</v>
      </c>
      <c r="O149" s="125">
        <f ca="1">(IF(MONTH(B149)&gt;=4,IF(MONTH(B149)&lt;=10,Inputs!$H$2,Inputs!$H$3),Inputs!$H$3))</f>
        <v>6.5000000000000002E-2</v>
      </c>
      <c r="P149" s="155">
        <f ca="1">J149+(IF($L$2=TRUE,IF(MONTH(B149)&gt;=4,IF(MONTH(B149)&lt;=10,L149,M149),M149),0))+(IF('Pricing Inputs'!$AN$3=2,O149,0))</f>
        <v>3.1169941597499999</v>
      </c>
      <c r="Q149" s="155"/>
      <c r="R149" s="336">
        <f t="shared" ca="1" si="20"/>
        <v>40634</v>
      </c>
      <c r="S149" s="171">
        <f t="shared" si="21"/>
        <v>0.38</v>
      </c>
      <c r="T149" s="170">
        <f t="shared" si="24"/>
        <v>0.45</v>
      </c>
      <c r="U149" s="172">
        <f t="shared" si="22"/>
        <v>0.52</v>
      </c>
      <c r="BP149" s="131">
        <f t="shared" si="18"/>
        <v>148</v>
      </c>
      <c r="BQ149" s="185" t="s">
        <v>332</v>
      </c>
      <c r="BR149" s="130" t="s">
        <v>178</v>
      </c>
      <c r="BS149" s="129" t="s">
        <v>204</v>
      </c>
      <c r="BT149" s="135" t="s">
        <v>180</v>
      </c>
      <c r="BU149" s="135"/>
      <c r="BV149" s="129">
        <v>1</v>
      </c>
      <c r="BW149" s="130" t="s">
        <v>931</v>
      </c>
      <c r="BX149"/>
      <c r="BZ149" s="131">
        <f t="shared" si="19"/>
        <v>148</v>
      </c>
      <c r="CA149" s="4" t="s">
        <v>557</v>
      </c>
      <c r="CB149" s="130" t="s">
        <v>181</v>
      </c>
      <c r="CC149" s="129" t="s">
        <v>179</v>
      </c>
      <c r="CD149" s="135" t="s">
        <v>180</v>
      </c>
      <c r="CE149" s="135"/>
      <c r="CF149" s="129">
        <v>1</v>
      </c>
      <c r="CG149" s="130" t="s">
        <v>746</v>
      </c>
      <c r="CH149"/>
    </row>
    <row r="150" spans="1:86" ht="12.75">
      <c r="A150" s="153"/>
      <c r="B150" s="146">
        <f t="shared" ca="1" si="23"/>
        <v>40664</v>
      </c>
      <c r="C150" s="141">
        <v>7.4200633435347996E-2</v>
      </c>
      <c r="D150" s="141">
        <v>0.5</v>
      </c>
      <c r="E150" s="141">
        <v>0.5</v>
      </c>
      <c r="F150" s="141">
        <v>0.14850000000000002</v>
      </c>
      <c r="G150" s="141">
        <v>0.15</v>
      </c>
      <c r="H150" s="141">
        <v>0.16350000000000001</v>
      </c>
      <c r="I150" s="142">
        <v>3.1515</v>
      </c>
      <c r="J150" s="141">
        <v>3.1565000000000003</v>
      </c>
      <c r="K150" s="141">
        <v>3.1615000000000002</v>
      </c>
      <c r="L150" s="141">
        <v>-6.5507968999999999E-2</v>
      </c>
      <c r="M150" s="141">
        <v>0.2525</v>
      </c>
      <c r="O150" s="125">
        <f ca="1">(IF(MONTH(B150)&gt;=4,IF(MONTH(B150)&lt;=10,Inputs!$H$2,Inputs!$H$3),Inputs!$H$3))</f>
        <v>6.5000000000000002E-2</v>
      </c>
      <c r="P150" s="155">
        <f ca="1">J150+(IF($L$2=TRUE,IF(MONTH(B150)&gt;=4,IF(MONTH(B150)&lt;=10,L150,M150),M150),0))+(IF('Pricing Inputs'!$AN$3=2,O150,0))</f>
        <v>3.0909920310000003</v>
      </c>
      <c r="Q150" s="155"/>
      <c r="R150" s="336">
        <f t="shared" ca="1" si="20"/>
        <v>40664</v>
      </c>
      <c r="S150" s="171">
        <f t="shared" si="21"/>
        <v>0.43</v>
      </c>
      <c r="T150" s="170">
        <f t="shared" si="24"/>
        <v>0.5</v>
      </c>
      <c r="U150" s="172">
        <f t="shared" si="22"/>
        <v>0.57000000000000006</v>
      </c>
      <c r="BP150" s="131">
        <f t="shared" si="18"/>
        <v>149</v>
      </c>
      <c r="BQ150" s="185" t="s">
        <v>333</v>
      </c>
      <c r="BR150" s="130" t="s">
        <v>178</v>
      </c>
      <c r="BS150" s="129" t="s">
        <v>204</v>
      </c>
      <c r="BT150" s="135" t="s">
        <v>180</v>
      </c>
      <c r="BU150" s="135"/>
      <c r="BV150" s="129">
        <v>1</v>
      </c>
      <c r="BW150" s="130" t="s">
        <v>932</v>
      </c>
      <c r="BX150"/>
      <c r="BZ150" s="131">
        <f t="shared" si="19"/>
        <v>149</v>
      </c>
      <c r="CA150" s="4" t="s">
        <v>558</v>
      </c>
      <c r="CB150" s="130" t="s">
        <v>181</v>
      </c>
      <c r="CC150" s="129" t="s">
        <v>179</v>
      </c>
      <c r="CD150" s="135" t="s">
        <v>180</v>
      </c>
      <c r="CE150" s="135"/>
      <c r="CF150" s="129">
        <v>1</v>
      </c>
      <c r="CG150" s="130" t="s">
        <v>747</v>
      </c>
      <c r="CH150"/>
    </row>
    <row r="151" spans="1:86" ht="12.75">
      <c r="A151" s="153"/>
      <c r="B151" s="146">
        <f t="shared" ca="1" si="23"/>
        <v>40695</v>
      </c>
      <c r="C151" s="141">
        <v>7.4200338717466008E-2</v>
      </c>
      <c r="D151" s="141">
        <v>0.5</v>
      </c>
      <c r="E151" s="141">
        <v>0.5</v>
      </c>
      <c r="F151" s="141">
        <v>0.14850000000000002</v>
      </c>
      <c r="G151" s="141">
        <v>0.15</v>
      </c>
      <c r="H151" s="141">
        <v>0.16350000000000001</v>
      </c>
      <c r="I151" s="142">
        <v>3.1575000000000002</v>
      </c>
      <c r="J151" s="141">
        <v>3.1625000000000001</v>
      </c>
      <c r="K151" s="141">
        <v>3.1675</v>
      </c>
      <c r="L151" s="141">
        <v>-6.5507968999999999E-2</v>
      </c>
      <c r="M151" s="141">
        <v>0.2525</v>
      </c>
      <c r="O151" s="125">
        <f ca="1">(IF(MONTH(B151)&gt;=4,IF(MONTH(B151)&lt;=10,Inputs!$H$2,Inputs!$H$3),Inputs!$H$3))</f>
        <v>6.5000000000000002E-2</v>
      </c>
      <c r="P151" s="155">
        <f ca="1">J151+(IF($L$2=TRUE,IF(MONTH(B151)&gt;=4,IF(MONTH(B151)&lt;=10,L151,M151),M151),0))+(IF('Pricing Inputs'!$AN$3=2,O151,0))</f>
        <v>3.0969920310000001</v>
      </c>
      <c r="Q151" s="155"/>
      <c r="R151" s="336">
        <f t="shared" ca="1" si="20"/>
        <v>40695</v>
      </c>
      <c r="S151" s="171">
        <f t="shared" si="21"/>
        <v>0.43</v>
      </c>
      <c r="T151" s="170">
        <f t="shared" si="24"/>
        <v>0.5</v>
      </c>
      <c r="U151" s="172">
        <f t="shared" si="22"/>
        <v>0.57000000000000006</v>
      </c>
      <c r="BP151" s="131">
        <f t="shared" si="18"/>
        <v>150</v>
      </c>
      <c r="BQ151" s="185" t="s">
        <v>334</v>
      </c>
      <c r="BR151" s="130" t="s">
        <v>178</v>
      </c>
      <c r="BS151" s="129" t="s">
        <v>204</v>
      </c>
      <c r="BT151" s="135" t="s">
        <v>180</v>
      </c>
      <c r="BU151" s="135"/>
      <c r="BV151" s="129">
        <v>1</v>
      </c>
      <c r="BW151" s="130" t="s">
        <v>933</v>
      </c>
      <c r="BX151"/>
      <c r="BZ151" s="131">
        <f t="shared" si="19"/>
        <v>150</v>
      </c>
      <c r="CA151" s="4" t="s">
        <v>559</v>
      </c>
      <c r="CB151" s="130" t="s">
        <v>181</v>
      </c>
      <c r="CC151" s="129" t="s">
        <v>179</v>
      </c>
      <c r="CD151" s="135" t="s">
        <v>180</v>
      </c>
      <c r="CE151" s="135"/>
      <c r="CF151" s="129">
        <v>1</v>
      </c>
      <c r="CG151" s="130" t="s">
        <v>748</v>
      </c>
      <c r="CH151"/>
    </row>
    <row r="152" spans="1:86" ht="12.75">
      <c r="A152" s="153"/>
      <c r="B152" s="146">
        <f t="shared" ca="1" si="23"/>
        <v>40725</v>
      </c>
      <c r="C152" s="141">
        <v>7.4200053506613003E-2</v>
      </c>
      <c r="D152" s="141">
        <v>0.5</v>
      </c>
      <c r="E152" s="141">
        <v>0.5</v>
      </c>
      <c r="F152" s="141">
        <v>0.14850000000000002</v>
      </c>
      <c r="G152" s="141">
        <v>0.15</v>
      </c>
      <c r="H152" s="141">
        <v>0.16350000000000001</v>
      </c>
      <c r="I152" s="142">
        <v>3.1675</v>
      </c>
      <c r="J152" s="141">
        <v>3.1724999999999999</v>
      </c>
      <c r="K152" s="141">
        <v>3.1775000000000002</v>
      </c>
      <c r="L152" s="141">
        <v>-6.5507968999999999E-2</v>
      </c>
      <c r="M152" s="141">
        <v>0.25750000000000001</v>
      </c>
      <c r="O152" s="125">
        <f ca="1">(IF(MONTH(B152)&gt;=4,IF(MONTH(B152)&lt;=10,Inputs!$H$2,Inputs!$H$3),Inputs!$H$3))</f>
        <v>6.5000000000000002E-2</v>
      </c>
      <c r="P152" s="155">
        <f ca="1">J152+(IF($L$2=TRUE,IF(MONTH(B152)&gt;=4,IF(MONTH(B152)&lt;=10,L152,M152),M152),0))+(IF('Pricing Inputs'!$AN$3=2,O152,0))</f>
        <v>3.1069920309999999</v>
      </c>
      <c r="Q152" s="155"/>
      <c r="R152" s="336">
        <f t="shared" ca="1" si="20"/>
        <v>40725</v>
      </c>
      <c r="S152" s="171">
        <f t="shared" si="21"/>
        <v>0.43</v>
      </c>
      <c r="T152" s="170">
        <f t="shared" si="24"/>
        <v>0.5</v>
      </c>
      <c r="U152" s="172">
        <f t="shared" si="22"/>
        <v>0.57000000000000006</v>
      </c>
      <c r="BP152" s="131">
        <f t="shared" si="18"/>
        <v>151</v>
      </c>
      <c r="BQ152" s="185" t="s">
        <v>335</v>
      </c>
      <c r="BR152" s="130" t="s">
        <v>178</v>
      </c>
      <c r="BS152" s="129" t="s">
        <v>204</v>
      </c>
      <c r="BT152" s="135" t="s">
        <v>180</v>
      </c>
      <c r="BU152" s="135"/>
      <c r="BV152" s="129">
        <v>1</v>
      </c>
      <c r="BW152" s="130" t="s">
        <v>934</v>
      </c>
      <c r="BX152"/>
      <c r="BZ152" s="131">
        <f t="shared" si="19"/>
        <v>151</v>
      </c>
      <c r="CA152" s="4" t="s">
        <v>560</v>
      </c>
      <c r="CB152" s="130" t="s">
        <v>181</v>
      </c>
      <c r="CC152" s="129" t="s">
        <v>179</v>
      </c>
      <c r="CD152" s="135" t="s">
        <v>180</v>
      </c>
      <c r="CE152" s="135"/>
      <c r="CF152" s="129">
        <v>1</v>
      </c>
      <c r="CG152" s="130" t="s">
        <v>749</v>
      </c>
      <c r="CH152"/>
    </row>
    <row r="153" spans="1:86" ht="12.75">
      <c r="A153" s="153"/>
      <c r="B153" s="146">
        <f t="shared" ca="1" si="23"/>
        <v>40756</v>
      </c>
      <c r="C153" s="141">
        <v>7.4199758788731002E-2</v>
      </c>
      <c r="D153" s="141">
        <v>0.6</v>
      </c>
      <c r="E153" s="141">
        <v>0.6</v>
      </c>
      <c r="F153" s="141">
        <v>0.14850000000000002</v>
      </c>
      <c r="G153" s="141">
        <v>0.15</v>
      </c>
      <c r="H153" s="141">
        <v>0.16350000000000001</v>
      </c>
      <c r="I153" s="142">
        <v>3.1745000000000001</v>
      </c>
      <c r="J153" s="141">
        <v>3.1795</v>
      </c>
      <c r="K153" s="141">
        <v>3.1845000000000003</v>
      </c>
      <c r="L153" s="141">
        <v>-6.5507968999999999E-2</v>
      </c>
      <c r="M153" s="141">
        <v>0.25750000000000001</v>
      </c>
      <c r="O153" s="125">
        <f ca="1">(IF(MONTH(B153)&gt;=4,IF(MONTH(B153)&lt;=10,Inputs!$H$2,Inputs!$H$3),Inputs!$H$3))</f>
        <v>6.5000000000000002E-2</v>
      </c>
      <c r="P153" s="155">
        <f ca="1">J153+(IF($L$2=TRUE,IF(MONTH(B153)&gt;=4,IF(MONTH(B153)&lt;=10,L153,M153),M153),0))+(IF('Pricing Inputs'!$AN$3=2,O153,0))</f>
        <v>3.113992031</v>
      </c>
      <c r="Q153" s="155"/>
      <c r="R153" s="336">
        <f t="shared" ca="1" si="20"/>
        <v>40756</v>
      </c>
      <c r="S153" s="171">
        <f t="shared" si="21"/>
        <v>0.53</v>
      </c>
      <c r="T153" s="170">
        <f t="shared" si="24"/>
        <v>0.6</v>
      </c>
      <c r="U153" s="172">
        <f t="shared" si="22"/>
        <v>0.66999999999999993</v>
      </c>
      <c r="BP153" s="131">
        <f t="shared" si="18"/>
        <v>152</v>
      </c>
      <c r="BQ153" s="185" t="s">
        <v>336</v>
      </c>
      <c r="BR153" s="130" t="s">
        <v>178</v>
      </c>
      <c r="BS153" s="129" t="s">
        <v>204</v>
      </c>
      <c r="BT153" s="135" t="s">
        <v>180</v>
      </c>
      <c r="BU153" s="135"/>
      <c r="BV153" s="129">
        <v>1</v>
      </c>
      <c r="BW153" s="130" t="s">
        <v>935</v>
      </c>
      <c r="BX153"/>
      <c r="BZ153" s="131">
        <f t="shared" si="19"/>
        <v>152</v>
      </c>
      <c r="CA153" s="4" t="s">
        <v>561</v>
      </c>
      <c r="CB153" s="130" t="s">
        <v>181</v>
      </c>
      <c r="CC153" s="129" t="s">
        <v>179</v>
      </c>
      <c r="CD153" s="135" t="s">
        <v>180</v>
      </c>
      <c r="CE153" s="135"/>
      <c r="CF153" s="129">
        <v>1</v>
      </c>
      <c r="CG153" s="130" t="s">
        <v>750</v>
      </c>
      <c r="CH153"/>
    </row>
    <row r="154" spans="1:86" ht="12.75">
      <c r="A154" s="153"/>
      <c r="B154" s="146">
        <f t="shared" ca="1" si="23"/>
        <v>40787</v>
      </c>
      <c r="C154" s="141">
        <v>7.4199464070849E-2</v>
      </c>
      <c r="D154" s="141">
        <v>0.6</v>
      </c>
      <c r="E154" s="141">
        <v>0.6</v>
      </c>
      <c r="F154" s="141">
        <v>0.14850000000000002</v>
      </c>
      <c r="G154" s="141">
        <v>0.15</v>
      </c>
      <c r="H154" s="141">
        <v>0.16350000000000001</v>
      </c>
      <c r="I154" s="142">
        <v>3.1815000000000002</v>
      </c>
      <c r="J154" s="141">
        <v>3.1865000000000001</v>
      </c>
      <c r="K154" s="141">
        <v>3.1915</v>
      </c>
      <c r="L154" s="141">
        <v>-6.5507968999999999E-2</v>
      </c>
      <c r="M154" s="141">
        <v>0.2525</v>
      </c>
      <c r="O154" s="125">
        <f ca="1">(IF(MONTH(B154)&gt;=4,IF(MONTH(B154)&lt;=10,Inputs!$H$2,Inputs!$H$3),Inputs!$H$3))</f>
        <v>6.5000000000000002E-2</v>
      </c>
      <c r="P154" s="155">
        <f ca="1">J154+(IF($L$2=TRUE,IF(MONTH(B154)&gt;=4,IF(MONTH(B154)&lt;=10,L154,M154),M154),0))+(IF('Pricing Inputs'!$AN$3=2,O154,0))</f>
        <v>3.1209920310000001</v>
      </c>
      <c r="Q154" s="155"/>
      <c r="R154" s="336">
        <f t="shared" ca="1" si="20"/>
        <v>40787</v>
      </c>
      <c r="S154" s="171">
        <f t="shared" si="21"/>
        <v>0.53</v>
      </c>
      <c r="T154" s="170">
        <f t="shared" si="24"/>
        <v>0.6</v>
      </c>
      <c r="U154" s="172">
        <f t="shared" si="22"/>
        <v>0.66999999999999993</v>
      </c>
      <c r="BP154" s="131">
        <f t="shared" si="18"/>
        <v>153</v>
      </c>
      <c r="BQ154" s="185" t="s">
        <v>337</v>
      </c>
      <c r="BR154" s="130" t="s">
        <v>178</v>
      </c>
      <c r="BS154" s="129" t="s">
        <v>204</v>
      </c>
      <c r="BT154" s="135" t="s">
        <v>180</v>
      </c>
      <c r="BU154" s="135"/>
      <c r="BV154" s="129">
        <v>1</v>
      </c>
      <c r="BW154" s="130" t="s">
        <v>936</v>
      </c>
      <c r="BX154"/>
      <c r="BZ154" s="131">
        <f t="shared" si="19"/>
        <v>153</v>
      </c>
      <c r="CA154" s="4" t="s">
        <v>562</v>
      </c>
      <c r="CB154" s="130" t="s">
        <v>181</v>
      </c>
      <c r="CC154" s="129" t="s">
        <v>179</v>
      </c>
      <c r="CD154" s="135" t="s">
        <v>180</v>
      </c>
      <c r="CE154" s="135"/>
      <c r="CF154" s="129">
        <v>1</v>
      </c>
      <c r="CG154" s="130" t="s">
        <v>751</v>
      </c>
      <c r="CH154"/>
    </row>
    <row r="155" spans="1:86" ht="12.75">
      <c r="A155" s="153"/>
      <c r="B155" s="146">
        <f t="shared" ca="1" si="23"/>
        <v>40817</v>
      </c>
      <c r="C155" s="141">
        <v>7.4199178860000006E-2</v>
      </c>
      <c r="D155" s="141">
        <v>0.65</v>
      </c>
      <c r="E155" s="141">
        <v>0.65</v>
      </c>
      <c r="F155" s="141">
        <v>0.14850000000000002</v>
      </c>
      <c r="G155" s="141">
        <v>0.15</v>
      </c>
      <c r="H155" s="141">
        <v>0.16350000000000001</v>
      </c>
      <c r="I155" s="142">
        <v>3.2075</v>
      </c>
      <c r="J155" s="141">
        <v>3.2124999999999999</v>
      </c>
      <c r="K155" s="141">
        <v>3.2174999999999998</v>
      </c>
      <c r="L155" s="141">
        <v>-6.5507968999999999E-2</v>
      </c>
      <c r="M155" s="141">
        <v>0.255</v>
      </c>
      <c r="O155" s="125">
        <f ca="1">(IF(MONTH(B155)&gt;=4,IF(MONTH(B155)&lt;=10,Inputs!$H$2,Inputs!$H$3),Inputs!$H$3))</f>
        <v>6.5000000000000002E-2</v>
      </c>
      <c r="P155" s="155">
        <f ca="1">J155+(IF($L$2=TRUE,IF(MONTH(B155)&gt;=4,IF(MONTH(B155)&lt;=10,L155,M155),M155),0))+(IF('Pricing Inputs'!$AN$3=2,O155,0))</f>
        <v>3.1469920309999999</v>
      </c>
      <c r="Q155" s="155"/>
      <c r="R155" s="336">
        <f t="shared" ca="1" si="20"/>
        <v>40817</v>
      </c>
      <c r="S155" s="171">
        <f t="shared" si="21"/>
        <v>0.58000000000000007</v>
      </c>
      <c r="T155" s="170">
        <f t="shared" si="24"/>
        <v>0.65</v>
      </c>
      <c r="U155" s="172">
        <f t="shared" si="22"/>
        <v>0.72</v>
      </c>
      <c r="BP155" s="131">
        <f t="shared" si="18"/>
        <v>154</v>
      </c>
      <c r="BQ155" s="185" t="s">
        <v>338</v>
      </c>
      <c r="BR155" s="130" t="s">
        <v>178</v>
      </c>
      <c r="BS155" s="129" t="s">
        <v>204</v>
      </c>
      <c r="BT155" s="135" t="s">
        <v>180</v>
      </c>
      <c r="BU155" s="135"/>
      <c r="BV155" s="129">
        <v>1</v>
      </c>
      <c r="BW155" s="130" t="s">
        <v>937</v>
      </c>
      <c r="BX155"/>
      <c r="BZ155" s="131">
        <f t="shared" si="19"/>
        <v>154</v>
      </c>
      <c r="CA155" s="4" t="s">
        <v>563</v>
      </c>
      <c r="CB155" s="130" t="s">
        <v>181</v>
      </c>
      <c r="CC155" s="129" t="s">
        <v>179</v>
      </c>
      <c r="CD155" s="135" t="s">
        <v>180</v>
      </c>
      <c r="CE155" s="135"/>
      <c r="CF155" s="129">
        <v>1</v>
      </c>
      <c r="CG155" s="130" t="s">
        <v>752</v>
      </c>
      <c r="CH155"/>
    </row>
    <row r="156" spans="1:86" ht="12.75">
      <c r="A156" s="153"/>
      <c r="B156" s="146">
        <f t="shared" ca="1" si="23"/>
        <v>40848</v>
      </c>
      <c r="C156" s="141">
        <v>7.4198884142115007E-2</v>
      </c>
      <c r="D156" s="141">
        <v>0.95</v>
      </c>
      <c r="E156" s="141">
        <v>0.95</v>
      </c>
      <c r="F156" s="141">
        <v>0.14850000000000002</v>
      </c>
      <c r="G156" s="141">
        <v>0.15</v>
      </c>
      <c r="H156" s="141">
        <v>0.16350000000000001</v>
      </c>
      <c r="I156" s="142">
        <v>3.3424999999999998</v>
      </c>
      <c r="J156" s="141">
        <v>3.3475000000000001</v>
      </c>
      <c r="K156" s="141">
        <v>3.3525</v>
      </c>
      <c r="L156" s="141">
        <v>-6.512217825000001E-2</v>
      </c>
      <c r="M156" s="141">
        <v>0.71499999999999997</v>
      </c>
      <c r="O156" s="125">
        <f ca="1">(IF(MONTH(B156)&gt;=4,IF(MONTH(B156)&lt;=10,Inputs!$H$2,Inputs!$H$3),Inputs!$H$3))</f>
        <v>6.5000000000000002E-2</v>
      </c>
      <c r="P156" s="155">
        <f ca="1">J156+(IF($L$2=TRUE,IF(MONTH(B156)&gt;=4,IF(MONTH(B156)&lt;=10,L156,M156),M156),0))+(IF('Pricing Inputs'!$AN$3=2,O156,0))</f>
        <v>4.0625</v>
      </c>
      <c r="Q156" s="155"/>
      <c r="R156" s="336">
        <f t="shared" ca="1" si="20"/>
        <v>40848</v>
      </c>
      <c r="S156" s="171">
        <f t="shared" si="21"/>
        <v>0.87999999999999989</v>
      </c>
      <c r="T156" s="170">
        <f t="shared" si="24"/>
        <v>0.95</v>
      </c>
      <c r="U156" s="172">
        <f t="shared" si="22"/>
        <v>1.02</v>
      </c>
      <c r="BP156" s="131">
        <f t="shared" si="18"/>
        <v>155</v>
      </c>
      <c r="BQ156" s="185" t="s">
        <v>339</v>
      </c>
      <c r="BR156" s="130" t="s">
        <v>178</v>
      </c>
      <c r="BS156" s="129" t="s">
        <v>204</v>
      </c>
      <c r="BT156" s="135" t="s">
        <v>180</v>
      </c>
      <c r="BU156" s="135"/>
      <c r="BV156" s="129">
        <v>1</v>
      </c>
      <c r="BW156" s="130" t="s">
        <v>938</v>
      </c>
      <c r="BX156"/>
      <c r="BZ156" s="131">
        <f t="shared" si="19"/>
        <v>155</v>
      </c>
      <c r="CA156" s="4" t="s">
        <v>564</v>
      </c>
      <c r="CB156" s="130" t="s">
        <v>181</v>
      </c>
      <c r="CC156" s="129" t="s">
        <v>179</v>
      </c>
      <c r="CD156" s="135" t="s">
        <v>180</v>
      </c>
      <c r="CE156" s="135"/>
      <c r="CF156" s="129">
        <v>1</v>
      </c>
      <c r="CG156" s="130" t="s">
        <v>753</v>
      </c>
      <c r="CH156"/>
    </row>
    <row r="157" spans="1:86" ht="12.75">
      <c r="A157" s="153"/>
      <c r="B157" s="146">
        <f t="shared" ca="1" si="23"/>
        <v>40878</v>
      </c>
      <c r="C157" s="141">
        <v>7.4198598931261003E-2</v>
      </c>
      <c r="D157" s="141">
        <v>1.25</v>
      </c>
      <c r="E157" s="141">
        <v>1.25</v>
      </c>
      <c r="F157" s="141">
        <v>0.14850000000000002</v>
      </c>
      <c r="G157" s="141">
        <v>0.15</v>
      </c>
      <c r="H157" s="141">
        <v>0.16350000000000001</v>
      </c>
      <c r="I157" s="142">
        <v>3.4665000000000004</v>
      </c>
      <c r="J157" s="141">
        <v>3.4715000000000003</v>
      </c>
      <c r="K157" s="141">
        <v>3.4765000000000001</v>
      </c>
      <c r="L157" s="141">
        <v>-6.8862984500000002E-2</v>
      </c>
      <c r="M157" s="141">
        <v>1.03</v>
      </c>
      <c r="O157" s="125">
        <f ca="1">(IF(MONTH(B157)&gt;=4,IF(MONTH(B157)&lt;=10,Inputs!$H$2,Inputs!$H$3),Inputs!$H$3))</f>
        <v>6.5000000000000002E-2</v>
      </c>
      <c r="P157" s="155">
        <f ca="1">J157+(IF($L$2=TRUE,IF(MONTH(B157)&gt;=4,IF(MONTH(B157)&lt;=10,L157,M157),M157),0))+(IF('Pricing Inputs'!$AN$3=2,O157,0))</f>
        <v>4.5015000000000001</v>
      </c>
      <c r="Q157" s="155"/>
      <c r="R157" s="336">
        <f t="shared" ca="1" si="20"/>
        <v>40878</v>
      </c>
      <c r="S157" s="171">
        <f t="shared" si="21"/>
        <v>1.18</v>
      </c>
      <c r="T157" s="170">
        <f t="shared" si="24"/>
        <v>1.25</v>
      </c>
      <c r="U157" s="172">
        <f t="shared" si="22"/>
        <v>1.32</v>
      </c>
      <c r="BP157" s="131">
        <f t="shared" si="18"/>
        <v>156</v>
      </c>
      <c r="BQ157" s="185" t="s">
        <v>340</v>
      </c>
      <c r="BR157" s="130" t="s">
        <v>178</v>
      </c>
      <c r="BS157" s="129" t="s">
        <v>204</v>
      </c>
      <c r="BT157" s="135" t="s">
        <v>180</v>
      </c>
      <c r="BU157" s="135"/>
      <c r="BV157" s="129">
        <v>1</v>
      </c>
      <c r="BW157" s="130" t="s">
        <v>939</v>
      </c>
      <c r="BX157"/>
      <c r="BZ157" s="131">
        <f t="shared" si="19"/>
        <v>156</v>
      </c>
      <c r="CA157" s="4" t="s">
        <v>565</v>
      </c>
      <c r="CB157" s="130" t="s">
        <v>181</v>
      </c>
      <c r="CC157" s="129" t="s">
        <v>179</v>
      </c>
      <c r="CD157" s="135" t="s">
        <v>180</v>
      </c>
      <c r="CE157" s="135"/>
      <c r="CF157" s="129">
        <v>1</v>
      </c>
      <c r="CG157" s="130" t="s">
        <v>754</v>
      </c>
      <c r="CH157"/>
    </row>
    <row r="158" spans="1:86" ht="12.75">
      <c r="A158" s="153"/>
      <c r="B158" s="146">
        <f t="shared" ca="1" si="23"/>
        <v>40909</v>
      </c>
      <c r="C158" s="141">
        <v>7.4198304213379002E-2</v>
      </c>
      <c r="D158" s="141">
        <v>1.45</v>
      </c>
      <c r="E158" s="141">
        <v>1.45</v>
      </c>
      <c r="F158" s="141">
        <v>0.14749999999999999</v>
      </c>
      <c r="G158" s="141">
        <v>0.15</v>
      </c>
      <c r="H158" s="141">
        <v>0.16250000000000001</v>
      </c>
      <c r="I158" s="142">
        <v>3.55</v>
      </c>
      <c r="J158" s="141">
        <v>3.5550000000000002</v>
      </c>
      <c r="K158" s="141">
        <v>3.56</v>
      </c>
      <c r="L158" s="141">
        <v>-6.7613796000000004E-2</v>
      </c>
      <c r="M158" s="141">
        <v>1.4950000000000001</v>
      </c>
      <c r="O158" s="125">
        <f ca="1">(IF(MONTH(B158)&gt;=4,IF(MONTH(B158)&lt;=10,Inputs!$H$2,Inputs!$H$3),Inputs!$H$3))</f>
        <v>6.5000000000000002E-2</v>
      </c>
      <c r="P158" s="155">
        <f ca="1">J158+(IF($L$2=TRUE,IF(MONTH(B158)&gt;=4,IF(MONTH(B158)&lt;=10,L158,M158),M158),0))+(IF('Pricing Inputs'!$AN$3=2,O158,0))</f>
        <v>5.0500000000000007</v>
      </c>
      <c r="Q158" s="155"/>
      <c r="R158" s="336">
        <f t="shared" ca="1" si="20"/>
        <v>40909</v>
      </c>
      <c r="S158" s="171">
        <f t="shared" si="21"/>
        <v>1.38</v>
      </c>
      <c r="T158" s="170">
        <f t="shared" si="24"/>
        <v>1.45</v>
      </c>
      <c r="U158" s="172">
        <f t="shared" si="22"/>
        <v>1.52</v>
      </c>
      <c r="BP158" s="131">
        <f t="shared" si="18"/>
        <v>157</v>
      </c>
      <c r="BQ158" s="185" t="s">
        <v>341</v>
      </c>
      <c r="BR158" s="130" t="s">
        <v>178</v>
      </c>
      <c r="BS158" s="129" t="s">
        <v>204</v>
      </c>
      <c r="BT158" s="135" t="s">
        <v>180</v>
      </c>
      <c r="BU158" s="135"/>
      <c r="BV158" s="129">
        <v>1</v>
      </c>
      <c r="BW158" s="130" t="s">
        <v>940</v>
      </c>
      <c r="BX158"/>
      <c r="BZ158" s="131">
        <f t="shared" si="19"/>
        <v>157</v>
      </c>
      <c r="CA158" s="4" t="s">
        <v>566</v>
      </c>
      <c r="CB158" s="130" t="s">
        <v>181</v>
      </c>
      <c r="CC158" s="129" t="s">
        <v>179</v>
      </c>
      <c r="CD158" s="135" t="s">
        <v>180</v>
      </c>
      <c r="CE158" s="135"/>
      <c r="CF158" s="129">
        <v>1</v>
      </c>
      <c r="CG158" s="130" t="s">
        <v>755</v>
      </c>
      <c r="CH158"/>
    </row>
    <row r="159" spans="1:86" ht="12.75">
      <c r="A159" s="153"/>
      <c r="B159" s="146">
        <f t="shared" ca="1" si="23"/>
        <v>40940</v>
      </c>
      <c r="C159" s="141">
        <v>7.4198009495497999E-2</v>
      </c>
      <c r="D159" s="141">
        <v>1.45</v>
      </c>
      <c r="E159" s="141">
        <v>1.45</v>
      </c>
      <c r="F159" s="141">
        <v>0.14749999999999999</v>
      </c>
      <c r="G159" s="141">
        <v>0.15</v>
      </c>
      <c r="H159" s="141">
        <v>0.16250000000000001</v>
      </c>
      <c r="I159" s="142">
        <v>3.4320000000000004</v>
      </c>
      <c r="J159" s="141">
        <v>3.4370000000000003</v>
      </c>
      <c r="K159" s="141">
        <v>3.4420000000000002</v>
      </c>
      <c r="L159" s="141">
        <v>-6.1364355750000002E-2</v>
      </c>
      <c r="M159" s="141">
        <v>1.395</v>
      </c>
      <c r="O159" s="125">
        <f ca="1">(IF(MONTH(B159)&gt;=4,IF(MONTH(B159)&lt;=10,Inputs!$H$2,Inputs!$H$3),Inputs!$H$3))</f>
        <v>6.5000000000000002E-2</v>
      </c>
      <c r="P159" s="155">
        <f ca="1">J159+(IF($L$2=TRUE,IF(MONTH(B159)&gt;=4,IF(MONTH(B159)&lt;=10,L159,M159),M159),0))+(IF('Pricing Inputs'!$AN$3=2,O159,0))</f>
        <v>4.8320000000000007</v>
      </c>
      <c r="Q159" s="155"/>
      <c r="R159" s="336">
        <f t="shared" ca="1" si="20"/>
        <v>40940</v>
      </c>
      <c r="S159" s="171">
        <f t="shared" si="21"/>
        <v>1.38</v>
      </c>
      <c r="T159" s="170">
        <f t="shared" si="24"/>
        <v>1.45</v>
      </c>
      <c r="U159" s="172">
        <f t="shared" si="22"/>
        <v>1.52</v>
      </c>
      <c r="BP159" s="131">
        <f t="shared" si="18"/>
        <v>158</v>
      </c>
      <c r="BQ159" s="185" t="s">
        <v>342</v>
      </c>
      <c r="BR159" s="130" t="s">
        <v>178</v>
      </c>
      <c r="BS159" s="129" t="s">
        <v>204</v>
      </c>
      <c r="BT159" s="135" t="s">
        <v>180</v>
      </c>
      <c r="BU159" s="135"/>
      <c r="BV159" s="129">
        <v>1</v>
      </c>
      <c r="BW159" s="130" t="s">
        <v>941</v>
      </c>
      <c r="BX159"/>
      <c r="BZ159" s="131">
        <f t="shared" si="19"/>
        <v>158</v>
      </c>
      <c r="CA159" s="4" t="s">
        <v>567</v>
      </c>
      <c r="CB159" s="130" t="s">
        <v>181</v>
      </c>
      <c r="CC159" s="129" t="s">
        <v>179</v>
      </c>
      <c r="CD159" s="135" t="s">
        <v>180</v>
      </c>
      <c r="CE159" s="135"/>
      <c r="CF159" s="129">
        <v>1</v>
      </c>
      <c r="CG159" s="130" t="s">
        <v>756</v>
      </c>
      <c r="CH159"/>
    </row>
    <row r="160" spans="1:86" ht="12.75">
      <c r="A160" s="153"/>
      <c r="B160" s="146">
        <f t="shared" ca="1" si="23"/>
        <v>40969</v>
      </c>
      <c r="C160" s="141">
        <v>7.4197733791673007E-2</v>
      </c>
      <c r="D160" s="141">
        <v>1</v>
      </c>
      <c r="E160" s="141">
        <v>1</v>
      </c>
      <c r="F160" s="141">
        <v>0.14749999999999999</v>
      </c>
      <c r="G160" s="141">
        <v>0.15</v>
      </c>
      <c r="H160" s="141">
        <v>0.16250000000000001</v>
      </c>
      <c r="I160" s="142">
        <v>3.3120000000000003</v>
      </c>
      <c r="J160" s="141">
        <v>3.3170000000000002</v>
      </c>
      <c r="K160" s="141">
        <v>3.3220000000000001</v>
      </c>
      <c r="L160" s="141">
        <v>-5.886435575E-2</v>
      </c>
      <c r="M160" s="141">
        <v>0.86499999999999999</v>
      </c>
      <c r="O160" s="125">
        <f ca="1">(IF(MONTH(B160)&gt;=4,IF(MONTH(B160)&lt;=10,Inputs!$H$2,Inputs!$H$3),Inputs!$H$3))</f>
        <v>6.5000000000000002E-2</v>
      </c>
      <c r="P160" s="155">
        <f ca="1">J160+(IF($L$2=TRUE,IF(MONTH(B160)&gt;=4,IF(MONTH(B160)&lt;=10,L160,M160),M160),0))+(IF('Pricing Inputs'!$AN$3=2,O160,0))</f>
        <v>4.1820000000000004</v>
      </c>
      <c r="Q160" s="155"/>
      <c r="R160" s="336">
        <f t="shared" ca="1" si="20"/>
        <v>40969</v>
      </c>
      <c r="S160" s="171">
        <f t="shared" si="21"/>
        <v>0.92999999999999994</v>
      </c>
      <c r="T160" s="170">
        <f t="shared" si="24"/>
        <v>1</v>
      </c>
      <c r="U160" s="172">
        <f t="shared" si="22"/>
        <v>1.07</v>
      </c>
      <c r="BP160" s="131">
        <f t="shared" si="18"/>
        <v>159</v>
      </c>
      <c r="BQ160" s="185" t="s">
        <v>343</v>
      </c>
      <c r="BR160" s="130" t="s">
        <v>178</v>
      </c>
      <c r="BS160" s="129" t="s">
        <v>204</v>
      </c>
      <c r="BT160" s="135" t="s">
        <v>180</v>
      </c>
      <c r="BU160" s="135"/>
      <c r="BV160" s="129">
        <v>1</v>
      </c>
      <c r="BW160" s="130" t="s">
        <v>942</v>
      </c>
      <c r="BX160"/>
      <c r="BZ160" s="131">
        <f t="shared" si="19"/>
        <v>159</v>
      </c>
      <c r="CA160" s="4" t="s">
        <v>568</v>
      </c>
      <c r="CB160" s="130" t="s">
        <v>181</v>
      </c>
      <c r="CC160" s="129" t="s">
        <v>179</v>
      </c>
      <c r="CD160" s="135" t="s">
        <v>180</v>
      </c>
      <c r="CE160" s="135"/>
      <c r="CF160" s="129">
        <v>1</v>
      </c>
      <c r="CG160" s="130" t="s">
        <v>757</v>
      </c>
      <c r="CH160"/>
    </row>
    <row r="161" spans="1:86" ht="12.75">
      <c r="A161" s="153"/>
      <c r="B161" s="146">
        <f t="shared" ca="1" si="23"/>
        <v>41000</v>
      </c>
      <c r="C161" s="141">
        <v>7.4197439073791005E-2</v>
      </c>
      <c r="D161" s="141">
        <v>0.45</v>
      </c>
      <c r="E161" s="141">
        <v>0.45</v>
      </c>
      <c r="F161" s="141">
        <v>0.14749999999999999</v>
      </c>
      <c r="G161" s="141">
        <v>0.15</v>
      </c>
      <c r="H161" s="141">
        <v>0.16250000000000001</v>
      </c>
      <c r="I161" s="142">
        <v>3.2625000000000002</v>
      </c>
      <c r="J161" s="141">
        <v>3.2675000000000001</v>
      </c>
      <c r="K161" s="141">
        <v>3.2725</v>
      </c>
      <c r="L161" s="141">
        <v>-4.5755840249999999E-2</v>
      </c>
      <c r="M161" s="141">
        <v>0.37</v>
      </c>
      <c r="O161" s="125">
        <f ca="1">(IF(MONTH(B161)&gt;=4,IF(MONTH(B161)&lt;=10,Inputs!$H$2,Inputs!$H$3),Inputs!$H$3))</f>
        <v>6.5000000000000002E-2</v>
      </c>
      <c r="P161" s="155">
        <f ca="1">J161+(IF($L$2=TRUE,IF(MONTH(B161)&gt;=4,IF(MONTH(B161)&lt;=10,L161,M161),M161),0))+(IF('Pricing Inputs'!$AN$3=2,O161,0))</f>
        <v>3.2217441597500001</v>
      </c>
      <c r="Q161" s="155"/>
      <c r="R161" s="336">
        <f t="shared" ca="1" si="20"/>
        <v>41000</v>
      </c>
      <c r="S161" s="171">
        <f t="shared" si="21"/>
        <v>0.38</v>
      </c>
      <c r="T161" s="170">
        <f t="shared" si="24"/>
        <v>0.45</v>
      </c>
      <c r="U161" s="172">
        <f t="shared" si="22"/>
        <v>0.52</v>
      </c>
      <c r="BP161" s="131">
        <f t="shared" si="18"/>
        <v>160</v>
      </c>
      <c r="BQ161" s="185" t="s">
        <v>344</v>
      </c>
      <c r="BR161" s="130" t="s">
        <v>178</v>
      </c>
      <c r="BS161" s="129" t="s">
        <v>204</v>
      </c>
      <c r="BT161" s="135" t="s">
        <v>180</v>
      </c>
      <c r="BU161" s="135"/>
      <c r="BV161" s="129">
        <v>1</v>
      </c>
      <c r="BW161" s="130" t="s">
        <v>943</v>
      </c>
      <c r="BX161"/>
      <c r="BZ161" s="131">
        <f t="shared" si="19"/>
        <v>160</v>
      </c>
      <c r="CA161" s="4" t="s">
        <v>569</v>
      </c>
      <c r="CB161" s="130" t="s">
        <v>181</v>
      </c>
      <c r="CC161" s="129" t="s">
        <v>179</v>
      </c>
      <c r="CD161" s="135" t="s">
        <v>180</v>
      </c>
      <c r="CE161" s="135"/>
      <c r="CF161" s="129">
        <v>1</v>
      </c>
      <c r="CG161" s="130" t="s">
        <v>758</v>
      </c>
      <c r="CH161"/>
    </row>
    <row r="162" spans="1:86" ht="12.75">
      <c r="A162" s="153"/>
      <c r="B162" s="146">
        <f t="shared" ca="1" si="23"/>
        <v>41030</v>
      </c>
      <c r="C162" s="141">
        <v>7.4197153862938001E-2</v>
      </c>
      <c r="D162" s="141">
        <v>0.5</v>
      </c>
      <c r="E162" s="141">
        <v>0.5</v>
      </c>
      <c r="F162" s="141">
        <v>0.14749999999999999</v>
      </c>
      <c r="G162" s="141">
        <v>0.15</v>
      </c>
      <c r="H162" s="141">
        <v>0.16250000000000001</v>
      </c>
      <c r="I162" s="142">
        <v>3.2365000000000004</v>
      </c>
      <c r="J162" s="141">
        <v>3.2415000000000003</v>
      </c>
      <c r="K162" s="141">
        <v>3.2465000000000002</v>
      </c>
      <c r="L162" s="141">
        <v>-4.5757969000000003E-2</v>
      </c>
      <c r="M162" s="141">
        <v>0.2525</v>
      </c>
      <c r="O162" s="125">
        <f ca="1">(IF(MONTH(B162)&gt;=4,IF(MONTH(B162)&lt;=10,Inputs!$H$2,Inputs!$H$3),Inputs!$H$3))</f>
        <v>6.5000000000000002E-2</v>
      </c>
      <c r="P162" s="155">
        <f ca="1">J162+(IF($L$2=TRUE,IF(MONTH(B162)&gt;=4,IF(MONTH(B162)&lt;=10,L162,M162),M162),0))+(IF('Pricing Inputs'!$AN$3=2,O162,0))</f>
        <v>3.1957420310000004</v>
      </c>
      <c r="Q162" s="155"/>
      <c r="R162" s="336">
        <f t="shared" ca="1" si="20"/>
        <v>41030</v>
      </c>
      <c r="S162" s="171">
        <f t="shared" si="21"/>
        <v>0.43</v>
      </c>
      <c r="T162" s="170">
        <f t="shared" si="24"/>
        <v>0.5</v>
      </c>
      <c r="U162" s="172">
        <f t="shared" si="22"/>
        <v>0.57000000000000006</v>
      </c>
      <c r="BP162" s="131">
        <f t="shared" si="18"/>
        <v>161</v>
      </c>
      <c r="BQ162" s="185" t="s">
        <v>345</v>
      </c>
      <c r="BR162" s="130" t="s">
        <v>178</v>
      </c>
      <c r="BS162" s="129" t="s">
        <v>204</v>
      </c>
      <c r="BT162" s="135" t="s">
        <v>180</v>
      </c>
      <c r="BU162" s="135"/>
      <c r="BV162" s="129">
        <v>1</v>
      </c>
      <c r="BW162" s="130" t="s">
        <v>944</v>
      </c>
      <c r="BX162"/>
      <c r="BZ162" s="131">
        <f t="shared" ref="BZ162:BZ186" si="25">BZ161+CF162</f>
        <v>161</v>
      </c>
      <c r="CA162" s="4" t="s">
        <v>570</v>
      </c>
      <c r="CB162" s="130" t="s">
        <v>181</v>
      </c>
      <c r="CC162" s="129" t="s">
        <v>179</v>
      </c>
      <c r="CD162" s="135" t="s">
        <v>180</v>
      </c>
      <c r="CE162" s="135"/>
      <c r="CF162" s="129">
        <v>1</v>
      </c>
      <c r="CG162" s="130" t="s">
        <v>759</v>
      </c>
      <c r="CH162"/>
    </row>
    <row r="163" spans="1:86" ht="12.75">
      <c r="A163" s="153"/>
      <c r="B163" s="146">
        <f t="shared" ca="1" si="23"/>
        <v>41061</v>
      </c>
      <c r="C163" s="141">
        <v>7.4196859145055999E-2</v>
      </c>
      <c r="D163" s="141">
        <v>0.5</v>
      </c>
      <c r="E163" s="141">
        <v>0.5</v>
      </c>
      <c r="F163" s="141">
        <v>0.14749999999999999</v>
      </c>
      <c r="G163" s="141">
        <v>0.15</v>
      </c>
      <c r="H163" s="141">
        <v>0.16250000000000001</v>
      </c>
      <c r="I163" s="142">
        <v>3.2425000000000002</v>
      </c>
      <c r="J163" s="141">
        <v>3.2475000000000001</v>
      </c>
      <c r="K163" s="141">
        <v>3.2524999999999999</v>
      </c>
      <c r="L163" s="141">
        <v>-4.5757969000000003E-2</v>
      </c>
      <c r="M163" s="141">
        <v>0.2525</v>
      </c>
      <c r="O163" s="125">
        <f ca="1">(IF(MONTH(B163)&gt;=4,IF(MONTH(B163)&lt;=10,Inputs!$H$2,Inputs!$H$3),Inputs!$H$3))</f>
        <v>6.5000000000000002E-2</v>
      </c>
      <c r="P163" s="155">
        <f ca="1">J163+(IF($L$2=TRUE,IF(MONTH(B163)&gt;=4,IF(MONTH(B163)&lt;=10,L163,M163),M163),0))+(IF('Pricing Inputs'!$AN$3=2,O163,0))</f>
        <v>3.2017420310000002</v>
      </c>
      <c r="Q163" s="155"/>
      <c r="R163" s="336">
        <f t="shared" ca="1" si="20"/>
        <v>41061</v>
      </c>
      <c r="S163" s="171">
        <f t="shared" si="21"/>
        <v>0.43</v>
      </c>
      <c r="T163" s="170">
        <f t="shared" si="24"/>
        <v>0.5</v>
      </c>
      <c r="U163" s="172">
        <f t="shared" si="22"/>
        <v>0.57000000000000006</v>
      </c>
      <c r="BP163" s="131">
        <f t="shared" si="18"/>
        <v>162</v>
      </c>
      <c r="BQ163" s="185" t="s">
        <v>346</v>
      </c>
      <c r="BR163" s="130" t="s">
        <v>178</v>
      </c>
      <c r="BS163" s="129" t="s">
        <v>204</v>
      </c>
      <c r="BT163" s="135" t="s">
        <v>180</v>
      </c>
      <c r="BU163" s="135"/>
      <c r="BV163" s="129">
        <v>1</v>
      </c>
      <c r="BW163" s="130" t="s">
        <v>945</v>
      </c>
      <c r="BX163"/>
      <c r="BZ163" s="131">
        <f t="shared" si="25"/>
        <v>162</v>
      </c>
      <c r="CA163" s="4" t="s">
        <v>571</v>
      </c>
      <c r="CB163" s="130" t="s">
        <v>181</v>
      </c>
      <c r="CC163" s="129" t="s">
        <v>179</v>
      </c>
      <c r="CD163" s="135" t="s">
        <v>180</v>
      </c>
      <c r="CE163" s="135"/>
      <c r="CF163" s="129">
        <v>1</v>
      </c>
      <c r="CG163" s="130" t="s">
        <v>760</v>
      </c>
      <c r="CH163"/>
    </row>
    <row r="164" spans="1:86" ht="12.75">
      <c r="A164" s="153"/>
      <c r="B164" s="146">
        <f t="shared" ca="1" si="23"/>
        <v>41091</v>
      </c>
      <c r="C164" s="141">
        <v>7.4196573934203008E-2</v>
      </c>
      <c r="D164" s="141">
        <v>0.5</v>
      </c>
      <c r="E164" s="141">
        <v>0.5</v>
      </c>
      <c r="F164" s="141">
        <v>0.14749999999999999</v>
      </c>
      <c r="G164" s="141">
        <v>0.15</v>
      </c>
      <c r="H164" s="141">
        <v>0.16250000000000001</v>
      </c>
      <c r="I164" s="142">
        <v>3.2524999999999999</v>
      </c>
      <c r="J164" s="141">
        <v>3.2574999999999998</v>
      </c>
      <c r="K164" s="141">
        <v>3.2625000000000002</v>
      </c>
      <c r="L164" s="141">
        <v>-4.5757969000000003E-2</v>
      </c>
      <c r="M164" s="141">
        <v>0.25750000000000001</v>
      </c>
      <c r="O164" s="125">
        <f ca="1">(IF(MONTH(B164)&gt;=4,IF(MONTH(B164)&lt;=10,Inputs!$H$2,Inputs!$H$3),Inputs!$H$3))</f>
        <v>6.5000000000000002E-2</v>
      </c>
      <c r="P164" s="155">
        <f ca="1">J164+(IF($L$2=TRUE,IF(MONTH(B164)&gt;=4,IF(MONTH(B164)&lt;=10,L164,M164),M164),0))+(IF('Pricing Inputs'!$AN$3=2,O164,0))</f>
        <v>3.211742031</v>
      </c>
      <c r="Q164" s="155"/>
      <c r="R164" s="336">
        <f t="shared" ca="1" si="20"/>
        <v>41091</v>
      </c>
      <c r="S164" s="171">
        <f t="shared" si="21"/>
        <v>0.43</v>
      </c>
      <c r="T164" s="170">
        <f t="shared" si="24"/>
        <v>0.5</v>
      </c>
      <c r="U164" s="172">
        <f t="shared" si="22"/>
        <v>0.57000000000000006</v>
      </c>
      <c r="BP164" s="131">
        <f t="shared" si="18"/>
        <v>163</v>
      </c>
      <c r="BQ164" s="185" t="s">
        <v>347</v>
      </c>
      <c r="BR164" s="130" t="s">
        <v>178</v>
      </c>
      <c r="BS164" s="129" t="s">
        <v>204</v>
      </c>
      <c r="BT164" s="135" t="s">
        <v>180</v>
      </c>
      <c r="BU164" s="135"/>
      <c r="BV164" s="129">
        <v>1</v>
      </c>
      <c r="BW164" s="130" t="s">
        <v>946</v>
      </c>
      <c r="BX164"/>
      <c r="BZ164" s="131">
        <f t="shared" si="25"/>
        <v>163</v>
      </c>
      <c r="CA164" s="4" t="s">
        <v>572</v>
      </c>
      <c r="CB164" s="130" t="s">
        <v>181</v>
      </c>
      <c r="CC164" s="129" t="s">
        <v>179</v>
      </c>
      <c r="CD164" s="135" t="s">
        <v>180</v>
      </c>
      <c r="CE164" s="135"/>
      <c r="CF164" s="129">
        <v>1</v>
      </c>
      <c r="CG164" s="130" t="s">
        <v>761</v>
      </c>
      <c r="CH164"/>
    </row>
    <row r="165" spans="1:86" ht="12.75">
      <c r="A165" s="153"/>
      <c r="B165" s="146">
        <f t="shared" ca="1" si="23"/>
        <v>41122</v>
      </c>
      <c r="C165" s="141">
        <v>7.4196279216322006E-2</v>
      </c>
      <c r="D165" s="141">
        <v>0.6</v>
      </c>
      <c r="E165" s="141">
        <v>0.6</v>
      </c>
      <c r="F165" s="141">
        <v>0.14749999999999999</v>
      </c>
      <c r="G165" s="141">
        <v>0.15</v>
      </c>
      <c r="H165" s="141">
        <v>0.16250000000000001</v>
      </c>
      <c r="I165" s="142">
        <v>3.2595000000000001</v>
      </c>
      <c r="J165" s="141">
        <v>3.2645</v>
      </c>
      <c r="K165" s="141">
        <v>3.2695000000000003</v>
      </c>
      <c r="L165" s="141">
        <v>-4.5757969000000003E-2</v>
      </c>
      <c r="M165" s="141">
        <v>0.25750000000000001</v>
      </c>
      <c r="O165" s="125">
        <f ca="1">(IF(MONTH(B165)&gt;=4,IF(MONTH(B165)&lt;=10,Inputs!$H$2,Inputs!$H$3),Inputs!$H$3))</f>
        <v>6.5000000000000002E-2</v>
      </c>
      <c r="P165" s="155">
        <f ca="1">J165+(IF($L$2=TRUE,IF(MONTH(B165)&gt;=4,IF(MONTH(B165)&lt;=10,L165,M165),M165),0))+(IF('Pricing Inputs'!$AN$3=2,O165,0))</f>
        <v>3.2187420310000001</v>
      </c>
      <c r="Q165" s="155"/>
      <c r="R165" s="336">
        <f t="shared" ca="1" si="20"/>
        <v>41122</v>
      </c>
      <c r="S165" s="171">
        <f t="shared" si="21"/>
        <v>0.53</v>
      </c>
      <c r="T165" s="170">
        <f t="shared" si="24"/>
        <v>0.6</v>
      </c>
      <c r="U165" s="172">
        <f t="shared" si="22"/>
        <v>0.66999999999999993</v>
      </c>
      <c r="BP165" s="131">
        <f t="shared" si="18"/>
        <v>164</v>
      </c>
      <c r="BQ165" s="185" t="s">
        <v>348</v>
      </c>
      <c r="BR165" s="130" t="s">
        <v>178</v>
      </c>
      <c r="BS165" s="129" t="s">
        <v>204</v>
      </c>
      <c r="BT165" s="135" t="s">
        <v>180</v>
      </c>
      <c r="BU165" s="135"/>
      <c r="BV165" s="129">
        <v>1</v>
      </c>
      <c r="BW165" s="130" t="s">
        <v>947</v>
      </c>
      <c r="BX165"/>
      <c r="BZ165" s="131">
        <f t="shared" si="25"/>
        <v>164</v>
      </c>
      <c r="CA165" s="4" t="s">
        <v>573</v>
      </c>
      <c r="CB165" s="130" t="s">
        <v>181</v>
      </c>
      <c r="CC165" s="129" t="s">
        <v>179</v>
      </c>
      <c r="CD165" s="135" t="s">
        <v>180</v>
      </c>
      <c r="CE165" s="135"/>
      <c r="CF165" s="129">
        <v>1</v>
      </c>
      <c r="CG165" s="130" t="s">
        <v>762</v>
      </c>
      <c r="CH165"/>
    </row>
    <row r="166" spans="1:86" ht="12.75">
      <c r="A166" s="153"/>
      <c r="B166" s="146">
        <f t="shared" ca="1" si="23"/>
        <v>41153</v>
      </c>
      <c r="C166" s="141">
        <v>7.4195984498441003E-2</v>
      </c>
      <c r="D166" s="141">
        <v>0.6</v>
      </c>
      <c r="E166" s="141">
        <v>0.6</v>
      </c>
      <c r="F166" s="141">
        <v>0.14749999999999999</v>
      </c>
      <c r="G166" s="141">
        <v>0.15</v>
      </c>
      <c r="H166" s="141">
        <v>0.16250000000000001</v>
      </c>
      <c r="I166" s="142">
        <v>3.2665000000000002</v>
      </c>
      <c r="J166" s="141">
        <v>3.2715000000000001</v>
      </c>
      <c r="K166" s="141">
        <v>3.2765</v>
      </c>
      <c r="L166" s="141">
        <v>-4.5757969000000003E-2</v>
      </c>
      <c r="M166" s="141">
        <v>0.2525</v>
      </c>
      <c r="O166" s="125">
        <f ca="1">(IF(MONTH(B166)&gt;=4,IF(MONTH(B166)&lt;=10,Inputs!$H$2,Inputs!$H$3),Inputs!$H$3))</f>
        <v>6.5000000000000002E-2</v>
      </c>
      <c r="P166" s="155">
        <f ca="1">J166+(IF($L$2=TRUE,IF(MONTH(B166)&gt;=4,IF(MONTH(B166)&lt;=10,L166,M166),M166),0))+(IF('Pricing Inputs'!$AN$3=2,O166,0))</f>
        <v>3.2257420310000002</v>
      </c>
      <c r="Q166" s="155"/>
      <c r="R166" s="336">
        <f t="shared" ca="1" si="20"/>
        <v>41153</v>
      </c>
      <c r="S166" s="171">
        <f t="shared" si="21"/>
        <v>0.53</v>
      </c>
      <c r="T166" s="170">
        <f t="shared" si="24"/>
        <v>0.6</v>
      </c>
      <c r="U166" s="172">
        <f t="shared" si="22"/>
        <v>0.66999999999999993</v>
      </c>
      <c r="BP166" s="131">
        <f t="shared" si="18"/>
        <v>165</v>
      </c>
      <c r="BQ166" s="185" t="s">
        <v>349</v>
      </c>
      <c r="BR166" s="130" t="s">
        <v>178</v>
      </c>
      <c r="BS166" s="129" t="s">
        <v>204</v>
      </c>
      <c r="BT166" s="135" t="s">
        <v>180</v>
      </c>
      <c r="BU166" s="135"/>
      <c r="BV166" s="129">
        <v>1</v>
      </c>
      <c r="BW166" s="130" t="s">
        <v>948</v>
      </c>
      <c r="BX166"/>
      <c r="BZ166" s="131">
        <f t="shared" si="25"/>
        <v>165</v>
      </c>
      <c r="CA166" s="4" t="s">
        <v>574</v>
      </c>
      <c r="CB166" s="130" t="s">
        <v>181</v>
      </c>
      <c r="CC166" s="129" t="s">
        <v>179</v>
      </c>
      <c r="CD166" s="135" t="s">
        <v>180</v>
      </c>
      <c r="CE166" s="135"/>
      <c r="CF166" s="129">
        <v>1</v>
      </c>
      <c r="CG166" s="130" t="s">
        <v>763</v>
      </c>
      <c r="CH166"/>
    </row>
    <row r="167" spans="1:86" ht="12.75">
      <c r="A167" s="153"/>
      <c r="B167" s="146">
        <f t="shared" ca="1" si="23"/>
        <v>41183</v>
      </c>
      <c r="C167" s="141">
        <v>7.4195699287587E-2</v>
      </c>
      <c r="D167" s="141">
        <v>0.65</v>
      </c>
      <c r="E167" s="141">
        <v>0.65</v>
      </c>
      <c r="F167" s="141">
        <v>0.14749999999999999</v>
      </c>
      <c r="G167" s="141">
        <v>0.15</v>
      </c>
      <c r="H167" s="141">
        <v>0.16250000000000001</v>
      </c>
      <c r="I167" s="142">
        <v>3.2925</v>
      </c>
      <c r="J167" s="141">
        <v>3.2974999999999999</v>
      </c>
      <c r="K167" s="141">
        <v>3.3025000000000002</v>
      </c>
      <c r="L167" s="141">
        <v>-4.5757969000000003E-2</v>
      </c>
      <c r="M167" s="141">
        <v>0.255</v>
      </c>
      <c r="O167" s="125">
        <f ca="1">(IF(MONTH(B167)&gt;=4,IF(MONTH(B167)&lt;=10,Inputs!$H$2,Inputs!$H$3),Inputs!$H$3))</f>
        <v>6.5000000000000002E-2</v>
      </c>
      <c r="P167" s="155">
        <f ca="1">J167+(IF($L$2=TRUE,IF(MONTH(B167)&gt;=4,IF(MONTH(B167)&lt;=10,L167,M167),M167),0))+(IF('Pricing Inputs'!$AN$3=2,O167,0))</f>
        <v>3.251742031</v>
      </c>
      <c r="Q167" s="155"/>
      <c r="R167" s="336">
        <f t="shared" ca="1" si="20"/>
        <v>41183</v>
      </c>
      <c r="S167" s="171">
        <f t="shared" si="21"/>
        <v>0.58000000000000007</v>
      </c>
      <c r="T167" s="170">
        <f t="shared" si="24"/>
        <v>0.65</v>
      </c>
      <c r="U167" s="172">
        <f t="shared" si="22"/>
        <v>0.72</v>
      </c>
      <c r="BP167" s="131">
        <f t="shared" si="18"/>
        <v>166</v>
      </c>
      <c r="BQ167" s="185" t="s">
        <v>350</v>
      </c>
      <c r="BR167" s="130" t="s">
        <v>178</v>
      </c>
      <c r="BS167" s="129" t="s">
        <v>204</v>
      </c>
      <c r="BT167" s="135" t="s">
        <v>180</v>
      </c>
      <c r="BU167" s="135"/>
      <c r="BV167" s="129">
        <v>1</v>
      </c>
      <c r="BW167" s="130" t="s">
        <v>949</v>
      </c>
      <c r="BX167"/>
      <c r="BZ167" s="131">
        <f t="shared" si="25"/>
        <v>166</v>
      </c>
      <c r="CA167" s="4" t="s">
        <v>575</v>
      </c>
      <c r="CB167" s="130" t="s">
        <v>181</v>
      </c>
      <c r="CC167" s="129" t="s">
        <v>179</v>
      </c>
      <c r="CD167" s="135" t="s">
        <v>180</v>
      </c>
      <c r="CE167" s="135"/>
      <c r="CF167" s="129">
        <v>1</v>
      </c>
      <c r="CG167" s="130" t="s">
        <v>764</v>
      </c>
      <c r="CH167"/>
    </row>
    <row r="168" spans="1:86" ht="12.75">
      <c r="A168" s="153"/>
      <c r="B168" s="146">
        <f t="shared" ca="1" si="23"/>
        <v>41214</v>
      </c>
      <c r="C168" s="141">
        <v>7.4195404569705997E-2</v>
      </c>
      <c r="D168" s="141">
        <v>0.95</v>
      </c>
      <c r="E168" s="141">
        <v>0.95</v>
      </c>
      <c r="F168" s="141">
        <v>0.14749999999999999</v>
      </c>
      <c r="G168" s="141">
        <v>0.15</v>
      </c>
      <c r="H168" s="141">
        <v>0.16250000000000001</v>
      </c>
      <c r="I168" s="142">
        <v>3.4275000000000002</v>
      </c>
      <c r="J168" s="141">
        <v>3.4325000000000001</v>
      </c>
      <c r="K168" s="141">
        <v>3.4375</v>
      </c>
      <c r="L168" s="141">
        <v>-6.162217825E-2</v>
      </c>
      <c r="M168" s="141">
        <v>0.71499999999999997</v>
      </c>
      <c r="O168" s="125">
        <f ca="1">(IF(MONTH(B168)&gt;=4,IF(MONTH(B168)&lt;=10,Inputs!$H$2,Inputs!$H$3),Inputs!$H$3))</f>
        <v>6.5000000000000002E-2</v>
      </c>
      <c r="P168" s="155">
        <f ca="1">J168+(IF($L$2=TRUE,IF(MONTH(B168)&gt;=4,IF(MONTH(B168)&lt;=10,L168,M168),M168),0))+(IF('Pricing Inputs'!$AN$3=2,O168,0))</f>
        <v>4.1475</v>
      </c>
      <c r="Q168" s="155"/>
      <c r="R168" s="336">
        <f t="shared" ca="1" si="20"/>
        <v>41214</v>
      </c>
      <c r="S168" s="171">
        <f t="shared" si="21"/>
        <v>0.87999999999999989</v>
      </c>
      <c r="T168" s="170">
        <f t="shared" si="24"/>
        <v>0.95</v>
      </c>
      <c r="U168" s="172">
        <f t="shared" si="22"/>
        <v>1.02</v>
      </c>
      <c r="BP168" s="131">
        <f t="shared" si="18"/>
        <v>167</v>
      </c>
      <c r="BQ168" s="185" t="s">
        <v>351</v>
      </c>
      <c r="BR168" s="130" t="s">
        <v>178</v>
      </c>
      <c r="BS168" s="129" t="s">
        <v>204</v>
      </c>
      <c r="BT168" s="135" t="s">
        <v>180</v>
      </c>
      <c r="BU168" s="135"/>
      <c r="BV168" s="129">
        <v>1</v>
      </c>
      <c r="BW168" s="130" t="s">
        <v>950</v>
      </c>
      <c r="BX168"/>
      <c r="BZ168" s="131">
        <f t="shared" si="25"/>
        <v>167</v>
      </c>
      <c r="CA168" s="4" t="s">
        <v>576</v>
      </c>
      <c r="CB168" s="130" t="s">
        <v>181</v>
      </c>
      <c r="CC168" s="129" t="s">
        <v>179</v>
      </c>
      <c r="CD168" s="135" t="s">
        <v>180</v>
      </c>
      <c r="CE168" s="135"/>
      <c r="CF168" s="129">
        <v>1</v>
      </c>
      <c r="CG168" s="130" t="s">
        <v>765</v>
      </c>
      <c r="CH168"/>
    </row>
    <row r="169" spans="1:86" ht="12.75">
      <c r="A169" s="153"/>
      <c r="B169" s="146">
        <f t="shared" ca="1" si="23"/>
        <v>41244</v>
      </c>
      <c r="C169" s="141">
        <v>7.4195119358853007E-2</v>
      </c>
      <c r="D169" s="141">
        <v>1.25</v>
      </c>
      <c r="E169" s="141">
        <v>1.25</v>
      </c>
      <c r="F169" s="141">
        <v>0.14749999999999999</v>
      </c>
      <c r="G169" s="141">
        <v>0.15</v>
      </c>
      <c r="H169" s="141">
        <v>0.16250000000000001</v>
      </c>
      <c r="I169" s="142">
        <v>3.5515000000000003</v>
      </c>
      <c r="J169" s="141">
        <v>3.5565000000000002</v>
      </c>
      <c r="K169" s="141">
        <v>3.5615000000000001</v>
      </c>
      <c r="L169" s="141">
        <v>-6.5362984499999999E-2</v>
      </c>
      <c r="M169" s="141">
        <v>1.03</v>
      </c>
      <c r="O169" s="125">
        <f ca="1">(IF(MONTH(B169)&gt;=4,IF(MONTH(B169)&lt;=10,Inputs!$H$2,Inputs!$H$3),Inputs!$H$3))</f>
        <v>6.5000000000000002E-2</v>
      </c>
      <c r="P169" s="155">
        <f ca="1">J169+(IF($L$2=TRUE,IF(MONTH(B169)&gt;=4,IF(MONTH(B169)&lt;=10,L169,M169),M169),0))+(IF('Pricing Inputs'!$AN$3=2,O169,0))</f>
        <v>4.5865</v>
      </c>
      <c r="Q169" s="155"/>
      <c r="R169" s="336">
        <f t="shared" ca="1" si="20"/>
        <v>41244</v>
      </c>
      <c r="S169" s="171">
        <f t="shared" si="21"/>
        <v>1.18</v>
      </c>
      <c r="T169" s="170">
        <f t="shared" si="24"/>
        <v>1.25</v>
      </c>
      <c r="U169" s="172">
        <f t="shared" si="22"/>
        <v>1.32</v>
      </c>
      <c r="BP169" s="131">
        <f t="shared" si="18"/>
        <v>168</v>
      </c>
      <c r="BQ169" s="185" t="s">
        <v>352</v>
      </c>
      <c r="BR169" s="130" t="s">
        <v>178</v>
      </c>
      <c r="BS169" s="129" t="s">
        <v>204</v>
      </c>
      <c r="BT169" s="135" t="s">
        <v>180</v>
      </c>
      <c r="BU169" s="135"/>
      <c r="BV169" s="129">
        <v>1</v>
      </c>
      <c r="BW169" s="130" t="s">
        <v>951</v>
      </c>
      <c r="BX169"/>
      <c r="BZ169" s="131">
        <f t="shared" si="25"/>
        <v>168</v>
      </c>
      <c r="CA169" s="4" t="s">
        <v>577</v>
      </c>
      <c r="CB169" s="130" t="s">
        <v>181</v>
      </c>
      <c r="CC169" s="129" t="s">
        <v>179</v>
      </c>
      <c r="CD169" s="135" t="s">
        <v>180</v>
      </c>
      <c r="CE169" s="135"/>
      <c r="CF169" s="129">
        <v>1</v>
      </c>
      <c r="CG169" s="130" t="s">
        <v>766</v>
      </c>
      <c r="CH169"/>
    </row>
    <row r="170" spans="1:86" ht="12.75">
      <c r="A170" s="153"/>
      <c r="B170" s="146">
        <f t="shared" ca="1" si="23"/>
        <v>41275</v>
      </c>
      <c r="C170" s="141">
        <v>7.4194824640971005E-2</v>
      </c>
      <c r="D170" s="141">
        <v>1.45</v>
      </c>
      <c r="E170" s="141">
        <v>1.45</v>
      </c>
      <c r="F170" s="141">
        <v>0.14650000000000002</v>
      </c>
      <c r="G170" s="141">
        <v>0.15</v>
      </c>
      <c r="H170" s="141">
        <v>0.1615</v>
      </c>
      <c r="I170" s="142">
        <v>3.64</v>
      </c>
      <c r="J170" s="141">
        <v>3.645</v>
      </c>
      <c r="K170" s="141">
        <v>3.65</v>
      </c>
      <c r="L170" s="141">
        <v>-6.4113796000000001E-2</v>
      </c>
      <c r="M170" s="141">
        <v>1.4950000000000001</v>
      </c>
      <c r="O170" s="125">
        <f ca="1">(IF(MONTH(B170)&gt;=4,IF(MONTH(B170)&lt;=10,Inputs!$H$2,Inputs!$H$3),Inputs!$H$3))</f>
        <v>6.5000000000000002E-2</v>
      </c>
      <c r="P170" s="155">
        <f ca="1">J170+(IF($L$2=TRUE,IF(MONTH(B170)&gt;=4,IF(MONTH(B170)&lt;=10,L170,M170),M170),0))+(IF('Pricing Inputs'!$AN$3=2,O170,0))</f>
        <v>5.1400000000000006</v>
      </c>
      <c r="Q170" s="155"/>
      <c r="R170" s="336">
        <f t="shared" ca="1" si="20"/>
        <v>41275</v>
      </c>
      <c r="S170" s="171">
        <f t="shared" si="21"/>
        <v>1.38</v>
      </c>
      <c r="T170" s="170">
        <f t="shared" si="24"/>
        <v>1.45</v>
      </c>
      <c r="U170" s="172">
        <f t="shared" si="22"/>
        <v>1.52</v>
      </c>
      <c r="BP170" s="131">
        <f t="shared" si="18"/>
        <v>169</v>
      </c>
      <c r="BQ170" s="185" t="s">
        <v>353</v>
      </c>
      <c r="BR170" s="130" t="s">
        <v>178</v>
      </c>
      <c r="BS170" s="129" t="s">
        <v>204</v>
      </c>
      <c r="BT170" s="135" t="s">
        <v>180</v>
      </c>
      <c r="BU170" s="135"/>
      <c r="BV170" s="129">
        <v>1</v>
      </c>
      <c r="BW170" s="130" t="s">
        <v>952</v>
      </c>
      <c r="BX170"/>
      <c r="BZ170" s="131">
        <f t="shared" si="25"/>
        <v>169</v>
      </c>
      <c r="CA170" s="4" t="s">
        <v>578</v>
      </c>
      <c r="CB170" s="130" t="s">
        <v>181</v>
      </c>
      <c r="CC170" s="129" t="s">
        <v>179</v>
      </c>
      <c r="CD170" s="135" t="s">
        <v>180</v>
      </c>
      <c r="CE170" s="135"/>
      <c r="CF170" s="129">
        <v>1</v>
      </c>
      <c r="CG170" s="130" t="s">
        <v>767</v>
      </c>
      <c r="CH170"/>
    </row>
    <row r="171" spans="1:86" ht="12.75">
      <c r="A171" s="153"/>
      <c r="B171" s="146">
        <f t="shared" ca="1" si="23"/>
        <v>41306</v>
      </c>
      <c r="C171" s="141">
        <v>7.4194529923090002E-2</v>
      </c>
      <c r="D171" s="141">
        <v>1.45</v>
      </c>
      <c r="E171" s="141">
        <v>1.45</v>
      </c>
      <c r="F171" s="141">
        <v>0.14650000000000002</v>
      </c>
      <c r="G171" s="141">
        <v>0.15</v>
      </c>
      <c r="H171" s="141">
        <v>0.1615</v>
      </c>
      <c r="I171" s="142">
        <v>3.5220000000000002</v>
      </c>
      <c r="J171" s="141">
        <v>3.5270000000000001</v>
      </c>
      <c r="K171" s="141">
        <v>3.532</v>
      </c>
      <c r="L171" s="141">
        <v>-5.7864355750000006E-2</v>
      </c>
      <c r="M171" s="141">
        <v>1.395</v>
      </c>
      <c r="O171" s="125">
        <f ca="1">(IF(MONTH(B171)&gt;=4,IF(MONTH(B171)&lt;=10,Inputs!$H$2,Inputs!$H$3),Inputs!$H$3))</f>
        <v>6.5000000000000002E-2</v>
      </c>
      <c r="P171" s="155">
        <f ca="1">J171+(IF($L$2=TRUE,IF(MONTH(B171)&gt;=4,IF(MONTH(B171)&lt;=10,L171,M171),M171),0))+(IF('Pricing Inputs'!$AN$3=2,O171,0))</f>
        <v>4.9220000000000006</v>
      </c>
      <c r="Q171" s="155"/>
      <c r="R171" s="336">
        <f t="shared" ca="1" si="20"/>
        <v>41306</v>
      </c>
      <c r="S171" s="171">
        <f t="shared" si="21"/>
        <v>1.38</v>
      </c>
      <c r="T171" s="170">
        <f t="shared" si="24"/>
        <v>1.45</v>
      </c>
      <c r="U171" s="172">
        <f t="shared" si="22"/>
        <v>1.52</v>
      </c>
      <c r="BP171" s="131">
        <f t="shared" si="18"/>
        <v>170</v>
      </c>
      <c r="BQ171" s="185" t="s">
        <v>354</v>
      </c>
      <c r="BR171" s="130" t="s">
        <v>178</v>
      </c>
      <c r="BS171" s="129" t="s">
        <v>204</v>
      </c>
      <c r="BT171" s="135" t="s">
        <v>180</v>
      </c>
      <c r="BU171" s="135"/>
      <c r="BV171" s="129">
        <v>1</v>
      </c>
      <c r="BW171" s="130" t="s">
        <v>953</v>
      </c>
      <c r="BX171"/>
      <c r="BZ171" s="131">
        <f t="shared" si="25"/>
        <v>170</v>
      </c>
      <c r="CA171" s="4" t="s">
        <v>579</v>
      </c>
      <c r="CB171" s="130" t="s">
        <v>181</v>
      </c>
      <c r="CC171" s="129" t="s">
        <v>179</v>
      </c>
      <c r="CD171" s="135" t="s">
        <v>180</v>
      </c>
      <c r="CE171" s="135"/>
      <c r="CF171" s="129">
        <v>1</v>
      </c>
      <c r="CG171" s="130" t="s">
        <v>768</v>
      </c>
      <c r="CH171"/>
    </row>
    <row r="172" spans="1:86" ht="12.75">
      <c r="A172" s="153"/>
      <c r="B172" s="146">
        <f t="shared" ca="1" si="23"/>
        <v>41334</v>
      </c>
      <c r="C172" s="141">
        <v>7.4194263726294007E-2</v>
      </c>
      <c r="D172" s="141">
        <v>1</v>
      </c>
      <c r="E172" s="141">
        <v>1</v>
      </c>
      <c r="F172" s="141">
        <v>0.14650000000000002</v>
      </c>
      <c r="G172" s="141">
        <v>0.15</v>
      </c>
      <c r="H172" s="141">
        <v>0.1615</v>
      </c>
      <c r="I172" s="142">
        <v>3.4020000000000001</v>
      </c>
      <c r="J172" s="141">
        <v>3.407</v>
      </c>
      <c r="K172" s="141">
        <v>3.4120000000000004</v>
      </c>
      <c r="L172" s="141">
        <v>-5.5364355750000004E-2</v>
      </c>
      <c r="M172" s="141">
        <v>0.86499999999999999</v>
      </c>
      <c r="O172" s="125">
        <f ca="1">(IF(MONTH(B172)&gt;=4,IF(MONTH(B172)&lt;=10,Inputs!$H$2,Inputs!$H$3),Inputs!$H$3))</f>
        <v>6.5000000000000002E-2</v>
      </c>
      <c r="P172" s="155">
        <f ca="1">J172+(IF($L$2=TRUE,IF(MONTH(B172)&gt;=4,IF(MONTH(B172)&lt;=10,L172,M172),M172),0))+(IF('Pricing Inputs'!$AN$3=2,O172,0))</f>
        <v>4.2720000000000002</v>
      </c>
      <c r="Q172" s="155"/>
      <c r="R172" s="336">
        <f t="shared" ca="1" si="20"/>
        <v>41334</v>
      </c>
      <c r="S172" s="171">
        <f t="shared" si="21"/>
        <v>0.92999999999999994</v>
      </c>
      <c r="T172" s="170">
        <f t="shared" si="24"/>
        <v>1</v>
      </c>
      <c r="U172" s="172">
        <f t="shared" si="22"/>
        <v>1.07</v>
      </c>
      <c r="BP172" s="131">
        <f t="shared" si="18"/>
        <v>171</v>
      </c>
      <c r="BQ172" s="185" t="s">
        <v>355</v>
      </c>
      <c r="BR172" s="130" t="s">
        <v>178</v>
      </c>
      <c r="BS172" s="129" t="s">
        <v>204</v>
      </c>
      <c r="BT172" s="135" t="s">
        <v>180</v>
      </c>
      <c r="BU172" s="135"/>
      <c r="BV172" s="129">
        <v>1</v>
      </c>
      <c r="BW172" s="130" t="s">
        <v>954</v>
      </c>
      <c r="BX172"/>
      <c r="BZ172" s="131">
        <f t="shared" si="25"/>
        <v>171</v>
      </c>
      <c r="CA172" s="4" t="s">
        <v>580</v>
      </c>
      <c r="CB172" s="130" t="s">
        <v>181</v>
      </c>
      <c r="CC172" s="129" t="s">
        <v>179</v>
      </c>
      <c r="CD172" s="135" t="s">
        <v>180</v>
      </c>
      <c r="CE172" s="135"/>
      <c r="CF172" s="129">
        <v>1</v>
      </c>
      <c r="CG172" s="130" t="s">
        <v>769</v>
      </c>
      <c r="CH172"/>
    </row>
    <row r="173" spans="1:86" ht="12.75">
      <c r="A173" s="153"/>
      <c r="B173" s="146">
        <f t="shared" ca="1" si="23"/>
        <v>41365</v>
      </c>
      <c r="C173" s="141">
        <v>7.4193969008413005E-2</v>
      </c>
      <c r="D173" s="141">
        <v>0.45</v>
      </c>
      <c r="E173" s="141">
        <v>0.45</v>
      </c>
      <c r="F173" s="141">
        <v>0.14650000000000002</v>
      </c>
      <c r="G173" s="141">
        <v>0.15</v>
      </c>
      <c r="H173" s="141">
        <v>0.1615</v>
      </c>
      <c r="I173" s="142">
        <v>3.3525</v>
      </c>
      <c r="J173" s="141">
        <v>3.3574999999999999</v>
      </c>
      <c r="K173" s="141">
        <v>3.3624999999999998</v>
      </c>
      <c r="L173" s="141">
        <v>-4.2255840250000003E-2</v>
      </c>
      <c r="M173" s="141">
        <v>0.37</v>
      </c>
      <c r="O173" s="125">
        <f ca="1">(IF(MONTH(B173)&gt;=4,IF(MONTH(B173)&lt;=10,Inputs!$H$2,Inputs!$H$3),Inputs!$H$3))</f>
        <v>6.5000000000000002E-2</v>
      </c>
      <c r="P173" s="155">
        <f ca="1">J173+(IF($L$2=TRUE,IF(MONTH(B173)&gt;=4,IF(MONTH(B173)&lt;=10,L173,M173),M173),0))+(IF('Pricing Inputs'!$AN$3=2,O173,0))</f>
        <v>3.3152441597499998</v>
      </c>
      <c r="Q173" s="155"/>
      <c r="R173" s="336">
        <f t="shared" ca="1" si="20"/>
        <v>41365</v>
      </c>
      <c r="S173" s="171">
        <f t="shared" si="21"/>
        <v>0.38</v>
      </c>
      <c r="T173" s="170">
        <f t="shared" si="24"/>
        <v>0.45</v>
      </c>
      <c r="U173" s="172">
        <f t="shared" si="22"/>
        <v>0.52</v>
      </c>
      <c r="BP173" s="131">
        <f t="shared" si="18"/>
        <v>172</v>
      </c>
      <c r="BQ173" s="185" t="s">
        <v>356</v>
      </c>
      <c r="BR173" s="130" t="s">
        <v>178</v>
      </c>
      <c r="BS173" s="129" t="s">
        <v>204</v>
      </c>
      <c r="BT173" s="135" t="s">
        <v>180</v>
      </c>
      <c r="BU173" s="135"/>
      <c r="BV173" s="129">
        <v>1</v>
      </c>
      <c r="BW173" s="130" t="s">
        <v>955</v>
      </c>
      <c r="BX173"/>
      <c r="BZ173" s="131">
        <f t="shared" si="25"/>
        <v>172</v>
      </c>
      <c r="CA173" s="4" t="s">
        <v>581</v>
      </c>
      <c r="CB173" s="130" t="s">
        <v>181</v>
      </c>
      <c r="CC173" s="129" t="s">
        <v>179</v>
      </c>
      <c r="CD173" s="135" t="s">
        <v>180</v>
      </c>
      <c r="CE173" s="135"/>
      <c r="CF173" s="129">
        <v>1</v>
      </c>
      <c r="CG173" s="130" t="s">
        <v>770</v>
      </c>
      <c r="CH173"/>
    </row>
    <row r="174" spans="1:86" ht="12.75">
      <c r="A174" s="153"/>
      <c r="B174" s="146">
        <f t="shared" ca="1" si="23"/>
        <v>41395</v>
      </c>
      <c r="C174" s="141">
        <v>7.4193683797560001E-2</v>
      </c>
      <c r="D174" s="141">
        <v>0.5</v>
      </c>
      <c r="E174" s="141">
        <v>0.5</v>
      </c>
      <c r="F174" s="141">
        <v>0.14650000000000002</v>
      </c>
      <c r="G174" s="141">
        <v>0.15</v>
      </c>
      <c r="H174" s="141">
        <v>0.1615</v>
      </c>
      <c r="I174" s="142">
        <v>3.3265000000000002</v>
      </c>
      <c r="J174" s="141">
        <v>3.3315000000000001</v>
      </c>
      <c r="K174" s="141">
        <v>3.3365</v>
      </c>
      <c r="L174" s="141">
        <v>-4.2257968999999999E-2</v>
      </c>
      <c r="M174" s="141">
        <v>0.2525</v>
      </c>
      <c r="O174" s="125">
        <f ca="1">(IF(MONTH(B174)&gt;=4,IF(MONTH(B174)&lt;=10,Inputs!$H$2,Inputs!$H$3),Inputs!$H$3))</f>
        <v>6.5000000000000002E-2</v>
      </c>
      <c r="P174" s="155">
        <f ca="1">J174+(IF($L$2=TRUE,IF(MONTH(B174)&gt;=4,IF(MONTH(B174)&lt;=10,L174,M174),M174),0))+(IF('Pricing Inputs'!$AN$3=2,O174,0))</f>
        <v>3.2892420310000001</v>
      </c>
      <c r="Q174" s="155"/>
      <c r="R174" s="336">
        <f t="shared" ca="1" si="20"/>
        <v>41395</v>
      </c>
      <c r="S174" s="171">
        <f t="shared" si="21"/>
        <v>0.43</v>
      </c>
      <c r="T174" s="170">
        <f t="shared" si="24"/>
        <v>0.5</v>
      </c>
      <c r="U174" s="172">
        <f t="shared" si="22"/>
        <v>0.57000000000000006</v>
      </c>
      <c r="BP174" s="131">
        <f t="shared" si="18"/>
        <v>173</v>
      </c>
      <c r="BQ174" s="185" t="s">
        <v>357</v>
      </c>
      <c r="BR174" s="130" t="s">
        <v>178</v>
      </c>
      <c r="BS174" s="129" t="s">
        <v>204</v>
      </c>
      <c r="BT174" s="135" t="s">
        <v>180</v>
      </c>
      <c r="BU174" s="135"/>
      <c r="BV174" s="129">
        <v>1</v>
      </c>
      <c r="BW174" s="130" t="s">
        <v>956</v>
      </c>
      <c r="BX174"/>
      <c r="BZ174" s="131">
        <f t="shared" si="25"/>
        <v>173</v>
      </c>
      <c r="CA174" s="4" t="s">
        <v>582</v>
      </c>
      <c r="CB174" s="130" t="s">
        <v>181</v>
      </c>
      <c r="CC174" s="129" t="s">
        <v>179</v>
      </c>
      <c r="CD174" s="135" t="s">
        <v>180</v>
      </c>
      <c r="CE174" s="135"/>
      <c r="CF174" s="129">
        <v>1</v>
      </c>
      <c r="CG174" s="130" t="s">
        <v>771</v>
      </c>
      <c r="CH174"/>
    </row>
    <row r="175" spans="1:86" ht="12.75">
      <c r="A175" s="153"/>
      <c r="B175" s="146">
        <f t="shared" ca="1" si="23"/>
        <v>41426</v>
      </c>
      <c r="C175" s="141">
        <v>7.4193389079678998E-2</v>
      </c>
      <c r="D175" s="141">
        <v>0.5</v>
      </c>
      <c r="E175" s="141">
        <v>0.5</v>
      </c>
      <c r="F175" s="141">
        <v>0.14650000000000002</v>
      </c>
      <c r="G175" s="141">
        <v>0.15</v>
      </c>
      <c r="H175" s="141">
        <v>0.1615</v>
      </c>
      <c r="I175" s="142">
        <v>3.3325</v>
      </c>
      <c r="J175" s="141">
        <v>3.3374999999999999</v>
      </c>
      <c r="K175" s="141">
        <v>3.3424999999999998</v>
      </c>
      <c r="L175" s="141">
        <v>-4.2257968999999999E-2</v>
      </c>
      <c r="M175" s="141">
        <v>0.2525</v>
      </c>
      <c r="O175" s="125">
        <f ca="1">(IF(MONTH(B175)&gt;=4,IF(MONTH(B175)&lt;=10,Inputs!$H$2,Inputs!$H$3),Inputs!$H$3))</f>
        <v>6.5000000000000002E-2</v>
      </c>
      <c r="P175" s="155">
        <f ca="1">J175+(IF($L$2=TRUE,IF(MONTH(B175)&gt;=4,IF(MONTH(B175)&lt;=10,L175,M175),M175),0))+(IF('Pricing Inputs'!$AN$3=2,O175,0))</f>
        <v>3.2952420309999999</v>
      </c>
      <c r="Q175" s="155"/>
      <c r="R175" s="336">
        <f t="shared" ca="1" si="20"/>
        <v>41426</v>
      </c>
      <c r="S175" s="171">
        <f t="shared" si="21"/>
        <v>0.43</v>
      </c>
      <c r="T175" s="170">
        <f t="shared" si="24"/>
        <v>0.5</v>
      </c>
      <c r="U175" s="172">
        <f t="shared" si="22"/>
        <v>0.57000000000000006</v>
      </c>
      <c r="BP175" s="131">
        <f t="shared" si="18"/>
        <v>174</v>
      </c>
      <c r="BQ175" s="185" t="s">
        <v>358</v>
      </c>
      <c r="BR175" s="130" t="s">
        <v>178</v>
      </c>
      <c r="BS175" s="129" t="s">
        <v>204</v>
      </c>
      <c r="BT175" s="135" t="s">
        <v>180</v>
      </c>
      <c r="BU175" s="135"/>
      <c r="BV175" s="129">
        <v>1</v>
      </c>
      <c r="BW175" s="130" t="s">
        <v>957</v>
      </c>
      <c r="BX175"/>
      <c r="BZ175" s="131">
        <f t="shared" si="25"/>
        <v>174</v>
      </c>
      <c r="CA175" s="4" t="s">
        <v>583</v>
      </c>
      <c r="CB175" s="130" t="s">
        <v>181</v>
      </c>
      <c r="CC175" s="129" t="s">
        <v>179</v>
      </c>
      <c r="CD175" s="135" t="s">
        <v>180</v>
      </c>
      <c r="CE175" s="135"/>
      <c r="CF175" s="129">
        <v>1</v>
      </c>
      <c r="CG175" s="130" t="s">
        <v>772</v>
      </c>
      <c r="CH175"/>
    </row>
    <row r="176" spans="1:86" ht="12.75">
      <c r="A176" s="153"/>
      <c r="B176" s="146">
        <f t="shared" ca="1" si="23"/>
        <v>41456</v>
      </c>
      <c r="C176" s="141">
        <v>7.4193103868826007E-2</v>
      </c>
      <c r="D176" s="141">
        <v>0.5</v>
      </c>
      <c r="E176" s="141">
        <v>0.5</v>
      </c>
      <c r="F176" s="141">
        <v>0.14650000000000002</v>
      </c>
      <c r="G176" s="141">
        <v>0.15</v>
      </c>
      <c r="H176" s="141">
        <v>0.1615</v>
      </c>
      <c r="I176" s="142">
        <v>3.3424999999999998</v>
      </c>
      <c r="J176" s="141">
        <v>3.3475000000000001</v>
      </c>
      <c r="K176" s="141">
        <v>3.3525</v>
      </c>
      <c r="L176" s="141">
        <v>-4.2257968999999999E-2</v>
      </c>
      <c r="M176" s="141">
        <v>0.25750000000000001</v>
      </c>
      <c r="O176" s="125">
        <f ca="1">(IF(MONTH(B176)&gt;=4,IF(MONTH(B176)&lt;=10,Inputs!$H$2,Inputs!$H$3),Inputs!$H$3))</f>
        <v>6.5000000000000002E-2</v>
      </c>
      <c r="P176" s="155">
        <f ca="1">J176+(IF($L$2=TRUE,IF(MONTH(B176)&gt;=4,IF(MONTH(B176)&lt;=10,L176,M176),M176),0))+(IF('Pricing Inputs'!$AN$3=2,O176,0))</f>
        <v>3.3052420310000001</v>
      </c>
      <c r="Q176" s="155"/>
      <c r="R176" s="336">
        <f t="shared" ca="1" si="20"/>
        <v>41456</v>
      </c>
      <c r="S176" s="171">
        <f t="shared" si="21"/>
        <v>0.43</v>
      </c>
      <c r="T176" s="170">
        <f t="shared" si="24"/>
        <v>0.5</v>
      </c>
      <c r="U176" s="172">
        <f t="shared" si="22"/>
        <v>0.57000000000000006</v>
      </c>
      <c r="BP176" s="131">
        <f t="shared" si="18"/>
        <v>175</v>
      </c>
      <c r="BQ176" s="185" t="s">
        <v>359</v>
      </c>
      <c r="BR176" s="130" t="s">
        <v>178</v>
      </c>
      <c r="BS176" s="129" t="s">
        <v>204</v>
      </c>
      <c r="BT176" s="135" t="s">
        <v>180</v>
      </c>
      <c r="BU176" s="135"/>
      <c r="BV176" s="129">
        <v>1</v>
      </c>
      <c r="BW176" s="130" t="s">
        <v>958</v>
      </c>
      <c r="BX176"/>
      <c r="BZ176" s="131">
        <f t="shared" si="25"/>
        <v>175</v>
      </c>
      <c r="CA176" s="4" t="s">
        <v>584</v>
      </c>
      <c r="CB176" s="130" t="s">
        <v>181</v>
      </c>
      <c r="CC176" s="129" t="s">
        <v>179</v>
      </c>
      <c r="CD176" s="135" t="s">
        <v>180</v>
      </c>
      <c r="CE176" s="135"/>
      <c r="CF176" s="129">
        <v>1</v>
      </c>
      <c r="CG176" s="130" t="s">
        <v>773</v>
      </c>
      <c r="CH176"/>
    </row>
    <row r="177" spans="1:86" ht="12.75">
      <c r="A177" s="153"/>
      <c r="B177" s="146">
        <f t="shared" ca="1" si="23"/>
        <v>41487</v>
      </c>
      <c r="C177" s="141">
        <v>7.4192809150945005E-2</v>
      </c>
      <c r="D177" s="141">
        <v>0.6</v>
      </c>
      <c r="E177" s="141">
        <v>0.6</v>
      </c>
      <c r="F177" s="141">
        <v>0.14650000000000002</v>
      </c>
      <c r="G177" s="141">
        <v>0.15</v>
      </c>
      <c r="H177" s="141">
        <v>0.1615</v>
      </c>
      <c r="I177" s="142">
        <v>3.3495000000000004</v>
      </c>
      <c r="J177" s="141">
        <v>3.3545000000000003</v>
      </c>
      <c r="K177" s="141">
        <v>3.3595000000000002</v>
      </c>
      <c r="L177" s="141">
        <v>-4.2257968999999999E-2</v>
      </c>
      <c r="M177" s="141">
        <v>0.25750000000000001</v>
      </c>
      <c r="O177" s="125">
        <f ca="1">(IF(MONTH(B177)&gt;=4,IF(MONTH(B177)&lt;=10,Inputs!$H$2,Inputs!$H$3),Inputs!$H$3))</f>
        <v>6.5000000000000002E-2</v>
      </c>
      <c r="P177" s="155">
        <f ca="1">J177+(IF($L$2=TRUE,IF(MONTH(B177)&gt;=4,IF(MONTH(B177)&lt;=10,L177,M177),M177),0))+(IF('Pricing Inputs'!$AN$3=2,O177,0))</f>
        <v>3.3122420310000003</v>
      </c>
      <c r="Q177" s="155"/>
      <c r="R177" s="336">
        <f t="shared" ca="1" si="20"/>
        <v>41487</v>
      </c>
      <c r="S177" s="171">
        <f t="shared" si="21"/>
        <v>0.53</v>
      </c>
      <c r="T177" s="170">
        <f t="shared" si="24"/>
        <v>0.6</v>
      </c>
      <c r="U177" s="172">
        <f t="shared" si="22"/>
        <v>0.66999999999999993</v>
      </c>
      <c r="BP177" s="131">
        <f t="shared" si="18"/>
        <v>176</v>
      </c>
      <c r="BQ177" s="185" t="s">
        <v>360</v>
      </c>
      <c r="BR177" s="130" t="s">
        <v>178</v>
      </c>
      <c r="BS177" s="129" t="s">
        <v>204</v>
      </c>
      <c r="BT177" s="135" t="s">
        <v>180</v>
      </c>
      <c r="BU177" s="135"/>
      <c r="BV177" s="129">
        <v>1</v>
      </c>
      <c r="BW177" s="130" t="s">
        <v>959</v>
      </c>
      <c r="BX177"/>
      <c r="BZ177" s="131">
        <f t="shared" si="25"/>
        <v>176</v>
      </c>
      <c r="CA177" s="4" t="s">
        <v>585</v>
      </c>
      <c r="CB177" s="130" t="s">
        <v>181</v>
      </c>
      <c r="CC177" s="129" t="s">
        <v>179</v>
      </c>
      <c r="CD177" s="135" t="s">
        <v>180</v>
      </c>
      <c r="CE177" s="135"/>
      <c r="CF177" s="129">
        <v>1</v>
      </c>
      <c r="CG177" s="130" t="s">
        <v>774</v>
      </c>
      <c r="CH177"/>
    </row>
    <row r="178" spans="1:86" ht="12.75">
      <c r="A178" s="153"/>
      <c r="B178" s="146">
        <f t="shared" ca="1" si="23"/>
        <v>41518</v>
      </c>
      <c r="C178" s="141">
        <v>7.4192514433064002E-2</v>
      </c>
      <c r="D178" s="141">
        <v>0.6</v>
      </c>
      <c r="E178" s="141">
        <v>0.6</v>
      </c>
      <c r="F178" s="141">
        <v>0.14650000000000002</v>
      </c>
      <c r="G178" s="141">
        <v>0.15</v>
      </c>
      <c r="H178" s="141">
        <v>0.1615</v>
      </c>
      <c r="I178" s="142">
        <v>3.3565</v>
      </c>
      <c r="J178" s="141">
        <v>3.3615000000000004</v>
      </c>
      <c r="K178" s="141">
        <v>3.3665000000000003</v>
      </c>
      <c r="L178" s="141">
        <v>-4.2257968999999999E-2</v>
      </c>
      <c r="M178" s="141">
        <v>0.2525</v>
      </c>
      <c r="O178" s="125">
        <f ca="1">(IF(MONTH(B178)&gt;=4,IF(MONTH(B178)&lt;=10,Inputs!$H$2,Inputs!$H$3),Inputs!$H$3))</f>
        <v>6.5000000000000002E-2</v>
      </c>
      <c r="P178" s="155">
        <f ca="1">J178+(IF($L$2=TRUE,IF(MONTH(B178)&gt;=4,IF(MONTH(B178)&lt;=10,L178,M178),M178),0))+(IF('Pricing Inputs'!$AN$3=2,O178,0))</f>
        <v>3.3192420310000004</v>
      </c>
      <c r="Q178" s="155"/>
      <c r="R178" s="336">
        <f t="shared" ca="1" si="20"/>
        <v>41518</v>
      </c>
      <c r="S178" s="171">
        <f t="shared" si="21"/>
        <v>0.53</v>
      </c>
      <c r="T178" s="170">
        <f t="shared" si="24"/>
        <v>0.6</v>
      </c>
      <c r="U178" s="172">
        <f t="shared" si="22"/>
        <v>0.66999999999999993</v>
      </c>
      <c r="BP178" s="131">
        <f t="shared" si="18"/>
        <v>177</v>
      </c>
      <c r="BQ178" s="185" t="s">
        <v>361</v>
      </c>
      <c r="BR178" s="130" t="s">
        <v>178</v>
      </c>
      <c r="BS178" s="129" t="s">
        <v>204</v>
      </c>
      <c r="BT178" s="135" t="s">
        <v>180</v>
      </c>
      <c r="BU178" s="135"/>
      <c r="BV178" s="129">
        <v>1</v>
      </c>
      <c r="BW178" s="130" t="s">
        <v>960</v>
      </c>
      <c r="BX178"/>
      <c r="BZ178" s="131">
        <f t="shared" si="25"/>
        <v>177</v>
      </c>
      <c r="CA178" s="4" t="s">
        <v>586</v>
      </c>
      <c r="CB178" s="130" t="s">
        <v>181</v>
      </c>
      <c r="CC178" s="129" t="s">
        <v>179</v>
      </c>
      <c r="CD178" s="135" t="s">
        <v>180</v>
      </c>
      <c r="CE178" s="135"/>
      <c r="CF178" s="129">
        <v>1</v>
      </c>
      <c r="CG178" s="130" t="s">
        <v>775</v>
      </c>
      <c r="CH178"/>
    </row>
    <row r="179" spans="1:86" ht="12.75">
      <c r="A179" s="153"/>
      <c r="B179" s="146">
        <f t="shared" ca="1" si="23"/>
        <v>41548</v>
      </c>
      <c r="C179" s="141">
        <v>7.4192229222210998E-2</v>
      </c>
      <c r="D179" s="141">
        <v>0.65</v>
      </c>
      <c r="E179" s="141">
        <v>0.65</v>
      </c>
      <c r="F179" s="141">
        <v>0.14650000000000002</v>
      </c>
      <c r="G179" s="141">
        <v>0.15</v>
      </c>
      <c r="H179" s="141">
        <v>0.1615</v>
      </c>
      <c r="I179" s="142">
        <v>3.3824999999999998</v>
      </c>
      <c r="J179" s="141">
        <v>3.3875000000000002</v>
      </c>
      <c r="K179" s="141">
        <v>3.3925000000000001</v>
      </c>
      <c r="L179" s="141">
        <v>-4.2257968999999999E-2</v>
      </c>
      <c r="M179" s="141">
        <v>0.255</v>
      </c>
      <c r="O179" s="125">
        <f ca="1">(IF(MONTH(B179)&gt;=4,IF(MONTH(B179)&lt;=10,Inputs!$H$2,Inputs!$H$3),Inputs!$H$3))</f>
        <v>6.5000000000000002E-2</v>
      </c>
      <c r="P179" s="155">
        <f ca="1">J179+(IF($L$2=TRUE,IF(MONTH(B179)&gt;=4,IF(MONTH(B179)&lt;=10,L179,M179),M179),0))+(IF('Pricing Inputs'!$AN$3=2,O179,0))</f>
        <v>3.3452420310000002</v>
      </c>
      <c r="Q179" s="155"/>
      <c r="R179" s="336">
        <f t="shared" ca="1" si="20"/>
        <v>41548</v>
      </c>
      <c r="S179" s="171">
        <f t="shared" si="21"/>
        <v>0.58000000000000007</v>
      </c>
      <c r="T179" s="170">
        <f t="shared" si="24"/>
        <v>0.65</v>
      </c>
      <c r="U179" s="172">
        <f t="shared" si="22"/>
        <v>0.72</v>
      </c>
      <c r="BP179" s="131">
        <f t="shared" si="18"/>
        <v>178</v>
      </c>
      <c r="BQ179" s="185" t="s">
        <v>362</v>
      </c>
      <c r="BR179" s="130" t="s">
        <v>178</v>
      </c>
      <c r="BS179" s="129" t="s">
        <v>204</v>
      </c>
      <c r="BT179" s="135" t="s">
        <v>180</v>
      </c>
      <c r="BU179" s="135"/>
      <c r="BV179" s="129">
        <v>1</v>
      </c>
      <c r="BW179" s="130" t="s">
        <v>961</v>
      </c>
      <c r="BX179"/>
      <c r="BZ179" s="131">
        <f t="shared" si="25"/>
        <v>178</v>
      </c>
      <c r="CA179" s="4" t="s">
        <v>587</v>
      </c>
      <c r="CB179" s="130" t="s">
        <v>181</v>
      </c>
      <c r="CC179" s="129" t="s">
        <v>179</v>
      </c>
      <c r="CD179" s="135" t="s">
        <v>180</v>
      </c>
      <c r="CE179" s="135"/>
      <c r="CF179" s="129">
        <v>1</v>
      </c>
      <c r="CG179" s="130" t="s">
        <v>776</v>
      </c>
      <c r="CH179"/>
    </row>
    <row r="180" spans="1:86" ht="12.75">
      <c r="A180" s="153"/>
      <c r="B180" s="146">
        <f t="shared" ca="1" si="23"/>
        <v>41579</v>
      </c>
      <c r="C180" s="141">
        <v>7.4191934504329995E-2</v>
      </c>
      <c r="D180" s="141">
        <v>0.95</v>
      </c>
      <c r="E180" s="141">
        <v>0.95</v>
      </c>
      <c r="F180" s="141">
        <v>0.14650000000000002</v>
      </c>
      <c r="G180" s="141">
        <v>0.15</v>
      </c>
      <c r="H180" s="141">
        <v>0.1615</v>
      </c>
      <c r="I180" s="142">
        <v>3.5175000000000001</v>
      </c>
      <c r="J180" s="141">
        <v>3.5225</v>
      </c>
      <c r="K180" s="141">
        <v>3.5274999999999999</v>
      </c>
      <c r="L180" s="141">
        <v>-5.8122178250000003E-2</v>
      </c>
      <c r="M180" s="141">
        <v>0.71499999999999997</v>
      </c>
      <c r="O180" s="125">
        <f ca="1">(IF(MONTH(B180)&gt;=4,IF(MONTH(B180)&lt;=10,Inputs!$H$2,Inputs!$H$3),Inputs!$H$3))</f>
        <v>6.5000000000000002E-2</v>
      </c>
      <c r="P180" s="155">
        <f ca="1">J180+(IF($L$2=TRUE,IF(MONTH(B180)&gt;=4,IF(MONTH(B180)&lt;=10,L180,M180),M180),0))+(IF('Pricing Inputs'!$AN$3=2,O180,0))</f>
        <v>4.2374999999999998</v>
      </c>
      <c r="Q180" s="155"/>
      <c r="R180" s="336">
        <f t="shared" ca="1" si="20"/>
        <v>41579</v>
      </c>
      <c r="S180" s="171">
        <f t="shared" si="21"/>
        <v>0.87999999999999989</v>
      </c>
      <c r="T180" s="170">
        <f t="shared" si="24"/>
        <v>0.95</v>
      </c>
      <c r="U180" s="172">
        <f t="shared" si="22"/>
        <v>1.02</v>
      </c>
      <c r="BP180" s="131">
        <f t="shared" si="18"/>
        <v>179</v>
      </c>
      <c r="BQ180" s="185" t="s">
        <v>363</v>
      </c>
      <c r="BR180" s="130" t="s">
        <v>178</v>
      </c>
      <c r="BS180" s="129" t="s">
        <v>204</v>
      </c>
      <c r="BT180" s="135" t="s">
        <v>180</v>
      </c>
      <c r="BU180" s="135"/>
      <c r="BV180" s="129">
        <v>1</v>
      </c>
      <c r="BW180" s="130" t="s">
        <v>962</v>
      </c>
      <c r="BX180"/>
      <c r="BZ180" s="131">
        <f t="shared" si="25"/>
        <v>179</v>
      </c>
      <c r="CA180" s="4" t="s">
        <v>588</v>
      </c>
      <c r="CB180" s="130" t="s">
        <v>181</v>
      </c>
      <c r="CC180" s="129" t="s">
        <v>179</v>
      </c>
      <c r="CD180" s="135" t="s">
        <v>180</v>
      </c>
      <c r="CE180" s="135"/>
      <c r="CF180" s="129">
        <v>1</v>
      </c>
      <c r="CG180" s="130" t="s">
        <v>777</v>
      </c>
      <c r="CH180"/>
    </row>
    <row r="181" spans="1:86" ht="12.75">
      <c r="A181" s="153"/>
      <c r="B181" s="146">
        <f t="shared" ca="1" si="23"/>
        <v>41609</v>
      </c>
      <c r="C181" s="141">
        <v>7.4191649293478004E-2</v>
      </c>
      <c r="D181" s="141">
        <v>1.25</v>
      </c>
      <c r="E181" s="141">
        <v>1.25</v>
      </c>
      <c r="F181" s="141">
        <v>0.14650000000000002</v>
      </c>
      <c r="G181" s="141">
        <v>0.15</v>
      </c>
      <c r="H181" s="141">
        <v>0.1615</v>
      </c>
      <c r="I181" s="142">
        <v>3.6415000000000002</v>
      </c>
      <c r="J181" s="141">
        <v>3.6465000000000001</v>
      </c>
      <c r="K181" s="141">
        <v>3.6515</v>
      </c>
      <c r="L181" s="141">
        <v>-6.1862984500000003E-2</v>
      </c>
      <c r="M181" s="141">
        <v>1.03</v>
      </c>
      <c r="O181" s="125">
        <f ca="1">(IF(MONTH(B181)&gt;=4,IF(MONTH(B181)&lt;=10,Inputs!$H$2,Inputs!$H$3),Inputs!$H$3))</f>
        <v>6.5000000000000002E-2</v>
      </c>
      <c r="P181" s="155">
        <f ca="1">J181+(IF($L$2=TRUE,IF(MONTH(B181)&gt;=4,IF(MONTH(B181)&lt;=10,L181,M181),M181),0))+(IF('Pricing Inputs'!$AN$3=2,O181,0))</f>
        <v>4.6764999999999999</v>
      </c>
      <c r="Q181" s="155"/>
      <c r="R181" s="336">
        <f t="shared" ca="1" si="20"/>
        <v>41609</v>
      </c>
      <c r="S181" s="171">
        <f t="shared" si="21"/>
        <v>1.18</v>
      </c>
      <c r="T181" s="170">
        <f t="shared" si="24"/>
        <v>1.25</v>
      </c>
      <c r="U181" s="172">
        <f t="shared" si="22"/>
        <v>1.32</v>
      </c>
      <c r="BP181" s="131">
        <f t="shared" si="18"/>
        <v>180</v>
      </c>
      <c r="BQ181" s="185" t="s">
        <v>364</v>
      </c>
      <c r="BR181" s="130" t="s">
        <v>178</v>
      </c>
      <c r="BS181" s="129" t="s">
        <v>204</v>
      </c>
      <c r="BT181" s="135" t="s">
        <v>180</v>
      </c>
      <c r="BU181" s="135"/>
      <c r="BV181" s="129">
        <v>1</v>
      </c>
      <c r="BW181" s="130" t="s">
        <v>963</v>
      </c>
      <c r="BX181"/>
      <c r="BZ181" s="131">
        <f t="shared" si="25"/>
        <v>180</v>
      </c>
      <c r="CA181" s="4" t="s">
        <v>589</v>
      </c>
      <c r="CB181" s="130" t="s">
        <v>181</v>
      </c>
      <c r="CC181" s="129" t="s">
        <v>179</v>
      </c>
      <c r="CD181" s="135" t="s">
        <v>180</v>
      </c>
      <c r="CE181" s="135"/>
      <c r="CF181" s="129">
        <v>1</v>
      </c>
      <c r="CG181" s="130" t="s">
        <v>778</v>
      </c>
      <c r="CH181"/>
    </row>
    <row r="182" spans="1:86" ht="12.75">
      <c r="A182" s="153"/>
      <c r="B182" s="146">
        <f t="shared" ca="1" si="23"/>
        <v>41640</v>
      </c>
      <c r="C182" s="141">
        <v>7.4191354575597002E-2</v>
      </c>
      <c r="D182" s="141">
        <v>1.45</v>
      </c>
      <c r="E182" s="141">
        <v>1.45</v>
      </c>
      <c r="F182" s="141">
        <v>0.14550000000000002</v>
      </c>
      <c r="G182" s="141">
        <v>0.15</v>
      </c>
      <c r="H182" s="141">
        <v>0.1605</v>
      </c>
      <c r="I182" s="142">
        <v>3.7349999999999999</v>
      </c>
      <c r="J182" s="141">
        <v>3.74</v>
      </c>
      <c r="K182" s="141">
        <v>3.7450000000000001</v>
      </c>
      <c r="L182" s="141">
        <v>-6.0613796000000005E-2</v>
      </c>
      <c r="M182" s="141">
        <v>1.4950000000000001</v>
      </c>
      <c r="O182" s="125">
        <f ca="1">(IF(MONTH(B182)&gt;=4,IF(MONTH(B182)&lt;=10,Inputs!$H$2,Inputs!$H$3),Inputs!$H$3))</f>
        <v>6.5000000000000002E-2</v>
      </c>
      <c r="P182" s="155">
        <f ca="1">J182+(IF($L$2=TRUE,IF(MONTH(B182)&gt;=4,IF(MONTH(B182)&lt;=10,L182,M182),M182),0))+(IF('Pricing Inputs'!$AN$3=2,O182,0))</f>
        <v>5.2350000000000003</v>
      </c>
      <c r="Q182" s="155"/>
      <c r="R182" s="336">
        <f t="shared" ca="1" si="20"/>
        <v>41640</v>
      </c>
      <c r="S182" s="171">
        <f t="shared" si="21"/>
        <v>1.38</v>
      </c>
      <c r="T182" s="170">
        <f t="shared" si="24"/>
        <v>1.45</v>
      </c>
      <c r="U182" s="172">
        <f t="shared" si="22"/>
        <v>1.52</v>
      </c>
      <c r="BP182" s="131">
        <f t="shared" si="18"/>
        <v>181</v>
      </c>
      <c r="BQ182" s="185" t="s">
        <v>365</v>
      </c>
      <c r="BR182" s="130" t="s">
        <v>178</v>
      </c>
      <c r="BS182" s="129" t="s">
        <v>204</v>
      </c>
      <c r="BT182" s="135" t="s">
        <v>180</v>
      </c>
      <c r="BU182" s="135"/>
      <c r="BV182" s="129">
        <v>1</v>
      </c>
      <c r="BW182" s="130" t="s">
        <v>964</v>
      </c>
      <c r="BX182"/>
      <c r="BZ182" s="131">
        <f t="shared" si="25"/>
        <v>181</v>
      </c>
      <c r="CA182" s="4" t="s">
        <v>591</v>
      </c>
      <c r="CB182" s="130" t="s">
        <v>181</v>
      </c>
      <c r="CC182" s="129" t="s">
        <v>179</v>
      </c>
      <c r="CD182" s="135" t="s">
        <v>180</v>
      </c>
      <c r="CE182" s="135"/>
      <c r="CF182" s="129">
        <v>1</v>
      </c>
      <c r="CG182" s="130" t="s">
        <v>779</v>
      </c>
      <c r="CH182"/>
    </row>
    <row r="183" spans="1:86" ht="12.75">
      <c r="A183" s="153"/>
      <c r="B183" s="146">
        <f t="shared" ca="1" si="23"/>
        <v>41671</v>
      </c>
      <c r="C183" s="141">
        <v>7.4191059857715E-2</v>
      </c>
      <c r="D183" s="141">
        <v>1.45</v>
      </c>
      <c r="E183" s="141">
        <v>1.45</v>
      </c>
      <c r="F183" s="141">
        <v>0.14550000000000002</v>
      </c>
      <c r="G183" s="141">
        <v>0.15</v>
      </c>
      <c r="H183" s="141">
        <v>0.1605</v>
      </c>
      <c r="I183" s="142">
        <v>3.617</v>
      </c>
      <c r="J183" s="141">
        <v>3.6220000000000003</v>
      </c>
      <c r="K183" s="141">
        <v>3.6270000000000002</v>
      </c>
      <c r="L183" s="141">
        <v>-5.4364355750000003E-2</v>
      </c>
      <c r="M183" s="141">
        <v>1.395</v>
      </c>
      <c r="O183" s="125">
        <f ca="1">(IF(MONTH(B183)&gt;=4,IF(MONTH(B183)&lt;=10,Inputs!$H$2,Inputs!$H$3),Inputs!$H$3))</f>
        <v>6.5000000000000002E-2</v>
      </c>
      <c r="P183" s="155">
        <f ca="1">J183+(IF($L$2=TRUE,IF(MONTH(B183)&gt;=4,IF(MONTH(B183)&lt;=10,L183,M183),M183),0))+(IF('Pricing Inputs'!$AN$3=2,O183,0))</f>
        <v>5.0170000000000003</v>
      </c>
      <c r="Q183" s="155"/>
      <c r="R183" s="336">
        <f t="shared" ca="1" si="20"/>
        <v>41671</v>
      </c>
      <c r="S183" s="171">
        <f t="shared" si="21"/>
        <v>1.38</v>
      </c>
      <c r="T183" s="170">
        <f t="shared" si="24"/>
        <v>1.45</v>
      </c>
      <c r="U183" s="172">
        <f t="shared" si="22"/>
        <v>1.52</v>
      </c>
      <c r="BP183" s="131">
        <f t="shared" si="18"/>
        <v>182</v>
      </c>
      <c r="BQ183" s="185" t="s">
        <v>366</v>
      </c>
      <c r="BR183" s="130" t="s">
        <v>178</v>
      </c>
      <c r="BS183" s="129" t="s">
        <v>204</v>
      </c>
      <c r="BT183" s="135" t="s">
        <v>180</v>
      </c>
      <c r="BU183" s="135"/>
      <c r="BV183" s="129">
        <v>1</v>
      </c>
      <c r="BW183" s="130" t="s">
        <v>965</v>
      </c>
      <c r="BX183"/>
      <c r="BZ183" s="131">
        <f t="shared" si="25"/>
        <v>182</v>
      </c>
      <c r="CA183" s="4" t="s">
        <v>592</v>
      </c>
      <c r="CB183" s="130" t="s">
        <v>181</v>
      </c>
      <c r="CC183" s="129" t="s">
        <v>179</v>
      </c>
      <c r="CD183" s="135" t="s">
        <v>180</v>
      </c>
      <c r="CE183" s="135"/>
      <c r="CF183" s="129">
        <v>1</v>
      </c>
      <c r="CG183" s="130" t="s">
        <v>780</v>
      </c>
      <c r="CH183"/>
    </row>
    <row r="184" spans="1:86" ht="12.75">
      <c r="A184" s="153"/>
      <c r="B184" s="146">
        <f t="shared" ca="1" si="23"/>
        <v>41699</v>
      </c>
      <c r="C184" s="141">
        <v>7.419079366091999E-2</v>
      </c>
      <c r="D184" s="141">
        <v>1</v>
      </c>
      <c r="E184" s="141">
        <v>1</v>
      </c>
      <c r="F184" s="141">
        <v>0.14550000000000002</v>
      </c>
      <c r="G184" s="141">
        <v>0.15</v>
      </c>
      <c r="H184" s="141">
        <v>0.1605</v>
      </c>
      <c r="I184" s="142">
        <v>3.4970000000000003</v>
      </c>
      <c r="J184" s="141">
        <v>3.5020000000000002</v>
      </c>
      <c r="K184" s="141">
        <v>3.5070000000000001</v>
      </c>
      <c r="L184" s="141">
        <v>-5.186435575E-2</v>
      </c>
      <c r="M184" s="141">
        <v>0.86499999999999999</v>
      </c>
      <c r="O184" s="125">
        <f ca="1">(IF(MONTH(B184)&gt;=4,IF(MONTH(B184)&lt;=10,Inputs!$H$2,Inputs!$H$3),Inputs!$H$3))</f>
        <v>6.5000000000000002E-2</v>
      </c>
      <c r="P184" s="155">
        <f ca="1">J184+(IF($L$2=TRUE,IF(MONTH(B184)&gt;=4,IF(MONTH(B184)&lt;=10,L184,M184),M184),0))+(IF('Pricing Inputs'!$AN$3=2,O184,0))</f>
        <v>4.367</v>
      </c>
      <c r="Q184" s="155"/>
      <c r="R184" s="336">
        <f t="shared" ca="1" si="20"/>
        <v>41699</v>
      </c>
      <c r="S184" s="171">
        <f t="shared" si="21"/>
        <v>0.92999999999999994</v>
      </c>
      <c r="T184" s="170">
        <f t="shared" si="24"/>
        <v>1</v>
      </c>
      <c r="U184" s="172">
        <f t="shared" si="22"/>
        <v>1.07</v>
      </c>
      <c r="BP184" s="131">
        <f t="shared" si="18"/>
        <v>183</v>
      </c>
      <c r="BQ184" s="185" t="s">
        <v>367</v>
      </c>
      <c r="BR184" s="130" t="s">
        <v>178</v>
      </c>
      <c r="BS184" s="129" t="s">
        <v>204</v>
      </c>
      <c r="BT184" s="135" t="s">
        <v>180</v>
      </c>
      <c r="BU184" s="135"/>
      <c r="BV184" s="129">
        <v>1</v>
      </c>
      <c r="BW184" s="130" t="s">
        <v>966</v>
      </c>
      <c r="BX184"/>
      <c r="BZ184" s="131">
        <f t="shared" si="25"/>
        <v>183</v>
      </c>
      <c r="CA184" s="4" t="s">
        <v>594</v>
      </c>
      <c r="CB184" s="130" t="s">
        <v>181</v>
      </c>
      <c r="CC184" s="129" t="s">
        <v>179</v>
      </c>
      <c r="CD184" s="135" t="s">
        <v>180</v>
      </c>
      <c r="CE184" s="135"/>
      <c r="CF184" s="129">
        <v>1</v>
      </c>
      <c r="CG184" s="130" t="s">
        <v>781</v>
      </c>
      <c r="CH184"/>
    </row>
    <row r="185" spans="1:86" ht="12.75">
      <c r="A185" s="153"/>
      <c r="B185" s="146">
        <f t="shared" ca="1" si="23"/>
        <v>41730</v>
      </c>
      <c r="C185" s="141">
        <v>7.4190498943039002E-2</v>
      </c>
      <c r="D185" s="141">
        <v>0.45</v>
      </c>
      <c r="E185" s="141">
        <v>0.45</v>
      </c>
      <c r="F185" s="141">
        <v>0.14550000000000002</v>
      </c>
      <c r="G185" s="141">
        <v>0.15</v>
      </c>
      <c r="H185" s="141">
        <v>0.1605</v>
      </c>
      <c r="I185" s="142">
        <v>3.4474999999999998</v>
      </c>
      <c r="J185" s="141">
        <v>3.4525000000000001</v>
      </c>
      <c r="K185" s="141">
        <v>3.4575</v>
      </c>
      <c r="L185" s="141">
        <v>-3.875584025E-2</v>
      </c>
      <c r="M185" s="141">
        <v>0.37</v>
      </c>
      <c r="O185" s="125">
        <f ca="1">(IF(MONTH(B185)&gt;=4,IF(MONTH(B185)&lt;=10,Inputs!$H$2,Inputs!$H$3),Inputs!$H$3))</f>
        <v>6.5000000000000002E-2</v>
      </c>
      <c r="P185" s="155">
        <f ca="1">J185+(IF($L$2=TRUE,IF(MONTH(B185)&gt;=4,IF(MONTH(B185)&lt;=10,L185,M185),M185),0))+(IF('Pricing Inputs'!$AN$3=2,O185,0))</f>
        <v>3.4137441597500002</v>
      </c>
      <c r="Q185" s="155"/>
      <c r="R185" s="336">
        <f t="shared" ca="1" si="20"/>
        <v>41730</v>
      </c>
      <c r="S185" s="171">
        <f t="shared" si="21"/>
        <v>0.38</v>
      </c>
      <c r="T185" s="170">
        <f t="shared" si="24"/>
        <v>0.45</v>
      </c>
      <c r="U185" s="172">
        <f t="shared" si="22"/>
        <v>0.52</v>
      </c>
      <c r="BP185" s="131">
        <f t="shared" si="18"/>
        <v>184</v>
      </c>
      <c r="BQ185" s="185" t="s">
        <v>368</v>
      </c>
      <c r="BR185" s="130" t="s">
        <v>178</v>
      </c>
      <c r="BS185" s="129" t="s">
        <v>204</v>
      </c>
      <c r="BT185" s="135" t="s">
        <v>180</v>
      </c>
      <c r="BU185" s="135"/>
      <c r="BV185" s="129">
        <v>1</v>
      </c>
      <c r="BW185" s="130" t="s">
        <v>967</v>
      </c>
      <c r="BX185"/>
      <c r="BZ185" s="131">
        <f t="shared" si="25"/>
        <v>184</v>
      </c>
      <c r="CA185" s="4" t="s">
        <v>595</v>
      </c>
      <c r="CB185" s="130" t="s">
        <v>181</v>
      </c>
      <c r="CC185" s="129" t="s">
        <v>179</v>
      </c>
      <c r="CD185" s="135" t="s">
        <v>180</v>
      </c>
      <c r="CE185" s="135"/>
      <c r="CF185" s="129">
        <v>1</v>
      </c>
      <c r="CG185" s="130" t="s">
        <v>782</v>
      </c>
      <c r="CH185"/>
    </row>
    <row r="186" spans="1:86" ht="12.75">
      <c r="A186" s="153"/>
      <c r="B186" s="146">
        <f t="shared" ca="1" si="23"/>
        <v>41760</v>
      </c>
      <c r="C186" s="141">
        <v>7.4190213732185997E-2</v>
      </c>
      <c r="D186" s="141">
        <v>0.5</v>
      </c>
      <c r="E186" s="141">
        <v>0.5</v>
      </c>
      <c r="F186" s="141">
        <v>0.14550000000000002</v>
      </c>
      <c r="G186" s="141">
        <v>0.15</v>
      </c>
      <c r="H186" s="141">
        <v>0.1605</v>
      </c>
      <c r="I186" s="142">
        <v>3.4215</v>
      </c>
      <c r="J186" s="141">
        <v>3.4265000000000003</v>
      </c>
      <c r="K186" s="141">
        <v>3.4315000000000002</v>
      </c>
      <c r="L186" s="141">
        <v>-3.8757969000000003E-2</v>
      </c>
      <c r="M186" s="141">
        <v>0.2525</v>
      </c>
      <c r="O186" s="125">
        <f ca="1">(IF(MONTH(B186)&gt;=4,IF(MONTH(B186)&lt;=10,Inputs!$H$2,Inputs!$H$3),Inputs!$H$3))</f>
        <v>6.5000000000000002E-2</v>
      </c>
      <c r="P186" s="155">
        <f ca="1">J186+(IF($L$2=TRUE,IF(MONTH(B186)&gt;=4,IF(MONTH(B186)&lt;=10,L186,M186),M186),0))+(IF('Pricing Inputs'!$AN$3=2,O186,0))</f>
        <v>3.3877420310000002</v>
      </c>
      <c r="Q186" s="155"/>
      <c r="R186" s="336">
        <f t="shared" ca="1" si="20"/>
        <v>41760</v>
      </c>
      <c r="S186" s="171">
        <f t="shared" si="21"/>
        <v>0.43</v>
      </c>
      <c r="T186" s="170">
        <f t="shared" si="24"/>
        <v>0.5</v>
      </c>
      <c r="U186" s="172">
        <f t="shared" si="22"/>
        <v>0.57000000000000006</v>
      </c>
      <c r="BP186" s="131">
        <f t="shared" si="18"/>
        <v>185</v>
      </c>
      <c r="BQ186" s="185" t="s">
        <v>369</v>
      </c>
      <c r="BR186" s="130" t="s">
        <v>178</v>
      </c>
      <c r="BS186" s="129" t="s">
        <v>204</v>
      </c>
      <c r="BT186" s="135" t="s">
        <v>180</v>
      </c>
      <c r="BU186" s="135"/>
      <c r="BV186" s="129">
        <v>1</v>
      </c>
      <c r="BW186" s="130" t="s">
        <v>968</v>
      </c>
      <c r="BX186"/>
      <c r="BZ186" s="131">
        <f t="shared" si="25"/>
        <v>185</v>
      </c>
      <c r="CA186" s="4" t="s">
        <v>597</v>
      </c>
      <c r="CB186" s="130" t="s">
        <v>181</v>
      </c>
      <c r="CC186" s="129" t="s">
        <v>179</v>
      </c>
      <c r="CD186" s="135" t="s">
        <v>180</v>
      </c>
      <c r="CE186" s="135"/>
      <c r="CF186" s="129">
        <v>1</v>
      </c>
      <c r="CG186" s="130" t="s">
        <v>783</v>
      </c>
      <c r="CH186"/>
    </row>
    <row r="187" spans="1:86" ht="12.75">
      <c r="A187" s="153"/>
      <c r="B187" s="146">
        <f t="shared" ca="1" si="23"/>
        <v>41791</v>
      </c>
      <c r="C187" s="141">
        <v>7.4189919014306008E-2</v>
      </c>
      <c r="D187" s="141">
        <v>0.5</v>
      </c>
      <c r="E187" s="141">
        <v>0.5</v>
      </c>
      <c r="F187" s="141">
        <v>0.14550000000000002</v>
      </c>
      <c r="G187" s="141">
        <v>0.15</v>
      </c>
      <c r="H187" s="141">
        <v>0.1605</v>
      </c>
      <c r="I187" s="142">
        <v>3.4275000000000002</v>
      </c>
      <c r="J187" s="141">
        <v>3.4325000000000001</v>
      </c>
      <c r="K187" s="141">
        <v>3.4375</v>
      </c>
      <c r="L187" s="141">
        <v>-3.8757969000000003E-2</v>
      </c>
      <c r="M187" s="141">
        <v>0.2525</v>
      </c>
      <c r="O187" s="125">
        <f ca="1">(IF(MONTH(B187)&gt;=4,IF(MONTH(B187)&lt;=10,Inputs!$H$2,Inputs!$H$3),Inputs!$H$3))</f>
        <v>6.5000000000000002E-2</v>
      </c>
      <c r="P187" s="155">
        <f ca="1">J187+(IF($L$2=TRUE,IF(MONTH(B187)&gt;=4,IF(MONTH(B187)&lt;=10,L187,M187),M187),0))+(IF('Pricing Inputs'!$AN$3=2,O187,0))</f>
        <v>3.3937420309999999</v>
      </c>
      <c r="Q187" s="155"/>
      <c r="R187" s="336">
        <f t="shared" ca="1" si="20"/>
        <v>41791</v>
      </c>
      <c r="S187" s="171">
        <f t="shared" si="21"/>
        <v>0.43</v>
      </c>
      <c r="T187" s="170">
        <f t="shared" si="24"/>
        <v>0.5</v>
      </c>
      <c r="U187" s="172">
        <f t="shared" si="22"/>
        <v>0.57000000000000006</v>
      </c>
      <c r="BP187" s="131">
        <f t="shared" si="18"/>
        <v>186</v>
      </c>
      <c r="BQ187" s="185" t="s">
        <v>370</v>
      </c>
      <c r="BR187" s="130" t="s">
        <v>178</v>
      </c>
      <c r="BS187" s="129" t="s">
        <v>204</v>
      </c>
      <c r="BT187" s="135" t="s">
        <v>180</v>
      </c>
      <c r="BU187" s="135"/>
      <c r="BV187" s="129">
        <v>1</v>
      </c>
      <c r="BW187" s="130" t="s">
        <v>969</v>
      </c>
      <c r="BX187"/>
    </row>
    <row r="188" spans="1:86" ht="12.75">
      <c r="A188" s="153"/>
      <c r="B188" s="146">
        <f t="shared" ca="1" si="23"/>
        <v>41821</v>
      </c>
      <c r="C188" s="141">
        <v>7.4189633803453003E-2</v>
      </c>
      <c r="D188" s="141">
        <v>0.5</v>
      </c>
      <c r="E188" s="141">
        <v>0.5</v>
      </c>
      <c r="F188" s="141">
        <v>0.14550000000000002</v>
      </c>
      <c r="G188" s="141">
        <v>0.15</v>
      </c>
      <c r="H188" s="141">
        <v>0.1605</v>
      </c>
      <c r="I188" s="142">
        <v>3.4375</v>
      </c>
      <c r="J188" s="141">
        <v>3.4424999999999999</v>
      </c>
      <c r="K188" s="141">
        <v>3.4474999999999998</v>
      </c>
      <c r="L188" s="141">
        <v>-3.8757969000000003E-2</v>
      </c>
      <c r="M188" s="141">
        <v>0.25750000000000001</v>
      </c>
      <c r="O188" s="125">
        <f ca="1">(IF(MONTH(B188)&gt;=4,IF(MONTH(B188)&lt;=10,Inputs!$H$2,Inputs!$H$3),Inputs!$H$3))</f>
        <v>6.5000000000000002E-2</v>
      </c>
      <c r="P188" s="155">
        <f ca="1">J188+(IF($L$2=TRUE,IF(MONTH(B188)&gt;=4,IF(MONTH(B188)&lt;=10,L188,M188),M188),0))+(IF('Pricing Inputs'!$AN$3=2,O188,0))</f>
        <v>3.4037420309999997</v>
      </c>
      <c r="Q188" s="155"/>
      <c r="R188" s="336">
        <f t="shared" ca="1" si="20"/>
        <v>41821</v>
      </c>
      <c r="S188" s="171">
        <f t="shared" si="21"/>
        <v>0.43</v>
      </c>
      <c r="T188" s="170">
        <f t="shared" si="24"/>
        <v>0.5</v>
      </c>
      <c r="U188" s="172">
        <f t="shared" si="22"/>
        <v>0.57000000000000006</v>
      </c>
      <c r="BP188" s="131">
        <f t="shared" si="18"/>
        <v>187</v>
      </c>
      <c r="BQ188" s="185" t="s">
        <v>371</v>
      </c>
      <c r="BR188" s="130" t="s">
        <v>178</v>
      </c>
      <c r="BS188" s="129" t="s">
        <v>204</v>
      </c>
      <c r="BT188" s="135" t="s">
        <v>180</v>
      </c>
      <c r="BU188" s="135"/>
      <c r="BV188" s="129">
        <v>1</v>
      </c>
      <c r="BW188" s="130" t="s">
        <v>970</v>
      </c>
      <c r="BX188"/>
    </row>
    <row r="189" spans="1:86" ht="12.75">
      <c r="A189" s="153"/>
      <c r="B189" s="146">
        <f t="shared" ca="1" si="23"/>
        <v>41852</v>
      </c>
      <c r="C189" s="141">
        <v>7.4189339085572001E-2</v>
      </c>
      <c r="D189" s="141">
        <v>0.6</v>
      </c>
      <c r="E189" s="141">
        <v>0.6</v>
      </c>
      <c r="F189" s="141">
        <v>0.14550000000000002</v>
      </c>
      <c r="G189" s="141">
        <v>0.15</v>
      </c>
      <c r="H189" s="141">
        <v>0.1605</v>
      </c>
      <c r="I189" s="142">
        <v>3.4445000000000001</v>
      </c>
      <c r="J189" s="141">
        <v>3.4495</v>
      </c>
      <c r="K189" s="141">
        <v>3.4545000000000003</v>
      </c>
      <c r="L189" s="141">
        <v>-3.8757969000000003E-2</v>
      </c>
      <c r="M189" s="141">
        <v>0.25750000000000001</v>
      </c>
      <c r="O189" s="125">
        <f ca="1">(IF(MONTH(B189)&gt;=4,IF(MONTH(B189)&lt;=10,Inputs!$H$2,Inputs!$H$3),Inputs!$H$3))</f>
        <v>6.5000000000000002E-2</v>
      </c>
      <c r="P189" s="155">
        <f ca="1">J189+(IF($L$2=TRUE,IF(MONTH(B189)&gt;=4,IF(MONTH(B189)&lt;=10,L189,M189),M189),0))+(IF('Pricing Inputs'!$AN$3=2,O189,0))</f>
        <v>3.4107420309999998</v>
      </c>
      <c r="Q189" s="155"/>
      <c r="R189" s="336">
        <f t="shared" ca="1" si="20"/>
        <v>41852</v>
      </c>
      <c r="S189" s="171">
        <f t="shared" si="21"/>
        <v>0.53</v>
      </c>
      <c r="T189" s="170">
        <f t="shared" si="24"/>
        <v>0.6</v>
      </c>
      <c r="U189" s="172">
        <f t="shared" si="22"/>
        <v>0.66999999999999993</v>
      </c>
      <c r="BP189" s="131">
        <f t="shared" si="18"/>
        <v>188</v>
      </c>
      <c r="BQ189" s="185" t="s">
        <v>372</v>
      </c>
      <c r="BR189" s="130" t="s">
        <v>178</v>
      </c>
      <c r="BS189" s="129" t="s">
        <v>204</v>
      </c>
      <c r="BT189" s="135" t="s">
        <v>180</v>
      </c>
      <c r="BU189" s="135"/>
      <c r="BV189" s="129">
        <v>1</v>
      </c>
      <c r="BW189" s="130" t="s">
        <v>971</v>
      </c>
      <c r="BX189"/>
    </row>
    <row r="190" spans="1:86" ht="12.75">
      <c r="A190" s="153"/>
      <c r="B190" s="146">
        <f t="shared" ca="1" si="23"/>
        <v>41883</v>
      </c>
      <c r="C190" s="141">
        <v>7.4189044367690998E-2</v>
      </c>
      <c r="D190" s="141">
        <v>0.6</v>
      </c>
      <c r="E190" s="141">
        <v>0.6</v>
      </c>
      <c r="F190" s="141">
        <v>0.14550000000000002</v>
      </c>
      <c r="G190" s="141">
        <v>0.15</v>
      </c>
      <c r="H190" s="141">
        <v>0.1605</v>
      </c>
      <c r="I190" s="142">
        <v>3.4515000000000002</v>
      </c>
      <c r="J190" s="141">
        <v>3.4565000000000001</v>
      </c>
      <c r="K190" s="141">
        <v>3.4615</v>
      </c>
      <c r="L190" s="141">
        <v>-3.8757969000000003E-2</v>
      </c>
      <c r="M190" s="141">
        <v>0.2525</v>
      </c>
      <c r="O190" s="125">
        <f ca="1">(IF(MONTH(B190)&gt;=4,IF(MONTH(B190)&lt;=10,Inputs!$H$2,Inputs!$H$3),Inputs!$H$3))</f>
        <v>6.5000000000000002E-2</v>
      </c>
      <c r="P190" s="155">
        <f ca="1">J190+(IF($L$2=TRUE,IF(MONTH(B190)&gt;=4,IF(MONTH(B190)&lt;=10,L190,M190),M190),0))+(IF('Pricing Inputs'!$AN$3=2,O190,0))</f>
        <v>3.417742031</v>
      </c>
      <c r="Q190" s="155"/>
      <c r="R190" s="336">
        <f t="shared" ca="1" si="20"/>
        <v>41883</v>
      </c>
      <c r="S190" s="171">
        <f t="shared" si="21"/>
        <v>0.53</v>
      </c>
      <c r="T190" s="170">
        <f t="shared" si="24"/>
        <v>0.6</v>
      </c>
      <c r="U190" s="172">
        <f t="shared" si="22"/>
        <v>0.66999999999999993</v>
      </c>
      <c r="BP190" s="131">
        <f t="shared" si="18"/>
        <v>189</v>
      </c>
      <c r="BQ190" s="185" t="s">
        <v>373</v>
      </c>
      <c r="BR190" s="130" t="s">
        <v>178</v>
      </c>
      <c r="BS190" s="129" t="s">
        <v>204</v>
      </c>
      <c r="BT190" s="135" t="s">
        <v>180</v>
      </c>
      <c r="BU190" s="135"/>
      <c r="BV190" s="129">
        <v>1</v>
      </c>
      <c r="BW190" s="130" t="s">
        <v>972</v>
      </c>
      <c r="BX190"/>
    </row>
    <row r="191" spans="1:86" ht="12.75">
      <c r="A191" s="153"/>
      <c r="B191" s="146">
        <f t="shared" ca="1" si="23"/>
        <v>41913</v>
      </c>
      <c r="C191" s="141">
        <v>7.4188759156839007E-2</v>
      </c>
      <c r="D191" s="141">
        <v>0.65</v>
      </c>
      <c r="E191" s="141">
        <v>0.65</v>
      </c>
      <c r="F191" s="141">
        <v>0.14550000000000002</v>
      </c>
      <c r="G191" s="141">
        <v>0.15</v>
      </c>
      <c r="H191" s="141">
        <v>0.1605</v>
      </c>
      <c r="I191" s="142">
        <v>3.4775</v>
      </c>
      <c r="J191" s="141">
        <v>3.4824999999999999</v>
      </c>
      <c r="K191" s="141">
        <v>3.4874999999999998</v>
      </c>
      <c r="L191" s="141">
        <v>-3.8757969000000003E-2</v>
      </c>
      <c r="M191" s="141">
        <v>0.255</v>
      </c>
      <c r="O191" s="125">
        <f ca="1">(IF(MONTH(B191)&gt;=4,IF(MONTH(B191)&lt;=10,Inputs!$H$2,Inputs!$H$3),Inputs!$H$3))</f>
        <v>6.5000000000000002E-2</v>
      </c>
      <c r="P191" s="155">
        <f ca="1">J191+(IF($L$2=TRUE,IF(MONTH(B191)&gt;=4,IF(MONTH(B191)&lt;=10,L191,M191),M191),0))+(IF('Pricing Inputs'!$AN$3=2,O191,0))</f>
        <v>3.4437420309999998</v>
      </c>
      <c r="Q191" s="155"/>
      <c r="R191" s="336">
        <f t="shared" ca="1" si="20"/>
        <v>41913</v>
      </c>
      <c r="S191" s="171">
        <f t="shared" si="21"/>
        <v>0.58000000000000007</v>
      </c>
      <c r="T191" s="170">
        <f t="shared" si="24"/>
        <v>0.65</v>
      </c>
      <c r="U191" s="172">
        <f t="shared" si="22"/>
        <v>0.72</v>
      </c>
      <c r="BP191" s="131">
        <f t="shared" si="18"/>
        <v>190</v>
      </c>
      <c r="BQ191" s="185" t="s">
        <v>374</v>
      </c>
      <c r="BR191" s="130" t="s">
        <v>178</v>
      </c>
      <c r="BS191" s="129" t="s">
        <v>204</v>
      </c>
      <c r="BT191" s="135" t="s">
        <v>180</v>
      </c>
      <c r="BU191" s="135"/>
      <c r="BV191" s="129">
        <v>1</v>
      </c>
      <c r="BW191" s="130" t="s">
        <v>973</v>
      </c>
      <c r="BX191"/>
    </row>
    <row r="192" spans="1:86" ht="12.75">
      <c r="A192" s="153"/>
      <c r="B192" s="146">
        <f t="shared" ca="1" si="23"/>
        <v>41944</v>
      </c>
      <c r="C192" s="141">
        <v>7.4188464438958004E-2</v>
      </c>
      <c r="D192" s="141">
        <v>0.95</v>
      </c>
      <c r="E192" s="141">
        <v>0.95</v>
      </c>
      <c r="F192" s="141">
        <v>0.14550000000000002</v>
      </c>
      <c r="G192" s="141">
        <v>0.15</v>
      </c>
      <c r="H192" s="141">
        <v>0.1605</v>
      </c>
      <c r="I192" s="142">
        <v>3.6124999999999998</v>
      </c>
      <c r="J192" s="141">
        <v>3.6175000000000002</v>
      </c>
      <c r="K192" s="141">
        <v>3.6225000000000001</v>
      </c>
      <c r="L192" s="141">
        <v>-5.462217825E-2</v>
      </c>
      <c r="M192" s="141">
        <v>0.71499999999999997</v>
      </c>
      <c r="O192" s="125">
        <f ca="1">(IF(MONTH(B192)&gt;=4,IF(MONTH(B192)&lt;=10,Inputs!$H$2,Inputs!$H$3),Inputs!$H$3))</f>
        <v>6.5000000000000002E-2</v>
      </c>
      <c r="P192" s="155">
        <f ca="1">J192+(IF($L$2=TRUE,IF(MONTH(B192)&gt;=4,IF(MONTH(B192)&lt;=10,L192,M192),M192),0))+(IF('Pricing Inputs'!$AN$3=2,O192,0))</f>
        <v>4.3325000000000005</v>
      </c>
      <c r="Q192" s="155"/>
      <c r="R192" s="336">
        <f t="shared" ca="1" si="20"/>
        <v>41944</v>
      </c>
      <c r="S192" s="171">
        <f t="shared" si="21"/>
        <v>0.87999999999999989</v>
      </c>
      <c r="T192" s="170">
        <f t="shared" si="24"/>
        <v>0.95</v>
      </c>
      <c r="U192" s="172">
        <f t="shared" si="22"/>
        <v>1.02</v>
      </c>
      <c r="BP192" s="131">
        <f t="shared" si="18"/>
        <v>191</v>
      </c>
      <c r="BQ192" s="185" t="s">
        <v>375</v>
      </c>
      <c r="BR192" s="130" t="s">
        <v>178</v>
      </c>
      <c r="BS192" s="129" t="s">
        <v>204</v>
      </c>
      <c r="BT192" s="135" t="s">
        <v>180</v>
      </c>
      <c r="BU192" s="135"/>
      <c r="BV192" s="129">
        <v>1</v>
      </c>
      <c r="BW192" s="130" t="s">
        <v>974</v>
      </c>
      <c r="BX192"/>
    </row>
    <row r="193" spans="1:76" ht="12.75">
      <c r="A193" s="153"/>
      <c r="B193" s="146">
        <f t="shared" ca="1" si="23"/>
        <v>41974</v>
      </c>
      <c r="C193" s="141">
        <v>7.4188179228105999E-2</v>
      </c>
      <c r="D193" s="141">
        <v>1.25</v>
      </c>
      <c r="E193" s="141">
        <v>1.25</v>
      </c>
      <c r="F193" s="141">
        <v>0.14550000000000002</v>
      </c>
      <c r="G193" s="141">
        <v>0.15</v>
      </c>
      <c r="H193" s="141">
        <v>0.1605</v>
      </c>
      <c r="I193" s="142">
        <v>3.7365000000000004</v>
      </c>
      <c r="J193" s="141">
        <v>3.7415000000000003</v>
      </c>
      <c r="K193" s="141">
        <v>3.7465000000000002</v>
      </c>
      <c r="L193" s="141">
        <v>-5.8362984499999999E-2</v>
      </c>
      <c r="M193" s="141">
        <v>1.03</v>
      </c>
      <c r="O193" s="125">
        <f ca="1">(IF(MONTH(B193)&gt;=4,IF(MONTH(B193)&lt;=10,Inputs!$H$2,Inputs!$H$3),Inputs!$H$3))</f>
        <v>6.5000000000000002E-2</v>
      </c>
      <c r="P193" s="155">
        <f ca="1">J193+(IF($L$2=TRUE,IF(MONTH(B193)&gt;=4,IF(MONTH(B193)&lt;=10,L193,M193),M193),0))+(IF('Pricing Inputs'!$AN$3=2,O193,0))</f>
        <v>4.7715000000000005</v>
      </c>
      <c r="Q193" s="155"/>
      <c r="R193" s="336">
        <f t="shared" ca="1" si="20"/>
        <v>41974</v>
      </c>
      <c r="S193" s="171">
        <f t="shared" si="21"/>
        <v>1.18</v>
      </c>
      <c r="T193" s="170">
        <f t="shared" si="24"/>
        <v>1.25</v>
      </c>
      <c r="U193" s="172">
        <f t="shared" si="22"/>
        <v>1.32</v>
      </c>
      <c r="BP193" s="131">
        <f t="shared" si="18"/>
        <v>192</v>
      </c>
      <c r="BQ193" s="185" t="s">
        <v>376</v>
      </c>
      <c r="BR193" s="130" t="s">
        <v>178</v>
      </c>
      <c r="BS193" s="129" t="s">
        <v>204</v>
      </c>
      <c r="BT193" s="135" t="s">
        <v>180</v>
      </c>
      <c r="BU193" s="135"/>
      <c r="BV193" s="129">
        <v>1</v>
      </c>
      <c r="BW193" s="130" t="s">
        <v>975</v>
      </c>
      <c r="BX193"/>
    </row>
    <row r="194" spans="1:76" ht="12.75">
      <c r="A194" s="153"/>
      <c r="B194" s="146">
        <f t="shared" ca="1" si="23"/>
        <v>42005</v>
      </c>
      <c r="C194" s="141">
        <v>7.4187884510224997E-2</v>
      </c>
      <c r="D194" s="141">
        <v>1.45</v>
      </c>
      <c r="E194" s="141">
        <v>1.45</v>
      </c>
      <c r="F194" s="141">
        <v>0.14450000000000002</v>
      </c>
      <c r="G194" s="141">
        <v>0.15</v>
      </c>
      <c r="H194" s="141">
        <v>0.1595</v>
      </c>
      <c r="I194" s="142">
        <v>3.835</v>
      </c>
      <c r="J194" s="141">
        <v>3.84</v>
      </c>
      <c r="K194" s="141">
        <v>3.8450000000000002</v>
      </c>
      <c r="L194" s="141">
        <v>-5.5613796E-2</v>
      </c>
      <c r="M194" s="141">
        <v>1.4950000000000001</v>
      </c>
      <c r="O194" s="125">
        <f ca="1">(IF(MONTH(B194)&gt;=4,IF(MONTH(B194)&lt;=10,Inputs!$H$2,Inputs!$H$3),Inputs!$H$3))</f>
        <v>6.5000000000000002E-2</v>
      </c>
      <c r="P194" s="155">
        <f ca="1">J194+(IF($L$2=TRUE,IF(MONTH(B194)&gt;=4,IF(MONTH(B194)&lt;=10,L194,M194),M194),0))+(IF('Pricing Inputs'!$AN$3=2,O194,0))</f>
        <v>5.335</v>
      </c>
      <c r="Q194" s="155"/>
      <c r="R194" s="336">
        <f t="shared" ca="1" si="20"/>
        <v>42005</v>
      </c>
      <c r="S194" s="171">
        <f t="shared" si="21"/>
        <v>1.38</v>
      </c>
      <c r="T194" s="170">
        <f t="shared" si="24"/>
        <v>1.45</v>
      </c>
      <c r="U194" s="172">
        <f t="shared" si="22"/>
        <v>1.52</v>
      </c>
      <c r="BP194" s="131">
        <f t="shared" ref="BP194:BP257" si="26">BP193+BV194</f>
        <v>193</v>
      </c>
      <c r="BQ194" s="185" t="s">
        <v>377</v>
      </c>
      <c r="BR194" s="130" t="s">
        <v>178</v>
      </c>
      <c r="BS194" s="129" t="s">
        <v>204</v>
      </c>
      <c r="BT194" s="135" t="s">
        <v>180</v>
      </c>
      <c r="BU194" s="135"/>
      <c r="BV194" s="129">
        <v>1</v>
      </c>
      <c r="BW194" s="130" t="s">
        <v>976</v>
      </c>
      <c r="BX194"/>
    </row>
    <row r="195" spans="1:76" ht="12.75">
      <c r="A195" s="153"/>
      <c r="B195" s="146">
        <f t="shared" ca="1" si="23"/>
        <v>42036</v>
      </c>
      <c r="C195" s="141">
        <v>7.4187589792344008E-2</v>
      </c>
      <c r="D195" s="141">
        <v>1.45</v>
      </c>
      <c r="E195" s="141">
        <v>1.45</v>
      </c>
      <c r="F195" s="141">
        <v>0.14450000000000002</v>
      </c>
      <c r="G195" s="141">
        <v>0.15</v>
      </c>
      <c r="H195" s="141">
        <v>0.1595</v>
      </c>
      <c r="I195" s="142">
        <v>3.7170000000000001</v>
      </c>
      <c r="J195" s="141">
        <v>3.722</v>
      </c>
      <c r="K195" s="141">
        <v>3.7270000000000003</v>
      </c>
      <c r="L195" s="141">
        <v>-4.9364355750000005E-2</v>
      </c>
      <c r="M195" s="141">
        <v>1.395</v>
      </c>
      <c r="O195" s="125">
        <f ca="1">(IF(MONTH(B195)&gt;=4,IF(MONTH(B195)&lt;=10,Inputs!$H$2,Inputs!$H$3),Inputs!$H$3))</f>
        <v>6.5000000000000002E-2</v>
      </c>
      <c r="P195" s="155">
        <f ca="1">J195+(IF($L$2=TRUE,IF(MONTH(B195)&gt;=4,IF(MONTH(B195)&lt;=10,L195,M195),M195),0))+(IF('Pricing Inputs'!$AN$3=2,O195,0))</f>
        <v>5.117</v>
      </c>
      <c r="Q195" s="155"/>
      <c r="R195" s="336">
        <f t="shared" ca="1" si="20"/>
        <v>42036</v>
      </c>
      <c r="S195" s="171">
        <f t="shared" si="21"/>
        <v>1.38</v>
      </c>
      <c r="T195" s="170">
        <f t="shared" si="24"/>
        <v>1.45</v>
      </c>
      <c r="U195" s="172">
        <f t="shared" si="22"/>
        <v>1.52</v>
      </c>
      <c r="BP195" s="131">
        <f t="shared" si="26"/>
        <v>194</v>
      </c>
      <c r="BQ195" s="185" t="s">
        <v>378</v>
      </c>
      <c r="BR195" s="130" t="s">
        <v>178</v>
      </c>
      <c r="BS195" s="129" t="s">
        <v>204</v>
      </c>
      <c r="BT195" s="135" t="s">
        <v>180</v>
      </c>
      <c r="BU195" s="135"/>
      <c r="BV195" s="129">
        <v>1</v>
      </c>
      <c r="BW195" s="130" t="s">
        <v>977</v>
      </c>
      <c r="BX195"/>
    </row>
    <row r="196" spans="1:76" ht="12.75">
      <c r="A196" s="153"/>
      <c r="B196" s="146">
        <f t="shared" ca="1" si="23"/>
        <v>42064</v>
      </c>
      <c r="C196" s="141">
        <v>7.4187323595548998E-2</v>
      </c>
      <c r="D196" s="141">
        <v>1</v>
      </c>
      <c r="E196" s="141">
        <v>1</v>
      </c>
      <c r="F196" s="141">
        <v>0.14450000000000002</v>
      </c>
      <c r="G196" s="141">
        <v>0.15</v>
      </c>
      <c r="H196" s="141">
        <v>0.1595</v>
      </c>
      <c r="I196" s="142">
        <v>3.597</v>
      </c>
      <c r="J196" s="141">
        <v>3.6020000000000003</v>
      </c>
      <c r="K196" s="141">
        <v>3.6070000000000002</v>
      </c>
      <c r="L196" s="141">
        <v>-4.6864355750000003E-2</v>
      </c>
      <c r="M196" s="141">
        <v>0.86499999999999999</v>
      </c>
      <c r="O196" s="125">
        <f ca="1">(IF(MONTH(B196)&gt;=4,IF(MONTH(B196)&lt;=10,Inputs!$H$2,Inputs!$H$3),Inputs!$H$3))</f>
        <v>6.5000000000000002E-2</v>
      </c>
      <c r="P196" s="155">
        <f ca="1">J196+(IF($L$2=TRUE,IF(MONTH(B196)&gt;=4,IF(MONTH(B196)&lt;=10,L196,M196),M196),0))+(IF('Pricing Inputs'!$AN$3=2,O196,0))</f>
        <v>4.4670000000000005</v>
      </c>
      <c r="Q196" s="155"/>
      <c r="R196" s="336">
        <f t="shared" ca="1" si="20"/>
        <v>42064</v>
      </c>
      <c r="S196" s="171">
        <f t="shared" si="21"/>
        <v>0.92999999999999994</v>
      </c>
      <c r="T196" s="170">
        <f t="shared" si="24"/>
        <v>1</v>
      </c>
      <c r="U196" s="172">
        <f t="shared" si="22"/>
        <v>1.07</v>
      </c>
      <c r="BP196" s="131">
        <f t="shared" si="26"/>
        <v>195</v>
      </c>
      <c r="BQ196" s="185" t="s">
        <v>379</v>
      </c>
      <c r="BR196" s="130" t="s">
        <v>178</v>
      </c>
      <c r="BS196" s="129" t="s">
        <v>204</v>
      </c>
      <c r="BT196" s="135" t="s">
        <v>180</v>
      </c>
      <c r="BU196" s="135"/>
      <c r="BV196" s="129">
        <v>1</v>
      </c>
      <c r="BW196" s="130" t="s">
        <v>978</v>
      </c>
      <c r="BX196"/>
    </row>
    <row r="197" spans="1:76" ht="12.75">
      <c r="A197" s="153"/>
      <c r="B197" s="146">
        <f t="shared" ca="1" si="23"/>
        <v>42095</v>
      </c>
      <c r="C197" s="141">
        <v>7.4187028877668995E-2</v>
      </c>
      <c r="D197" s="141">
        <v>0.45</v>
      </c>
      <c r="E197" s="141">
        <v>0.45</v>
      </c>
      <c r="F197" s="141">
        <v>0.14450000000000002</v>
      </c>
      <c r="G197" s="141">
        <v>0.15</v>
      </c>
      <c r="H197" s="141">
        <v>0.1595</v>
      </c>
      <c r="I197" s="142">
        <v>3.5474999999999999</v>
      </c>
      <c r="J197" s="141">
        <v>3.5525000000000002</v>
      </c>
      <c r="K197" s="141">
        <v>3.5575000000000001</v>
      </c>
      <c r="L197" s="141">
        <v>-3.3755840250000002E-2</v>
      </c>
      <c r="M197" s="141">
        <v>0.37</v>
      </c>
      <c r="O197" s="125">
        <f ca="1">(IF(MONTH(B197)&gt;=4,IF(MONTH(B197)&lt;=10,Inputs!$H$2,Inputs!$H$3),Inputs!$H$3))</f>
        <v>6.5000000000000002E-2</v>
      </c>
      <c r="P197" s="155">
        <f ca="1">J197+(IF($L$2=TRUE,IF(MONTH(B197)&gt;=4,IF(MONTH(B197)&lt;=10,L197,M197),M197),0))+(IF('Pricing Inputs'!$AN$3=2,O197,0))</f>
        <v>3.5187441597500002</v>
      </c>
      <c r="Q197" s="155"/>
      <c r="R197" s="336">
        <f t="shared" ca="1" si="20"/>
        <v>42095</v>
      </c>
      <c r="S197" s="171">
        <f t="shared" si="21"/>
        <v>0.38</v>
      </c>
      <c r="T197" s="170">
        <f t="shared" si="24"/>
        <v>0.45</v>
      </c>
      <c r="U197" s="172">
        <f t="shared" si="22"/>
        <v>0.52</v>
      </c>
      <c r="BP197" s="131">
        <f t="shared" si="26"/>
        <v>196</v>
      </c>
      <c r="BQ197" s="185" t="s">
        <v>380</v>
      </c>
      <c r="BR197" s="130" t="s">
        <v>178</v>
      </c>
      <c r="BS197" s="129" t="s">
        <v>204</v>
      </c>
      <c r="BT197" s="135" t="s">
        <v>180</v>
      </c>
      <c r="BU197" s="135"/>
      <c r="BV197" s="129">
        <v>1</v>
      </c>
      <c r="BW197" s="130" t="s">
        <v>979</v>
      </c>
      <c r="BX197"/>
    </row>
    <row r="198" spans="1:76" ht="12.75">
      <c r="A198" s="153"/>
      <c r="B198" s="146">
        <f t="shared" ca="1" si="23"/>
        <v>42125</v>
      </c>
      <c r="C198" s="141">
        <v>7.4186743666816005E-2</v>
      </c>
      <c r="D198" s="141">
        <v>0.5</v>
      </c>
      <c r="E198" s="141">
        <v>0.5</v>
      </c>
      <c r="F198" s="141">
        <v>0.14450000000000002</v>
      </c>
      <c r="G198" s="141">
        <v>0.15</v>
      </c>
      <c r="H198" s="141">
        <v>0.1595</v>
      </c>
      <c r="I198" s="142">
        <v>3.5215000000000001</v>
      </c>
      <c r="J198" s="141">
        <v>3.5265</v>
      </c>
      <c r="K198" s="141">
        <v>3.5315000000000003</v>
      </c>
      <c r="L198" s="141">
        <v>-3.3757968999999999E-2</v>
      </c>
      <c r="M198" s="141">
        <v>0.2525</v>
      </c>
      <c r="O198" s="125">
        <f ca="1">(IF(MONTH(B198)&gt;=4,IF(MONTH(B198)&lt;=10,Inputs!$H$2,Inputs!$H$3),Inputs!$H$3))</f>
        <v>6.5000000000000002E-2</v>
      </c>
      <c r="P198" s="155">
        <f ca="1">J198+(IF($L$2=TRUE,IF(MONTH(B198)&gt;=4,IF(MONTH(B198)&lt;=10,L198,M198),M198),0))+(IF('Pricing Inputs'!$AN$3=2,O198,0))</f>
        <v>3.4927420310000001</v>
      </c>
      <c r="Q198" s="155"/>
      <c r="R198" s="336">
        <f t="shared" ca="1" si="20"/>
        <v>42125</v>
      </c>
      <c r="S198" s="171">
        <f t="shared" si="21"/>
        <v>0.43</v>
      </c>
      <c r="T198" s="170">
        <f t="shared" si="24"/>
        <v>0.5</v>
      </c>
      <c r="U198" s="172">
        <f t="shared" si="22"/>
        <v>0.57000000000000006</v>
      </c>
      <c r="BP198" s="131">
        <f t="shared" si="26"/>
        <v>197</v>
      </c>
      <c r="BQ198" s="185" t="s">
        <v>381</v>
      </c>
      <c r="BR198" s="130" t="s">
        <v>178</v>
      </c>
      <c r="BS198" s="129" t="s">
        <v>204</v>
      </c>
      <c r="BT198" s="135" t="s">
        <v>180</v>
      </c>
      <c r="BU198" s="135"/>
      <c r="BV198" s="129">
        <v>1</v>
      </c>
      <c r="BW198" s="130" t="s">
        <v>980</v>
      </c>
      <c r="BX198"/>
    </row>
    <row r="199" spans="1:76" ht="12.75">
      <c r="A199" s="153"/>
      <c r="B199" s="146">
        <f t="shared" ca="1" si="23"/>
        <v>42156</v>
      </c>
      <c r="C199" s="141">
        <v>7.4186448948936001E-2</v>
      </c>
      <c r="D199" s="141">
        <v>0.5</v>
      </c>
      <c r="E199" s="141">
        <v>0.5</v>
      </c>
      <c r="F199" s="141">
        <v>0.14450000000000002</v>
      </c>
      <c r="G199" s="141">
        <v>0.15</v>
      </c>
      <c r="H199" s="141">
        <v>0.1595</v>
      </c>
      <c r="I199" s="142">
        <v>3.5274999999999999</v>
      </c>
      <c r="J199" s="141">
        <v>3.5325000000000002</v>
      </c>
      <c r="K199" s="141">
        <v>3.5375000000000001</v>
      </c>
      <c r="L199" s="141">
        <v>-3.3757968999999999E-2</v>
      </c>
      <c r="M199" s="141">
        <v>0.2525</v>
      </c>
      <c r="O199" s="125">
        <f ca="1">(IF(MONTH(B199)&gt;=4,IF(MONTH(B199)&lt;=10,Inputs!$H$2,Inputs!$H$3),Inputs!$H$3))</f>
        <v>6.5000000000000002E-2</v>
      </c>
      <c r="P199" s="155">
        <f ca="1">J199+(IF($L$2=TRUE,IF(MONTH(B199)&gt;=4,IF(MONTH(B199)&lt;=10,L199,M199),M199),0))+(IF('Pricing Inputs'!$AN$3=2,O199,0))</f>
        <v>3.4987420310000004</v>
      </c>
      <c r="Q199" s="155"/>
      <c r="R199" s="336">
        <f t="shared" ca="1" si="20"/>
        <v>42156</v>
      </c>
      <c r="S199" s="171">
        <f t="shared" si="21"/>
        <v>0.43</v>
      </c>
      <c r="T199" s="170">
        <f t="shared" si="24"/>
        <v>0.5</v>
      </c>
      <c r="U199" s="172">
        <f t="shared" si="22"/>
        <v>0.57000000000000006</v>
      </c>
      <c r="BP199" s="131">
        <f t="shared" si="26"/>
        <v>198</v>
      </c>
      <c r="BQ199" s="185" t="s">
        <v>382</v>
      </c>
      <c r="BR199" s="130" t="s">
        <v>178</v>
      </c>
      <c r="BS199" s="129" t="s">
        <v>204</v>
      </c>
      <c r="BT199" s="135" t="s">
        <v>180</v>
      </c>
      <c r="BU199" s="135"/>
      <c r="BV199" s="129">
        <v>1</v>
      </c>
      <c r="BW199" s="130" t="s">
        <v>981</v>
      </c>
      <c r="BX199"/>
    </row>
    <row r="200" spans="1:76" ht="12.75">
      <c r="A200" s="153"/>
      <c r="B200" s="146">
        <f t="shared" ca="1" si="23"/>
        <v>42186</v>
      </c>
      <c r="C200" s="141">
        <v>7.4186163738083996E-2</v>
      </c>
      <c r="D200" s="141">
        <v>0.5</v>
      </c>
      <c r="E200" s="141">
        <v>0.5</v>
      </c>
      <c r="F200" s="141">
        <v>0.14450000000000002</v>
      </c>
      <c r="G200" s="141">
        <v>0.15</v>
      </c>
      <c r="H200" s="141">
        <v>0.1595</v>
      </c>
      <c r="I200" s="142">
        <v>3.5375000000000001</v>
      </c>
      <c r="J200" s="141">
        <v>3.5425</v>
      </c>
      <c r="K200" s="141">
        <v>3.5474999999999999</v>
      </c>
      <c r="L200" s="141">
        <v>-3.3757968999999999E-2</v>
      </c>
      <c r="M200" s="141">
        <v>0.25750000000000001</v>
      </c>
      <c r="O200" s="125">
        <f ca="1">(IF(MONTH(B200)&gt;=4,IF(MONTH(B200)&lt;=10,Inputs!$H$2,Inputs!$H$3),Inputs!$H$3))</f>
        <v>6.5000000000000002E-2</v>
      </c>
      <c r="P200" s="155">
        <f ca="1">J200+(IF($L$2=TRUE,IF(MONTH(B200)&gt;=4,IF(MONTH(B200)&lt;=10,L200,M200),M200),0))+(IF('Pricing Inputs'!$AN$3=2,O200,0))</f>
        <v>3.5087420310000001</v>
      </c>
      <c r="Q200" s="155"/>
      <c r="R200" s="336">
        <f t="shared" ca="1" si="20"/>
        <v>42186</v>
      </c>
      <c r="S200" s="171">
        <f t="shared" si="21"/>
        <v>0.43</v>
      </c>
      <c r="T200" s="170">
        <f t="shared" si="24"/>
        <v>0.5</v>
      </c>
      <c r="U200" s="172">
        <f t="shared" si="22"/>
        <v>0.57000000000000006</v>
      </c>
      <c r="BP200" s="131">
        <f t="shared" si="26"/>
        <v>199</v>
      </c>
      <c r="BQ200" s="185" t="s">
        <v>383</v>
      </c>
      <c r="BR200" s="130" t="s">
        <v>178</v>
      </c>
      <c r="BS200" s="129" t="s">
        <v>204</v>
      </c>
      <c r="BT200" s="135" t="s">
        <v>180</v>
      </c>
      <c r="BU200" s="135"/>
      <c r="BV200" s="129">
        <v>1</v>
      </c>
      <c r="BW200" s="130" t="s">
        <v>982</v>
      </c>
      <c r="BX200"/>
    </row>
    <row r="201" spans="1:76" ht="12.75">
      <c r="A201" s="153"/>
      <c r="B201" s="146">
        <f t="shared" ca="1" si="23"/>
        <v>42217</v>
      </c>
      <c r="C201" s="141">
        <v>7.4185869020203007E-2</v>
      </c>
      <c r="D201" s="141">
        <v>0.6</v>
      </c>
      <c r="E201" s="141">
        <v>0.6</v>
      </c>
      <c r="F201" s="141">
        <v>0.14450000000000002</v>
      </c>
      <c r="G201" s="141">
        <v>0.15</v>
      </c>
      <c r="H201" s="141">
        <v>0.1595</v>
      </c>
      <c r="I201" s="142">
        <v>3.5445000000000002</v>
      </c>
      <c r="J201" s="141">
        <v>3.5495000000000001</v>
      </c>
      <c r="K201" s="141">
        <v>3.5545</v>
      </c>
      <c r="L201" s="141">
        <v>-3.3757968999999999E-2</v>
      </c>
      <c r="M201" s="141">
        <v>0.25750000000000001</v>
      </c>
      <c r="O201" s="125">
        <f ca="1">(IF(MONTH(B201)&gt;=4,IF(MONTH(B201)&lt;=10,Inputs!$H$2,Inputs!$H$3),Inputs!$H$3))</f>
        <v>6.5000000000000002E-2</v>
      </c>
      <c r="P201" s="155">
        <f ca="1">J201+(IF($L$2=TRUE,IF(MONTH(B201)&gt;=4,IF(MONTH(B201)&lt;=10,L201,M201),M201),0))+(IF('Pricing Inputs'!$AN$3=2,O201,0))</f>
        <v>3.5157420310000003</v>
      </c>
      <c r="Q201" s="155"/>
      <c r="R201" s="336">
        <f t="shared" ca="1" si="20"/>
        <v>42217</v>
      </c>
      <c r="S201" s="171">
        <f t="shared" si="21"/>
        <v>0.53</v>
      </c>
      <c r="T201" s="170">
        <f t="shared" si="24"/>
        <v>0.6</v>
      </c>
      <c r="U201" s="172">
        <f t="shared" si="22"/>
        <v>0.66999999999999993</v>
      </c>
      <c r="BP201" s="131">
        <f t="shared" si="26"/>
        <v>200</v>
      </c>
      <c r="BQ201" s="185" t="s">
        <v>384</v>
      </c>
      <c r="BR201" s="130" t="s">
        <v>178</v>
      </c>
      <c r="BS201" s="129" t="s">
        <v>204</v>
      </c>
      <c r="BT201" s="135" t="s">
        <v>180</v>
      </c>
      <c r="BU201" s="135"/>
      <c r="BV201" s="129">
        <v>1</v>
      </c>
      <c r="BW201" s="130" t="s">
        <v>983</v>
      </c>
      <c r="BX201"/>
    </row>
    <row r="202" spans="1:76" ht="12.75">
      <c r="A202" s="153"/>
      <c r="B202" s="146">
        <f t="shared" ca="1" si="23"/>
        <v>42248</v>
      </c>
      <c r="C202" s="141">
        <v>7.4185574302323004E-2</v>
      </c>
      <c r="D202" s="141">
        <v>0.6</v>
      </c>
      <c r="E202" s="141">
        <v>0.6</v>
      </c>
      <c r="F202" s="141">
        <v>0.14450000000000002</v>
      </c>
      <c r="G202" s="141">
        <v>0.15</v>
      </c>
      <c r="H202" s="141">
        <v>0.1595</v>
      </c>
      <c r="I202" s="142">
        <v>3.5515000000000003</v>
      </c>
      <c r="J202" s="141">
        <v>3.5565000000000002</v>
      </c>
      <c r="K202" s="141">
        <v>3.5615000000000001</v>
      </c>
      <c r="L202" s="141">
        <v>0</v>
      </c>
      <c r="M202" s="141">
        <v>0.2525</v>
      </c>
      <c r="O202" s="125">
        <f ca="1">(IF(MONTH(B202)&gt;=4,IF(MONTH(B202)&lt;=10,Inputs!$H$2,Inputs!$H$3),Inputs!$H$3))</f>
        <v>6.5000000000000002E-2</v>
      </c>
      <c r="P202" s="155">
        <f ca="1">J202+(IF($L$2=TRUE,IF(MONTH(B202)&gt;=4,IF(MONTH(B202)&lt;=10,L202,M202),M202),0))+(IF('Pricing Inputs'!$AN$3=2,O202,0))</f>
        <v>3.5565000000000002</v>
      </c>
      <c r="Q202" s="155"/>
      <c r="R202" s="336">
        <f t="shared" ca="1" si="20"/>
        <v>42248</v>
      </c>
      <c r="S202" s="171">
        <f t="shared" si="21"/>
        <v>0.53</v>
      </c>
      <c r="T202" s="170">
        <f t="shared" si="24"/>
        <v>0.6</v>
      </c>
      <c r="U202" s="172">
        <f t="shared" si="22"/>
        <v>0.66999999999999993</v>
      </c>
      <c r="BP202" s="131">
        <f t="shared" si="26"/>
        <v>201</v>
      </c>
      <c r="BQ202" s="185" t="s">
        <v>385</v>
      </c>
      <c r="BR202" s="130" t="s">
        <v>178</v>
      </c>
      <c r="BS202" s="129" t="s">
        <v>204</v>
      </c>
      <c r="BT202" s="135" t="s">
        <v>180</v>
      </c>
      <c r="BU202" s="135"/>
      <c r="BV202" s="129">
        <v>1</v>
      </c>
      <c r="BW202" s="130" t="s">
        <v>984</v>
      </c>
      <c r="BX202"/>
    </row>
    <row r="203" spans="1:76" ht="12.75">
      <c r="A203" s="153"/>
      <c r="B203" s="146">
        <f t="shared" ca="1" si="23"/>
        <v>42278</v>
      </c>
      <c r="C203" s="141">
        <v>7.4185289091470999E-2</v>
      </c>
      <c r="D203" s="141">
        <v>0.65</v>
      </c>
      <c r="E203" s="141">
        <v>0.65</v>
      </c>
      <c r="F203" s="141">
        <v>0.14450000000000002</v>
      </c>
      <c r="G203" s="141">
        <v>0.15</v>
      </c>
      <c r="H203" s="141">
        <v>0.1595</v>
      </c>
      <c r="I203" s="142">
        <v>3.5775000000000001</v>
      </c>
      <c r="J203" s="141">
        <v>3.5825</v>
      </c>
      <c r="K203" s="141">
        <v>3.5874999999999999</v>
      </c>
      <c r="L203" s="141">
        <v>0</v>
      </c>
      <c r="M203" s="141">
        <v>0.255</v>
      </c>
      <c r="O203" s="125">
        <f ca="1">(IF(MONTH(B203)&gt;=4,IF(MONTH(B203)&lt;=10,Inputs!$H$2,Inputs!$H$3),Inputs!$H$3))</f>
        <v>6.5000000000000002E-2</v>
      </c>
      <c r="P203" s="155">
        <f ca="1">J203+(IF($L$2=TRUE,IF(MONTH(B203)&gt;=4,IF(MONTH(B203)&lt;=10,L203,M203),M203),0))+(IF('Pricing Inputs'!$AN$3=2,O203,0))</f>
        <v>3.5825</v>
      </c>
      <c r="Q203" s="155"/>
      <c r="R203" s="336">
        <f t="shared" ca="1" si="20"/>
        <v>42278</v>
      </c>
      <c r="S203" s="171">
        <f t="shared" si="21"/>
        <v>0.58000000000000007</v>
      </c>
      <c r="T203" s="170">
        <f t="shared" si="24"/>
        <v>0.65</v>
      </c>
      <c r="U203" s="172">
        <f t="shared" si="22"/>
        <v>0.72</v>
      </c>
      <c r="BP203" s="131">
        <f t="shared" si="26"/>
        <v>202</v>
      </c>
      <c r="BQ203" s="185" t="s">
        <v>386</v>
      </c>
      <c r="BR203" s="130" t="s">
        <v>178</v>
      </c>
      <c r="BS203" s="129" t="s">
        <v>204</v>
      </c>
      <c r="BT203" s="135" t="s">
        <v>180</v>
      </c>
      <c r="BU203" s="135"/>
      <c r="BV203" s="129">
        <v>1</v>
      </c>
      <c r="BW203" s="130" t="s">
        <v>985</v>
      </c>
      <c r="BX203"/>
    </row>
    <row r="204" spans="1:76" ht="12.75">
      <c r="A204" s="153"/>
      <c r="B204" s="146">
        <f t="shared" ca="1" si="23"/>
        <v>42309</v>
      </c>
      <c r="C204" s="141">
        <v>7.4184994373589996E-2</v>
      </c>
      <c r="D204" s="141">
        <v>0.95</v>
      </c>
      <c r="E204" s="141">
        <v>0.95</v>
      </c>
      <c r="F204" s="141">
        <v>0.14450000000000002</v>
      </c>
      <c r="G204" s="141">
        <v>0.15</v>
      </c>
      <c r="H204" s="141">
        <v>0.1595</v>
      </c>
      <c r="I204" s="142">
        <v>3.7124999999999999</v>
      </c>
      <c r="J204" s="141">
        <v>3.7174999999999998</v>
      </c>
      <c r="K204" s="141">
        <v>3.7225000000000001</v>
      </c>
      <c r="L204" s="141">
        <v>0</v>
      </c>
      <c r="M204" s="141">
        <v>0.71499999999999997</v>
      </c>
      <c r="O204" s="125">
        <f ca="1">(IF(MONTH(B204)&gt;=4,IF(MONTH(B204)&lt;=10,Inputs!$H$2,Inputs!$H$3),Inputs!$H$3))</f>
        <v>6.5000000000000002E-2</v>
      </c>
      <c r="P204" s="155">
        <f ca="1">J204+(IF($L$2=TRUE,IF(MONTH(B204)&gt;=4,IF(MONTH(B204)&lt;=10,L204,M204),M204),0))+(IF('Pricing Inputs'!$AN$3=2,O204,0))</f>
        <v>4.4325000000000001</v>
      </c>
      <c r="Q204" s="155"/>
      <c r="R204" s="336">
        <f t="shared" ca="1" si="20"/>
        <v>42309</v>
      </c>
      <c r="S204" s="171">
        <f t="shared" si="21"/>
        <v>0.87999999999999989</v>
      </c>
      <c r="T204" s="170">
        <f t="shared" si="24"/>
        <v>0.95</v>
      </c>
      <c r="U204" s="172">
        <f t="shared" si="22"/>
        <v>1.02</v>
      </c>
      <c r="BP204" s="131">
        <f t="shared" si="26"/>
        <v>203</v>
      </c>
      <c r="BQ204" s="185" t="s">
        <v>387</v>
      </c>
      <c r="BR204" s="130" t="s">
        <v>178</v>
      </c>
      <c r="BS204" s="129" t="s">
        <v>204</v>
      </c>
      <c r="BT204" s="135" t="s">
        <v>180</v>
      </c>
      <c r="BU204" s="135"/>
      <c r="BV204" s="129">
        <v>1</v>
      </c>
      <c r="BW204" s="130" t="s">
        <v>986</v>
      </c>
      <c r="BX204"/>
    </row>
    <row r="205" spans="1:76" ht="12.75">
      <c r="A205" s="153"/>
      <c r="B205" s="146">
        <f t="shared" ca="1" si="23"/>
        <v>42339</v>
      </c>
      <c r="C205" s="141">
        <v>7.4184709162739004E-2</v>
      </c>
      <c r="D205" s="141">
        <v>1.25</v>
      </c>
      <c r="E205" s="141">
        <v>1.25</v>
      </c>
      <c r="F205" s="141">
        <v>0.14450000000000002</v>
      </c>
      <c r="G205" s="141">
        <v>0.15</v>
      </c>
      <c r="H205" s="141">
        <v>0.1595</v>
      </c>
      <c r="I205" s="142">
        <v>3.8365</v>
      </c>
      <c r="J205" s="141">
        <v>3.8415000000000004</v>
      </c>
      <c r="K205" s="141">
        <v>3.8465000000000003</v>
      </c>
      <c r="L205" s="141">
        <v>0</v>
      </c>
      <c r="M205" s="141">
        <v>1.03</v>
      </c>
      <c r="O205" s="125">
        <f ca="1">(IF(MONTH(B205)&gt;=4,IF(MONTH(B205)&lt;=10,Inputs!$H$2,Inputs!$H$3),Inputs!$H$3))</f>
        <v>6.5000000000000002E-2</v>
      </c>
      <c r="P205" s="155">
        <f ca="1">J205+(IF($L$2=TRUE,IF(MONTH(B205)&gt;=4,IF(MONTH(B205)&lt;=10,L205,M205),M205),0))+(IF('Pricing Inputs'!$AN$3=2,O205,0))</f>
        <v>4.8715000000000002</v>
      </c>
      <c r="Q205" s="155"/>
      <c r="R205" s="336">
        <f t="shared" ca="1" si="20"/>
        <v>42339</v>
      </c>
      <c r="S205" s="171">
        <f t="shared" si="21"/>
        <v>1.18</v>
      </c>
      <c r="T205" s="170">
        <f t="shared" si="24"/>
        <v>1.25</v>
      </c>
      <c r="U205" s="172">
        <f t="shared" si="22"/>
        <v>1.32</v>
      </c>
      <c r="BP205" s="131">
        <f t="shared" si="26"/>
        <v>204</v>
      </c>
      <c r="BQ205" s="185" t="s">
        <v>388</v>
      </c>
      <c r="BR205" s="130" t="s">
        <v>178</v>
      </c>
      <c r="BS205" s="129" t="s">
        <v>204</v>
      </c>
      <c r="BT205" s="135" t="s">
        <v>180</v>
      </c>
      <c r="BU205" s="135"/>
      <c r="BV205" s="129">
        <v>1</v>
      </c>
      <c r="BW205" s="130" t="s">
        <v>987</v>
      </c>
      <c r="BX205"/>
    </row>
    <row r="206" spans="1:76" ht="12.75">
      <c r="A206" s="153"/>
      <c r="B206" s="146">
        <f t="shared" ca="1" si="23"/>
        <v>42370</v>
      </c>
      <c r="C206" s="141">
        <v>7.4184414444858002E-2</v>
      </c>
      <c r="D206" s="141">
        <v>1.45</v>
      </c>
      <c r="E206" s="141">
        <v>1.45</v>
      </c>
      <c r="F206" s="141">
        <v>0.14350000000000002</v>
      </c>
      <c r="G206" s="141">
        <v>0.15</v>
      </c>
      <c r="H206" s="141">
        <v>0.1585</v>
      </c>
      <c r="I206" s="142">
        <v>3.94</v>
      </c>
      <c r="J206" s="141">
        <v>3.9449999999999998</v>
      </c>
      <c r="K206" s="141">
        <v>3.95</v>
      </c>
      <c r="L206" s="141">
        <v>0</v>
      </c>
      <c r="M206" s="141">
        <v>1.4950000000000001</v>
      </c>
      <c r="O206" s="125">
        <f ca="1">(IF(MONTH(B206)&gt;=4,IF(MONTH(B206)&lt;=10,Inputs!$H$2,Inputs!$H$3),Inputs!$H$3))</f>
        <v>6.5000000000000002E-2</v>
      </c>
      <c r="P206" s="155">
        <f ca="1">J206+(IF($L$2=TRUE,IF(MONTH(B206)&gt;=4,IF(MONTH(B206)&lt;=10,L206,M206),M206),0))+(IF('Pricing Inputs'!$AN$3=2,O206,0))</f>
        <v>5.4399999999999995</v>
      </c>
      <c r="Q206" s="155"/>
      <c r="R206" s="336">
        <f t="shared" ca="1" si="20"/>
        <v>42370</v>
      </c>
      <c r="S206" s="171">
        <f t="shared" si="21"/>
        <v>1.38</v>
      </c>
      <c r="T206" s="170">
        <f t="shared" si="24"/>
        <v>1.45</v>
      </c>
      <c r="U206" s="172">
        <f t="shared" si="22"/>
        <v>1.52</v>
      </c>
      <c r="BP206" s="131">
        <f t="shared" si="26"/>
        <v>205</v>
      </c>
      <c r="BQ206" s="185" t="s">
        <v>389</v>
      </c>
      <c r="BR206" s="130" t="s">
        <v>178</v>
      </c>
      <c r="BS206" s="129" t="s">
        <v>204</v>
      </c>
      <c r="BT206" s="135" t="s">
        <v>180</v>
      </c>
      <c r="BU206" s="135"/>
      <c r="BV206" s="129">
        <v>1</v>
      </c>
      <c r="BW206" s="130" t="s">
        <v>988</v>
      </c>
      <c r="BX206"/>
    </row>
    <row r="207" spans="1:76" ht="12.75">
      <c r="A207" s="153"/>
      <c r="B207" s="146">
        <f t="shared" ca="1" si="23"/>
        <v>42401</v>
      </c>
      <c r="C207" s="141">
        <v>7.4184119726977998E-2</v>
      </c>
      <c r="D207" s="141">
        <v>1.45</v>
      </c>
      <c r="E207" s="141">
        <v>1.45</v>
      </c>
      <c r="F207" s="141">
        <v>0.14350000000000002</v>
      </c>
      <c r="G207" s="141">
        <v>0.15</v>
      </c>
      <c r="H207" s="141">
        <v>0.1585</v>
      </c>
      <c r="I207" s="142">
        <v>3.8220000000000001</v>
      </c>
      <c r="J207" s="141">
        <v>3.8270000000000004</v>
      </c>
      <c r="K207" s="141">
        <v>3.8320000000000003</v>
      </c>
      <c r="L207" s="141">
        <v>0</v>
      </c>
      <c r="M207" s="141">
        <v>1.395</v>
      </c>
      <c r="O207" s="125">
        <f ca="1">(IF(MONTH(B207)&gt;=4,IF(MONTH(B207)&lt;=10,Inputs!$H$2,Inputs!$H$3),Inputs!$H$3))</f>
        <v>6.5000000000000002E-2</v>
      </c>
      <c r="P207" s="155">
        <f ca="1">J207+(IF($L$2=TRUE,IF(MONTH(B207)&gt;=4,IF(MONTH(B207)&lt;=10,L207,M207),M207),0))+(IF('Pricing Inputs'!$AN$3=2,O207,0))</f>
        <v>5.2220000000000004</v>
      </c>
      <c r="Q207" s="155"/>
      <c r="R207" s="336">
        <f t="shared" ca="1" si="20"/>
        <v>42401</v>
      </c>
      <c r="S207" s="171">
        <f t="shared" si="21"/>
        <v>1.38</v>
      </c>
      <c r="T207" s="170">
        <f t="shared" si="24"/>
        <v>1.45</v>
      </c>
      <c r="U207" s="172">
        <f t="shared" si="22"/>
        <v>1.52</v>
      </c>
      <c r="BP207" s="131">
        <f t="shared" si="26"/>
        <v>206</v>
      </c>
      <c r="BQ207" s="185" t="s">
        <v>390</v>
      </c>
      <c r="BR207" s="130" t="s">
        <v>178</v>
      </c>
      <c r="BS207" s="129" t="s">
        <v>204</v>
      </c>
      <c r="BT207" s="135" t="s">
        <v>180</v>
      </c>
      <c r="BU207" s="135"/>
      <c r="BV207" s="129">
        <v>1</v>
      </c>
      <c r="BW207" s="130" t="s">
        <v>989</v>
      </c>
      <c r="BX207"/>
    </row>
    <row r="208" spans="1:76" ht="12.75">
      <c r="A208" s="153"/>
      <c r="B208" s="146">
        <f t="shared" ca="1" si="23"/>
        <v>42430</v>
      </c>
      <c r="C208" s="141">
        <v>7.4183844023154005E-2</v>
      </c>
      <c r="D208" s="141">
        <v>1</v>
      </c>
      <c r="E208" s="141">
        <v>1</v>
      </c>
      <c r="F208" s="141">
        <v>0.14350000000000002</v>
      </c>
      <c r="G208" s="141">
        <v>0.15</v>
      </c>
      <c r="H208" s="141">
        <v>0.1585</v>
      </c>
      <c r="I208" s="142">
        <v>3.702</v>
      </c>
      <c r="J208" s="141">
        <v>3.7070000000000003</v>
      </c>
      <c r="K208" s="141">
        <v>3.7120000000000002</v>
      </c>
      <c r="L208" s="141">
        <v>0</v>
      </c>
      <c r="M208" s="141">
        <v>0.86499999999999999</v>
      </c>
      <c r="O208" s="125">
        <f ca="1">(IF(MONTH(B208)&gt;=4,IF(MONTH(B208)&lt;=10,Inputs!$H$2,Inputs!$H$3),Inputs!$H$3))</f>
        <v>6.5000000000000002E-2</v>
      </c>
      <c r="P208" s="155">
        <f ca="1">J208+(IF($L$2=TRUE,IF(MONTH(B208)&gt;=4,IF(MONTH(B208)&lt;=10,L208,M208),M208),0))+(IF('Pricing Inputs'!$AN$3=2,O208,0))</f>
        <v>4.5720000000000001</v>
      </c>
      <c r="Q208" s="155"/>
      <c r="R208" s="336">
        <f t="shared" ca="1" si="20"/>
        <v>42430</v>
      </c>
      <c r="S208" s="171">
        <f t="shared" si="21"/>
        <v>0.92999999999999994</v>
      </c>
      <c r="T208" s="170">
        <f t="shared" si="24"/>
        <v>1</v>
      </c>
      <c r="U208" s="172">
        <f t="shared" si="22"/>
        <v>1.07</v>
      </c>
      <c r="BP208" s="131">
        <f t="shared" si="26"/>
        <v>207</v>
      </c>
      <c r="BQ208" s="185" t="s">
        <v>391</v>
      </c>
      <c r="BR208" s="130" t="s">
        <v>178</v>
      </c>
      <c r="BS208" s="129" t="s">
        <v>204</v>
      </c>
      <c r="BT208" s="135" t="s">
        <v>180</v>
      </c>
      <c r="BU208" s="135"/>
      <c r="BV208" s="129">
        <v>1</v>
      </c>
      <c r="BW208" s="130" t="s">
        <v>990</v>
      </c>
      <c r="BX208"/>
    </row>
    <row r="209" spans="1:76" ht="12.75">
      <c r="A209" s="153"/>
      <c r="B209" s="146">
        <f t="shared" ca="1" si="23"/>
        <v>42461</v>
      </c>
      <c r="C209" s="141">
        <v>7.4183549305274002E-2</v>
      </c>
      <c r="D209" s="141">
        <v>0.45</v>
      </c>
      <c r="E209" s="141">
        <v>0.45</v>
      </c>
      <c r="F209" s="141">
        <v>0.14350000000000002</v>
      </c>
      <c r="G209" s="141">
        <v>0.15</v>
      </c>
      <c r="H209" s="141">
        <v>0.1585</v>
      </c>
      <c r="I209" s="142">
        <v>3.6524999999999999</v>
      </c>
      <c r="J209" s="141">
        <v>3.6575000000000002</v>
      </c>
      <c r="K209" s="141">
        <v>3.6625000000000001</v>
      </c>
      <c r="L209" s="141">
        <v>0</v>
      </c>
      <c r="M209" s="141">
        <v>0.37</v>
      </c>
      <c r="O209" s="125">
        <f ca="1">(IF(MONTH(B209)&gt;=4,IF(MONTH(B209)&lt;=10,Inputs!$H$2,Inputs!$H$3),Inputs!$H$3))</f>
        <v>6.5000000000000002E-2</v>
      </c>
      <c r="P209" s="155">
        <f ca="1">J209+(IF($L$2=TRUE,IF(MONTH(B209)&gt;=4,IF(MONTH(B209)&lt;=10,L209,M209),M209),0))+(IF('Pricing Inputs'!$AN$3=2,O209,0))</f>
        <v>3.6575000000000002</v>
      </c>
      <c r="Q209" s="155"/>
      <c r="R209" s="336">
        <f t="shared" ref="R209:R272" ca="1" si="27">B209</f>
        <v>42461</v>
      </c>
      <c r="S209" s="171">
        <f t="shared" ref="S209:S233" si="28">T209-$S$16</f>
        <v>0.38</v>
      </c>
      <c r="T209" s="170">
        <f t="shared" si="24"/>
        <v>0.45</v>
      </c>
      <c r="U209" s="172">
        <f t="shared" ref="U209:U272" si="29">$U$16+T209</f>
        <v>0.52</v>
      </c>
      <c r="BP209" s="131">
        <f t="shared" si="26"/>
        <v>208</v>
      </c>
      <c r="BQ209" s="185" t="s">
        <v>392</v>
      </c>
      <c r="BR209" s="130" t="s">
        <v>178</v>
      </c>
      <c r="BS209" s="129" t="s">
        <v>204</v>
      </c>
      <c r="BT209" s="135" t="s">
        <v>180</v>
      </c>
      <c r="BU209" s="135"/>
      <c r="BV209" s="129">
        <v>1</v>
      </c>
      <c r="BW209" s="130" t="s">
        <v>991</v>
      </c>
      <c r="BX209"/>
    </row>
    <row r="210" spans="1:76" ht="12.75">
      <c r="A210" s="153"/>
      <c r="B210" s="146">
        <f t="shared" ref="B210:B273" ca="1" si="30">NextMonth(B209)</f>
        <v>42491</v>
      </c>
      <c r="C210" s="141">
        <v>7.4183264094421997E-2</v>
      </c>
      <c r="D210" s="141">
        <v>0.5</v>
      </c>
      <c r="E210" s="141">
        <v>0.5</v>
      </c>
      <c r="F210" s="141">
        <v>0.14350000000000002</v>
      </c>
      <c r="G210" s="141">
        <v>0.15</v>
      </c>
      <c r="H210" s="141">
        <v>0.1585</v>
      </c>
      <c r="I210" s="142">
        <v>3.6265000000000001</v>
      </c>
      <c r="J210" s="141">
        <v>3.6315000000000004</v>
      </c>
      <c r="K210" s="141">
        <v>3.6365000000000003</v>
      </c>
      <c r="L210" s="141">
        <v>0</v>
      </c>
      <c r="M210" s="141">
        <v>0.2525</v>
      </c>
      <c r="O210" s="125">
        <f ca="1">(IF(MONTH(B210)&gt;=4,IF(MONTH(B210)&lt;=10,Inputs!$H$2,Inputs!$H$3),Inputs!$H$3))</f>
        <v>6.5000000000000002E-2</v>
      </c>
      <c r="P210" s="155">
        <f ca="1">J210+(IF($L$2=TRUE,IF(MONTH(B210)&gt;=4,IF(MONTH(B210)&lt;=10,L210,M210),M210),0))+(IF('Pricing Inputs'!$AN$3=2,O210,0))</f>
        <v>3.6315000000000004</v>
      </c>
      <c r="Q210" s="155"/>
      <c r="R210" s="336">
        <f t="shared" ca="1" si="27"/>
        <v>42491</v>
      </c>
      <c r="S210" s="171">
        <f t="shared" si="28"/>
        <v>0.43</v>
      </c>
      <c r="T210" s="170">
        <f t="shared" ref="T210:T233" si="31">D210</f>
        <v>0.5</v>
      </c>
      <c r="U210" s="172">
        <f t="shared" si="29"/>
        <v>0.57000000000000006</v>
      </c>
      <c r="BP210" s="131">
        <f t="shared" si="26"/>
        <v>209</v>
      </c>
      <c r="BQ210" s="185" t="s">
        <v>393</v>
      </c>
      <c r="BR210" s="130" t="s">
        <v>178</v>
      </c>
      <c r="BS210" s="129" t="s">
        <v>204</v>
      </c>
      <c r="BT210" s="135" t="s">
        <v>180</v>
      </c>
      <c r="BU210" s="135"/>
      <c r="BV210" s="129">
        <v>1</v>
      </c>
      <c r="BW210" s="130" t="s">
        <v>992</v>
      </c>
      <c r="BX210"/>
    </row>
    <row r="211" spans="1:76" ht="12.75">
      <c r="A211" s="153"/>
      <c r="B211" s="146">
        <f t="shared" ca="1" si="30"/>
        <v>42522</v>
      </c>
      <c r="C211" s="141">
        <v>7.4182969376542007E-2</v>
      </c>
      <c r="D211" s="141">
        <v>0.5</v>
      </c>
      <c r="E211" s="141">
        <v>0.5</v>
      </c>
      <c r="F211" s="141">
        <v>0.14350000000000002</v>
      </c>
      <c r="G211" s="141">
        <v>0.15</v>
      </c>
      <c r="H211" s="141">
        <v>0.1585</v>
      </c>
      <c r="I211" s="142">
        <v>3.6324999999999998</v>
      </c>
      <c r="J211" s="141">
        <v>3.6375000000000002</v>
      </c>
      <c r="K211" s="141">
        <v>3.6425000000000001</v>
      </c>
      <c r="L211" s="141">
        <v>0</v>
      </c>
      <c r="M211" s="141">
        <v>0.2525</v>
      </c>
      <c r="O211" s="125">
        <f ca="1">(IF(MONTH(B211)&gt;=4,IF(MONTH(B211)&lt;=10,Inputs!$H$2,Inputs!$H$3),Inputs!$H$3))</f>
        <v>6.5000000000000002E-2</v>
      </c>
      <c r="P211" s="155">
        <f ca="1">J211+(IF($L$2=TRUE,IF(MONTH(B211)&gt;=4,IF(MONTH(B211)&lt;=10,L211,M211),M211),0))+(IF('Pricing Inputs'!$AN$3=2,O211,0))</f>
        <v>3.6375000000000002</v>
      </c>
      <c r="Q211" s="155"/>
      <c r="R211" s="336">
        <f t="shared" ca="1" si="27"/>
        <v>42522</v>
      </c>
      <c r="S211" s="171">
        <f t="shared" si="28"/>
        <v>0.43</v>
      </c>
      <c r="T211" s="170">
        <f t="shared" si="31"/>
        <v>0.5</v>
      </c>
      <c r="U211" s="172">
        <f t="shared" si="29"/>
        <v>0.57000000000000006</v>
      </c>
      <c r="BP211" s="131">
        <f t="shared" si="26"/>
        <v>210</v>
      </c>
      <c r="BQ211" s="185" t="s">
        <v>394</v>
      </c>
      <c r="BR211" s="130" t="s">
        <v>178</v>
      </c>
      <c r="BS211" s="129" t="s">
        <v>204</v>
      </c>
      <c r="BT211" s="135" t="s">
        <v>180</v>
      </c>
      <c r="BU211" s="135"/>
      <c r="BV211" s="129">
        <v>1</v>
      </c>
      <c r="BW211" s="130" t="s">
        <v>993</v>
      </c>
      <c r="BX211"/>
    </row>
    <row r="212" spans="1:76" ht="12.75">
      <c r="A212" s="153"/>
      <c r="B212" s="146">
        <f t="shared" ca="1" si="30"/>
        <v>42552</v>
      </c>
      <c r="C212" s="141">
        <v>7.4182684165690002E-2</v>
      </c>
      <c r="D212" s="141">
        <v>0.5</v>
      </c>
      <c r="E212" s="141">
        <v>0.5</v>
      </c>
      <c r="F212" s="141">
        <v>0.14350000000000002</v>
      </c>
      <c r="G212" s="141">
        <v>0.15</v>
      </c>
      <c r="H212" s="141">
        <v>0.1585</v>
      </c>
      <c r="I212" s="142">
        <v>3.6425000000000001</v>
      </c>
      <c r="J212" s="141">
        <v>3.6475</v>
      </c>
      <c r="K212" s="141">
        <v>3.6524999999999999</v>
      </c>
      <c r="L212" s="141">
        <v>0</v>
      </c>
      <c r="M212" s="141">
        <v>0.25750000000000001</v>
      </c>
      <c r="O212" s="125">
        <f ca="1">(IF(MONTH(B212)&gt;=4,IF(MONTH(B212)&lt;=10,Inputs!$H$2,Inputs!$H$3),Inputs!$H$3))</f>
        <v>6.5000000000000002E-2</v>
      </c>
      <c r="P212" s="155">
        <f ca="1">J212+(IF($L$2=TRUE,IF(MONTH(B212)&gt;=4,IF(MONTH(B212)&lt;=10,L212,M212),M212),0))+(IF('Pricing Inputs'!$AN$3=2,O212,0))</f>
        <v>3.6475</v>
      </c>
      <c r="Q212" s="155"/>
      <c r="R212" s="336">
        <f t="shared" ca="1" si="27"/>
        <v>42552</v>
      </c>
      <c r="S212" s="171">
        <f t="shared" si="28"/>
        <v>0.43</v>
      </c>
      <c r="T212" s="170">
        <f t="shared" si="31"/>
        <v>0.5</v>
      </c>
      <c r="U212" s="172">
        <f t="shared" si="29"/>
        <v>0.57000000000000006</v>
      </c>
      <c r="BP212" s="131">
        <f t="shared" si="26"/>
        <v>211</v>
      </c>
      <c r="BQ212" s="185" t="s">
        <v>395</v>
      </c>
      <c r="BR212" s="130" t="s">
        <v>178</v>
      </c>
      <c r="BS212" s="129" t="s">
        <v>204</v>
      </c>
      <c r="BT212" s="135" t="s">
        <v>180</v>
      </c>
      <c r="BU212" s="135"/>
      <c r="BV212" s="129">
        <v>1</v>
      </c>
      <c r="BW212" s="130" t="s">
        <v>994</v>
      </c>
      <c r="BX212"/>
    </row>
    <row r="213" spans="1:76" ht="12.75">
      <c r="A213" s="153"/>
      <c r="B213" s="146">
        <f t="shared" ca="1" si="30"/>
        <v>42583</v>
      </c>
      <c r="C213" s="141">
        <v>7.4182389447809999E-2</v>
      </c>
      <c r="D213" s="141">
        <v>0.6</v>
      </c>
      <c r="E213" s="141">
        <v>0.6</v>
      </c>
      <c r="F213" s="141">
        <v>0.14350000000000002</v>
      </c>
      <c r="G213" s="141">
        <v>0.15</v>
      </c>
      <c r="H213" s="141">
        <v>0.1585</v>
      </c>
      <c r="I213" s="142">
        <v>3.6495000000000002</v>
      </c>
      <c r="J213" s="141">
        <v>3.6545000000000001</v>
      </c>
      <c r="K213" s="141">
        <v>3.6595</v>
      </c>
      <c r="L213" s="141">
        <v>0</v>
      </c>
      <c r="M213" s="141">
        <v>0.25750000000000001</v>
      </c>
      <c r="O213" s="125">
        <f ca="1">(IF(MONTH(B213)&gt;=4,IF(MONTH(B213)&lt;=10,Inputs!$H$2,Inputs!$H$3),Inputs!$H$3))</f>
        <v>6.5000000000000002E-2</v>
      </c>
      <c r="P213" s="155">
        <f ca="1">J213+(IF($L$2=TRUE,IF(MONTH(B213)&gt;=4,IF(MONTH(B213)&lt;=10,L213,M213),M213),0))+(IF('Pricing Inputs'!$AN$3=2,O213,0))</f>
        <v>3.6545000000000001</v>
      </c>
      <c r="Q213" s="155"/>
      <c r="R213" s="336">
        <f t="shared" ca="1" si="27"/>
        <v>42583</v>
      </c>
      <c r="S213" s="171">
        <f t="shared" si="28"/>
        <v>0.53</v>
      </c>
      <c r="T213" s="170">
        <f t="shared" si="31"/>
        <v>0.6</v>
      </c>
      <c r="U213" s="172">
        <f t="shared" si="29"/>
        <v>0.66999999999999993</v>
      </c>
      <c r="BP213" s="131">
        <f t="shared" si="26"/>
        <v>212</v>
      </c>
      <c r="BQ213" s="185" t="s">
        <v>396</v>
      </c>
      <c r="BR213" s="130" t="s">
        <v>178</v>
      </c>
      <c r="BS213" s="129" t="s">
        <v>204</v>
      </c>
      <c r="BT213" s="135" t="s">
        <v>180</v>
      </c>
      <c r="BU213" s="135"/>
      <c r="BV213" s="129">
        <v>1</v>
      </c>
      <c r="BW213" s="130" t="s">
        <v>995</v>
      </c>
      <c r="BX213"/>
    </row>
    <row r="214" spans="1:76" ht="12.75">
      <c r="A214" s="153"/>
      <c r="B214" s="146">
        <f t="shared" ca="1" si="30"/>
        <v>42614</v>
      </c>
      <c r="C214" s="141">
        <v>7.4182094729929995E-2</v>
      </c>
      <c r="D214" s="141">
        <v>0.6</v>
      </c>
      <c r="E214" s="141">
        <v>0.6</v>
      </c>
      <c r="F214" s="141">
        <v>0.14350000000000002</v>
      </c>
      <c r="G214" s="141">
        <v>0.15</v>
      </c>
      <c r="H214" s="141">
        <v>0.1585</v>
      </c>
      <c r="I214" s="142">
        <v>3.6565000000000003</v>
      </c>
      <c r="J214" s="141">
        <v>3.6615000000000002</v>
      </c>
      <c r="K214" s="141">
        <v>3.6665000000000001</v>
      </c>
      <c r="L214" s="141">
        <v>0</v>
      </c>
      <c r="M214" s="141">
        <v>0.2525</v>
      </c>
      <c r="O214" s="125">
        <f ca="1">(IF(MONTH(B214)&gt;=4,IF(MONTH(B214)&lt;=10,Inputs!$H$2,Inputs!$H$3),Inputs!$H$3))</f>
        <v>6.5000000000000002E-2</v>
      </c>
      <c r="P214" s="155">
        <f ca="1">J214+(IF($L$2=TRUE,IF(MONTH(B214)&gt;=4,IF(MONTH(B214)&lt;=10,L214,M214),M214),0))+(IF('Pricing Inputs'!$AN$3=2,O214,0))</f>
        <v>3.6615000000000002</v>
      </c>
      <c r="Q214" s="155"/>
      <c r="R214" s="336">
        <f t="shared" ca="1" si="27"/>
        <v>42614</v>
      </c>
      <c r="S214" s="171">
        <f t="shared" si="28"/>
        <v>0.53</v>
      </c>
      <c r="T214" s="170">
        <f t="shared" si="31"/>
        <v>0.6</v>
      </c>
      <c r="U214" s="172">
        <f t="shared" si="29"/>
        <v>0.66999999999999993</v>
      </c>
      <c r="BP214" s="131">
        <f t="shared" si="26"/>
        <v>213</v>
      </c>
      <c r="BQ214" s="185" t="s">
        <v>397</v>
      </c>
      <c r="BR214" s="130" t="s">
        <v>178</v>
      </c>
      <c r="BS214" s="129" t="s">
        <v>204</v>
      </c>
      <c r="BT214" s="135" t="s">
        <v>180</v>
      </c>
      <c r="BU214" s="135"/>
      <c r="BV214" s="129">
        <v>1</v>
      </c>
      <c r="BW214" s="130" t="s">
        <v>996</v>
      </c>
      <c r="BX214"/>
    </row>
    <row r="215" spans="1:76" ht="12.75">
      <c r="A215" s="153"/>
      <c r="B215" s="146">
        <f t="shared" ca="1" si="30"/>
        <v>42644</v>
      </c>
      <c r="C215" s="141">
        <v>7.4181809519078004E-2</v>
      </c>
      <c r="D215" s="141">
        <v>0.65</v>
      </c>
      <c r="E215" s="141">
        <v>0.65</v>
      </c>
      <c r="F215" s="141">
        <v>0.14350000000000002</v>
      </c>
      <c r="G215" s="141">
        <v>0.15</v>
      </c>
      <c r="H215" s="141">
        <v>0.1585</v>
      </c>
      <c r="I215" s="142">
        <v>3.6825000000000001</v>
      </c>
      <c r="J215" s="141">
        <v>3.6875</v>
      </c>
      <c r="K215" s="141">
        <v>3.6924999999999999</v>
      </c>
      <c r="L215" s="141">
        <v>0</v>
      </c>
      <c r="M215" s="141">
        <v>0.255</v>
      </c>
      <c r="O215" s="125">
        <f ca="1">(IF(MONTH(B215)&gt;=4,IF(MONTH(B215)&lt;=10,Inputs!$H$2,Inputs!$H$3),Inputs!$H$3))</f>
        <v>6.5000000000000002E-2</v>
      </c>
      <c r="P215" s="155">
        <f ca="1">J215+(IF($L$2=TRUE,IF(MONTH(B215)&gt;=4,IF(MONTH(B215)&lt;=10,L215,M215),M215),0))+(IF('Pricing Inputs'!$AN$3=2,O215,0))</f>
        <v>3.6875</v>
      </c>
      <c r="Q215" s="155"/>
      <c r="R215" s="336">
        <f t="shared" ca="1" si="27"/>
        <v>42644</v>
      </c>
      <c r="S215" s="171">
        <f t="shared" si="28"/>
        <v>0.58000000000000007</v>
      </c>
      <c r="T215" s="170">
        <f t="shared" si="31"/>
        <v>0.65</v>
      </c>
      <c r="U215" s="172">
        <f t="shared" si="29"/>
        <v>0.72</v>
      </c>
      <c r="BP215" s="131">
        <f t="shared" si="26"/>
        <v>214</v>
      </c>
      <c r="BQ215" s="185" t="s">
        <v>398</v>
      </c>
      <c r="BR215" s="130" t="s">
        <v>178</v>
      </c>
      <c r="BS215" s="129" t="s">
        <v>204</v>
      </c>
      <c r="BT215" s="135" t="s">
        <v>180</v>
      </c>
      <c r="BU215" s="135"/>
      <c r="BV215" s="129">
        <v>1</v>
      </c>
      <c r="BW215" s="130" t="s">
        <v>997</v>
      </c>
      <c r="BX215"/>
    </row>
    <row r="216" spans="1:76" ht="12.75">
      <c r="A216" s="153"/>
      <c r="B216" s="146">
        <f t="shared" ca="1" si="30"/>
        <v>42675</v>
      </c>
      <c r="C216" s="141">
        <v>7.4181514801198001E-2</v>
      </c>
      <c r="D216" s="141">
        <v>0.95</v>
      </c>
      <c r="E216" s="141">
        <v>0.95</v>
      </c>
      <c r="F216" s="141">
        <v>0.14350000000000002</v>
      </c>
      <c r="G216" s="141">
        <v>0.15</v>
      </c>
      <c r="H216" s="141">
        <v>0.1585</v>
      </c>
      <c r="I216" s="142">
        <v>3.8174999999999999</v>
      </c>
      <c r="J216" s="141">
        <v>3.8224999999999998</v>
      </c>
      <c r="K216" s="141">
        <v>3.8275000000000001</v>
      </c>
      <c r="L216" s="141">
        <v>0</v>
      </c>
      <c r="M216" s="141">
        <v>0.71499999999999997</v>
      </c>
      <c r="O216" s="125">
        <f ca="1">(IF(MONTH(B216)&gt;=4,IF(MONTH(B216)&lt;=10,Inputs!$H$2,Inputs!$H$3),Inputs!$H$3))</f>
        <v>6.5000000000000002E-2</v>
      </c>
      <c r="P216" s="155">
        <f ca="1">J216+(IF($L$2=TRUE,IF(MONTH(B216)&gt;=4,IF(MONTH(B216)&lt;=10,L216,M216),M216),0))+(IF('Pricing Inputs'!$AN$3=2,O216,0))</f>
        <v>4.5374999999999996</v>
      </c>
      <c r="Q216" s="155"/>
      <c r="R216" s="336">
        <f t="shared" ca="1" si="27"/>
        <v>42675</v>
      </c>
      <c r="S216" s="171">
        <f t="shared" si="28"/>
        <v>0.87999999999999989</v>
      </c>
      <c r="T216" s="170">
        <f t="shared" si="31"/>
        <v>0.95</v>
      </c>
      <c r="U216" s="172">
        <f t="shared" si="29"/>
        <v>1.02</v>
      </c>
      <c r="BP216" s="131">
        <f t="shared" si="26"/>
        <v>215</v>
      </c>
      <c r="BQ216" s="185" t="s">
        <v>399</v>
      </c>
      <c r="BR216" s="130" t="s">
        <v>178</v>
      </c>
      <c r="BS216" s="129" t="s">
        <v>204</v>
      </c>
      <c r="BT216" s="135" t="s">
        <v>180</v>
      </c>
      <c r="BU216" s="135"/>
      <c r="BV216" s="129">
        <v>1</v>
      </c>
      <c r="BW216" s="130" t="s">
        <v>998</v>
      </c>
      <c r="BX216"/>
    </row>
    <row r="217" spans="1:76" ht="12.75">
      <c r="A217" s="153"/>
      <c r="B217" s="146">
        <f t="shared" ca="1" si="30"/>
        <v>42705</v>
      </c>
      <c r="C217" s="141">
        <v>7.4181229590345996E-2</v>
      </c>
      <c r="D217" s="141">
        <v>1.25</v>
      </c>
      <c r="E217" s="141">
        <v>1.25</v>
      </c>
      <c r="F217" s="141">
        <v>0.14350000000000002</v>
      </c>
      <c r="G217" s="141">
        <v>0.15</v>
      </c>
      <c r="H217" s="141">
        <v>0.1585</v>
      </c>
      <c r="I217" s="142">
        <v>3.9415</v>
      </c>
      <c r="J217" s="141">
        <v>3.9465000000000003</v>
      </c>
      <c r="K217" s="141">
        <v>3.9515000000000002</v>
      </c>
      <c r="L217" s="141">
        <v>0</v>
      </c>
      <c r="M217" s="141">
        <v>1.03</v>
      </c>
      <c r="O217" s="125">
        <f ca="1">(IF(MONTH(B217)&gt;=4,IF(MONTH(B217)&lt;=10,Inputs!$H$2,Inputs!$H$3),Inputs!$H$3))</f>
        <v>6.5000000000000002E-2</v>
      </c>
      <c r="P217" s="155">
        <f ca="1">J217+(IF($L$2=TRUE,IF(MONTH(B217)&gt;=4,IF(MONTH(B217)&lt;=10,L217,M217),M217),0))+(IF('Pricing Inputs'!$AN$3=2,O217,0))</f>
        <v>4.9765000000000006</v>
      </c>
      <c r="Q217" s="155"/>
      <c r="R217" s="336">
        <f t="shared" ca="1" si="27"/>
        <v>42705</v>
      </c>
      <c r="S217" s="171">
        <f t="shared" si="28"/>
        <v>1.18</v>
      </c>
      <c r="T217" s="170">
        <f t="shared" si="31"/>
        <v>1.25</v>
      </c>
      <c r="U217" s="172">
        <f t="shared" si="29"/>
        <v>1.32</v>
      </c>
      <c r="BP217" s="131">
        <f t="shared" si="26"/>
        <v>216</v>
      </c>
      <c r="BQ217" s="185" t="s">
        <v>400</v>
      </c>
      <c r="BR217" s="130" t="s">
        <v>178</v>
      </c>
      <c r="BS217" s="129" t="s">
        <v>204</v>
      </c>
      <c r="BT217" s="135" t="s">
        <v>180</v>
      </c>
      <c r="BU217" s="135"/>
      <c r="BV217" s="129">
        <v>1</v>
      </c>
      <c r="BW217" s="130" t="s">
        <v>999</v>
      </c>
      <c r="BX217"/>
    </row>
    <row r="218" spans="1:76" ht="12.75">
      <c r="A218" s="153"/>
      <c r="B218" s="146">
        <f t="shared" ca="1" si="30"/>
        <v>42736</v>
      </c>
      <c r="C218" s="141">
        <v>7.4180934872467005E-2</v>
      </c>
      <c r="D218" s="141">
        <v>1.45</v>
      </c>
      <c r="E218" s="141">
        <v>1.45</v>
      </c>
      <c r="F218" s="141">
        <v>0.14350000000000002</v>
      </c>
      <c r="G218" s="141">
        <v>0.15</v>
      </c>
      <c r="H218" s="141">
        <v>0.1585</v>
      </c>
      <c r="I218" s="142">
        <v>4.05</v>
      </c>
      <c r="J218" s="141">
        <v>4.0549999999999997</v>
      </c>
      <c r="K218" s="141">
        <v>4.0599999999999996</v>
      </c>
      <c r="L218" s="141">
        <v>0</v>
      </c>
      <c r="M218" s="141">
        <v>1.4950000000000001</v>
      </c>
      <c r="O218" s="125">
        <f ca="1">(IF(MONTH(B218)&gt;=4,IF(MONTH(B218)&lt;=10,Inputs!$H$2,Inputs!$H$3),Inputs!$H$3))</f>
        <v>6.5000000000000002E-2</v>
      </c>
      <c r="P218" s="155">
        <f ca="1">J218+(IF($L$2=TRUE,IF(MONTH(B218)&gt;=4,IF(MONTH(B218)&lt;=10,L218,M218),M218),0))+(IF('Pricing Inputs'!$AN$3=2,O218,0))</f>
        <v>5.55</v>
      </c>
      <c r="Q218" s="155"/>
      <c r="R218" s="336">
        <f t="shared" ca="1" si="27"/>
        <v>42736</v>
      </c>
      <c r="S218" s="171">
        <f t="shared" si="28"/>
        <v>1.38</v>
      </c>
      <c r="T218" s="170">
        <f t="shared" si="31"/>
        <v>1.45</v>
      </c>
      <c r="U218" s="172">
        <f t="shared" si="29"/>
        <v>1.52</v>
      </c>
      <c r="BP218" s="131">
        <f t="shared" si="26"/>
        <v>217</v>
      </c>
      <c r="BQ218" s="185" t="s">
        <v>401</v>
      </c>
      <c r="BR218" s="130" t="s">
        <v>178</v>
      </c>
      <c r="BS218" s="129" t="s">
        <v>204</v>
      </c>
      <c r="BT218" s="135" t="s">
        <v>180</v>
      </c>
      <c r="BU218" s="135"/>
      <c r="BV218" s="129">
        <v>1</v>
      </c>
      <c r="BW218" s="130" t="s">
        <v>1000</v>
      </c>
      <c r="BX218"/>
    </row>
    <row r="219" spans="1:76" ht="12.75">
      <c r="A219" s="153"/>
      <c r="B219" s="146">
        <f t="shared" ca="1" si="30"/>
        <v>42767</v>
      </c>
      <c r="C219" s="141">
        <v>7.4180640154587002E-2</v>
      </c>
      <c r="D219" s="141">
        <v>1.45</v>
      </c>
      <c r="E219" s="141">
        <v>1.45</v>
      </c>
      <c r="F219" s="141">
        <v>0.14350000000000002</v>
      </c>
      <c r="G219" s="141">
        <v>0.15</v>
      </c>
      <c r="H219" s="141">
        <v>0.1585</v>
      </c>
      <c r="I219" s="142">
        <v>3.9320000000000004</v>
      </c>
      <c r="J219" s="141">
        <v>3.9370000000000003</v>
      </c>
      <c r="K219" s="141">
        <v>3.9420000000000002</v>
      </c>
      <c r="L219" s="141">
        <v>0</v>
      </c>
      <c r="M219" s="141">
        <v>1.395</v>
      </c>
      <c r="O219" s="125">
        <f ca="1">(IF(MONTH(B219)&gt;=4,IF(MONTH(B219)&lt;=10,Inputs!$H$2,Inputs!$H$3),Inputs!$H$3))</f>
        <v>6.5000000000000002E-2</v>
      </c>
      <c r="P219" s="155">
        <f ca="1">J219+(IF($L$2=TRUE,IF(MONTH(B219)&gt;=4,IF(MONTH(B219)&lt;=10,L219,M219),M219),0))+(IF('Pricing Inputs'!$AN$3=2,O219,0))</f>
        <v>5.3320000000000007</v>
      </c>
      <c r="Q219" s="155"/>
      <c r="R219" s="336">
        <f t="shared" ca="1" si="27"/>
        <v>42767</v>
      </c>
      <c r="S219" s="171">
        <f t="shared" si="28"/>
        <v>1.38</v>
      </c>
      <c r="T219" s="170">
        <f t="shared" si="31"/>
        <v>1.45</v>
      </c>
      <c r="U219" s="172">
        <f t="shared" si="29"/>
        <v>1.52</v>
      </c>
      <c r="BP219" s="131">
        <f t="shared" si="26"/>
        <v>218</v>
      </c>
      <c r="BQ219" s="185" t="s">
        <v>402</v>
      </c>
      <c r="BR219" s="130" t="s">
        <v>178</v>
      </c>
      <c r="BS219" s="129" t="s">
        <v>204</v>
      </c>
      <c r="BT219" s="135" t="s">
        <v>180</v>
      </c>
      <c r="BU219" s="135"/>
      <c r="BV219" s="129">
        <v>1</v>
      </c>
      <c r="BW219" s="130" t="s">
        <v>1001</v>
      </c>
      <c r="BX219"/>
    </row>
    <row r="220" spans="1:76" ht="12.75">
      <c r="A220" s="153"/>
      <c r="B220" s="146">
        <f t="shared" ca="1" si="30"/>
        <v>42795</v>
      </c>
      <c r="C220" s="141">
        <v>7.4180373957792006E-2</v>
      </c>
      <c r="D220" s="141">
        <v>1</v>
      </c>
      <c r="E220" s="141">
        <v>1</v>
      </c>
      <c r="F220" s="141">
        <v>0.14350000000000002</v>
      </c>
      <c r="G220" s="141">
        <v>0.15</v>
      </c>
      <c r="H220" s="141">
        <v>0.1585</v>
      </c>
      <c r="I220" s="142">
        <v>3.8120000000000003</v>
      </c>
      <c r="J220" s="141">
        <v>3.8170000000000002</v>
      </c>
      <c r="K220" s="141">
        <v>3.8220000000000001</v>
      </c>
      <c r="L220" s="141">
        <v>0</v>
      </c>
      <c r="M220" s="141">
        <v>0.86499999999999999</v>
      </c>
      <c r="O220" s="125">
        <f ca="1">(IF(MONTH(B220)&gt;=4,IF(MONTH(B220)&lt;=10,Inputs!$H$2,Inputs!$H$3),Inputs!$H$3))</f>
        <v>6.5000000000000002E-2</v>
      </c>
      <c r="P220" s="155">
        <f ca="1">J220+(IF($L$2=TRUE,IF(MONTH(B220)&gt;=4,IF(MONTH(B220)&lt;=10,L220,M220),M220),0))+(IF('Pricing Inputs'!$AN$3=2,O220,0))</f>
        <v>4.6820000000000004</v>
      </c>
      <c r="Q220" s="155"/>
      <c r="R220" s="336">
        <f t="shared" ca="1" si="27"/>
        <v>42795</v>
      </c>
      <c r="S220" s="171">
        <f t="shared" si="28"/>
        <v>0.92999999999999994</v>
      </c>
      <c r="T220" s="170">
        <f t="shared" si="31"/>
        <v>1</v>
      </c>
      <c r="U220" s="172">
        <f t="shared" si="29"/>
        <v>1.07</v>
      </c>
      <c r="BP220" s="131">
        <f t="shared" si="26"/>
        <v>219</v>
      </c>
      <c r="BQ220" s="185" t="s">
        <v>403</v>
      </c>
      <c r="BR220" s="130" t="s">
        <v>178</v>
      </c>
      <c r="BS220" s="129" t="s">
        <v>204</v>
      </c>
      <c r="BT220" s="135" t="s">
        <v>180</v>
      </c>
      <c r="BU220" s="135"/>
      <c r="BV220" s="129">
        <v>1</v>
      </c>
      <c r="BW220" s="130" t="s">
        <v>1002</v>
      </c>
      <c r="BX220"/>
    </row>
    <row r="221" spans="1:76" ht="12.75">
      <c r="A221" s="153"/>
      <c r="B221" s="146">
        <f t="shared" ca="1" si="30"/>
        <v>42826</v>
      </c>
      <c r="C221" s="141">
        <v>7.4180079239912003E-2</v>
      </c>
      <c r="D221" s="141">
        <v>0.45</v>
      </c>
      <c r="E221" s="141">
        <v>0.45</v>
      </c>
      <c r="F221" s="141">
        <v>0.14350000000000002</v>
      </c>
      <c r="G221" s="141">
        <v>0.15</v>
      </c>
      <c r="H221" s="141">
        <v>0.1585</v>
      </c>
      <c r="I221" s="142">
        <v>3.7625000000000002</v>
      </c>
      <c r="J221" s="141">
        <v>3.7675000000000001</v>
      </c>
      <c r="K221" s="141">
        <v>3.7725</v>
      </c>
      <c r="L221" s="141">
        <v>0</v>
      </c>
      <c r="M221" s="141">
        <v>0.37</v>
      </c>
      <c r="O221" s="125">
        <f ca="1">(IF(MONTH(B221)&gt;=4,IF(MONTH(B221)&lt;=10,Inputs!$H$2,Inputs!$H$3),Inputs!$H$3))</f>
        <v>6.5000000000000002E-2</v>
      </c>
      <c r="P221" s="155">
        <f ca="1">J221+(IF($L$2=TRUE,IF(MONTH(B221)&gt;=4,IF(MONTH(B221)&lt;=10,L221,M221),M221),0))+(IF('Pricing Inputs'!$AN$3=2,O221,0))</f>
        <v>3.7675000000000001</v>
      </c>
      <c r="Q221" s="155"/>
      <c r="R221" s="336">
        <f t="shared" ca="1" si="27"/>
        <v>42826</v>
      </c>
      <c r="S221" s="171">
        <f t="shared" si="28"/>
        <v>0.38</v>
      </c>
      <c r="T221" s="170">
        <f t="shared" si="31"/>
        <v>0.45</v>
      </c>
      <c r="U221" s="172">
        <f t="shared" si="29"/>
        <v>0.52</v>
      </c>
      <c r="BP221" s="131">
        <f t="shared" si="26"/>
        <v>220</v>
      </c>
      <c r="BQ221" s="185" t="s">
        <v>404</v>
      </c>
      <c r="BR221" s="130" t="s">
        <v>178</v>
      </c>
      <c r="BS221" s="129" t="s">
        <v>204</v>
      </c>
      <c r="BT221" s="135" t="s">
        <v>180</v>
      </c>
      <c r="BU221" s="135"/>
      <c r="BV221" s="129">
        <v>1</v>
      </c>
      <c r="BW221" s="130" t="s">
        <v>1003</v>
      </c>
      <c r="BX221"/>
    </row>
    <row r="222" spans="1:76" ht="12.75">
      <c r="A222" s="153"/>
      <c r="B222" s="146">
        <f t="shared" ca="1" si="30"/>
        <v>42856</v>
      </c>
      <c r="C222" s="141">
        <v>7.4179794029059998E-2</v>
      </c>
      <c r="D222" s="141">
        <v>0.5</v>
      </c>
      <c r="E222" s="141">
        <v>0.5</v>
      </c>
      <c r="F222" s="141">
        <v>0.14350000000000002</v>
      </c>
      <c r="G222" s="141">
        <v>0.15</v>
      </c>
      <c r="H222" s="141">
        <v>0.1585</v>
      </c>
      <c r="I222" s="142">
        <v>3.7365000000000004</v>
      </c>
      <c r="J222" s="141">
        <v>3.7415000000000003</v>
      </c>
      <c r="K222" s="141">
        <v>3.7465000000000002</v>
      </c>
      <c r="L222" s="141">
        <v>0</v>
      </c>
      <c r="M222" s="141">
        <v>0.2525</v>
      </c>
      <c r="O222" s="125">
        <f ca="1">(IF(MONTH(B222)&gt;=4,IF(MONTH(B222)&lt;=10,Inputs!$H$2,Inputs!$H$3),Inputs!$H$3))</f>
        <v>6.5000000000000002E-2</v>
      </c>
      <c r="P222" s="155">
        <f ca="1">J222+(IF($L$2=TRUE,IF(MONTH(B222)&gt;=4,IF(MONTH(B222)&lt;=10,L222,M222),M222),0))+(IF('Pricing Inputs'!$AN$3=2,O222,0))</f>
        <v>3.7415000000000003</v>
      </c>
      <c r="Q222" s="155"/>
      <c r="R222" s="336">
        <f t="shared" ca="1" si="27"/>
        <v>42856</v>
      </c>
      <c r="S222" s="171">
        <f t="shared" si="28"/>
        <v>0.43</v>
      </c>
      <c r="T222" s="170">
        <f t="shared" si="31"/>
        <v>0.5</v>
      </c>
      <c r="U222" s="172">
        <f t="shared" si="29"/>
        <v>0.57000000000000006</v>
      </c>
      <c r="BP222" s="131">
        <f t="shared" si="26"/>
        <v>221</v>
      </c>
      <c r="BQ222" s="185" t="s">
        <v>405</v>
      </c>
      <c r="BR222" s="130" t="s">
        <v>178</v>
      </c>
      <c r="BS222" s="129" t="s">
        <v>204</v>
      </c>
      <c r="BT222" s="135" t="s">
        <v>180</v>
      </c>
      <c r="BU222" s="135"/>
      <c r="BV222" s="129">
        <v>1</v>
      </c>
      <c r="BW222" s="130" t="s">
        <v>1004</v>
      </c>
      <c r="BX222"/>
    </row>
    <row r="223" spans="1:76" ht="12.75">
      <c r="A223" s="153"/>
      <c r="B223" s="146">
        <f t="shared" ca="1" si="30"/>
        <v>42887</v>
      </c>
      <c r="C223" s="141">
        <v>7.4179499311179994E-2</v>
      </c>
      <c r="D223" s="141">
        <v>0.5</v>
      </c>
      <c r="E223" s="141">
        <v>0.5</v>
      </c>
      <c r="F223" s="141">
        <v>0.14350000000000002</v>
      </c>
      <c r="G223" s="141">
        <v>0.15</v>
      </c>
      <c r="H223" s="141">
        <v>0.1585</v>
      </c>
      <c r="I223" s="142">
        <v>3.7425000000000002</v>
      </c>
      <c r="J223" s="141">
        <v>3.7475000000000001</v>
      </c>
      <c r="K223" s="141">
        <v>3.7524999999999999</v>
      </c>
      <c r="L223" s="141">
        <v>0</v>
      </c>
      <c r="M223" s="141">
        <v>0.2525</v>
      </c>
      <c r="O223" s="125">
        <f ca="1">(IF(MONTH(B223)&gt;=4,IF(MONTH(B223)&lt;=10,Inputs!$H$2,Inputs!$H$3),Inputs!$H$3))</f>
        <v>6.5000000000000002E-2</v>
      </c>
      <c r="P223" s="155">
        <f ca="1">J223+(IF($L$2=TRUE,IF(MONTH(B223)&gt;=4,IF(MONTH(B223)&lt;=10,L223,M223),M223),0))+(IF('Pricing Inputs'!$AN$3=2,O223,0))</f>
        <v>3.7475000000000001</v>
      </c>
      <c r="Q223" s="155"/>
      <c r="R223" s="336">
        <f t="shared" ca="1" si="27"/>
        <v>42887</v>
      </c>
      <c r="S223" s="171">
        <f t="shared" si="28"/>
        <v>0.43</v>
      </c>
      <c r="T223" s="170">
        <f t="shared" si="31"/>
        <v>0.5</v>
      </c>
      <c r="U223" s="172">
        <f t="shared" si="29"/>
        <v>0.57000000000000006</v>
      </c>
      <c r="BP223" s="131">
        <f t="shared" si="26"/>
        <v>222</v>
      </c>
      <c r="BQ223" s="185" t="s">
        <v>406</v>
      </c>
      <c r="BR223" s="130" t="s">
        <v>178</v>
      </c>
      <c r="BS223" s="129" t="s">
        <v>204</v>
      </c>
      <c r="BT223" s="135" t="s">
        <v>180</v>
      </c>
      <c r="BU223" s="135"/>
      <c r="BV223" s="129">
        <v>1</v>
      </c>
      <c r="BW223" s="130" t="s">
        <v>1005</v>
      </c>
      <c r="BX223"/>
    </row>
    <row r="224" spans="1:76" ht="12.75">
      <c r="A224" s="153"/>
      <c r="B224" s="146">
        <f t="shared" ca="1" si="30"/>
        <v>42917</v>
      </c>
      <c r="C224" s="141">
        <v>7.4179214100328003E-2</v>
      </c>
      <c r="D224" s="141">
        <v>0.5</v>
      </c>
      <c r="E224" s="141">
        <v>0.5</v>
      </c>
      <c r="F224" s="141">
        <v>0.14350000000000002</v>
      </c>
      <c r="G224" s="141">
        <v>0.15</v>
      </c>
      <c r="H224" s="141">
        <v>0.1585</v>
      </c>
      <c r="I224" s="142">
        <v>3.7524999999999999</v>
      </c>
      <c r="J224" s="141">
        <v>3.7574999999999998</v>
      </c>
      <c r="K224" s="141">
        <v>3.7625000000000002</v>
      </c>
      <c r="L224" s="141">
        <v>0</v>
      </c>
      <c r="M224" s="141">
        <v>0.25750000000000001</v>
      </c>
      <c r="O224" s="125">
        <f ca="1">(IF(MONTH(B224)&gt;=4,IF(MONTH(B224)&lt;=10,Inputs!$H$2,Inputs!$H$3),Inputs!$H$3))</f>
        <v>6.5000000000000002E-2</v>
      </c>
      <c r="P224" s="155">
        <f ca="1">J224+(IF($L$2=TRUE,IF(MONTH(B224)&gt;=4,IF(MONTH(B224)&lt;=10,L224,M224),M224),0))+(IF('Pricing Inputs'!$AN$3=2,O224,0))</f>
        <v>3.7574999999999998</v>
      </c>
      <c r="Q224" s="155"/>
      <c r="R224" s="336">
        <f t="shared" ca="1" si="27"/>
        <v>42917</v>
      </c>
      <c r="S224" s="171">
        <f t="shared" si="28"/>
        <v>0.43</v>
      </c>
      <c r="T224" s="170">
        <f t="shared" si="31"/>
        <v>0.5</v>
      </c>
      <c r="U224" s="172">
        <f t="shared" si="29"/>
        <v>0.57000000000000006</v>
      </c>
      <c r="BP224" s="131">
        <f t="shared" si="26"/>
        <v>223</v>
      </c>
      <c r="BQ224" s="185" t="s">
        <v>407</v>
      </c>
      <c r="BR224" s="130" t="s">
        <v>178</v>
      </c>
      <c r="BS224" s="129" t="s">
        <v>204</v>
      </c>
      <c r="BT224" s="135" t="s">
        <v>180</v>
      </c>
      <c r="BU224" s="135"/>
      <c r="BV224" s="129">
        <v>1</v>
      </c>
      <c r="BW224" s="130" t="s">
        <v>1006</v>
      </c>
      <c r="BX224"/>
    </row>
    <row r="225" spans="1:76" ht="12.75">
      <c r="A225" s="153"/>
      <c r="B225" s="146">
        <f t="shared" ca="1" si="30"/>
        <v>42948</v>
      </c>
      <c r="C225" s="141">
        <v>7.4178919382448999E-2</v>
      </c>
      <c r="D225" s="141">
        <v>0.6</v>
      </c>
      <c r="E225" s="141">
        <v>0.6</v>
      </c>
      <c r="F225" s="141">
        <v>0.14350000000000002</v>
      </c>
      <c r="G225" s="141">
        <v>0.15</v>
      </c>
      <c r="H225" s="141">
        <v>0.1585</v>
      </c>
      <c r="I225" s="142">
        <v>3.7595000000000001</v>
      </c>
      <c r="J225" s="141">
        <v>3.7645000000000004</v>
      </c>
      <c r="K225" s="141">
        <v>3.7695000000000003</v>
      </c>
      <c r="L225" s="141">
        <v>0</v>
      </c>
      <c r="M225" s="141">
        <v>0.25750000000000001</v>
      </c>
      <c r="O225" s="125">
        <f ca="1">(IF(MONTH(B225)&gt;=4,IF(MONTH(B225)&lt;=10,Inputs!$H$2,Inputs!$H$3),Inputs!$H$3))</f>
        <v>6.5000000000000002E-2</v>
      </c>
      <c r="P225" s="155">
        <f ca="1">J225+(IF($L$2=TRUE,IF(MONTH(B225)&gt;=4,IF(MONTH(B225)&lt;=10,L225,M225),M225),0))+(IF('Pricing Inputs'!$AN$3=2,O225,0))</f>
        <v>3.7645000000000004</v>
      </c>
      <c r="Q225" s="155"/>
      <c r="R225" s="336">
        <f t="shared" ca="1" si="27"/>
        <v>42948</v>
      </c>
      <c r="S225" s="171">
        <f t="shared" si="28"/>
        <v>0.53</v>
      </c>
      <c r="T225" s="170">
        <f t="shared" si="31"/>
        <v>0.6</v>
      </c>
      <c r="U225" s="172">
        <f t="shared" si="29"/>
        <v>0.66999999999999993</v>
      </c>
      <c r="BP225" s="131">
        <f t="shared" si="26"/>
        <v>224</v>
      </c>
      <c r="BQ225" s="185" t="s">
        <v>408</v>
      </c>
      <c r="BR225" s="130" t="s">
        <v>178</v>
      </c>
      <c r="BS225" s="129" t="s">
        <v>204</v>
      </c>
      <c r="BT225" s="135" t="s">
        <v>180</v>
      </c>
      <c r="BU225" s="135"/>
      <c r="BV225" s="129">
        <v>1</v>
      </c>
      <c r="BW225" s="130" t="s">
        <v>1007</v>
      </c>
      <c r="BX225"/>
    </row>
    <row r="226" spans="1:76" ht="12.75">
      <c r="A226" s="153"/>
      <c r="B226" s="146">
        <f t="shared" ca="1" si="30"/>
        <v>42979</v>
      </c>
      <c r="C226" s="141">
        <v>7.4178624664568996E-2</v>
      </c>
      <c r="D226" s="141">
        <v>0.6</v>
      </c>
      <c r="E226" s="141">
        <v>0.6</v>
      </c>
      <c r="F226" s="141">
        <v>0.14350000000000002</v>
      </c>
      <c r="G226" s="141">
        <v>0.15</v>
      </c>
      <c r="H226" s="141">
        <v>0.1585</v>
      </c>
      <c r="I226" s="142">
        <v>3.7665000000000002</v>
      </c>
      <c r="J226" s="141">
        <v>3.7715000000000001</v>
      </c>
      <c r="K226" s="141">
        <v>3.7765</v>
      </c>
      <c r="L226" s="141">
        <v>0</v>
      </c>
      <c r="M226" s="141">
        <v>0.2525</v>
      </c>
      <c r="O226" s="125">
        <f ca="1">(IF(MONTH(B226)&gt;=4,IF(MONTH(B226)&lt;=10,Inputs!$H$2,Inputs!$H$3),Inputs!$H$3))</f>
        <v>6.5000000000000002E-2</v>
      </c>
      <c r="P226" s="155">
        <f ca="1">J226+(IF($L$2=TRUE,IF(MONTH(B226)&gt;=4,IF(MONTH(B226)&lt;=10,L226,M226),M226),0))+(IF('Pricing Inputs'!$AN$3=2,O226,0))</f>
        <v>3.7715000000000001</v>
      </c>
      <c r="Q226" s="155"/>
      <c r="R226" s="336">
        <f t="shared" ca="1" si="27"/>
        <v>42979</v>
      </c>
      <c r="S226" s="171">
        <f t="shared" si="28"/>
        <v>0.53</v>
      </c>
      <c r="T226" s="170">
        <f t="shared" si="31"/>
        <v>0.6</v>
      </c>
      <c r="U226" s="172">
        <f t="shared" si="29"/>
        <v>0.66999999999999993</v>
      </c>
      <c r="BP226" s="131">
        <f t="shared" si="26"/>
        <v>225</v>
      </c>
      <c r="BQ226" s="185" t="s">
        <v>409</v>
      </c>
      <c r="BR226" s="130" t="s">
        <v>178</v>
      </c>
      <c r="BS226" s="129" t="s">
        <v>204</v>
      </c>
      <c r="BT226" s="135" t="s">
        <v>180</v>
      </c>
      <c r="BU226" s="135"/>
      <c r="BV226" s="129">
        <v>1</v>
      </c>
      <c r="BW226" s="130" t="s">
        <v>1008</v>
      </c>
      <c r="BX226"/>
    </row>
    <row r="227" spans="1:76" ht="12.75">
      <c r="A227" s="153"/>
      <c r="B227" s="146">
        <f t="shared" ca="1" si="30"/>
        <v>43009</v>
      </c>
      <c r="C227" s="141">
        <v>7.4178339453718004E-2</v>
      </c>
      <c r="D227" s="141">
        <v>0.65</v>
      </c>
      <c r="E227" s="141">
        <v>0.65</v>
      </c>
      <c r="F227" s="141">
        <v>0.14350000000000002</v>
      </c>
      <c r="G227" s="141">
        <v>0.15</v>
      </c>
      <c r="H227" s="141">
        <v>0.1585</v>
      </c>
      <c r="I227" s="142">
        <v>3.7925</v>
      </c>
      <c r="J227" s="141">
        <v>3.7974999999999999</v>
      </c>
      <c r="K227" s="141">
        <v>3.8025000000000002</v>
      </c>
      <c r="L227" s="141">
        <v>0</v>
      </c>
      <c r="M227" s="141">
        <v>0.255</v>
      </c>
      <c r="O227" s="125">
        <f ca="1">(IF(MONTH(B227)&gt;=4,IF(MONTH(B227)&lt;=10,Inputs!$H$2,Inputs!$H$3),Inputs!$H$3))</f>
        <v>6.5000000000000002E-2</v>
      </c>
      <c r="P227" s="155">
        <f ca="1">J227+(IF($L$2=TRUE,IF(MONTH(B227)&gt;=4,IF(MONTH(B227)&lt;=10,L227,M227),M227),0))+(IF('Pricing Inputs'!$AN$3=2,O227,0))</f>
        <v>3.7974999999999999</v>
      </c>
      <c r="Q227" s="155"/>
      <c r="R227" s="336">
        <f t="shared" ca="1" si="27"/>
        <v>43009</v>
      </c>
      <c r="S227" s="171">
        <f t="shared" si="28"/>
        <v>0.58000000000000007</v>
      </c>
      <c r="T227" s="170">
        <f t="shared" si="31"/>
        <v>0.65</v>
      </c>
      <c r="U227" s="172">
        <f t="shared" si="29"/>
        <v>0.72</v>
      </c>
      <c r="BP227" s="131">
        <f t="shared" si="26"/>
        <v>226</v>
      </c>
      <c r="BQ227" s="185" t="s">
        <v>410</v>
      </c>
      <c r="BR227" s="130" t="s">
        <v>178</v>
      </c>
      <c r="BS227" s="129" t="s">
        <v>204</v>
      </c>
      <c r="BT227" s="135" t="s">
        <v>180</v>
      </c>
      <c r="BU227" s="135"/>
      <c r="BV227" s="129">
        <v>1</v>
      </c>
      <c r="BW227" s="130" t="s">
        <v>1009</v>
      </c>
      <c r="BX227"/>
    </row>
    <row r="228" spans="1:76" ht="12.75">
      <c r="A228" s="153"/>
      <c r="B228" s="146">
        <f t="shared" ca="1" si="30"/>
        <v>43040</v>
      </c>
      <c r="C228" s="141">
        <v>7.4178044735838E-2</v>
      </c>
      <c r="D228" s="141">
        <v>0.95</v>
      </c>
      <c r="E228" s="141">
        <v>0.95</v>
      </c>
      <c r="F228" s="141">
        <v>0.14350000000000002</v>
      </c>
      <c r="G228" s="141">
        <v>0.15</v>
      </c>
      <c r="H228" s="141">
        <v>0.1585</v>
      </c>
      <c r="I228" s="142">
        <v>3.9275000000000002</v>
      </c>
      <c r="J228" s="141">
        <v>3.9325000000000001</v>
      </c>
      <c r="K228" s="141">
        <v>3.9375</v>
      </c>
      <c r="L228" s="141">
        <v>0</v>
      </c>
      <c r="M228" s="141">
        <v>0.71499999999999997</v>
      </c>
      <c r="O228" s="125">
        <f ca="1">(IF(MONTH(B228)&gt;=4,IF(MONTH(B228)&lt;=10,Inputs!$H$2,Inputs!$H$3),Inputs!$H$3))</f>
        <v>6.5000000000000002E-2</v>
      </c>
      <c r="P228" s="155">
        <f ca="1">J228+(IF($L$2=TRUE,IF(MONTH(B228)&gt;=4,IF(MONTH(B228)&lt;=10,L228,M228),M228),0))+(IF('Pricing Inputs'!$AN$3=2,O228,0))</f>
        <v>4.6475</v>
      </c>
      <c r="Q228" s="155"/>
      <c r="R228" s="336">
        <f t="shared" ca="1" si="27"/>
        <v>43040</v>
      </c>
      <c r="S228" s="171">
        <f t="shared" si="28"/>
        <v>0.87999999999999989</v>
      </c>
      <c r="T228" s="170">
        <f t="shared" si="31"/>
        <v>0.95</v>
      </c>
      <c r="U228" s="172">
        <f t="shared" si="29"/>
        <v>1.02</v>
      </c>
      <c r="BP228" s="131">
        <f t="shared" si="26"/>
        <v>227</v>
      </c>
      <c r="BQ228" s="185" t="s">
        <v>411</v>
      </c>
      <c r="BR228" s="130" t="s">
        <v>178</v>
      </c>
      <c r="BS228" s="129" t="s">
        <v>204</v>
      </c>
      <c r="BT228" s="135" t="s">
        <v>180</v>
      </c>
      <c r="BU228" s="135"/>
      <c r="BV228" s="129">
        <v>1</v>
      </c>
      <c r="BW228" s="130" t="s">
        <v>1010</v>
      </c>
      <c r="BX228"/>
    </row>
    <row r="229" spans="1:76" ht="12.75">
      <c r="A229" s="153"/>
      <c r="B229" s="146">
        <f t="shared" ca="1" si="30"/>
        <v>43070</v>
      </c>
      <c r="C229" s="141">
        <v>7.4177759524987008E-2</v>
      </c>
      <c r="D229" s="141">
        <v>1.25</v>
      </c>
      <c r="E229" s="141">
        <v>1.25</v>
      </c>
      <c r="F229" s="141">
        <v>0.14350000000000002</v>
      </c>
      <c r="G229" s="141">
        <v>0.15</v>
      </c>
      <c r="H229" s="141">
        <v>0.1585</v>
      </c>
      <c r="I229" s="142">
        <v>4.0514999999999999</v>
      </c>
      <c r="J229" s="141">
        <v>4.0564999999999998</v>
      </c>
      <c r="K229" s="141">
        <v>4.0615000000000006</v>
      </c>
      <c r="L229" s="141">
        <v>0</v>
      </c>
      <c r="M229" s="141">
        <v>1.03</v>
      </c>
      <c r="O229" s="125">
        <f ca="1">(IF(MONTH(B229)&gt;=4,IF(MONTH(B229)&lt;=10,Inputs!$H$2,Inputs!$H$3),Inputs!$H$3))</f>
        <v>6.5000000000000002E-2</v>
      </c>
      <c r="P229" s="155">
        <f ca="1">J229+(IF($L$2=TRUE,IF(MONTH(B229)&gt;=4,IF(MONTH(B229)&lt;=10,L229,M229),M229),0))+(IF('Pricing Inputs'!$AN$3=2,O229,0))</f>
        <v>5.0865</v>
      </c>
      <c r="Q229" s="155"/>
      <c r="R229" s="336">
        <f t="shared" ca="1" si="27"/>
        <v>43070</v>
      </c>
      <c r="S229" s="171">
        <f t="shared" si="28"/>
        <v>1.18</v>
      </c>
      <c r="T229" s="170">
        <f t="shared" si="31"/>
        <v>1.25</v>
      </c>
      <c r="U229" s="172">
        <f t="shared" si="29"/>
        <v>1.32</v>
      </c>
      <c r="BP229" s="131">
        <f t="shared" si="26"/>
        <v>228</v>
      </c>
      <c r="BQ229" s="185" t="s">
        <v>412</v>
      </c>
      <c r="BR229" s="130" t="s">
        <v>178</v>
      </c>
      <c r="BS229" s="129" t="s">
        <v>204</v>
      </c>
      <c r="BT229" s="135" t="s">
        <v>180</v>
      </c>
      <c r="BU229" s="135"/>
      <c r="BV229" s="129">
        <v>1</v>
      </c>
      <c r="BW229" s="130" t="s">
        <v>1011</v>
      </c>
      <c r="BX229"/>
    </row>
    <row r="230" spans="1:76" ht="12.75">
      <c r="A230" s="153"/>
      <c r="B230" s="146">
        <f t="shared" ca="1" si="30"/>
        <v>43101</v>
      </c>
      <c r="C230" s="141">
        <v>7.4177464807107005E-2</v>
      </c>
      <c r="D230" s="141">
        <v>1.45</v>
      </c>
      <c r="E230" s="141">
        <v>1.45</v>
      </c>
      <c r="F230" s="141">
        <v>0.14350000000000002</v>
      </c>
      <c r="G230" s="141">
        <v>0.15</v>
      </c>
      <c r="H230" s="141">
        <v>0.1585</v>
      </c>
      <c r="I230" s="142">
        <v>4.165</v>
      </c>
      <c r="J230" s="141">
        <v>4.17</v>
      </c>
      <c r="K230" s="141">
        <v>4.1749999999999998</v>
      </c>
      <c r="L230" s="141">
        <v>0</v>
      </c>
      <c r="M230" s="141">
        <v>1.4950000000000001</v>
      </c>
      <c r="O230" s="125">
        <f ca="1">(IF(MONTH(B230)&gt;=4,IF(MONTH(B230)&lt;=10,Inputs!$H$2,Inputs!$H$3),Inputs!$H$3))</f>
        <v>6.5000000000000002E-2</v>
      </c>
      <c r="P230" s="155">
        <f ca="1">J230+(IF($L$2=TRUE,IF(MONTH(B230)&gt;=4,IF(MONTH(B230)&lt;=10,L230,M230),M230),0))+(IF('Pricing Inputs'!$AN$3=2,O230,0))</f>
        <v>5.665</v>
      </c>
      <c r="Q230" s="155"/>
      <c r="R230" s="336">
        <f t="shared" ca="1" si="27"/>
        <v>43101</v>
      </c>
      <c r="S230" s="171">
        <f t="shared" si="28"/>
        <v>1.38</v>
      </c>
      <c r="T230" s="170">
        <f t="shared" si="31"/>
        <v>1.45</v>
      </c>
      <c r="U230" s="172">
        <f t="shared" si="29"/>
        <v>1.52</v>
      </c>
      <c r="BP230" s="131">
        <f t="shared" si="26"/>
        <v>229</v>
      </c>
      <c r="BQ230" s="185" t="s">
        <v>413</v>
      </c>
      <c r="BR230" s="130" t="s">
        <v>178</v>
      </c>
      <c r="BS230" s="129" t="s">
        <v>204</v>
      </c>
      <c r="BT230" s="135" t="s">
        <v>180</v>
      </c>
      <c r="BU230" s="135"/>
      <c r="BV230" s="129">
        <v>1</v>
      </c>
      <c r="BW230" s="130" t="s">
        <v>1012</v>
      </c>
      <c r="BX230"/>
    </row>
    <row r="231" spans="1:76" ht="12.75">
      <c r="A231" s="153"/>
      <c r="B231" s="146">
        <f t="shared" ca="1" si="30"/>
        <v>43132</v>
      </c>
      <c r="C231" s="141">
        <v>7.4177170089227001E-2</v>
      </c>
      <c r="D231" s="141">
        <v>1.45</v>
      </c>
      <c r="E231" s="141">
        <v>1.45</v>
      </c>
      <c r="F231" s="141">
        <v>0.14350000000000002</v>
      </c>
      <c r="G231" s="141">
        <v>0.15</v>
      </c>
      <c r="H231" s="141">
        <v>0.1585</v>
      </c>
      <c r="I231" s="142">
        <v>4.0470000000000006</v>
      </c>
      <c r="J231" s="141">
        <v>4.0520000000000005</v>
      </c>
      <c r="K231" s="141">
        <v>4.0570000000000004</v>
      </c>
      <c r="L231" s="141">
        <v>0</v>
      </c>
      <c r="M231" s="141">
        <v>1.395</v>
      </c>
      <c r="O231" s="125">
        <f ca="1">(IF(MONTH(B231)&gt;=4,IF(MONTH(B231)&lt;=10,Inputs!$H$2,Inputs!$H$3),Inputs!$H$3))</f>
        <v>6.5000000000000002E-2</v>
      </c>
      <c r="P231" s="155">
        <f ca="1">J231+(IF($L$2=TRUE,IF(MONTH(B231)&gt;=4,IF(MONTH(B231)&lt;=10,L231,M231),M231),0))+(IF('Pricing Inputs'!$AN$3=2,O231,0))</f>
        <v>5.447000000000001</v>
      </c>
      <c r="Q231" s="155"/>
      <c r="R231" s="336">
        <f t="shared" ca="1" si="27"/>
        <v>43132</v>
      </c>
      <c r="S231" s="171">
        <f t="shared" si="28"/>
        <v>1.38</v>
      </c>
      <c r="T231" s="170">
        <f t="shared" si="31"/>
        <v>1.45</v>
      </c>
      <c r="U231" s="172">
        <f t="shared" si="29"/>
        <v>1.52</v>
      </c>
      <c r="BP231" s="131">
        <f t="shared" si="26"/>
        <v>230</v>
      </c>
      <c r="BQ231" s="185" t="s">
        <v>414</v>
      </c>
      <c r="BR231" s="130" t="s">
        <v>178</v>
      </c>
      <c r="BS231" s="129" t="s">
        <v>204</v>
      </c>
      <c r="BT231" s="135" t="s">
        <v>180</v>
      </c>
      <c r="BU231" s="135"/>
      <c r="BV231" s="129">
        <v>1</v>
      </c>
      <c r="BW231" s="130" t="s">
        <v>1013</v>
      </c>
      <c r="BX231"/>
    </row>
    <row r="232" spans="1:76" ht="12.75">
      <c r="A232" s="153"/>
      <c r="B232" s="146">
        <f t="shared" ca="1" si="30"/>
        <v>43160</v>
      </c>
      <c r="C232" s="141">
        <v>7.4176903892433005E-2</v>
      </c>
      <c r="D232" s="141">
        <v>1</v>
      </c>
      <c r="E232" s="141">
        <v>1</v>
      </c>
      <c r="F232" s="141">
        <v>0.14350000000000002</v>
      </c>
      <c r="G232" s="141">
        <v>0.15</v>
      </c>
      <c r="H232" s="141">
        <v>0.1585</v>
      </c>
      <c r="I232" s="142">
        <v>3.927</v>
      </c>
      <c r="J232" s="141">
        <v>3.9320000000000004</v>
      </c>
      <c r="K232" s="141">
        <v>3.9370000000000003</v>
      </c>
      <c r="L232" s="141">
        <v>0</v>
      </c>
      <c r="M232" s="141">
        <v>0.86499999999999999</v>
      </c>
      <c r="O232" s="125">
        <f ca="1">(IF(MONTH(B232)&gt;=4,IF(MONTH(B232)&lt;=10,Inputs!$H$2,Inputs!$H$3),Inputs!$H$3))</f>
        <v>6.5000000000000002E-2</v>
      </c>
      <c r="P232" s="155">
        <f ca="1">J232+(IF($L$2=TRUE,IF(MONTH(B232)&gt;=4,IF(MONTH(B232)&lt;=10,L232,M232),M232),0))+(IF('Pricing Inputs'!$AN$3=2,O232,0))</f>
        <v>4.7970000000000006</v>
      </c>
      <c r="Q232" s="155"/>
      <c r="R232" s="336">
        <f t="shared" ca="1" si="27"/>
        <v>43160</v>
      </c>
      <c r="S232" s="171">
        <f t="shared" si="28"/>
        <v>0.92999999999999994</v>
      </c>
      <c r="T232" s="170">
        <f t="shared" si="31"/>
        <v>1</v>
      </c>
      <c r="U232" s="172">
        <f t="shared" si="29"/>
        <v>1.07</v>
      </c>
      <c r="BP232" s="131">
        <f t="shared" si="26"/>
        <v>231</v>
      </c>
      <c r="BQ232" s="185" t="s">
        <v>415</v>
      </c>
      <c r="BR232" s="130" t="s">
        <v>178</v>
      </c>
      <c r="BS232" s="129" t="s">
        <v>204</v>
      </c>
      <c r="BT232" s="135" t="s">
        <v>180</v>
      </c>
      <c r="BU232" s="135"/>
      <c r="BV232" s="129">
        <v>1</v>
      </c>
      <c r="BW232" s="130" t="s">
        <v>1014</v>
      </c>
      <c r="BX232"/>
    </row>
    <row r="233" spans="1:76" ht="12.75">
      <c r="A233" s="153"/>
      <c r="B233" s="146">
        <f t="shared" ca="1" si="30"/>
        <v>43191</v>
      </c>
      <c r="C233" s="141">
        <v>7.4176609174553002E-2</v>
      </c>
      <c r="D233" s="141">
        <v>0.45</v>
      </c>
      <c r="E233" s="141">
        <v>0.45</v>
      </c>
      <c r="F233" s="141">
        <v>0.14350000000000002</v>
      </c>
      <c r="G233" s="141">
        <v>0.15</v>
      </c>
      <c r="H233" s="141">
        <v>0.1585</v>
      </c>
      <c r="I233" s="142">
        <v>3.8774999999999999</v>
      </c>
      <c r="J233" s="141">
        <v>3.8824999999999998</v>
      </c>
      <c r="K233" s="141">
        <v>3.8875000000000002</v>
      </c>
      <c r="L233" s="141">
        <v>0</v>
      </c>
      <c r="M233" s="141">
        <v>0.37</v>
      </c>
      <c r="O233" s="125">
        <f ca="1">(IF(MONTH(B233)&gt;=4,IF(MONTH(B233)&lt;=10,Inputs!$H$2,Inputs!$H$3),Inputs!$H$3))</f>
        <v>6.5000000000000002E-2</v>
      </c>
      <c r="P233" s="155">
        <f ca="1">J233+(IF($L$2=TRUE,IF(MONTH(B233)&gt;=4,IF(MONTH(B233)&lt;=10,L233,M233),M233),0))+(IF('Pricing Inputs'!$AN$3=2,O233,0))</f>
        <v>3.8824999999999998</v>
      </c>
      <c r="Q233" s="155"/>
      <c r="R233" s="336">
        <f t="shared" ca="1" si="27"/>
        <v>43191</v>
      </c>
      <c r="S233" s="171">
        <f t="shared" si="28"/>
        <v>0.38</v>
      </c>
      <c r="T233" s="170">
        <f t="shared" si="31"/>
        <v>0.45</v>
      </c>
      <c r="U233" s="172">
        <f t="shared" si="29"/>
        <v>0.52</v>
      </c>
      <c r="BP233" s="131">
        <f t="shared" si="26"/>
        <v>232</v>
      </c>
      <c r="BQ233" s="185" t="s">
        <v>416</v>
      </c>
      <c r="BR233" s="130" t="s">
        <v>178</v>
      </c>
      <c r="BS233" s="129" t="s">
        <v>204</v>
      </c>
      <c r="BT233" s="135" t="s">
        <v>180</v>
      </c>
      <c r="BU233" s="135"/>
      <c r="BV233" s="129">
        <v>1</v>
      </c>
      <c r="BW233" s="130" t="s">
        <v>1015</v>
      </c>
      <c r="BX233"/>
    </row>
    <row r="234" spans="1:76" ht="12.75">
      <c r="A234" s="153"/>
      <c r="B234" s="146">
        <f t="shared" ca="1" si="30"/>
        <v>43221</v>
      </c>
      <c r="C234" s="141">
        <v>7.4176323963701996E-2</v>
      </c>
      <c r="D234" s="141">
        <v>0.5</v>
      </c>
      <c r="E234" s="141">
        <v>0.5</v>
      </c>
      <c r="F234" s="141">
        <v>0.14350000000000002</v>
      </c>
      <c r="G234" s="141">
        <v>0.15</v>
      </c>
      <c r="H234" s="141">
        <v>0.1585</v>
      </c>
      <c r="I234" s="142">
        <v>3.8515000000000001</v>
      </c>
      <c r="J234" s="141">
        <v>3.8565</v>
      </c>
      <c r="K234" s="141">
        <v>3.8615000000000004</v>
      </c>
      <c r="L234" s="141">
        <v>0</v>
      </c>
      <c r="M234" s="141">
        <v>0.2525</v>
      </c>
      <c r="O234" s="125">
        <f ca="1">(IF(MONTH(B234)&gt;=4,IF(MONTH(B234)&lt;=10,Inputs!$H$2,Inputs!$H$3),Inputs!$H$3))</f>
        <v>6.5000000000000002E-2</v>
      </c>
      <c r="P234" s="155">
        <f ca="1">J234+(IF($L$2=TRUE,IF(MONTH(B234)&gt;=4,IF(MONTH(B234)&lt;=10,L234,M234),M234),0))+(IF('Pricing Inputs'!$AN$3=2,O234,0))</f>
        <v>3.8565</v>
      </c>
      <c r="Q234" s="155"/>
      <c r="R234" s="336">
        <f t="shared" ca="1" si="27"/>
        <v>43221</v>
      </c>
      <c r="S234" s="171">
        <f t="shared" ref="S234:S254" si="32">T234-$S$16</f>
        <v>0.43</v>
      </c>
      <c r="T234" s="170">
        <f t="shared" ref="T234:T254" si="33">D234</f>
        <v>0.5</v>
      </c>
      <c r="U234" s="172">
        <f t="shared" si="29"/>
        <v>0.57000000000000006</v>
      </c>
      <c r="BP234" s="131">
        <f t="shared" si="26"/>
        <v>233</v>
      </c>
      <c r="BQ234" s="185" t="s">
        <v>417</v>
      </c>
      <c r="BR234" s="130" t="s">
        <v>178</v>
      </c>
      <c r="BS234" s="129" t="s">
        <v>204</v>
      </c>
      <c r="BT234" s="135" t="s">
        <v>180</v>
      </c>
      <c r="BU234" s="135"/>
      <c r="BV234" s="129">
        <v>1</v>
      </c>
      <c r="BW234" s="130" t="s">
        <v>1016</v>
      </c>
      <c r="BX234"/>
    </row>
    <row r="235" spans="1:76" ht="12.75">
      <c r="A235" s="153"/>
      <c r="B235" s="146">
        <f t="shared" ca="1" si="30"/>
        <v>43252</v>
      </c>
      <c r="C235" s="141">
        <v>7.4176029245823005E-2</v>
      </c>
      <c r="D235" s="141">
        <v>0.5</v>
      </c>
      <c r="E235" s="141">
        <v>0.5</v>
      </c>
      <c r="F235" s="141">
        <v>0.14350000000000002</v>
      </c>
      <c r="G235" s="141">
        <v>0.15</v>
      </c>
      <c r="H235" s="141">
        <v>0.1585</v>
      </c>
      <c r="I235" s="142">
        <v>3.8574999999999999</v>
      </c>
      <c r="J235" s="141">
        <v>3.8624999999999998</v>
      </c>
      <c r="K235" s="141">
        <v>3.8675000000000002</v>
      </c>
      <c r="L235" s="141">
        <v>0</v>
      </c>
      <c r="M235" s="141">
        <v>0.2525</v>
      </c>
      <c r="O235" s="125">
        <f ca="1">(IF(MONTH(B235)&gt;=4,IF(MONTH(B235)&lt;=10,Inputs!$H$2,Inputs!$H$3),Inputs!$H$3))</f>
        <v>6.5000000000000002E-2</v>
      </c>
      <c r="P235" s="155">
        <f ca="1">J235+(IF($L$2=TRUE,IF(MONTH(B235)&gt;=4,IF(MONTH(B235)&lt;=10,L235,M235),M235),0))+(IF('Pricing Inputs'!$AN$3=2,O235,0))</f>
        <v>3.8624999999999998</v>
      </c>
      <c r="Q235" s="155"/>
      <c r="R235" s="336">
        <f t="shared" ca="1" si="27"/>
        <v>43252</v>
      </c>
      <c r="S235" s="171">
        <f t="shared" si="32"/>
        <v>0.43</v>
      </c>
      <c r="T235" s="170">
        <f t="shared" si="33"/>
        <v>0.5</v>
      </c>
      <c r="U235" s="172">
        <f t="shared" si="29"/>
        <v>0.57000000000000006</v>
      </c>
      <c r="BP235" s="131">
        <f t="shared" si="26"/>
        <v>234</v>
      </c>
      <c r="BQ235" s="185" t="s">
        <v>418</v>
      </c>
      <c r="BR235" s="130" t="s">
        <v>178</v>
      </c>
      <c r="BS235" s="129" t="s">
        <v>204</v>
      </c>
      <c r="BT235" s="135" t="s">
        <v>180</v>
      </c>
      <c r="BU235" s="135"/>
      <c r="BV235" s="129">
        <v>1</v>
      </c>
      <c r="BW235" s="130" t="s">
        <v>1017</v>
      </c>
      <c r="BX235"/>
    </row>
    <row r="236" spans="1:76" ht="12.75">
      <c r="A236" s="153"/>
      <c r="B236" s="146">
        <f t="shared" ca="1" si="30"/>
        <v>43282</v>
      </c>
      <c r="C236" s="141">
        <v>7.4175744034971999E-2</v>
      </c>
      <c r="D236" s="141">
        <v>0.5</v>
      </c>
      <c r="E236" s="141">
        <v>0.5</v>
      </c>
      <c r="F236" s="141">
        <v>0.14350000000000002</v>
      </c>
      <c r="G236" s="141">
        <v>0.15</v>
      </c>
      <c r="H236" s="141">
        <v>0.1585</v>
      </c>
      <c r="I236" s="142">
        <v>3.8675000000000002</v>
      </c>
      <c r="J236" s="141">
        <v>3.8725000000000001</v>
      </c>
      <c r="K236" s="141">
        <v>3.8774999999999999</v>
      </c>
      <c r="L236" s="141">
        <v>0</v>
      </c>
      <c r="M236" s="141">
        <v>0.25750000000000001</v>
      </c>
      <c r="O236" s="125">
        <f ca="1">(IF(MONTH(B236)&gt;=4,IF(MONTH(B236)&lt;=10,Inputs!$H$2,Inputs!$H$3),Inputs!$H$3))</f>
        <v>6.5000000000000002E-2</v>
      </c>
      <c r="P236" s="155">
        <f ca="1">J236+(IF($L$2=TRUE,IF(MONTH(B236)&gt;=4,IF(MONTH(B236)&lt;=10,L236,M236),M236),0))+(IF('Pricing Inputs'!$AN$3=2,O236,0))</f>
        <v>3.8725000000000001</v>
      </c>
      <c r="Q236" s="155"/>
      <c r="R236" s="336">
        <f t="shared" ca="1" si="27"/>
        <v>43282</v>
      </c>
      <c r="S236" s="171">
        <f t="shared" si="32"/>
        <v>0.43</v>
      </c>
      <c r="T236" s="170">
        <f t="shared" si="33"/>
        <v>0.5</v>
      </c>
      <c r="U236" s="172">
        <f t="shared" si="29"/>
        <v>0.57000000000000006</v>
      </c>
      <c r="BP236" s="131">
        <f t="shared" si="26"/>
        <v>235</v>
      </c>
      <c r="BQ236" s="185" t="s">
        <v>419</v>
      </c>
      <c r="BR236" s="130" t="s">
        <v>178</v>
      </c>
      <c r="BS236" s="129" t="s">
        <v>204</v>
      </c>
      <c r="BT236" s="135" t="s">
        <v>180</v>
      </c>
      <c r="BU236" s="135"/>
      <c r="BV236" s="129">
        <v>1</v>
      </c>
      <c r="BW236" s="130" t="s">
        <v>1018</v>
      </c>
      <c r="BX236"/>
    </row>
    <row r="237" spans="1:76" ht="12.75">
      <c r="A237" s="153"/>
      <c r="B237" s="146">
        <f t="shared" ca="1" si="30"/>
        <v>43313</v>
      </c>
      <c r="C237" s="141">
        <v>7.4175449317091996E-2</v>
      </c>
      <c r="D237" s="141">
        <v>0.6</v>
      </c>
      <c r="E237" s="141">
        <v>0.6</v>
      </c>
      <c r="F237" s="141">
        <v>0.14350000000000002</v>
      </c>
      <c r="G237" s="141">
        <v>0.15</v>
      </c>
      <c r="H237" s="141">
        <v>0.1585</v>
      </c>
      <c r="I237" s="142">
        <v>3.8745000000000003</v>
      </c>
      <c r="J237" s="141">
        <v>3.8795000000000002</v>
      </c>
      <c r="K237" s="141">
        <v>3.8845000000000001</v>
      </c>
      <c r="L237" s="141">
        <v>0</v>
      </c>
      <c r="M237" s="141">
        <v>0.25750000000000001</v>
      </c>
      <c r="O237" s="125">
        <f ca="1">(IF(MONTH(B237)&gt;=4,IF(MONTH(B237)&lt;=10,Inputs!$H$2,Inputs!$H$3),Inputs!$H$3))</f>
        <v>6.5000000000000002E-2</v>
      </c>
      <c r="P237" s="155">
        <f ca="1">J237+(IF($L$2=TRUE,IF(MONTH(B237)&gt;=4,IF(MONTH(B237)&lt;=10,L237,M237),M237),0))+(IF('Pricing Inputs'!$AN$3=2,O237,0))</f>
        <v>3.8795000000000002</v>
      </c>
      <c r="Q237" s="155"/>
      <c r="R237" s="336">
        <f t="shared" ca="1" si="27"/>
        <v>43313</v>
      </c>
      <c r="S237" s="171">
        <f t="shared" si="32"/>
        <v>0.53</v>
      </c>
      <c r="T237" s="170">
        <f t="shared" si="33"/>
        <v>0.6</v>
      </c>
      <c r="U237" s="172">
        <f t="shared" si="29"/>
        <v>0.66999999999999993</v>
      </c>
      <c r="BP237" s="131">
        <f t="shared" si="26"/>
        <v>236</v>
      </c>
      <c r="BQ237" s="185" t="s">
        <v>420</v>
      </c>
      <c r="BR237" s="130" t="s">
        <v>178</v>
      </c>
      <c r="BS237" s="129" t="s">
        <v>204</v>
      </c>
      <c r="BT237" s="135" t="s">
        <v>180</v>
      </c>
      <c r="BU237" s="135"/>
      <c r="BV237" s="129">
        <v>1</v>
      </c>
      <c r="BW237" s="130" t="s">
        <v>1019</v>
      </c>
      <c r="BX237"/>
    </row>
    <row r="238" spans="1:76" ht="12.75">
      <c r="A238" s="153"/>
      <c r="B238" s="146">
        <f t="shared" ca="1" si="30"/>
        <v>43344</v>
      </c>
      <c r="C238" s="141">
        <v>7.4175154599213006E-2</v>
      </c>
      <c r="D238" s="141">
        <v>0.6</v>
      </c>
      <c r="E238" s="141">
        <v>0.6</v>
      </c>
      <c r="F238" s="141">
        <v>0.14350000000000002</v>
      </c>
      <c r="G238" s="141">
        <v>0.15</v>
      </c>
      <c r="H238" s="141">
        <v>0.1585</v>
      </c>
      <c r="I238" s="142">
        <v>3.8815000000000004</v>
      </c>
      <c r="J238" s="141">
        <v>3.8865000000000003</v>
      </c>
      <c r="K238" s="141">
        <v>3.8915000000000002</v>
      </c>
      <c r="L238" s="141">
        <v>0</v>
      </c>
      <c r="M238" s="141">
        <v>0.2525</v>
      </c>
      <c r="O238" s="125">
        <f ca="1">(IF(MONTH(B238)&gt;=4,IF(MONTH(B238)&lt;=10,Inputs!$H$2,Inputs!$H$3),Inputs!$H$3))</f>
        <v>6.5000000000000002E-2</v>
      </c>
      <c r="P238" s="155">
        <f ca="1">J238+(IF($L$2=TRUE,IF(MONTH(B238)&gt;=4,IF(MONTH(B238)&lt;=10,L238,M238),M238),0))+(IF('Pricing Inputs'!$AN$3=2,O238,0))</f>
        <v>3.8865000000000003</v>
      </c>
      <c r="Q238" s="155"/>
      <c r="R238" s="336">
        <f t="shared" ca="1" si="27"/>
        <v>43344</v>
      </c>
      <c r="S238" s="171">
        <f t="shared" si="32"/>
        <v>0.53</v>
      </c>
      <c r="T238" s="170">
        <f t="shared" si="33"/>
        <v>0.6</v>
      </c>
      <c r="U238" s="172">
        <f t="shared" si="29"/>
        <v>0.66999999999999993</v>
      </c>
      <c r="BP238" s="131">
        <f t="shared" si="26"/>
        <v>237</v>
      </c>
      <c r="BQ238" s="185" t="s">
        <v>421</v>
      </c>
      <c r="BR238" s="130" t="s">
        <v>178</v>
      </c>
      <c r="BS238" s="129" t="s">
        <v>204</v>
      </c>
      <c r="BT238" s="135" t="s">
        <v>180</v>
      </c>
      <c r="BU238" s="135"/>
      <c r="BV238" s="129">
        <v>1</v>
      </c>
      <c r="BW238" s="130" t="s">
        <v>1020</v>
      </c>
      <c r="BX238"/>
    </row>
    <row r="239" spans="1:76" ht="12.75">
      <c r="A239" s="153"/>
      <c r="B239" s="146">
        <f t="shared" ca="1" si="30"/>
        <v>43374</v>
      </c>
      <c r="C239" s="141">
        <v>7.4174869388361001E-2</v>
      </c>
      <c r="D239" s="141">
        <v>0.65</v>
      </c>
      <c r="E239" s="141">
        <v>0.65</v>
      </c>
      <c r="F239" s="141">
        <v>0.14350000000000002</v>
      </c>
      <c r="G239" s="141">
        <v>0.15</v>
      </c>
      <c r="H239" s="141">
        <v>0.1585</v>
      </c>
      <c r="I239" s="142">
        <v>3.9075000000000002</v>
      </c>
      <c r="J239" s="141">
        <v>3.9125000000000001</v>
      </c>
      <c r="K239" s="141">
        <v>3.9175</v>
      </c>
      <c r="L239" s="141">
        <v>0</v>
      </c>
      <c r="M239" s="141">
        <v>0.255</v>
      </c>
      <c r="O239" s="125">
        <f ca="1">(IF(MONTH(B239)&gt;=4,IF(MONTH(B239)&lt;=10,Inputs!$H$2,Inputs!$H$3),Inputs!$H$3))</f>
        <v>6.5000000000000002E-2</v>
      </c>
      <c r="P239" s="155">
        <f ca="1">J239+(IF($L$2=TRUE,IF(MONTH(B239)&gt;=4,IF(MONTH(B239)&lt;=10,L239,M239),M239),0))+(IF('Pricing Inputs'!$AN$3=2,O239,0))</f>
        <v>3.9125000000000001</v>
      </c>
      <c r="Q239" s="155"/>
      <c r="R239" s="336">
        <f t="shared" ca="1" si="27"/>
        <v>43374</v>
      </c>
      <c r="S239" s="171">
        <f t="shared" si="32"/>
        <v>0.58000000000000007</v>
      </c>
      <c r="T239" s="170">
        <f t="shared" si="33"/>
        <v>0.65</v>
      </c>
      <c r="U239" s="172">
        <f t="shared" si="29"/>
        <v>0.72</v>
      </c>
      <c r="BP239" s="131">
        <f t="shared" si="26"/>
        <v>238</v>
      </c>
      <c r="BQ239" s="185" t="s">
        <v>422</v>
      </c>
      <c r="BR239" s="130" t="s">
        <v>178</v>
      </c>
      <c r="BS239" s="129" t="s">
        <v>204</v>
      </c>
      <c r="BT239" s="135" t="s">
        <v>180</v>
      </c>
      <c r="BU239" s="135"/>
      <c r="BV239" s="129">
        <v>1</v>
      </c>
      <c r="BW239" s="130" t="s">
        <v>1021</v>
      </c>
      <c r="BX239"/>
    </row>
    <row r="240" spans="1:76" ht="12.75">
      <c r="A240" s="153"/>
      <c r="B240" s="146">
        <f t="shared" ca="1" si="30"/>
        <v>43405</v>
      </c>
      <c r="C240" s="141">
        <v>7.4174574670481996E-2</v>
      </c>
      <c r="D240" s="141">
        <v>0.95</v>
      </c>
      <c r="E240" s="141">
        <v>0.95</v>
      </c>
      <c r="F240" s="141">
        <v>0.14349999999999999</v>
      </c>
      <c r="G240" s="141">
        <v>0.151</v>
      </c>
      <c r="H240" s="141">
        <v>0.1585</v>
      </c>
      <c r="I240" s="142">
        <v>4.0425000000000004</v>
      </c>
      <c r="J240" s="141">
        <v>4.0475000000000003</v>
      </c>
      <c r="K240" s="141">
        <v>4.0525000000000002</v>
      </c>
      <c r="L240" s="141">
        <v>0</v>
      </c>
      <c r="M240" s="141">
        <v>0.71499999999999997</v>
      </c>
      <c r="O240" s="125">
        <f ca="1">(IF(MONTH(B240)&gt;=4,IF(MONTH(B240)&lt;=10,Inputs!$H$2,Inputs!$H$3),Inputs!$H$3))</f>
        <v>6.5000000000000002E-2</v>
      </c>
      <c r="P240" s="155">
        <f ca="1">J240+(IF($L$2=TRUE,IF(MONTH(B240)&gt;=4,IF(MONTH(B240)&lt;=10,L240,M240),M240),0))+(IF('Pricing Inputs'!$AN$3=2,O240,0))</f>
        <v>4.7625000000000002</v>
      </c>
      <c r="Q240" s="155"/>
      <c r="R240" s="336">
        <f t="shared" ca="1" si="27"/>
        <v>43405</v>
      </c>
      <c r="S240" s="171">
        <f t="shared" si="32"/>
        <v>0.87999999999999989</v>
      </c>
      <c r="T240" s="170">
        <f t="shared" si="33"/>
        <v>0.95</v>
      </c>
      <c r="U240" s="172">
        <f t="shared" si="29"/>
        <v>1.02</v>
      </c>
      <c r="BP240" s="131">
        <f t="shared" si="26"/>
        <v>239</v>
      </c>
      <c r="BQ240" s="185" t="s">
        <v>423</v>
      </c>
      <c r="BR240" s="130" t="s">
        <v>178</v>
      </c>
      <c r="BS240" s="129" t="s">
        <v>204</v>
      </c>
      <c r="BT240" s="135" t="s">
        <v>180</v>
      </c>
      <c r="BU240" s="135"/>
      <c r="BV240" s="129">
        <v>1</v>
      </c>
      <c r="BW240" s="130" t="s">
        <v>1022</v>
      </c>
      <c r="BX240"/>
    </row>
    <row r="241" spans="1:76" ht="12.75">
      <c r="A241" s="153"/>
      <c r="B241" s="146">
        <f t="shared" ca="1" si="30"/>
        <v>43435</v>
      </c>
      <c r="C241" s="141">
        <v>7.4174289459631004E-2</v>
      </c>
      <c r="D241" s="141">
        <v>1.25</v>
      </c>
      <c r="E241" s="141">
        <v>1.25</v>
      </c>
      <c r="F241" s="141">
        <v>0.14349999999999999</v>
      </c>
      <c r="G241" s="141">
        <v>0.151</v>
      </c>
      <c r="H241" s="141">
        <v>0.1585</v>
      </c>
      <c r="I241" s="142">
        <v>4.1665000000000001</v>
      </c>
      <c r="J241" s="141">
        <v>4.1715</v>
      </c>
      <c r="K241" s="141">
        <v>4.1764999999999999</v>
      </c>
      <c r="L241" s="141">
        <v>0</v>
      </c>
      <c r="M241" s="141">
        <v>1.03</v>
      </c>
      <c r="O241" s="125">
        <f ca="1">(IF(MONTH(B241)&gt;=4,IF(MONTH(B241)&lt;=10,Inputs!$H$2,Inputs!$H$3),Inputs!$H$3))</f>
        <v>6.5000000000000002E-2</v>
      </c>
      <c r="P241" s="155">
        <f ca="1">J241+(IF($L$2=TRUE,IF(MONTH(B241)&gt;=4,IF(MONTH(B241)&lt;=10,L241,M241),M241),0))+(IF('Pricing Inputs'!$AN$3=2,O241,0))</f>
        <v>5.2015000000000002</v>
      </c>
      <c r="Q241" s="155"/>
      <c r="R241" s="336">
        <f t="shared" ca="1" si="27"/>
        <v>43435</v>
      </c>
      <c r="S241" s="171">
        <f t="shared" si="32"/>
        <v>1.18</v>
      </c>
      <c r="T241" s="170">
        <f t="shared" si="33"/>
        <v>1.25</v>
      </c>
      <c r="U241" s="172">
        <f t="shared" si="29"/>
        <v>1.32</v>
      </c>
      <c r="BP241" s="131">
        <f t="shared" si="26"/>
        <v>240</v>
      </c>
      <c r="BQ241" s="185" t="s">
        <v>424</v>
      </c>
      <c r="BR241" s="130" t="s">
        <v>178</v>
      </c>
      <c r="BS241" s="129" t="s">
        <v>204</v>
      </c>
      <c r="BT241" s="135" t="s">
        <v>180</v>
      </c>
      <c r="BU241" s="135"/>
      <c r="BV241" s="129">
        <v>1</v>
      </c>
      <c r="BW241" s="130" t="s">
        <v>1023</v>
      </c>
      <c r="BX241"/>
    </row>
    <row r="242" spans="1:76" ht="12.75">
      <c r="A242" s="153"/>
      <c r="B242" s="146">
        <f t="shared" ca="1" si="30"/>
        <v>43466</v>
      </c>
      <c r="C242" s="141">
        <v>7.4173994741752E-2</v>
      </c>
      <c r="D242" s="141">
        <v>1.45</v>
      </c>
      <c r="E242" s="141">
        <v>1.45</v>
      </c>
      <c r="F242" s="141">
        <v>0.14349999999999999</v>
      </c>
      <c r="G242" s="141">
        <v>0.151</v>
      </c>
      <c r="H242" s="141">
        <v>0.1585</v>
      </c>
      <c r="I242" s="142">
        <v>4.2850000000000001</v>
      </c>
      <c r="J242" s="141">
        <v>4.29</v>
      </c>
      <c r="K242" s="141">
        <v>4.2949999999999999</v>
      </c>
      <c r="L242" s="141">
        <v>0</v>
      </c>
      <c r="M242" s="141">
        <v>1.4950000000000001</v>
      </c>
      <c r="O242" s="125">
        <f ca="1">(IF(MONTH(B242)&gt;=4,IF(MONTH(B242)&lt;=10,Inputs!$H$2,Inputs!$H$3),Inputs!$H$3))</f>
        <v>6.5000000000000002E-2</v>
      </c>
      <c r="P242" s="155">
        <f ca="1">J242+(IF($L$2=TRUE,IF(MONTH(B242)&gt;=4,IF(MONTH(B242)&lt;=10,L242,M242),M242),0))+(IF('Pricing Inputs'!$AN$3=2,O242,0))</f>
        <v>5.7850000000000001</v>
      </c>
      <c r="Q242" s="155"/>
      <c r="R242" s="336">
        <f t="shared" ca="1" si="27"/>
        <v>43466</v>
      </c>
      <c r="S242" s="171">
        <f t="shared" si="32"/>
        <v>1.38</v>
      </c>
      <c r="T242" s="170">
        <f t="shared" si="33"/>
        <v>1.45</v>
      </c>
      <c r="U242" s="172">
        <f t="shared" si="29"/>
        <v>1.52</v>
      </c>
      <c r="BP242" s="131">
        <f t="shared" si="26"/>
        <v>241</v>
      </c>
      <c r="BQ242" s="185" t="s">
        <v>425</v>
      </c>
      <c r="BR242" s="130" t="s">
        <v>178</v>
      </c>
      <c r="BS242" s="129" t="s">
        <v>204</v>
      </c>
      <c r="BT242" s="135" t="s">
        <v>180</v>
      </c>
      <c r="BU242" s="135"/>
      <c r="BV242" s="129">
        <v>1</v>
      </c>
      <c r="BW242" s="130" t="s">
        <v>1024</v>
      </c>
      <c r="BX242"/>
    </row>
    <row r="243" spans="1:76" ht="12.75">
      <c r="A243" s="153"/>
      <c r="B243" s="146">
        <f t="shared" ca="1" si="30"/>
        <v>43497</v>
      </c>
      <c r="C243" s="141">
        <v>7.4173700023872996E-2</v>
      </c>
      <c r="D243" s="141">
        <v>1.45</v>
      </c>
      <c r="E243" s="141">
        <v>1.45</v>
      </c>
      <c r="F243" s="141">
        <v>0.14349999999999999</v>
      </c>
      <c r="G243" s="141">
        <v>0.151</v>
      </c>
      <c r="H243" s="141">
        <v>0.1585</v>
      </c>
      <c r="I243" s="142">
        <v>4.1669999999999998</v>
      </c>
      <c r="J243" s="141">
        <v>4.1720000000000006</v>
      </c>
      <c r="K243" s="141">
        <v>4.1770000000000005</v>
      </c>
      <c r="L243" s="141">
        <v>0</v>
      </c>
      <c r="M243" s="141">
        <v>1.395</v>
      </c>
      <c r="O243" s="125">
        <f ca="1">(IF(MONTH(B243)&gt;=4,IF(MONTH(B243)&lt;=10,Inputs!$H$2,Inputs!$H$3),Inputs!$H$3))</f>
        <v>6.5000000000000002E-2</v>
      </c>
      <c r="P243" s="155">
        <f ca="1">J243+(IF($L$2=TRUE,IF(MONTH(B243)&gt;=4,IF(MONTH(B243)&lt;=10,L243,M243),M243),0))+(IF('Pricing Inputs'!$AN$3=2,O243,0))</f>
        <v>5.5670000000000002</v>
      </c>
      <c r="Q243" s="155"/>
      <c r="R243" s="336">
        <f t="shared" ca="1" si="27"/>
        <v>43497</v>
      </c>
      <c r="S243" s="171">
        <f t="shared" si="32"/>
        <v>1.38</v>
      </c>
      <c r="T243" s="170">
        <f t="shared" si="33"/>
        <v>1.45</v>
      </c>
      <c r="U243" s="172">
        <f t="shared" si="29"/>
        <v>1.52</v>
      </c>
      <c r="BP243" s="131">
        <f t="shared" si="26"/>
        <v>242</v>
      </c>
      <c r="BQ243" s="185" t="s">
        <v>426</v>
      </c>
      <c r="BR243" s="130" t="s">
        <v>178</v>
      </c>
      <c r="BS243" s="129" t="s">
        <v>204</v>
      </c>
      <c r="BT243" s="135" t="s">
        <v>180</v>
      </c>
      <c r="BU243" s="135"/>
      <c r="BV243" s="129">
        <v>1</v>
      </c>
      <c r="BW243" s="130" t="s">
        <v>1025</v>
      </c>
      <c r="BX243"/>
    </row>
    <row r="244" spans="1:76" ht="12.75">
      <c r="A244" s="153"/>
      <c r="B244" s="146">
        <f t="shared" ca="1" si="30"/>
        <v>43525</v>
      </c>
      <c r="C244" s="141">
        <v>7.4173433827078E-2</v>
      </c>
      <c r="D244" s="141">
        <v>1</v>
      </c>
      <c r="E244" s="141">
        <v>1</v>
      </c>
      <c r="F244" s="141">
        <v>0.14349999999999999</v>
      </c>
      <c r="G244" s="141">
        <v>0.151</v>
      </c>
      <c r="H244" s="141">
        <v>0.1585</v>
      </c>
      <c r="I244" s="142">
        <v>4.0470000000000006</v>
      </c>
      <c r="J244" s="141">
        <v>4.0520000000000005</v>
      </c>
      <c r="K244" s="141">
        <v>4.0570000000000004</v>
      </c>
      <c r="L244" s="141">
        <v>0</v>
      </c>
      <c r="M244" s="141">
        <v>0.86499999999999999</v>
      </c>
      <c r="O244" s="125">
        <f ca="1">(IF(MONTH(B244)&gt;=4,IF(MONTH(B244)&lt;=10,Inputs!$H$2,Inputs!$H$3),Inputs!$H$3))</f>
        <v>6.5000000000000002E-2</v>
      </c>
      <c r="P244" s="155">
        <f ca="1">J244+(IF($L$2=TRUE,IF(MONTH(B244)&gt;=4,IF(MONTH(B244)&lt;=10,L244,M244),M244),0))+(IF('Pricing Inputs'!$AN$3=2,O244,0))</f>
        <v>4.9170000000000007</v>
      </c>
      <c r="Q244" s="155"/>
      <c r="R244" s="336">
        <f t="shared" ca="1" si="27"/>
        <v>43525</v>
      </c>
      <c r="S244" s="171">
        <f t="shared" si="32"/>
        <v>0.92999999999999994</v>
      </c>
      <c r="T244" s="170">
        <f t="shared" si="33"/>
        <v>1</v>
      </c>
      <c r="U244" s="172">
        <f t="shared" si="29"/>
        <v>1.07</v>
      </c>
      <c r="BP244" s="131">
        <f t="shared" si="26"/>
        <v>243</v>
      </c>
      <c r="BQ244" s="185" t="s">
        <v>427</v>
      </c>
      <c r="BR244" s="130" t="s">
        <v>178</v>
      </c>
      <c r="BS244" s="129" t="s">
        <v>204</v>
      </c>
      <c r="BT244" s="135" t="s">
        <v>180</v>
      </c>
      <c r="BU244" s="135"/>
      <c r="BV244" s="129">
        <v>1</v>
      </c>
      <c r="BW244" s="130" t="s">
        <v>1026</v>
      </c>
      <c r="BX244"/>
    </row>
    <row r="245" spans="1:76" ht="12.75">
      <c r="A245" s="153"/>
      <c r="B245" s="146">
        <f t="shared" ca="1" si="30"/>
        <v>43556</v>
      </c>
      <c r="C245" s="141">
        <v>7.4173139109198996E-2</v>
      </c>
      <c r="D245" s="141">
        <v>0.45</v>
      </c>
      <c r="E245" s="141">
        <v>0.45</v>
      </c>
      <c r="F245" s="141">
        <v>0.14349999999999999</v>
      </c>
      <c r="G245" s="141">
        <v>0.151</v>
      </c>
      <c r="H245" s="141">
        <v>0.1585</v>
      </c>
      <c r="I245" s="142">
        <v>3.9975000000000001</v>
      </c>
      <c r="J245" s="141">
        <v>4.0025000000000004</v>
      </c>
      <c r="K245" s="141">
        <v>4.0075000000000003</v>
      </c>
      <c r="L245" s="141">
        <v>0</v>
      </c>
      <c r="M245" s="141">
        <v>0.37</v>
      </c>
      <c r="O245" s="125">
        <f ca="1">(IF(MONTH(B245)&gt;=4,IF(MONTH(B245)&lt;=10,Inputs!$H$2,Inputs!$H$3),Inputs!$H$3))</f>
        <v>6.5000000000000002E-2</v>
      </c>
      <c r="P245" s="155">
        <f ca="1">J245+(IF($L$2=TRUE,IF(MONTH(B245)&gt;=4,IF(MONTH(B245)&lt;=10,L245,M245),M245),0))+(IF('Pricing Inputs'!$AN$3=2,O245,0))</f>
        <v>4.0025000000000004</v>
      </c>
      <c r="Q245" s="155"/>
      <c r="R245" s="336">
        <f t="shared" ca="1" si="27"/>
        <v>43556</v>
      </c>
      <c r="S245" s="171">
        <f t="shared" si="32"/>
        <v>0.38</v>
      </c>
      <c r="T245" s="170">
        <f t="shared" si="33"/>
        <v>0.45</v>
      </c>
      <c r="U245" s="172">
        <f t="shared" si="29"/>
        <v>0.52</v>
      </c>
      <c r="BP245" s="131">
        <f t="shared" si="26"/>
        <v>244</v>
      </c>
      <c r="BQ245" s="185" t="s">
        <v>428</v>
      </c>
      <c r="BR245" s="130" t="s">
        <v>178</v>
      </c>
      <c r="BS245" s="129" t="s">
        <v>204</v>
      </c>
      <c r="BT245" s="135" t="s">
        <v>180</v>
      </c>
      <c r="BU245" s="135"/>
      <c r="BV245" s="129">
        <v>1</v>
      </c>
      <c r="BW245" s="130" t="s">
        <v>1027</v>
      </c>
      <c r="BX245"/>
    </row>
    <row r="246" spans="1:76" ht="12.75">
      <c r="A246" s="153"/>
      <c r="B246" s="146">
        <f t="shared" ca="1" si="30"/>
        <v>43586</v>
      </c>
      <c r="C246" s="141">
        <v>7.4172853898348004E-2</v>
      </c>
      <c r="D246" s="141">
        <v>0.5</v>
      </c>
      <c r="E246" s="141">
        <v>0.5</v>
      </c>
      <c r="F246" s="141">
        <v>0.14349999999999999</v>
      </c>
      <c r="G246" s="141">
        <v>0.151</v>
      </c>
      <c r="H246" s="141">
        <v>0.1585</v>
      </c>
      <c r="I246" s="142">
        <v>3.9715000000000003</v>
      </c>
      <c r="J246" s="141">
        <v>3.9765000000000001</v>
      </c>
      <c r="K246" s="141">
        <v>3.9815</v>
      </c>
      <c r="L246" s="141">
        <v>0</v>
      </c>
      <c r="M246" s="141">
        <v>0.2525</v>
      </c>
      <c r="O246" s="125">
        <f ca="1">(IF(MONTH(B246)&gt;=4,IF(MONTH(B246)&lt;=10,Inputs!$H$2,Inputs!$H$3),Inputs!$H$3))</f>
        <v>6.5000000000000002E-2</v>
      </c>
      <c r="P246" s="155">
        <f ca="1">J246+(IF($L$2=TRUE,IF(MONTH(B246)&gt;=4,IF(MONTH(B246)&lt;=10,L246,M246),M246),0))+(IF('Pricing Inputs'!$AN$3=2,O246,0))</f>
        <v>3.9765000000000001</v>
      </c>
      <c r="Q246" s="155"/>
      <c r="R246" s="336">
        <f t="shared" ca="1" si="27"/>
        <v>43586</v>
      </c>
      <c r="S246" s="171">
        <f t="shared" si="32"/>
        <v>0.43</v>
      </c>
      <c r="T246" s="170">
        <f t="shared" si="33"/>
        <v>0.5</v>
      </c>
      <c r="U246" s="172">
        <f t="shared" si="29"/>
        <v>0.57000000000000006</v>
      </c>
      <c r="BP246" s="131">
        <f t="shared" si="26"/>
        <v>245</v>
      </c>
      <c r="BQ246" s="185" t="s">
        <v>429</v>
      </c>
      <c r="BR246" s="130" t="s">
        <v>178</v>
      </c>
      <c r="BS246" s="129" t="s">
        <v>204</v>
      </c>
      <c r="BT246" s="135" t="s">
        <v>180</v>
      </c>
      <c r="BU246" s="135"/>
      <c r="BV246" s="129">
        <v>1</v>
      </c>
      <c r="BW246" s="130" t="s">
        <v>1028</v>
      </c>
      <c r="BX246"/>
    </row>
    <row r="247" spans="1:76" ht="12.75">
      <c r="A247" s="153"/>
      <c r="B247" s="146">
        <f t="shared" ca="1" si="30"/>
        <v>43617</v>
      </c>
      <c r="C247" s="141">
        <v>7.4172559180469E-2</v>
      </c>
      <c r="D247" s="141">
        <v>0.5</v>
      </c>
      <c r="E247" s="141">
        <v>0.5</v>
      </c>
      <c r="F247" s="141">
        <v>0.14349999999999999</v>
      </c>
      <c r="G247" s="141">
        <v>0.151</v>
      </c>
      <c r="H247" s="141">
        <v>0.1585</v>
      </c>
      <c r="I247" s="142">
        <v>3.9775</v>
      </c>
      <c r="J247" s="141">
        <v>3.9824999999999999</v>
      </c>
      <c r="K247" s="141">
        <v>3.9874999999999998</v>
      </c>
      <c r="L247" s="141">
        <v>0</v>
      </c>
      <c r="M247" s="141">
        <v>0.2525</v>
      </c>
      <c r="O247" s="125">
        <f ca="1">(IF(MONTH(B247)&gt;=4,IF(MONTH(B247)&lt;=10,Inputs!$H$2,Inputs!$H$3),Inputs!$H$3))</f>
        <v>6.5000000000000002E-2</v>
      </c>
      <c r="P247" s="155">
        <f ca="1">J247+(IF($L$2=TRUE,IF(MONTH(B247)&gt;=4,IF(MONTH(B247)&lt;=10,L247,M247),M247),0))+(IF('Pricing Inputs'!$AN$3=2,O247,0))</f>
        <v>3.9824999999999999</v>
      </c>
      <c r="Q247" s="155"/>
      <c r="R247" s="336">
        <f t="shared" ca="1" si="27"/>
        <v>43617</v>
      </c>
      <c r="S247" s="171">
        <f t="shared" si="32"/>
        <v>0.43</v>
      </c>
      <c r="T247" s="170">
        <f t="shared" si="33"/>
        <v>0.5</v>
      </c>
      <c r="U247" s="172">
        <f t="shared" si="29"/>
        <v>0.57000000000000006</v>
      </c>
      <c r="BP247" s="131">
        <f t="shared" si="26"/>
        <v>246</v>
      </c>
      <c r="BQ247" s="185" t="s">
        <v>430</v>
      </c>
      <c r="BR247" s="130" t="s">
        <v>178</v>
      </c>
      <c r="BS247" s="129" t="s">
        <v>179</v>
      </c>
      <c r="BT247" s="135" t="s">
        <v>180</v>
      </c>
      <c r="BU247" s="135"/>
      <c r="BV247" s="129">
        <v>1</v>
      </c>
      <c r="BW247" s="130" t="s">
        <v>1029</v>
      </c>
      <c r="BX247"/>
    </row>
    <row r="248" spans="1:76" ht="12.75">
      <c r="A248" s="153"/>
      <c r="B248" s="146">
        <f t="shared" ca="1" si="30"/>
        <v>43647</v>
      </c>
      <c r="C248" s="141">
        <v>7.4172273969618008E-2</v>
      </c>
      <c r="D248" s="141">
        <v>0.5</v>
      </c>
      <c r="E248" s="141">
        <v>0.5</v>
      </c>
      <c r="F248" s="141">
        <v>0.14349999999999999</v>
      </c>
      <c r="G248" s="141">
        <v>0.151</v>
      </c>
      <c r="H248" s="141">
        <v>0.1585</v>
      </c>
      <c r="I248" s="142">
        <v>3.9874999999999998</v>
      </c>
      <c r="J248" s="141">
        <v>3.9925000000000002</v>
      </c>
      <c r="K248" s="141">
        <v>3.9975000000000001</v>
      </c>
      <c r="L248" s="141">
        <v>0</v>
      </c>
      <c r="M248" s="141">
        <v>0.25750000000000001</v>
      </c>
      <c r="O248" s="125">
        <f ca="1">(IF(MONTH(B248)&gt;=4,IF(MONTH(B248)&lt;=10,Inputs!$H$2,Inputs!$H$3),Inputs!$H$3))</f>
        <v>6.5000000000000002E-2</v>
      </c>
      <c r="P248" s="155">
        <f ca="1">J248+(IF($L$2=TRUE,IF(MONTH(B248)&gt;=4,IF(MONTH(B248)&lt;=10,L248,M248),M248),0))+(IF('Pricing Inputs'!$AN$3=2,O248,0))</f>
        <v>3.9925000000000002</v>
      </c>
      <c r="Q248" s="155"/>
      <c r="R248" s="336">
        <f t="shared" ca="1" si="27"/>
        <v>43647</v>
      </c>
      <c r="S248" s="171">
        <f t="shared" si="32"/>
        <v>0.43</v>
      </c>
      <c r="T248" s="170">
        <f t="shared" si="33"/>
        <v>0.5</v>
      </c>
      <c r="U248" s="172">
        <f t="shared" si="29"/>
        <v>0.57000000000000006</v>
      </c>
      <c r="BP248" s="131">
        <f t="shared" si="26"/>
        <v>247</v>
      </c>
      <c r="BQ248" s="185" t="s">
        <v>431</v>
      </c>
      <c r="BR248" s="130" t="s">
        <v>178</v>
      </c>
      <c r="BS248" s="129" t="s">
        <v>179</v>
      </c>
      <c r="BT248" s="135" t="s">
        <v>180</v>
      </c>
      <c r="BU248" s="135"/>
      <c r="BV248" s="129">
        <v>1</v>
      </c>
      <c r="BW248" s="130" t="s">
        <v>1030</v>
      </c>
      <c r="BX248"/>
    </row>
    <row r="249" spans="1:76" ht="12.75">
      <c r="A249" s="153"/>
      <c r="B249" s="146">
        <f t="shared" ca="1" si="30"/>
        <v>43678</v>
      </c>
      <c r="C249" s="141">
        <v>7.4171979251739004E-2</v>
      </c>
      <c r="D249" s="141">
        <v>0.6</v>
      </c>
      <c r="E249" s="141">
        <v>0.6</v>
      </c>
      <c r="F249" s="141">
        <v>0.14349999999999999</v>
      </c>
      <c r="G249" s="141">
        <v>0.151</v>
      </c>
      <c r="H249" s="141">
        <v>0.1585</v>
      </c>
      <c r="I249" s="142">
        <v>3.9945000000000004</v>
      </c>
      <c r="J249" s="141">
        <v>3.9995000000000003</v>
      </c>
      <c r="K249" s="141">
        <v>4.0045000000000002</v>
      </c>
      <c r="L249" s="141">
        <v>0</v>
      </c>
      <c r="M249" s="141">
        <v>0.25750000000000001</v>
      </c>
      <c r="O249" s="125">
        <f ca="1">(IF(MONTH(B249)&gt;=4,IF(MONTH(B249)&lt;=10,Inputs!$H$2,Inputs!$H$3),Inputs!$H$3))</f>
        <v>6.5000000000000002E-2</v>
      </c>
      <c r="P249" s="155">
        <f ca="1">J249+(IF($L$2=TRUE,IF(MONTH(B249)&gt;=4,IF(MONTH(B249)&lt;=10,L249,M249),M249),0))+(IF('Pricing Inputs'!$AN$3=2,O249,0))</f>
        <v>3.9995000000000003</v>
      </c>
      <c r="Q249" s="155"/>
      <c r="R249" s="336">
        <f t="shared" ca="1" si="27"/>
        <v>43678</v>
      </c>
      <c r="S249" s="171">
        <f t="shared" si="32"/>
        <v>0.53</v>
      </c>
      <c r="T249" s="170">
        <f t="shared" si="33"/>
        <v>0.6</v>
      </c>
      <c r="U249" s="172">
        <f t="shared" si="29"/>
        <v>0.66999999999999993</v>
      </c>
      <c r="BP249" s="131">
        <f t="shared" si="26"/>
        <v>248</v>
      </c>
      <c r="BQ249" s="185" t="s">
        <v>432</v>
      </c>
      <c r="BR249" s="130" t="s">
        <v>178</v>
      </c>
      <c r="BS249" s="129" t="s">
        <v>179</v>
      </c>
      <c r="BT249" s="135" t="s">
        <v>180</v>
      </c>
      <c r="BU249" s="135"/>
      <c r="BV249" s="129">
        <v>1</v>
      </c>
      <c r="BW249" s="130" t="s">
        <v>1031</v>
      </c>
      <c r="BX249"/>
    </row>
    <row r="250" spans="1:76" ht="12.75">
      <c r="A250" s="153"/>
      <c r="B250" s="146">
        <f t="shared" ca="1" si="30"/>
        <v>43709</v>
      </c>
      <c r="C250" s="141">
        <v>7.4171684533859999E-2</v>
      </c>
      <c r="D250" s="141">
        <v>0.6</v>
      </c>
      <c r="E250" s="141">
        <v>0.6</v>
      </c>
      <c r="F250" s="141">
        <v>0.14349999999999999</v>
      </c>
      <c r="G250" s="141">
        <v>0.151</v>
      </c>
      <c r="H250" s="141">
        <v>0.1585</v>
      </c>
      <c r="I250" s="142">
        <v>4.0015000000000001</v>
      </c>
      <c r="J250" s="141">
        <v>4.0065</v>
      </c>
      <c r="K250" s="141">
        <v>4.0114999999999998</v>
      </c>
      <c r="L250" s="141">
        <v>0</v>
      </c>
      <c r="M250" s="141">
        <v>0.2525</v>
      </c>
      <c r="O250" s="125">
        <f ca="1">(IF(MONTH(B250)&gt;=4,IF(MONTH(B250)&lt;=10,Inputs!$H$2,Inputs!$H$3),Inputs!$H$3))</f>
        <v>6.5000000000000002E-2</v>
      </c>
      <c r="P250" s="155">
        <f ca="1">J250+(IF($L$2=TRUE,IF(MONTH(B250)&gt;=4,IF(MONTH(B250)&lt;=10,L250,M250),M250),0))+(IF('Pricing Inputs'!$AN$3=2,O250,0))</f>
        <v>4.0065</v>
      </c>
      <c r="Q250" s="155"/>
      <c r="R250" s="336">
        <f t="shared" ca="1" si="27"/>
        <v>43709</v>
      </c>
      <c r="S250" s="171">
        <f t="shared" si="32"/>
        <v>0.53</v>
      </c>
      <c r="T250" s="170">
        <f t="shared" si="33"/>
        <v>0.6</v>
      </c>
      <c r="U250" s="172">
        <f t="shared" si="29"/>
        <v>0.66999999999999993</v>
      </c>
      <c r="BP250" s="131">
        <f t="shared" si="26"/>
        <v>249</v>
      </c>
      <c r="BQ250" s="185" t="s">
        <v>433</v>
      </c>
      <c r="BR250" s="130" t="s">
        <v>178</v>
      </c>
      <c r="BS250" s="129" t="s">
        <v>179</v>
      </c>
      <c r="BT250" s="135" t="s">
        <v>180</v>
      </c>
      <c r="BU250" s="135"/>
      <c r="BV250" s="129">
        <v>1</v>
      </c>
      <c r="BW250" s="130" t="s">
        <v>1032</v>
      </c>
      <c r="BX250"/>
    </row>
    <row r="251" spans="1:76" ht="12.75">
      <c r="A251" s="153"/>
      <c r="B251" s="146">
        <f t="shared" ca="1" si="30"/>
        <v>43739</v>
      </c>
      <c r="C251" s="141">
        <v>7.4171399323009993E-2</v>
      </c>
      <c r="D251" s="141">
        <v>0.65</v>
      </c>
      <c r="E251" s="141">
        <v>0.65</v>
      </c>
      <c r="F251" s="141">
        <v>0.14349999999999999</v>
      </c>
      <c r="G251" s="141">
        <v>0.151</v>
      </c>
      <c r="H251" s="141">
        <v>0.1585</v>
      </c>
      <c r="I251" s="142">
        <v>4.0274999999999999</v>
      </c>
      <c r="J251" s="141">
        <v>4.0324999999999998</v>
      </c>
      <c r="K251" s="141">
        <v>4.0374999999999996</v>
      </c>
      <c r="L251" s="141">
        <v>0</v>
      </c>
      <c r="M251" s="141">
        <v>0.255</v>
      </c>
      <c r="O251" s="125">
        <f ca="1">(IF(MONTH(B251)&gt;=4,IF(MONTH(B251)&lt;=10,Inputs!$H$2,Inputs!$H$3),Inputs!$H$3))</f>
        <v>6.5000000000000002E-2</v>
      </c>
      <c r="P251" s="155">
        <f ca="1">J251+(IF($L$2=TRUE,IF(MONTH(B251)&gt;=4,IF(MONTH(B251)&lt;=10,L251,M251),M251),0))+(IF('Pricing Inputs'!$AN$3=2,O251,0))</f>
        <v>4.0324999999999998</v>
      </c>
      <c r="Q251" s="155"/>
      <c r="R251" s="336">
        <f t="shared" ca="1" si="27"/>
        <v>43739</v>
      </c>
      <c r="S251" s="171">
        <f t="shared" si="32"/>
        <v>0.58000000000000007</v>
      </c>
      <c r="T251" s="170">
        <f t="shared" si="33"/>
        <v>0.65</v>
      </c>
      <c r="U251" s="172">
        <f t="shared" si="29"/>
        <v>0.72</v>
      </c>
      <c r="BP251" s="131">
        <f t="shared" si="26"/>
        <v>250</v>
      </c>
      <c r="BQ251" s="185" t="s">
        <v>434</v>
      </c>
      <c r="BR251" s="130" t="s">
        <v>178</v>
      </c>
      <c r="BS251" s="129" t="s">
        <v>179</v>
      </c>
      <c r="BT251" s="135" t="s">
        <v>180</v>
      </c>
      <c r="BU251" s="135"/>
      <c r="BV251" s="129">
        <v>1</v>
      </c>
      <c r="BW251" s="130" t="s">
        <v>1033</v>
      </c>
      <c r="BX251"/>
    </row>
    <row r="252" spans="1:76" ht="12.75">
      <c r="A252" s="153"/>
      <c r="B252" s="146">
        <f t="shared" ca="1" si="30"/>
        <v>43770</v>
      </c>
      <c r="C252" s="141">
        <v>7.4171104605130003E-2</v>
      </c>
      <c r="D252" s="141">
        <v>0.95</v>
      </c>
      <c r="E252" s="141">
        <v>0.95</v>
      </c>
      <c r="F252" s="141">
        <v>0.14349999999999999</v>
      </c>
      <c r="G252" s="141">
        <v>0.151</v>
      </c>
      <c r="H252" s="141">
        <v>0.1585</v>
      </c>
      <c r="I252" s="142">
        <v>4.1624999999999996</v>
      </c>
      <c r="J252" s="141">
        <v>4.1675000000000004</v>
      </c>
      <c r="K252" s="141">
        <v>4.1725000000000003</v>
      </c>
      <c r="L252" s="141">
        <v>0</v>
      </c>
      <c r="M252" s="141">
        <v>0.71499999999999997</v>
      </c>
      <c r="O252" s="125">
        <f ca="1">(IF(MONTH(B252)&gt;=4,IF(MONTH(B252)&lt;=10,Inputs!$H$2,Inputs!$H$3),Inputs!$H$3))</f>
        <v>6.5000000000000002E-2</v>
      </c>
      <c r="P252" s="155">
        <f ca="1">J252+(IF($L$2=TRUE,IF(MONTH(B252)&gt;=4,IF(MONTH(B252)&lt;=10,L252,M252),M252),0))+(IF('Pricing Inputs'!$AN$3=2,O252,0))</f>
        <v>4.8825000000000003</v>
      </c>
      <c r="Q252" s="155"/>
      <c r="R252" s="336">
        <f t="shared" ca="1" si="27"/>
        <v>43770</v>
      </c>
      <c r="S252" s="171">
        <f t="shared" si="32"/>
        <v>0.87999999999999989</v>
      </c>
      <c r="T252" s="170">
        <f t="shared" si="33"/>
        <v>0.95</v>
      </c>
      <c r="U252" s="172">
        <f t="shared" si="29"/>
        <v>1.02</v>
      </c>
      <c r="BP252" s="131">
        <f t="shared" si="26"/>
        <v>251</v>
      </c>
      <c r="BQ252" s="185" t="s">
        <v>435</v>
      </c>
      <c r="BR252" s="130" t="s">
        <v>178</v>
      </c>
      <c r="BS252" s="129" t="s">
        <v>179</v>
      </c>
      <c r="BT252" s="135" t="s">
        <v>180</v>
      </c>
      <c r="BU252" s="135"/>
      <c r="BV252" s="129">
        <v>1</v>
      </c>
      <c r="BW252" s="130" t="s">
        <v>1034</v>
      </c>
      <c r="BX252"/>
    </row>
    <row r="253" spans="1:76" ht="12.75">
      <c r="A253" s="153"/>
      <c r="B253" s="146">
        <f t="shared" ca="1" si="30"/>
        <v>43800</v>
      </c>
      <c r="C253" s="141">
        <v>7.4170819394279996E-2</v>
      </c>
      <c r="D253" s="141">
        <v>1.25</v>
      </c>
      <c r="E253" s="141">
        <v>1.25</v>
      </c>
      <c r="F253" s="141">
        <v>0.14349999999999999</v>
      </c>
      <c r="G253" s="141">
        <v>0.151</v>
      </c>
      <c r="H253" s="141">
        <v>0.1585</v>
      </c>
      <c r="I253" s="142">
        <v>4.2865000000000002</v>
      </c>
      <c r="J253" s="141">
        <v>4.2915000000000001</v>
      </c>
      <c r="K253" s="141">
        <v>4.2965</v>
      </c>
      <c r="L253" s="141">
        <v>0</v>
      </c>
      <c r="M253" s="141">
        <v>1.03</v>
      </c>
      <c r="O253" s="125">
        <f ca="1">(IF(MONTH(B253)&gt;=4,IF(MONTH(B253)&lt;=10,Inputs!$H$2,Inputs!$H$3),Inputs!$H$3))</f>
        <v>6.5000000000000002E-2</v>
      </c>
      <c r="P253" s="155">
        <f ca="1">J253+(IF($L$2=TRUE,IF(MONTH(B253)&gt;=4,IF(MONTH(B253)&lt;=10,L253,M253),M253),0))+(IF('Pricing Inputs'!$AN$3=2,O253,0))</f>
        <v>5.3215000000000003</v>
      </c>
      <c r="Q253" s="155"/>
      <c r="R253" s="336">
        <f t="shared" ca="1" si="27"/>
        <v>43800</v>
      </c>
      <c r="S253" s="171">
        <f t="shared" si="32"/>
        <v>1.18</v>
      </c>
      <c r="T253" s="170">
        <f t="shared" si="33"/>
        <v>1.25</v>
      </c>
      <c r="U253" s="172">
        <f t="shared" si="29"/>
        <v>1.32</v>
      </c>
      <c r="BP253" s="131">
        <f t="shared" si="26"/>
        <v>252</v>
      </c>
      <c r="BQ253" s="185" t="s">
        <v>436</v>
      </c>
      <c r="BR253" s="130" t="s">
        <v>178</v>
      </c>
      <c r="BS253" s="129" t="s">
        <v>179</v>
      </c>
      <c r="BT253" s="135" t="s">
        <v>180</v>
      </c>
      <c r="BU253" s="135"/>
      <c r="BV253" s="129">
        <v>1</v>
      </c>
      <c r="BW253" s="130" t="s">
        <v>1035</v>
      </c>
      <c r="BX253"/>
    </row>
    <row r="254" spans="1:76" ht="12.75">
      <c r="A254" s="153"/>
      <c r="B254" s="146">
        <f t="shared" ca="1" si="30"/>
        <v>43831</v>
      </c>
      <c r="C254" s="141">
        <v>7.4170524676401006E-2</v>
      </c>
      <c r="D254" s="141">
        <v>1.45</v>
      </c>
      <c r="E254" s="141">
        <v>1.45</v>
      </c>
      <c r="F254" s="141">
        <v>0.14349999999999999</v>
      </c>
      <c r="G254" s="141">
        <v>0.151</v>
      </c>
      <c r="H254" s="141">
        <v>0.1585</v>
      </c>
      <c r="I254" s="142">
        <v>4.41</v>
      </c>
      <c r="J254" s="141">
        <v>4.415</v>
      </c>
      <c r="K254" s="141">
        <v>4.42</v>
      </c>
      <c r="L254" s="141">
        <v>0</v>
      </c>
      <c r="M254" s="141">
        <v>1.4950000000000001</v>
      </c>
      <c r="O254" s="125">
        <f ca="1">(IF(MONTH(B254)&gt;=4,IF(MONTH(B254)&lt;=10,Inputs!$H$2,Inputs!$H$3),Inputs!$H$3))</f>
        <v>6.5000000000000002E-2</v>
      </c>
      <c r="P254" s="155">
        <f ca="1">J254+(IF($L$2=TRUE,IF(MONTH(B254)&gt;=4,IF(MONTH(B254)&lt;=10,L254,M254),M254),0))+(IF('Pricing Inputs'!$AN$3=2,O254,0))</f>
        <v>5.91</v>
      </c>
      <c r="Q254" s="155"/>
      <c r="R254" s="336">
        <f t="shared" ca="1" si="27"/>
        <v>43831</v>
      </c>
      <c r="S254" s="171">
        <f t="shared" si="32"/>
        <v>1.38</v>
      </c>
      <c r="T254" s="170">
        <f t="shared" si="33"/>
        <v>1.45</v>
      </c>
      <c r="U254" s="172">
        <f t="shared" si="29"/>
        <v>1.52</v>
      </c>
      <c r="BP254" s="131">
        <f t="shared" si="26"/>
        <v>253</v>
      </c>
      <c r="BQ254" s="185" t="s">
        <v>437</v>
      </c>
      <c r="BR254" s="130" t="s">
        <v>178</v>
      </c>
      <c r="BS254" s="129" t="s">
        <v>179</v>
      </c>
      <c r="BT254" s="135" t="s">
        <v>180</v>
      </c>
      <c r="BU254" s="135"/>
      <c r="BV254" s="129">
        <v>1</v>
      </c>
      <c r="BW254" s="130" t="s">
        <v>1036</v>
      </c>
      <c r="BX254"/>
    </row>
    <row r="255" spans="1:76" ht="12.75">
      <c r="A255" s="153"/>
      <c r="B255" s="146">
        <f t="shared" ca="1" si="30"/>
        <v>43862</v>
      </c>
      <c r="C255" s="141">
        <v>7.4170229958522002E-2</v>
      </c>
      <c r="D255" s="141">
        <v>1.45</v>
      </c>
      <c r="E255" s="141">
        <v>1.45</v>
      </c>
      <c r="F255" s="141">
        <v>0.14349999999999999</v>
      </c>
      <c r="G255" s="141">
        <v>0.151</v>
      </c>
      <c r="H255" s="141">
        <v>0.1585</v>
      </c>
      <c r="I255" s="142">
        <v>4.2919999999999998</v>
      </c>
      <c r="J255" s="141">
        <v>4.2970000000000006</v>
      </c>
      <c r="K255" s="141">
        <v>4.3020000000000005</v>
      </c>
      <c r="L255" s="141">
        <v>0</v>
      </c>
      <c r="M255" s="141">
        <v>1.395</v>
      </c>
      <c r="O255" s="125">
        <f ca="1">(IF(MONTH(B255)&gt;=4,IF(MONTH(B255)&lt;=10,Inputs!$H$2,Inputs!$H$3),Inputs!$H$3))</f>
        <v>6.5000000000000002E-2</v>
      </c>
      <c r="P255" s="155">
        <f ca="1">J255+(IF($L$2=TRUE,IF(MONTH(B255)&gt;=4,IF(MONTH(B255)&lt;=10,L255,M255),M255),0))+(IF('Pricing Inputs'!$AN$3=2,O255,0))</f>
        <v>5.6920000000000002</v>
      </c>
      <c r="Q255" s="155"/>
      <c r="R255" s="336">
        <f t="shared" ca="1" si="27"/>
        <v>43862</v>
      </c>
      <c r="S255" s="171">
        <f t="shared" ref="S255:S310" si="34">T255-$S$16</f>
        <v>1.38</v>
      </c>
      <c r="T255" s="170">
        <f t="shared" ref="T255:T310" si="35">D255</f>
        <v>1.45</v>
      </c>
      <c r="U255" s="172">
        <f t="shared" si="29"/>
        <v>1.52</v>
      </c>
      <c r="BP255" s="131">
        <f t="shared" si="26"/>
        <v>254</v>
      </c>
      <c r="BQ255" s="185" t="s">
        <v>438</v>
      </c>
      <c r="BR255" s="130" t="s">
        <v>178</v>
      </c>
      <c r="BS255" s="129" t="s">
        <v>179</v>
      </c>
      <c r="BT255" s="135" t="s">
        <v>180</v>
      </c>
      <c r="BU255" s="135"/>
      <c r="BV255" s="129">
        <v>1</v>
      </c>
      <c r="BW255" s="130" t="s">
        <v>1037</v>
      </c>
      <c r="BX255"/>
    </row>
    <row r="256" spans="1:76" ht="12.75">
      <c r="A256" s="153"/>
      <c r="B256" s="146">
        <f t="shared" ca="1" si="30"/>
        <v>43891</v>
      </c>
      <c r="C256" s="141">
        <v>7.4169954254699008E-2</v>
      </c>
      <c r="D256" s="141">
        <v>1</v>
      </c>
      <c r="E256" s="141">
        <v>1</v>
      </c>
      <c r="F256" s="141">
        <v>0.14349999999999999</v>
      </c>
      <c r="G256" s="141">
        <v>0.151</v>
      </c>
      <c r="H256" s="141">
        <v>0.1585</v>
      </c>
      <c r="I256" s="142">
        <v>4.1720000000000006</v>
      </c>
      <c r="J256" s="141">
        <v>4.1770000000000005</v>
      </c>
      <c r="K256" s="141">
        <v>4.1820000000000004</v>
      </c>
      <c r="L256" s="141">
        <v>0</v>
      </c>
      <c r="M256" s="141">
        <v>0.86499999999999999</v>
      </c>
      <c r="O256" s="125">
        <f ca="1">(IF(MONTH(B256)&gt;=4,IF(MONTH(B256)&lt;=10,Inputs!$H$2,Inputs!$H$3),Inputs!$H$3))</f>
        <v>6.5000000000000002E-2</v>
      </c>
      <c r="P256" s="155">
        <f ca="1">J256+(IF($L$2=TRUE,IF(MONTH(B256)&gt;=4,IF(MONTH(B256)&lt;=10,L256,M256),M256),0))+(IF('Pricing Inputs'!$AN$3=2,O256,0))</f>
        <v>5.0420000000000007</v>
      </c>
      <c r="Q256" s="155"/>
      <c r="R256" s="336">
        <f t="shared" ca="1" si="27"/>
        <v>43891</v>
      </c>
      <c r="S256" s="171">
        <f t="shared" si="34"/>
        <v>0.92999999999999994</v>
      </c>
      <c r="T256" s="170">
        <f t="shared" si="35"/>
        <v>1</v>
      </c>
      <c r="U256" s="172">
        <f t="shared" si="29"/>
        <v>1.07</v>
      </c>
      <c r="BP256" s="131">
        <f t="shared" si="26"/>
        <v>255</v>
      </c>
      <c r="BQ256" s="185" t="s">
        <v>439</v>
      </c>
      <c r="BR256" s="130" t="s">
        <v>178</v>
      </c>
      <c r="BS256" s="129" t="s">
        <v>179</v>
      </c>
      <c r="BT256" s="135" t="s">
        <v>180</v>
      </c>
      <c r="BU256" s="135"/>
      <c r="BV256" s="129">
        <v>1</v>
      </c>
      <c r="BW256" s="130" t="s">
        <v>1038</v>
      </c>
      <c r="BX256"/>
    </row>
    <row r="257" spans="1:76" ht="12.75">
      <c r="A257" s="153"/>
      <c r="B257" s="146">
        <f t="shared" ca="1" si="30"/>
        <v>43922</v>
      </c>
      <c r="C257" s="141">
        <v>7.4161295770025004E-2</v>
      </c>
      <c r="D257" s="141">
        <v>0.45</v>
      </c>
      <c r="E257" s="141">
        <v>0.45</v>
      </c>
      <c r="F257" s="141">
        <v>0.14349999999999999</v>
      </c>
      <c r="G257" s="141">
        <v>0.151</v>
      </c>
      <c r="H257" s="141">
        <v>0.1585</v>
      </c>
      <c r="I257" s="142">
        <v>4.1224999999999996</v>
      </c>
      <c r="J257" s="141">
        <v>4.1275000000000004</v>
      </c>
      <c r="K257" s="141">
        <v>4.1325000000000003</v>
      </c>
      <c r="L257" s="141">
        <v>0</v>
      </c>
      <c r="M257" s="141">
        <v>0.37</v>
      </c>
      <c r="O257" s="125">
        <f ca="1">(IF(MONTH(B257)&gt;=4,IF(MONTH(B257)&lt;=10,Inputs!$H$2,Inputs!$H$3),Inputs!$H$3))</f>
        <v>6.5000000000000002E-2</v>
      </c>
      <c r="P257" s="155">
        <f ca="1">J257+(IF($L$2=TRUE,IF(MONTH(B257)&gt;=4,IF(MONTH(B257)&lt;=10,L257,M257),M257),0))+(IF('Pricing Inputs'!$AN$3=2,O257,0))</f>
        <v>4.1275000000000004</v>
      </c>
      <c r="Q257" s="155"/>
      <c r="R257" s="336">
        <f t="shared" ca="1" si="27"/>
        <v>43922</v>
      </c>
      <c r="S257" s="171">
        <f t="shared" si="34"/>
        <v>0.38</v>
      </c>
      <c r="T257" s="170">
        <f t="shared" si="35"/>
        <v>0.45</v>
      </c>
      <c r="U257" s="172">
        <f t="shared" si="29"/>
        <v>0.52</v>
      </c>
      <c r="BP257" s="131">
        <f t="shared" si="26"/>
        <v>256</v>
      </c>
      <c r="BQ257" s="185" t="s">
        <v>440</v>
      </c>
      <c r="BR257" s="130" t="s">
        <v>178</v>
      </c>
      <c r="BS257" s="129" t="s">
        <v>179</v>
      </c>
      <c r="BT257" s="135" t="s">
        <v>180</v>
      </c>
      <c r="BU257" s="135"/>
      <c r="BV257" s="129">
        <v>1</v>
      </c>
      <c r="BW257" s="130" t="s">
        <v>1039</v>
      </c>
      <c r="BX257"/>
    </row>
    <row r="258" spans="1:76" ht="12.75">
      <c r="A258" s="153"/>
      <c r="B258" s="146">
        <f t="shared" ca="1" si="30"/>
        <v>43952</v>
      </c>
      <c r="C258" s="141">
        <v>7.4152358386653003E-2</v>
      </c>
      <c r="D258" s="141">
        <v>0.5</v>
      </c>
      <c r="E258" s="141">
        <v>0.5</v>
      </c>
      <c r="F258" s="141">
        <v>0.14349999999999999</v>
      </c>
      <c r="G258" s="141">
        <v>0.151</v>
      </c>
      <c r="H258" s="141">
        <v>0.1585</v>
      </c>
      <c r="I258" s="142">
        <v>4.0964999999999998</v>
      </c>
      <c r="J258" s="141">
        <v>4.1015000000000006</v>
      </c>
      <c r="K258" s="141">
        <v>4.1065000000000005</v>
      </c>
      <c r="L258" s="141">
        <v>0</v>
      </c>
      <c r="M258" s="141">
        <v>0.2525</v>
      </c>
      <c r="O258" s="125">
        <f ca="1">(IF(MONTH(B258)&gt;=4,IF(MONTH(B258)&lt;=10,Inputs!$H$2,Inputs!$H$3),Inputs!$H$3))</f>
        <v>6.5000000000000002E-2</v>
      </c>
      <c r="P258" s="155">
        <f ca="1">J258+(IF($L$2=TRUE,IF(MONTH(B258)&gt;=4,IF(MONTH(B258)&lt;=10,L258,M258),M258),0))+(IF('Pricing Inputs'!$AN$3=2,O258,0))</f>
        <v>4.1015000000000006</v>
      </c>
      <c r="Q258" s="155"/>
      <c r="R258" s="336">
        <f t="shared" ca="1" si="27"/>
        <v>43952</v>
      </c>
      <c r="S258" s="171">
        <f t="shared" si="34"/>
        <v>0.43</v>
      </c>
      <c r="T258" s="170">
        <f t="shared" si="35"/>
        <v>0.5</v>
      </c>
      <c r="U258" s="172">
        <f t="shared" si="29"/>
        <v>0.57000000000000006</v>
      </c>
      <c r="BP258" s="131">
        <f t="shared" ref="BP258:BP321" si="36">BP257+BV258</f>
        <v>257</v>
      </c>
      <c r="BQ258" s="185" t="s">
        <v>441</v>
      </c>
      <c r="BR258" s="130" t="s">
        <v>178</v>
      </c>
      <c r="BS258" s="129" t="s">
        <v>179</v>
      </c>
      <c r="BT258" s="135" t="s">
        <v>180</v>
      </c>
      <c r="BU258" s="135"/>
      <c r="BV258" s="129">
        <v>1</v>
      </c>
      <c r="BW258" s="130" t="s">
        <v>1040</v>
      </c>
      <c r="BX258"/>
    </row>
    <row r="259" spans="1:76" ht="12.75">
      <c r="A259" s="153"/>
      <c r="B259" s="146">
        <f t="shared" ca="1" si="30"/>
        <v>43983</v>
      </c>
      <c r="C259" s="141">
        <v>7.4143123090529992E-2</v>
      </c>
      <c r="D259" s="141">
        <v>0.5</v>
      </c>
      <c r="E259" s="141">
        <v>0.5</v>
      </c>
      <c r="F259" s="141">
        <v>0.14349999999999999</v>
      </c>
      <c r="G259" s="141">
        <v>0.151</v>
      </c>
      <c r="H259" s="141">
        <v>0.1585</v>
      </c>
      <c r="I259" s="142">
        <v>4.1025</v>
      </c>
      <c r="J259" s="141">
        <v>4.1074999999999999</v>
      </c>
      <c r="K259" s="141">
        <v>4.1124999999999998</v>
      </c>
      <c r="L259" s="141">
        <v>0</v>
      </c>
      <c r="M259" s="141">
        <v>0.2525</v>
      </c>
      <c r="O259" s="125">
        <f ca="1">(IF(MONTH(B259)&gt;=4,IF(MONTH(B259)&lt;=10,Inputs!$H$2,Inputs!$H$3),Inputs!$H$3))</f>
        <v>6.5000000000000002E-2</v>
      </c>
      <c r="P259" s="155">
        <f ca="1">J259+(IF($L$2=TRUE,IF(MONTH(B259)&gt;=4,IF(MONTH(B259)&lt;=10,L259,M259),M259),0))+(IF('Pricing Inputs'!$AN$3=2,O259,0))</f>
        <v>4.1074999999999999</v>
      </c>
      <c r="Q259" s="155"/>
      <c r="R259" s="336">
        <f t="shared" ca="1" si="27"/>
        <v>43983</v>
      </c>
      <c r="S259" s="171">
        <f t="shared" si="34"/>
        <v>0.43</v>
      </c>
      <c r="T259" s="170">
        <f t="shared" si="35"/>
        <v>0.5</v>
      </c>
      <c r="U259" s="172">
        <f t="shared" si="29"/>
        <v>0.57000000000000006</v>
      </c>
      <c r="BP259" s="131">
        <f t="shared" si="36"/>
        <v>258</v>
      </c>
      <c r="BQ259" s="185" t="s">
        <v>442</v>
      </c>
      <c r="BR259" s="130" t="s">
        <v>178</v>
      </c>
      <c r="BS259" s="129" t="s">
        <v>179</v>
      </c>
      <c r="BT259" s="135" t="s">
        <v>180</v>
      </c>
      <c r="BU259" s="135"/>
      <c r="BV259" s="129">
        <v>1</v>
      </c>
      <c r="BW259" s="130" t="s">
        <v>1041</v>
      </c>
      <c r="BX259"/>
    </row>
    <row r="260" spans="1:76" ht="12.75">
      <c r="A260" s="153"/>
      <c r="B260" s="146">
        <f t="shared" ca="1" si="30"/>
        <v>44013</v>
      </c>
      <c r="C260" s="141">
        <v>7.4134185707211003E-2</v>
      </c>
      <c r="D260" s="141">
        <v>0.5</v>
      </c>
      <c r="E260" s="141">
        <v>0.5</v>
      </c>
      <c r="F260" s="141">
        <v>0.14349999999999999</v>
      </c>
      <c r="G260" s="141">
        <v>0.151</v>
      </c>
      <c r="H260" s="141">
        <v>0.1585</v>
      </c>
      <c r="I260" s="142">
        <v>4.1124999999999998</v>
      </c>
      <c r="J260" s="141">
        <v>4.1174999999999997</v>
      </c>
      <c r="K260" s="141">
        <v>4.1224999999999996</v>
      </c>
      <c r="L260" s="141">
        <v>0</v>
      </c>
      <c r="M260" s="141">
        <v>0.25750000000000001</v>
      </c>
      <c r="O260" s="125">
        <f ca="1">(IF(MONTH(B260)&gt;=4,IF(MONTH(B260)&lt;=10,Inputs!$H$2,Inputs!$H$3),Inputs!$H$3))</f>
        <v>6.5000000000000002E-2</v>
      </c>
      <c r="P260" s="155">
        <f ca="1">J260+(IF($L$2=TRUE,IF(MONTH(B260)&gt;=4,IF(MONTH(B260)&lt;=10,L260,M260),M260),0))+(IF('Pricing Inputs'!$AN$3=2,O260,0))</f>
        <v>4.1174999999999997</v>
      </c>
      <c r="Q260" s="155"/>
      <c r="R260" s="336">
        <f t="shared" ca="1" si="27"/>
        <v>44013</v>
      </c>
      <c r="S260" s="171">
        <f t="shared" si="34"/>
        <v>0.43</v>
      </c>
      <c r="T260" s="170">
        <f t="shared" si="35"/>
        <v>0.5</v>
      </c>
      <c r="U260" s="172">
        <f t="shared" si="29"/>
        <v>0.57000000000000006</v>
      </c>
      <c r="BP260" s="131">
        <f t="shared" si="36"/>
        <v>259</v>
      </c>
      <c r="BQ260" s="185" t="s">
        <v>443</v>
      </c>
      <c r="BR260" s="130" t="s">
        <v>178</v>
      </c>
      <c r="BS260" s="129" t="s">
        <v>179</v>
      </c>
      <c r="BT260" s="135" t="s">
        <v>180</v>
      </c>
      <c r="BU260" s="135"/>
      <c r="BV260" s="129">
        <v>1</v>
      </c>
      <c r="BW260" s="130" t="s">
        <v>1042</v>
      </c>
      <c r="BX260"/>
    </row>
    <row r="261" spans="1:76" ht="12.75">
      <c r="A261" s="153"/>
      <c r="B261" s="146">
        <f t="shared" ca="1" si="30"/>
        <v>44044</v>
      </c>
      <c r="C261" s="141">
        <v>7.4124950411143004E-2</v>
      </c>
      <c r="D261" s="141">
        <v>0.6</v>
      </c>
      <c r="E261" s="141">
        <v>0.6</v>
      </c>
      <c r="F261" s="141">
        <v>0.14349999999999999</v>
      </c>
      <c r="G261" s="141">
        <v>0.151</v>
      </c>
      <c r="H261" s="141">
        <v>0.1585</v>
      </c>
      <c r="I261" s="142">
        <v>4.1195000000000004</v>
      </c>
      <c r="J261" s="141">
        <v>4.1245000000000003</v>
      </c>
      <c r="K261" s="141">
        <v>4.1295000000000002</v>
      </c>
      <c r="L261" s="141">
        <v>0</v>
      </c>
      <c r="M261" s="141">
        <v>0.25750000000000001</v>
      </c>
      <c r="O261" s="125">
        <f ca="1">(IF(MONTH(B261)&gt;=4,IF(MONTH(B261)&lt;=10,Inputs!$H$2,Inputs!$H$3),Inputs!$H$3))</f>
        <v>6.5000000000000002E-2</v>
      </c>
      <c r="P261" s="155">
        <f ca="1">J261+(IF($L$2=TRUE,IF(MONTH(B261)&gt;=4,IF(MONTH(B261)&lt;=10,L261,M261),M261),0))+(IF('Pricing Inputs'!$AN$3=2,O261,0))</f>
        <v>4.1245000000000003</v>
      </c>
      <c r="Q261" s="155"/>
      <c r="R261" s="336">
        <f t="shared" ca="1" si="27"/>
        <v>44044</v>
      </c>
      <c r="S261" s="171">
        <f t="shared" si="34"/>
        <v>0.53</v>
      </c>
      <c r="T261" s="170">
        <f t="shared" si="35"/>
        <v>0.6</v>
      </c>
      <c r="U261" s="172">
        <f t="shared" si="29"/>
        <v>0.66999999999999993</v>
      </c>
      <c r="BP261" s="131">
        <f t="shared" si="36"/>
        <v>260</v>
      </c>
      <c r="BQ261" s="185" t="s">
        <v>444</v>
      </c>
      <c r="BR261" s="130" t="s">
        <v>178</v>
      </c>
      <c r="BS261" s="129" t="s">
        <v>179</v>
      </c>
      <c r="BT261" s="135" t="s">
        <v>180</v>
      </c>
      <c r="BU261" s="135"/>
      <c r="BV261" s="129">
        <v>1</v>
      </c>
      <c r="BW261" s="130" t="s">
        <v>1043</v>
      </c>
      <c r="BX261"/>
    </row>
    <row r="262" spans="1:76" ht="12.75">
      <c r="A262" s="153"/>
      <c r="B262" s="146">
        <f t="shared" ca="1" si="30"/>
        <v>44075</v>
      </c>
      <c r="C262" s="141">
        <v>7.4115715115102995E-2</v>
      </c>
      <c r="D262" s="141">
        <v>0.6</v>
      </c>
      <c r="E262" s="141">
        <v>0.6</v>
      </c>
      <c r="F262" s="141">
        <v>0.14349999999999999</v>
      </c>
      <c r="G262" s="141">
        <v>0.151</v>
      </c>
      <c r="H262" s="141">
        <v>0.1585</v>
      </c>
      <c r="I262" s="142">
        <v>4.1265000000000001</v>
      </c>
      <c r="J262" s="141">
        <v>4.1315</v>
      </c>
      <c r="K262" s="141">
        <v>4.1364999999999998</v>
      </c>
      <c r="L262" s="141">
        <v>0</v>
      </c>
      <c r="M262" s="141">
        <v>0.2525</v>
      </c>
      <c r="O262" s="125">
        <f ca="1">(IF(MONTH(B262)&gt;=4,IF(MONTH(B262)&lt;=10,Inputs!$H$2,Inputs!$H$3),Inputs!$H$3))</f>
        <v>6.5000000000000002E-2</v>
      </c>
      <c r="P262" s="155">
        <f ca="1">J262+(IF($L$2=TRUE,IF(MONTH(B262)&gt;=4,IF(MONTH(B262)&lt;=10,L262,M262),M262),0))+(IF('Pricing Inputs'!$AN$3=2,O262,0))</f>
        <v>4.1315</v>
      </c>
      <c r="Q262" s="155"/>
      <c r="R262" s="336">
        <f t="shared" ca="1" si="27"/>
        <v>44075</v>
      </c>
      <c r="S262" s="171">
        <f t="shared" si="34"/>
        <v>0.53</v>
      </c>
      <c r="T262" s="170">
        <f t="shared" si="35"/>
        <v>0.6</v>
      </c>
      <c r="U262" s="172">
        <f t="shared" si="29"/>
        <v>0.66999999999999993</v>
      </c>
      <c r="BP262" s="131">
        <f t="shared" si="36"/>
        <v>261</v>
      </c>
      <c r="BQ262" s="185" t="s">
        <v>445</v>
      </c>
      <c r="BR262" s="130" t="s">
        <v>178</v>
      </c>
      <c r="BS262" s="129" t="s">
        <v>179</v>
      </c>
      <c r="BT262" s="135" t="s">
        <v>180</v>
      </c>
      <c r="BU262" s="135"/>
      <c r="BV262" s="129">
        <v>1</v>
      </c>
      <c r="BW262" s="130" t="s">
        <v>1044</v>
      </c>
      <c r="BX262"/>
    </row>
    <row r="263" spans="1:76" ht="12.75">
      <c r="A263" s="153"/>
      <c r="B263" s="146">
        <f t="shared" ca="1" si="30"/>
        <v>44105</v>
      </c>
      <c r="C263" s="141">
        <v>7.4106777731865997E-2</v>
      </c>
      <c r="D263" s="141">
        <v>0.65</v>
      </c>
      <c r="E263" s="141">
        <v>0.65</v>
      </c>
      <c r="F263" s="141">
        <v>0.14349999999999999</v>
      </c>
      <c r="G263" s="141">
        <v>0.151</v>
      </c>
      <c r="H263" s="141">
        <v>0.1585</v>
      </c>
      <c r="I263" s="142">
        <v>4.1524999999999999</v>
      </c>
      <c r="J263" s="141">
        <v>4.1574999999999998</v>
      </c>
      <c r="K263" s="141">
        <v>4.1624999999999996</v>
      </c>
      <c r="L263" s="141">
        <v>0</v>
      </c>
      <c r="M263" s="141">
        <v>0.255</v>
      </c>
      <c r="O263" s="125">
        <f ca="1">(IF(MONTH(B263)&gt;=4,IF(MONTH(B263)&lt;=10,Inputs!$H$2,Inputs!$H$3),Inputs!$H$3))</f>
        <v>6.5000000000000002E-2</v>
      </c>
      <c r="P263" s="155">
        <f ca="1">J263+(IF($L$2=TRUE,IF(MONTH(B263)&gt;=4,IF(MONTH(B263)&lt;=10,L263,M263),M263),0))+(IF('Pricing Inputs'!$AN$3=2,O263,0))</f>
        <v>4.1574999999999998</v>
      </c>
      <c r="Q263" s="155"/>
      <c r="R263" s="336">
        <f t="shared" ca="1" si="27"/>
        <v>44105</v>
      </c>
      <c r="S263" s="171">
        <f t="shared" si="34"/>
        <v>0.58000000000000007</v>
      </c>
      <c r="T263" s="170">
        <f t="shared" si="35"/>
        <v>0.65</v>
      </c>
      <c r="U263" s="172">
        <f t="shared" si="29"/>
        <v>0.72</v>
      </c>
      <c r="BP263" s="131">
        <f t="shared" si="36"/>
        <v>262</v>
      </c>
      <c r="BQ263" s="185" t="s">
        <v>446</v>
      </c>
      <c r="BR263" s="130" t="s">
        <v>178</v>
      </c>
      <c r="BS263" s="129" t="s">
        <v>179</v>
      </c>
      <c r="BT263" s="135" t="s">
        <v>180</v>
      </c>
      <c r="BU263" s="135"/>
      <c r="BV263" s="129">
        <v>1</v>
      </c>
      <c r="BW263" s="130" t="s">
        <v>1045</v>
      </c>
      <c r="BX263"/>
    </row>
    <row r="264" spans="1:76" ht="12.75">
      <c r="A264" s="153"/>
      <c r="B264" s="146">
        <f t="shared" ca="1" si="30"/>
        <v>44136</v>
      </c>
      <c r="C264" s="141">
        <v>7.4097542435882E-2</v>
      </c>
      <c r="D264" s="141">
        <v>0.95</v>
      </c>
      <c r="E264" s="141">
        <v>0.95</v>
      </c>
      <c r="F264" s="141">
        <v>0.14349999999999999</v>
      </c>
      <c r="G264" s="141">
        <v>0.151</v>
      </c>
      <c r="H264" s="141">
        <v>0.1585</v>
      </c>
      <c r="I264" s="142">
        <v>4.2874999999999996</v>
      </c>
      <c r="J264" s="141">
        <v>4.2925000000000004</v>
      </c>
      <c r="K264" s="141">
        <v>4.2975000000000003</v>
      </c>
      <c r="L264" s="141">
        <v>0</v>
      </c>
      <c r="M264" s="141">
        <v>0.71499999999999997</v>
      </c>
      <c r="O264" s="125">
        <f ca="1">(IF(MONTH(B264)&gt;=4,IF(MONTH(B264)&lt;=10,Inputs!$H$2,Inputs!$H$3),Inputs!$H$3))</f>
        <v>6.5000000000000002E-2</v>
      </c>
      <c r="P264" s="155">
        <f ca="1">J264+(IF($L$2=TRUE,IF(MONTH(B264)&gt;=4,IF(MONTH(B264)&lt;=10,L264,M264),M264),0))+(IF('Pricing Inputs'!$AN$3=2,O264,0))</f>
        <v>5.0075000000000003</v>
      </c>
      <c r="Q264" s="155"/>
      <c r="R264" s="336">
        <f t="shared" ca="1" si="27"/>
        <v>44136</v>
      </c>
      <c r="S264" s="171">
        <f t="shared" si="34"/>
        <v>0.87999999999999989</v>
      </c>
      <c r="T264" s="170">
        <f t="shared" si="35"/>
        <v>0.95</v>
      </c>
      <c r="U264" s="172">
        <f t="shared" si="29"/>
        <v>1.02</v>
      </c>
      <c r="BP264" s="131">
        <f t="shared" si="36"/>
        <v>263</v>
      </c>
      <c r="BQ264" s="185" t="s">
        <v>447</v>
      </c>
      <c r="BR264" s="130" t="s">
        <v>178</v>
      </c>
      <c r="BS264" s="129" t="s">
        <v>179</v>
      </c>
      <c r="BT264" s="135" t="s">
        <v>180</v>
      </c>
      <c r="BU264" s="135"/>
      <c r="BV264" s="129">
        <v>1</v>
      </c>
      <c r="BW264" s="130" t="s">
        <v>1046</v>
      </c>
      <c r="BX264"/>
    </row>
    <row r="265" spans="1:76" ht="12.75">
      <c r="A265" s="153"/>
      <c r="B265" s="146">
        <f t="shared" ca="1" si="30"/>
        <v>44166</v>
      </c>
      <c r="C265" s="141">
        <v>7.4088605052698001E-2</v>
      </c>
      <c r="D265" s="141">
        <v>1.25</v>
      </c>
      <c r="E265" s="141">
        <v>1.25</v>
      </c>
      <c r="F265" s="141">
        <v>0.14349999999999999</v>
      </c>
      <c r="G265" s="141">
        <v>0.151</v>
      </c>
      <c r="H265" s="141">
        <v>0.1585</v>
      </c>
      <c r="I265" s="142">
        <v>4.4115000000000002</v>
      </c>
      <c r="J265" s="141">
        <v>4.4165000000000001</v>
      </c>
      <c r="K265" s="141">
        <v>4.4215</v>
      </c>
      <c r="L265" s="141">
        <v>0</v>
      </c>
      <c r="M265" s="141">
        <v>1.03</v>
      </c>
      <c r="O265" s="125">
        <f ca="1">(IF(MONTH(B265)&gt;=4,IF(MONTH(B265)&lt;=10,Inputs!$H$2,Inputs!$H$3),Inputs!$H$3))</f>
        <v>6.5000000000000002E-2</v>
      </c>
      <c r="P265" s="155">
        <f ca="1">J265+(IF($L$2=TRUE,IF(MONTH(B265)&gt;=4,IF(MONTH(B265)&lt;=10,L265,M265),M265),0))+(IF('Pricing Inputs'!$AN$3=2,O265,0))</f>
        <v>5.4465000000000003</v>
      </c>
      <c r="Q265" s="155"/>
      <c r="R265" s="336">
        <f t="shared" ca="1" si="27"/>
        <v>44166</v>
      </c>
      <c r="S265" s="171">
        <f t="shared" si="34"/>
        <v>1.18</v>
      </c>
      <c r="T265" s="170">
        <f t="shared" si="35"/>
        <v>1.25</v>
      </c>
      <c r="U265" s="172">
        <f t="shared" si="29"/>
        <v>1.32</v>
      </c>
      <c r="BP265" s="131">
        <f t="shared" si="36"/>
        <v>264</v>
      </c>
      <c r="BQ265" s="185" t="s">
        <v>448</v>
      </c>
      <c r="BR265" s="130" t="s">
        <v>178</v>
      </c>
      <c r="BS265" s="129" t="s">
        <v>179</v>
      </c>
      <c r="BT265" s="135" t="s">
        <v>180</v>
      </c>
      <c r="BU265" s="135"/>
      <c r="BV265" s="129">
        <v>1</v>
      </c>
      <c r="BW265" s="130" t="s">
        <v>1047</v>
      </c>
      <c r="BX265"/>
    </row>
    <row r="266" spans="1:76" ht="12.75">
      <c r="A266" s="153"/>
      <c r="B266" s="146">
        <f t="shared" ca="1" si="30"/>
        <v>44197</v>
      </c>
      <c r="C266" s="141">
        <v>7.4079369756769001E-2</v>
      </c>
      <c r="D266" s="141">
        <v>1.45</v>
      </c>
      <c r="E266" s="141">
        <v>1.45</v>
      </c>
      <c r="F266" s="141">
        <v>0.14349999999999999</v>
      </c>
      <c r="G266" s="141">
        <v>0.151</v>
      </c>
      <c r="H266" s="141">
        <v>0.1585</v>
      </c>
      <c r="I266" s="142">
        <v>4.54</v>
      </c>
      <c r="J266" s="141">
        <v>4.5449999999999999</v>
      </c>
      <c r="K266" s="141">
        <v>-0.14499999999999999</v>
      </c>
      <c r="L266" s="141">
        <v>0</v>
      </c>
      <c r="M266" s="141">
        <v>1.4950000000000001</v>
      </c>
      <c r="O266" s="125">
        <f ca="1">(IF(MONTH(B266)&gt;=4,IF(MONTH(B266)&lt;=10,Inputs!$H$2,Inputs!$H$3),Inputs!$H$3))</f>
        <v>6.5000000000000002E-2</v>
      </c>
      <c r="P266" s="155">
        <f ca="1">J266+(IF($L$2=TRUE,IF(MONTH(B266)&gt;=4,IF(MONTH(B266)&lt;=10,L266,M266),M266),0))+(IF('Pricing Inputs'!$AN$3=2,O266,0))</f>
        <v>6.04</v>
      </c>
      <c r="Q266" s="155"/>
      <c r="R266" s="336">
        <f t="shared" ca="1" si="27"/>
        <v>44197</v>
      </c>
      <c r="S266" s="171">
        <f t="shared" si="34"/>
        <v>1.38</v>
      </c>
      <c r="T266" s="170">
        <f t="shared" si="35"/>
        <v>1.45</v>
      </c>
      <c r="U266" s="172">
        <f t="shared" si="29"/>
        <v>1.52</v>
      </c>
      <c r="BP266" s="131">
        <f t="shared" si="36"/>
        <v>265</v>
      </c>
      <c r="BQ266" s="185" t="s">
        <v>449</v>
      </c>
      <c r="BR266" s="130" t="s">
        <v>178</v>
      </c>
      <c r="BS266" s="129" t="s">
        <v>179</v>
      </c>
      <c r="BT266" s="135" t="s">
        <v>180</v>
      </c>
      <c r="BU266" s="135"/>
      <c r="BV266" s="129">
        <v>1</v>
      </c>
      <c r="BW266" s="130" t="s">
        <v>1048</v>
      </c>
      <c r="BX266"/>
    </row>
    <row r="267" spans="1:76" ht="12.75">
      <c r="A267" s="153"/>
      <c r="B267" s="146">
        <f t="shared" ca="1" si="30"/>
        <v>44228</v>
      </c>
      <c r="C267" s="141">
        <v>7.4070134460868006E-2</v>
      </c>
      <c r="D267" s="141">
        <v>1.45</v>
      </c>
      <c r="E267" s="141">
        <v>1.45</v>
      </c>
      <c r="F267" s="141">
        <v>0.14349999999999999</v>
      </c>
      <c r="G267" s="141">
        <v>0.151</v>
      </c>
      <c r="H267" s="141">
        <v>0.1585</v>
      </c>
      <c r="I267" s="142">
        <v>4.4220000000000006</v>
      </c>
      <c r="J267" s="141">
        <v>4.4270000000000005</v>
      </c>
      <c r="K267" s="141">
        <v>-0.13900000000000001</v>
      </c>
      <c r="L267" s="141">
        <v>0</v>
      </c>
      <c r="M267" s="141">
        <v>1.395</v>
      </c>
      <c r="O267" s="125">
        <f ca="1">(IF(MONTH(B267)&gt;=4,IF(MONTH(B267)&lt;=10,Inputs!$H$2,Inputs!$H$3),Inputs!$H$3))</f>
        <v>6.5000000000000002E-2</v>
      </c>
      <c r="P267" s="155">
        <f ca="1">J267+(IF($L$2=TRUE,IF(MONTH(B267)&gt;=4,IF(MONTH(B267)&lt;=10,L267,M267),M267),0))+(IF('Pricing Inputs'!$AN$3=2,O267,0))</f>
        <v>5.822000000000001</v>
      </c>
      <c r="Q267" s="155"/>
      <c r="R267" s="336">
        <f t="shared" ca="1" si="27"/>
        <v>44228</v>
      </c>
      <c r="S267" s="171">
        <f t="shared" si="34"/>
        <v>1.38</v>
      </c>
      <c r="T267" s="170">
        <f t="shared" si="35"/>
        <v>1.45</v>
      </c>
      <c r="U267" s="172">
        <f t="shared" si="29"/>
        <v>1.52</v>
      </c>
      <c r="BP267" s="131">
        <f t="shared" si="36"/>
        <v>266</v>
      </c>
      <c r="BQ267" s="185" t="s">
        <v>450</v>
      </c>
      <c r="BR267" s="130" t="s">
        <v>178</v>
      </c>
      <c r="BS267" s="129" t="s">
        <v>179</v>
      </c>
      <c r="BT267" s="135" t="s">
        <v>180</v>
      </c>
      <c r="BU267" s="135"/>
      <c r="BV267" s="129">
        <v>1</v>
      </c>
      <c r="BW267" s="130" t="s">
        <v>1049</v>
      </c>
      <c r="BX267"/>
    </row>
    <row r="268" spans="1:76" ht="12.75">
      <c r="A268" s="153"/>
      <c r="B268" s="146">
        <f t="shared" ca="1" si="30"/>
        <v>44256</v>
      </c>
      <c r="C268" s="141">
        <v>7.4061792903305002E-2</v>
      </c>
      <c r="D268" s="141">
        <v>1</v>
      </c>
      <c r="E268" s="141">
        <v>1</v>
      </c>
      <c r="F268" s="141">
        <v>0.14349999999999999</v>
      </c>
      <c r="G268" s="141">
        <v>0.151</v>
      </c>
      <c r="H268" s="141">
        <v>0.1585</v>
      </c>
      <c r="I268" s="142">
        <v>4.3020000000000005</v>
      </c>
      <c r="J268" s="141">
        <v>4.3070000000000004</v>
      </c>
      <c r="K268" s="141">
        <v>-0.13</v>
      </c>
      <c r="L268" s="141">
        <v>0</v>
      </c>
      <c r="M268" s="141">
        <v>0.86499999999999999</v>
      </c>
      <c r="O268" s="125">
        <f ca="1">(IF(MONTH(B268)&gt;=4,IF(MONTH(B268)&lt;=10,Inputs!$H$2,Inputs!$H$3),Inputs!$H$3))</f>
        <v>6.5000000000000002E-2</v>
      </c>
      <c r="P268" s="155">
        <f ca="1">J268+(IF($L$2=TRUE,IF(MONTH(B268)&gt;=4,IF(MONTH(B268)&lt;=10,L268,M268),M268),0))+(IF('Pricing Inputs'!$AN$3=2,O268,0))</f>
        <v>5.1720000000000006</v>
      </c>
      <c r="Q268" s="155"/>
      <c r="R268" s="336">
        <f t="shared" ca="1" si="27"/>
        <v>44256</v>
      </c>
      <c r="S268" s="171">
        <f t="shared" si="34"/>
        <v>0.92999999999999994</v>
      </c>
      <c r="T268" s="170">
        <f t="shared" si="35"/>
        <v>1</v>
      </c>
      <c r="U268" s="172">
        <f t="shared" si="29"/>
        <v>1.07</v>
      </c>
      <c r="BP268" s="131">
        <f t="shared" si="36"/>
        <v>267</v>
      </c>
      <c r="BQ268" s="185" t="s">
        <v>451</v>
      </c>
      <c r="BR268" s="130" t="s">
        <v>178</v>
      </c>
      <c r="BS268" s="129" t="s">
        <v>179</v>
      </c>
      <c r="BT268" s="135" t="s">
        <v>180</v>
      </c>
      <c r="BU268" s="135"/>
      <c r="BV268" s="129">
        <v>1</v>
      </c>
      <c r="BW268" s="130" t="s">
        <v>1050</v>
      </c>
      <c r="BX268"/>
    </row>
    <row r="269" spans="1:76" ht="12.75">
      <c r="A269" s="153"/>
      <c r="B269" s="146">
        <f t="shared" ca="1" si="30"/>
        <v>44287</v>
      </c>
      <c r="C269" s="141">
        <v>7.4052557607457006E-2</v>
      </c>
      <c r="D269" s="141">
        <v>0.45</v>
      </c>
      <c r="E269" s="141">
        <v>0.45</v>
      </c>
      <c r="F269" s="141">
        <v>0.14349999999999999</v>
      </c>
      <c r="G269" s="141">
        <v>0.151</v>
      </c>
      <c r="H269" s="141">
        <v>0.1585</v>
      </c>
      <c r="I269" s="142">
        <v>4.2525000000000004</v>
      </c>
      <c r="J269" s="141">
        <v>4.2575000000000003</v>
      </c>
      <c r="K269" s="141">
        <v>-0.126</v>
      </c>
      <c r="L269" s="141">
        <v>0</v>
      </c>
      <c r="M269" s="141">
        <v>0.37</v>
      </c>
      <c r="O269" s="125">
        <f ca="1">(IF(MONTH(B269)&gt;=4,IF(MONTH(B269)&lt;=10,Inputs!$H$2,Inputs!$H$3),Inputs!$H$3))</f>
        <v>6.5000000000000002E-2</v>
      </c>
      <c r="P269" s="155">
        <f ca="1">J269+(IF($L$2=TRUE,IF(MONTH(B269)&gt;=4,IF(MONTH(B269)&lt;=10,L269,M269),M269),0))+(IF('Pricing Inputs'!$AN$3=2,O269,0))</f>
        <v>4.2575000000000003</v>
      </c>
      <c r="Q269" s="155"/>
      <c r="R269" s="336">
        <f t="shared" ca="1" si="27"/>
        <v>44287</v>
      </c>
      <c r="S269" s="171">
        <f t="shared" si="34"/>
        <v>0.38</v>
      </c>
      <c r="T269" s="170">
        <f t="shared" si="35"/>
        <v>0.45</v>
      </c>
      <c r="U269" s="172">
        <f t="shared" si="29"/>
        <v>0.52</v>
      </c>
      <c r="BP269" s="131">
        <f t="shared" si="36"/>
        <v>268</v>
      </c>
      <c r="BQ269" s="185" t="s">
        <v>452</v>
      </c>
      <c r="BR269" s="130" t="s">
        <v>178</v>
      </c>
      <c r="BS269" s="129" t="s">
        <v>179</v>
      </c>
      <c r="BT269" s="135" t="s">
        <v>180</v>
      </c>
      <c r="BU269" s="135"/>
      <c r="BV269" s="129">
        <v>1</v>
      </c>
      <c r="BW269" s="130" t="s">
        <v>1051</v>
      </c>
      <c r="BX269"/>
    </row>
    <row r="270" spans="1:76" ht="12.75">
      <c r="A270" s="153"/>
      <c r="B270" s="146">
        <f t="shared" ca="1" si="30"/>
        <v>44317</v>
      </c>
      <c r="C270" s="141">
        <v>7.4043620224405998E-2</v>
      </c>
      <c r="D270" s="141">
        <v>0.5</v>
      </c>
      <c r="E270" s="141">
        <v>0.5</v>
      </c>
      <c r="F270" s="141">
        <v>0.14349999999999999</v>
      </c>
      <c r="G270" s="141">
        <v>0.151</v>
      </c>
      <c r="H270" s="141">
        <v>0.1585</v>
      </c>
      <c r="I270" s="142">
        <v>4.2265000000000006</v>
      </c>
      <c r="J270" s="141">
        <v>4.2315000000000005</v>
      </c>
      <c r="K270" s="141">
        <v>-0.112</v>
      </c>
      <c r="L270" s="141">
        <v>0</v>
      </c>
      <c r="M270" s="141">
        <v>0.2525</v>
      </c>
      <c r="O270" s="125">
        <f ca="1">(IF(MONTH(B270)&gt;=4,IF(MONTH(B270)&lt;=10,Inputs!$H$2,Inputs!$H$3),Inputs!$H$3))</f>
        <v>6.5000000000000002E-2</v>
      </c>
      <c r="P270" s="155">
        <f ca="1">J270+(IF($L$2=TRUE,IF(MONTH(B270)&gt;=4,IF(MONTH(B270)&lt;=10,L270,M270),M270),0))+(IF('Pricing Inputs'!$AN$3=2,O270,0))</f>
        <v>4.2315000000000005</v>
      </c>
      <c r="Q270" s="155"/>
      <c r="R270" s="336">
        <f t="shared" ca="1" si="27"/>
        <v>44317</v>
      </c>
      <c r="S270" s="171">
        <f t="shared" si="34"/>
        <v>0.43</v>
      </c>
      <c r="T270" s="170">
        <f t="shared" si="35"/>
        <v>0.5</v>
      </c>
      <c r="U270" s="172">
        <f t="shared" si="29"/>
        <v>0.57000000000000006</v>
      </c>
      <c r="BP270" s="131">
        <f t="shared" si="36"/>
        <v>269</v>
      </c>
      <c r="BQ270" s="185" t="s">
        <v>453</v>
      </c>
      <c r="BR270" s="130" t="s">
        <v>178</v>
      </c>
      <c r="BS270" s="129" t="s">
        <v>179</v>
      </c>
      <c r="BT270" s="135" t="s">
        <v>180</v>
      </c>
      <c r="BU270" s="135"/>
      <c r="BV270" s="129">
        <v>1</v>
      </c>
      <c r="BW270" s="130" t="s">
        <v>1052</v>
      </c>
      <c r="BX270"/>
    </row>
    <row r="271" spans="1:76" ht="12.75">
      <c r="A271" s="153"/>
      <c r="B271" s="146">
        <f t="shared" ca="1" si="30"/>
        <v>44348</v>
      </c>
      <c r="C271" s="141">
        <v>7.4034384928614E-2</v>
      </c>
      <c r="D271" s="141">
        <v>0.5</v>
      </c>
      <c r="E271" s="141">
        <v>0.5</v>
      </c>
      <c r="F271" s="141">
        <v>0.14349999999999999</v>
      </c>
      <c r="G271" s="141">
        <v>0.151</v>
      </c>
      <c r="H271" s="141">
        <v>0.1585</v>
      </c>
      <c r="I271" s="142">
        <v>4.2324999999999999</v>
      </c>
      <c r="J271" s="141">
        <v>4.2374999999999998</v>
      </c>
      <c r="K271" s="141">
        <v>-0.10100000000000001</v>
      </c>
      <c r="L271" s="141">
        <v>0</v>
      </c>
      <c r="M271" s="141">
        <v>0.2525</v>
      </c>
      <c r="O271" s="125">
        <f ca="1">(IF(MONTH(B271)&gt;=4,IF(MONTH(B271)&lt;=10,Inputs!$H$2,Inputs!$H$3),Inputs!$H$3))</f>
        <v>6.5000000000000002E-2</v>
      </c>
      <c r="P271" s="155">
        <f ca="1">J271+(IF($L$2=TRUE,IF(MONTH(B271)&gt;=4,IF(MONTH(B271)&lt;=10,L271,M271),M271),0))+(IF('Pricing Inputs'!$AN$3=2,O271,0))</f>
        <v>4.2374999999999998</v>
      </c>
      <c r="Q271" s="155"/>
      <c r="R271" s="336">
        <f t="shared" ca="1" si="27"/>
        <v>44348</v>
      </c>
      <c r="S271" s="171">
        <f t="shared" si="34"/>
        <v>0.43</v>
      </c>
      <c r="T271" s="170">
        <f t="shared" si="35"/>
        <v>0.5</v>
      </c>
      <c r="U271" s="172">
        <f t="shared" si="29"/>
        <v>0.57000000000000006</v>
      </c>
      <c r="BP271" s="131">
        <f t="shared" si="36"/>
        <v>270</v>
      </c>
      <c r="BQ271" s="185" t="s">
        <v>454</v>
      </c>
      <c r="BR271" s="130" t="s">
        <v>178</v>
      </c>
      <c r="BS271" s="129" t="s">
        <v>179</v>
      </c>
      <c r="BT271" s="135" t="s">
        <v>180</v>
      </c>
      <c r="BU271" s="135"/>
      <c r="BV271" s="129">
        <v>1</v>
      </c>
      <c r="BW271" s="130" t="s">
        <v>1053</v>
      </c>
      <c r="BX271"/>
    </row>
    <row r="272" spans="1:76" ht="12.75">
      <c r="A272" s="153"/>
      <c r="B272" s="146">
        <f t="shared" ca="1" si="30"/>
        <v>44378</v>
      </c>
      <c r="C272" s="141">
        <v>7.4025447545616005E-2</v>
      </c>
      <c r="D272" s="141">
        <v>0.5</v>
      </c>
      <c r="E272" s="141">
        <v>0.5</v>
      </c>
      <c r="F272" s="141">
        <v>0.14349999999999999</v>
      </c>
      <c r="G272" s="141">
        <v>0.151</v>
      </c>
      <c r="H272" s="141">
        <v>0.1585</v>
      </c>
      <c r="I272" s="142">
        <v>4.2424999999999997</v>
      </c>
      <c r="J272" s="141">
        <v>4.2474999999999996</v>
      </c>
      <c r="K272" s="141">
        <v>-0.13700000000000001</v>
      </c>
      <c r="L272" s="141">
        <v>0</v>
      </c>
      <c r="M272" s="141">
        <v>0.25750000000000001</v>
      </c>
      <c r="O272" s="125">
        <f ca="1">(IF(MONTH(B272)&gt;=4,IF(MONTH(B272)&lt;=10,Inputs!$H$2,Inputs!$H$3),Inputs!$H$3))</f>
        <v>6.5000000000000002E-2</v>
      </c>
      <c r="P272" s="155">
        <f ca="1">J272+(IF($L$2=TRUE,IF(MONTH(B272)&gt;=4,IF(MONTH(B272)&lt;=10,L272,M272),M272),0))+(IF('Pricing Inputs'!$AN$3=2,O272,0))</f>
        <v>4.2474999999999996</v>
      </c>
      <c r="Q272" s="155"/>
      <c r="R272" s="336">
        <f t="shared" ca="1" si="27"/>
        <v>44378</v>
      </c>
      <c r="S272" s="171">
        <f t="shared" si="34"/>
        <v>0.43</v>
      </c>
      <c r="T272" s="170">
        <f t="shared" si="35"/>
        <v>0.5</v>
      </c>
      <c r="U272" s="172">
        <f t="shared" si="29"/>
        <v>0.57000000000000006</v>
      </c>
      <c r="BP272" s="131">
        <f t="shared" si="36"/>
        <v>271</v>
      </c>
      <c r="BQ272" s="185" t="s">
        <v>455</v>
      </c>
      <c r="BR272" s="130" t="s">
        <v>178</v>
      </c>
      <c r="BS272" s="129" t="s">
        <v>179</v>
      </c>
      <c r="BT272" s="135" t="s">
        <v>180</v>
      </c>
      <c r="BU272" s="135"/>
      <c r="BV272" s="129">
        <v>1</v>
      </c>
      <c r="BW272" s="130" t="s">
        <v>1054</v>
      </c>
      <c r="BX272"/>
    </row>
    <row r="273" spans="1:76" ht="12.75">
      <c r="A273" s="153"/>
      <c r="B273" s="146">
        <f t="shared" ca="1" si="30"/>
        <v>44409</v>
      </c>
      <c r="C273" s="141">
        <v>7.4016212249880003E-2</v>
      </c>
      <c r="D273" s="141">
        <v>0.6</v>
      </c>
      <c r="E273" s="141">
        <v>0.6</v>
      </c>
      <c r="F273" s="141">
        <v>0.14349999999999999</v>
      </c>
      <c r="G273" s="141">
        <v>0.151</v>
      </c>
      <c r="H273" s="141">
        <v>0.1585</v>
      </c>
      <c r="I273" s="142">
        <v>4.2495000000000003</v>
      </c>
      <c r="J273" s="141">
        <v>4.2545000000000002</v>
      </c>
      <c r="K273" s="141">
        <v>-0.14100000000000001</v>
      </c>
      <c r="L273" s="141">
        <v>0</v>
      </c>
      <c r="M273" s="141">
        <v>0.25750000000000001</v>
      </c>
      <c r="O273" s="125">
        <f ca="1">(IF(MONTH(B273)&gt;=4,IF(MONTH(B273)&lt;=10,Inputs!$H$2,Inputs!$H$3),Inputs!$H$3))</f>
        <v>6.5000000000000002E-2</v>
      </c>
      <c r="P273" s="155">
        <f ca="1">J273+(IF($L$2=TRUE,IF(MONTH(B273)&gt;=4,IF(MONTH(B273)&lt;=10,L273,M273),M273),0))+(IF('Pricing Inputs'!$AN$3=2,O273,0))</f>
        <v>4.2545000000000002</v>
      </c>
      <c r="Q273" s="155"/>
      <c r="R273" s="336">
        <f t="shared" ref="R273:R310" ca="1" si="37">B273</f>
        <v>44409</v>
      </c>
      <c r="S273" s="171">
        <f t="shared" si="34"/>
        <v>0.53</v>
      </c>
      <c r="T273" s="170">
        <f t="shared" si="35"/>
        <v>0.6</v>
      </c>
      <c r="U273" s="172">
        <f t="shared" ref="U273:U310" si="38">$U$16+T273</f>
        <v>0.66999999999999993</v>
      </c>
      <c r="BP273" s="131">
        <f t="shared" si="36"/>
        <v>272</v>
      </c>
      <c r="BQ273" s="185" t="s">
        <v>456</v>
      </c>
      <c r="BR273" s="130" t="s">
        <v>178</v>
      </c>
      <c r="BS273" s="129" t="s">
        <v>179</v>
      </c>
      <c r="BT273" s="135" t="s">
        <v>180</v>
      </c>
      <c r="BU273" s="135"/>
      <c r="BV273" s="129">
        <v>1</v>
      </c>
      <c r="BW273" s="130" t="s">
        <v>1055</v>
      </c>
      <c r="BX273"/>
    </row>
    <row r="274" spans="1:76" ht="12.75">
      <c r="A274" s="153"/>
      <c r="B274" s="146">
        <f t="shared" ref="B274:B337" ca="1" si="39">NextMonth(B273)</f>
        <v>44440</v>
      </c>
      <c r="C274" s="141">
        <v>7.4006976954171008E-2</v>
      </c>
      <c r="D274" s="141">
        <v>0.6</v>
      </c>
      <c r="E274" s="141">
        <v>0.6</v>
      </c>
      <c r="F274" s="141">
        <v>0.14349999999999999</v>
      </c>
      <c r="G274" s="141">
        <v>0.151</v>
      </c>
      <c r="H274" s="141">
        <v>0.1585</v>
      </c>
      <c r="I274" s="142">
        <v>4.2565</v>
      </c>
      <c r="J274" s="141">
        <v>4.2614999999999998</v>
      </c>
      <c r="K274" s="141">
        <v>-0.15</v>
      </c>
      <c r="L274" s="141">
        <v>0</v>
      </c>
      <c r="M274" s="141">
        <v>0.2525</v>
      </c>
      <c r="O274" s="125">
        <f ca="1">(IF(MONTH(B274)&gt;=4,IF(MONTH(B274)&lt;=10,Inputs!$H$2,Inputs!$H$3),Inputs!$H$3))</f>
        <v>6.5000000000000002E-2</v>
      </c>
      <c r="P274" s="155">
        <f ca="1">J274+(IF($L$2=TRUE,IF(MONTH(B274)&gt;=4,IF(MONTH(B274)&lt;=10,L274,M274),M274),0))+(IF('Pricing Inputs'!$AN$3=2,O274,0))</f>
        <v>4.2614999999999998</v>
      </c>
      <c r="Q274" s="155"/>
      <c r="R274" s="336">
        <f t="shared" ca="1" si="37"/>
        <v>44440</v>
      </c>
      <c r="S274" s="171">
        <f t="shared" si="34"/>
        <v>0.53</v>
      </c>
      <c r="T274" s="170">
        <f t="shared" si="35"/>
        <v>0.6</v>
      </c>
      <c r="U274" s="172">
        <f t="shared" si="38"/>
        <v>0.66999999999999993</v>
      </c>
      <c r="BP274" s="131">
        <f t="shared" si="36"/>
        <v>273</v>
      </c>
      <c r="BQ274" s="185" t="s">
        <v>457</v>
      </c>
      <c r="BR274" s="130" t="s">
        <v>178</v>
      </c>
      <c r="BS274" s="129" t="s">
        <v>179</v>
      </c>
      <c r="BT274" s="135" t="s">
        <v>180</v>
      </c>
      <c r="BU274" s="135"/>
      <c r="BV274" s="129">
        <v>1</v>
      </c>
      <c r="BW274" s="130" t="s">
        <v>1056</v>
      </c>
      <c r="BX274"/>
    </row>
    <row r="275" spans="1:76" ht="12.75">
      <c r="A275" s="153"/>
      <c r="B275" s="146">
        <f t="shared" ca="1" si="39"/>
        <v>44470</v>
      </c>
      <c r="C275" s="141">
        <v>7.3998039571255003E-2</v>
      </c>
      <c r="D275" s="141">
        <v>0.65</v>
      </c>
      <c r="E275" s="141">
        <v>0.65</v>
      </c>
      <c r="F275" s="141">
        <v>0.14349999999999999</v>
      </c>
      <c r="G275" s="141">
        <v>0.151</v>
      </c>
      <c r="H275" s="141">
        <v>0.1585</v>
      </c>
      <c r="I275" s="142">
        <v>4.2824999999999998</v>
      </c>
      <c r="J275" s="141">
        <v>4.2874999999999996</v>
      </c>
      <c r="K275" s="141">
        <v>-0.155</v>
      </c>
      <c r="L275" s="141">
        <v>0</v>
      </c>
      <c r="M275" s="141">
        <v>0.255</v>
      </c>
      <c r="O275" s="125">
        <f ca="1">(IF(MONTH(B275)&gt;=4,IF(MONTH(B275)&lt;=10,Inputs!$H$2,Inputs!$H$3),Inputs!$H$3))</f>
        <v>6.5000000000000002E-2</v>
      </c>
      <c r="P275" s="155">
        <f ca="1">J275+(IF($L$2=TRUE,IF(MONTH(B275)&gt;=4,IF(MONTH(B275)&lt;=10,L275,M275),M275),0))+(IF('Pricing Inputs'!$AN$3=2,O275,0))</f>
        <v>4.2874999999999996</v>
      </c>
      <c r="Q275" s="155"/>
      <c r="R275" s="336">
        <f t="shared" ca="1" si="37"/>
        <v>44470</v>
      </c>
      <c r="S275" s="171">
        <f t="shared" si="34"/>
        <v>0.58000000000000007</v>
      </c>
      <c r="T275" s="170">
        <f t="shared" si="35"/>
        <v>0.65</v>
      </c>
      <c r="U275" s="172">
        <f t="shared" si="38"/>
        <v>0.72</v>
      </c>
      <c r="BP275" s="131">
        <f t="shared" si="36"/>
        <v>274</v>
      </c>
      <c r="BQ275" s="185" t="s">
        <v>458</v>
      </c>
      <c r="BR275" s="130" t="s">
        <v>178</v>
      </c>
      <c r="BS275" s="129" t="s">
        <v>179</v>
      </c>
      <c r="BT275" s="135" t="s">
        <v>180</v>
      </c>
      <c r="BU275" s="135"/>
      <c r="BV275" s="129">
        <v>1</v>
      </c>
      <c r="BW275" s="130" t="s">
        <v>1057</v>
      </c>
      <c r="BX275"/>
    </row>
    <row r="276" spans="1:76" ht="12.75">
      <c r="A276" s="153"/>
      <c r="B276" s="146">
        <f t="shared" ca="1" si="39"/>
        <v>44501</v>
      </c>
      <c r="C276" s="141">
        <v>7.3988804275602005E-2</v>
      </c>
      <c r="D276" s="141">
        <v>0.95</v>
      </c>
      <c r="E276" s="141">
        <v>0.95</v>
      </c>
      <c r="F276" s="141">
        <v>0.14349999999999999</v>
      </c>
      <c r="G276" s="141">
        <v>0.151</v>
      </c>
      <c r="H276" s="141">
        <v>0.1585</v>
      </c>
      <c r="I276" s="142">
        <v>4.4175000000000004</v>
      </c>
      <c r="J276" s="141">
        <v>4.4225000000000003</v>
      </c>
      <c r="K276" s="141">
        <v>-0.16300000000000001</v>
      </c>
      <c r="L276" s="141">
        <v>0</v>
      </c>
      <c r="M276" s="141">
        <v>0.71499999999999997</v>
      </c>
      <c r="O276" s="125">
        <f ca="1">(IF(MONTH(B276)&gt;=4,IF(MONTH(B276)&lt;=10,Inputs!$H$2,Inputs!$H$3),Inputs!$H$3))</f>
        <v>6.5000000000000002E-2</v>
      </c>
      <c r="P276" s="155">
        <f ca="1">J276+(IF($L$2=TRUE,IF(MONTH(B276)&gt;=4,IF(MONTH(B276)&lt;=10,L276,M276),M276),0))+(IF('Pricing Inputs'!$AN$3=2,O276,0))</f>
        <v>5.1375000000000002</v>
      </c>
      <c r="Q276" s="155"/>
      <c r="R276" s="336">
        <f t="shared" ca="1" si="37"/>
        <v>44501</v>
      </c>
      <c r="S276" s="171">
        <f t="shared" si="34"/>
        <v>0.87999999999999989</v>
      </c>
      <c r="T276" s="170">
        <f t="shared" si="35"/>
        <v>0.95</v>
      </c>
      <c r="U276" s="172">
        <f t="shared" si="38"/>
        <v>1.02</v>
      </c>
      <c r="BP276" s="131">
        <f t="shared" si="36"/>
        <v>275</v>
      </c>
      <c r="BQ276" s="185" t="s">
        <v>459</v>
      </c>
      <c r="BR276" s="130" t="s">
        <v>178</v>
      </c>
      <c r="BS276" s="129" t="s">
        <v>179</v>
      </c>
      <c r="BT276" s="135" t="s">
        <v>180</v>
      </c>
      <c r="BU276" s="135"/>
      <c r="BV276" s="129">
        <v>1</v>
      </c>
      <c r="BW276" s="130" t="s">
        <v>1058</v>
      </c>
      <c r="BX276"/>
    </row>
    <row r="277" spans="1:76" ht="12.75">
      <c r="A277" s="153"/>
      <c r="B277" s="146">
        <f t="shared" ca="1" si="39"/>
        <v>44531</v>
      </c>
      <c r="C277" s="141">
        <v>7.3979866892738E-2</v>
      </c>
      <c r="D277" s="141">
        <v>1.25</v>
      </c>
      <c r="E277" s="141">
        <v>1.25</v>
      </c>
      <c r="F277" s="141">
        <v>0.14349999999999999</v>
      </c>
      <c r="G277" s="141">
        <v>0.151</v>
      </c>
      <c r="H277" s="141">
        <v>0.1585</v>
      </c>
      <c r="I277" s="142">
        <v>4.5415000000000001</v>
      </c>
      <c r="J277" s="141">
        <v>4.5465</v>
      </c>
      <c r="K277" s="141">
        <v>-0.158</v>
      </c>
      <c r="L277" s="141">
        <v>0</v>
      </c>
      <c r="M277" s="141">
        <v>1.03</v>
      </c>
      <c r="O277" s="125">
        <f ca="1">(IF(MONTH(B277)&gt;=4,IF(MONTH(B277)&lt;=10,Inputs!$H$2,Inputs!$H$3),Inputs!$H$3))</f>
        <v>6.5000000000000002E-2</v>
      </c>
      <c r="P277" s="155">
        <f ca="1">J277+(IF($L$2=TRUE,IF(MONTH(B277)&gt;=4,IF(MONTH(B277)&lt;=10,L277,M277),M277),0))+(IF('Pricing Inputs'!$AN$3=2,O277,0))</f>
        <v>5.5765000000000002</v>
      </c>
      <c r="Q277" s="155"/>
      <c r="R277" s="336">
        <f t="shared" ca="1" si="37"/>
        <v>44531</v>
      </c>
      <c r="S277" s="171">
        <f t="shared" si="34"/>
        <v>1.18</v>
      </c>
      <c r="T277" s="170">
        <f t="shared" si="35"/>
        <v>1.25</v>
      </c>
      <c r="U277" s="172">
        <f t="shared" si="38"/>
        <v>1.32</v>
      </c>
      <c r="BP277" s="131">
        <f t="shared" si="36"/>
        <v>276</v>
      </c>
      <c r="BQ277" s="185" t="s">
        <v>460</v>
      </c>
      <c r="BR277" s="130" t="s">
        <v>178</v>
      </c>
      <c r="BS277" s="129" t="s">
        <v>179</v>
      </c>
      <c r="BT277" s="135" t="s">
        <v>180</v>
      </c>
      <c r="BU277" s="135"/>
      <c r="BV277" s="129">
        <v>1</v>
      </c>
      <c r="BW277" s="130" t="s">
        <v>1059</v>
      </c>
      <c r="BX277"/>
    </row>
    <row r="278" spans="1:76" ht="12.75">
      <c r="A278" s="153"/>
      <c r="B278" s="146">
        <f t="shared" ca="1" si="39"/>
        <v>44562</v>
      </c>
      <c r="C278" s="141">
        <v>7.3970631597140998E-2</v>
      </c>
      <c r="D278" s="141">
        <v>1.45</v>
      </c>
      <c r="E278" s="141">
        <v>1.45</v>
      </c>
      <c r="F278" s="141">
        <v>0.14349999999999999</v>
      </c>
      <c r="G278" s="141">
        <v>0.151</v>
      </c>
      <c r="H278" s="141">
        <v>0.1585</v>
      </c>
      <c r="I278" s="142">
        <v>4.6749999999999998</v>
      </c>
      <c r="J278" s="141">
        <v>4.68</v>
      </c>
      <c r="K278" s="141">
        <v>-0.16500000000000001</v>
      </c>
      <c r="L278" s="141">
        <v>0</v>
      </c>
      <c r="M278" s="141">
        <v>1.4950000000000001</v>
      </c>
      <c r="O278" s="125">
        <f ca="1">(IF(MONTH(B278)&gt;=4,IF(MONTH(B278)&lt;=10,Inputs!$H$2,Inputs!$H$3),Inputs!$H$3))</f>
        <v>6.5000000000000002E-2</v>
      </c>
      <c r="P278" s="155">
        <f ca="1">J278+(IF($L$2=TRUE,IF(MONTH(B278)&gt;=4,IF(MONTH(B278)&lt;=10,L278,M278),M278),0))+(IF('Pricing Inputs'!$AN$3=2,O278,0))</f>
        <v>6.1749999999999998</v>
      </c>
      <c r="Q278" s="155"/>
      <c r="R278" s="336">
        <f t="shared" ca="1" si="37"/>
        <v>44562</v>
      </c>
      <c r="S278" s="171">
        <f t="shared" si="34"/>
        <v>1.38</v>
      </c>
      <c r="T278" s="170">
        <f t="shared" si="35"/>
        <v>1.45</v>
      </c>
      <c r="U278" s="172">
        <f t="shared" si="38"/>
        <v>1.52</v>
      </c>
      <c r="BP278" s="131">
        <f t="shared" si="36"/>
        <v>277</v>
      </c>
      <c r="BQ278" s="185" t="s">
        <v>461</v>
      </c>
      <c r="BR278" s="130" t="s">
        <v>178</v>
      </c>
      <c r="BS278" s="129" t="s">
        <v>179</v>
      </c>
      <c r="BT278" s="135" t="s">
        <v>180</v>
      </c>
      <c r="BU278" s="135"/>
      <c r="BV278" s="129">
        <v>1</v>
      </c>
      <c r="BW278" s="130" t="s">
        <v>1060</v>
      </c>
      <c r="BX278"/>
    </row>
    <row r="279" spans="1:76" ht="12.75">
      <c r="A279" s="153"/>
      <c r="B279" s="146">
        <f t="shared" ca="1" si="39"/>
        <v>44593</v>
      </c>
      <c r="C279" s="141">
        <v>7.3961396301572002E-2</v>
      </c>
      <c r="D279" s="141">
        <v>1.45</v>
      </c>
      <c r="E279" s="141">
        <v>1.45</v>
      </c>
      <c r="F279" s="141">
        <v>0.14349999999999999</v>
      </c>
      <c r="G279" s="141">
        <v>0.151</v>
      </c>
      <c r="H279" s="141">
        <v>0.1585</v>
      </c>
      <c r="I279" s="142">
        <v>4.5570000000000004</v>
      </c>
      <c r="J279" s="141">
        <v>4.5620000000000003</v>
      </c>
      <c r="K279" s="141">
        <v>-0.159</v>
      </c>
      <c r="L279" s="141">
        <v>0</v>
      </c>
      <c r="M279" s="141">
        <v>1.395</v>
      </c>
      <c r="O279" s="125">
        <f ca="1">(IF(MONTH(B279)&gt;=4,IF(MONTH(B279)&lt;=10,Inputs!$H$2,Inputs!$H$3),Inputs!$H$3))</f>
        <v>6.5000000000000002E-2</v>
      </c>
      <c r="P279" s="155">
        <f ca="1">J279+(IF($L$2=TRUE,IF(MONTH(B279)&gt;=4,IF(MONTH(B279)&lt;=10,L279,M279),M279),0))+(IF('Pricing Inputs'!$AN$3=2,O279,0))</f>
        <v>5.9570000000000007</v>
      </c>
      <c r="Q279" s="155"/>
      <c r="R279" s="336">
        <f t="shared" ca="1" si="37"/>
        <v>44593</v>
      </c>
      <c r="S279" s="171">
        <f t="shared" si="34"/>
        <v>1.38</v>
      </c>
      <c r="T279" s="170">
        <f t="shared" si="35"/>
        <v>1.45</v>
      </c>
      <c r="U279" s="172">
        <f t="shared" si="38"/>
        <v>1.52</v>
      </c>
      <c r="BP279" s="131">
        <f t="shared" si="36"/>
        <v>278</v>
      </c>
      <c r="BQ279" s="185" t="s">
        <v>462</v>
      </c>
      <c r="BR279" s="130" t="s">
        <v>178</v>
      </c>
      <c r="BS279" s="129" t="s">
        <v>179</v>
      </c>
      <c r="BT279" s="135" t="s">
        <v>180</v>
      </c>
      <c r="BU279" s="135"/>
      <c r="BV279" s="129">
        <v>1</v>
      </c>
      <c r="BW279" s="130" t="s">
        <v>1061</v>
      </c>
      <c r="BX279"/>
    </row>
    <row r="280" spans="1:76" ht="12.75">
      <c r="A280" s="153"/>
      <c r="B280" s="146">
        <f t="shared" ca="1" si="39"/>
        <v>44621</v>
      </c>
      <c r="C280" s="141">
        <v>7.3953054744308008E-2</v>
      </c>
      <c r="D280" s="141">
        <v>1</v>
      </c>
      <c r="E280" s="141">
        <v>1</v>
      </c>
      <c r="F280" s="141">
        <v>0.14349999999999999</v>
      </c>
      <c r="G280" s="141">
        <v>0.151</v>
      </c>
      <c r="H280" s="141">
        <v>0.1585</v>
      </c>
      <c r="I280" s="142">
        <v>4.4370000000000003</v>
      </c>
      <c r="J280" s="141">
        <v>4.4420000000000002</v>
      </c>
      <c r="K280" s="141">
        <v>-0.15</v>
      </c>
      <c r="L280" s="141">
        <v>0</v>
      </c>
      <c r="M280" s="141">
        <v>0.86499999999999999</v>
      </c>
      <c r="O280" s="125">
        <f ca="1">(IF(MONTH(B280)&gt;=4,IF(MONTH(B280)&lt;=10,Inputs!$H$2,Inputs!$H$3),Inputs!$H$3))</f>
        <v>6.5000000000000002E-2</v>
      </c>
      <c r="P280" s="155">
        <f ca="1">J280+(IF($L$2=TRUE,IF(MONTH(B280)&gt;=4,IF(MONTH(B280)&lt;=10,L280,M280),M280),0))+(IF('Pricing Inputs'!$AN$3=2,O280,0))</f>
        <v>5.3070000000000004</v>
      </c>
      <c r="Q280" s="155"/>
      <c r="R280" s="336">
        <f t="shared" ca="1" si="37"/>
        <v>44621</v>
      </c>
      <c r="S280" s="171">
        <f t="shared" si="34"/>
        <v>0.92999999999999994</v>
      </c>
      <c r="T280" s="170">
        <f t="shared" si="35"/>
        <v>1</v>
      </c>
      <c r="U280" s="172">
        <f t="shared" si="38"/>
        <v>1.07</v>
      </c>
      <c r="BP280" s="131">
        <f t="shared" si="36"/>
        <v>279</v>
      </c>
      <c r="BQ280" s="185" t="s">
        <v>463</v>
      </c>
      <c r="BR280" s="130" t="s">
        <v>178</v>
      </c>
      <c r="BS280" s="129" t="s">
        <v>179</v>
      </c>
      <c r="BT280" s="135" t="s">
        <v>180</v>
      </c>
      <c r="BU280" s="135"/>
      <c r="BV280" s="129">
        <v>1</v>
      </c>
      <c r="BW280" s="130" t="s">
        <v>1062</v>
      </c>
      <c r="BX280"/>
    </row>
    <row r="281" spans="1:76" ht="12.75">
      <c r="A281" s="153"/>
      <c r="B281" s="146">
        <f t="shared" ca="1" si="39"/>
        <v>44652</v>
      </c>
      <c r="C281" s="141">
        <v>7.3943819448790998E-2</v>
      </c>
      <c r="D281" s="141">
        <v>0.45</v>
      </c>
      <c r="E281" s="141">
        <v>0.45</v>
      </c>
      <c r="F281" s="141">
        <v>0.14349999999999999</v>
      </c>
      <c r="G281" s="141">
        <v>0.151</v>
      </c>
      <c r="H281" s="141">
        <v>0.1585</v>
      </c>
      <c r="I281" s="142">
        <v>4.3875000000000002</v>
      </c>
      <c r="J281" s="141">
        <v>4.3925000000000001</v>
      </c>
      <c r="K281" s="141">
        <v>-0.14600000000000002</v>
      </c>
      <c r="L281" s="141">
        <v>0</v>
      </c>
      <c r="M281" s="141">
        <v>0.37</v>
      </c>
      <c r="O281" s="125">
        <f ca="1">(IF(MONTH(B281)&gt;=4,IF(MONTH(B281)&lt;=10,Inputs!$H$2,Inputs!$H$3),Inputs!$H$3))</f>
        <v>6.5000000000000002E-2</v>
      </c>
      <c r="P281" s="155">
        <f ca="1">J281+(IF($L$2=TRUE,IF(MONTH(B281)&gt;=4,IF(MONTH(B281)&lt;=10,L281,M281),M281),0))+(IF('Pricing Inputs'!$AN$3=2,O281,0))</f>
        <v>4.3925000000000001</v>
      </c>
      <c r="Q281" s="155"/>
      <c r="R281" s="336">
        <f t="shared" ca="1" si="37"/>
        <v>44652</v>
      </c>
      <c r="S281" s="171">
        <f t="shared" si="34"/>
        <v>0.38</v>
      </c>
      <c r="T281" s="170">
        <f t="shared" si="35"/>
        <v>0.45</v>
      </c>
      <c r="U281" s="172">
        <f t="shared" si="38"/>
        <v>0.52</v>
      </c>
      <c r="BP281" s="131">
        <f t="shared" si="36"/>
        <v>280</v>
      </c>
      <c r="BQ281" s="185" t="s">
        <v>464</v>
      </c>
      <c r="BR281" s="130" t="s">
        <v>178</v>
      </c>
      <c r="BS281" s="129" t="s">
        <v>179</v>
      </c>
      <c r="BT281" s="135" t="s">
        <v>180</v>
      </c>
      <c r="BU281" s="135"/>
      <c r="BV281" s="129">
        <v>1</v>
      </c>
      <c r="BW281" s="130" t="s">
        <v>1063</v>
      </c>
      <c r="BX281"/>
    </row>
    <row r="282" spans="1:76" ht="12.75">
      <c r="A282" s="153"/>
      <c r="B282" s="146">
        <f t="shared" ca="1" si="39"/>
        <v>44682</v>
      </c>
      <c r="C282" s="141">
        <v>7.3934882066060997E-2</v>
      </c>
      <c r="D282" s="141">
        <v>0.5</v>
      </c>
      <c r="E282" s="141">
        <v>0.5</v>
      </c>
      <c r="F282" s="141">
        <v>0.14349999999999999</v>
      </c>
      <c r="G282" s="141">
        <v>0.151</v>
      </c>
      <c r="H282" s="141">
        <v>0.1585</v>
      </c>
      <c r="I282" s="142">
        <v>4.3615000000000004</v>
      </c>
      <c r="J282" s="141">
        <v>4.3665000000000003</v>
      </c>
      <c r="K282" s="141">
        <v>-0.13200000000000001</v>
      </c>
      <c r="L282" s="141">
        <v>0</v>
      </c>
      <c r="M282" s="141">
        <v>0.2525</v>
      </c>
      <c r="O282" s="125">
        <f ca="1">(IF(MONTH(B282)&gt;=4,IF(MONTH(B282)&lt;=10,Inputs!$H$2,Inputs!$H$3),Inputs!$H$3))</f>
        <v>6.5000000000000002E-2</v>
      </c>
      <c r="P282" s="155">
        <f ca="1">J282+(IF($L$2=TRUE,IF(MONTH(B282)&gt;=4,IF(MONTH(B282)&lt;=10,L282,M282),M282),0))+(IF('Pricing Inputs'!$AN$3=2,O282,0))</f>
        <v>4.3665000000000003</v>
      </c>
      <c r="Q282" s="155"/>
      <c r="R282" s="336">
        <f t="shared" ca="1" si="37"/>
        <v>44682</v>
      </c>
      <c r="S282" s="171">
        <f t="shared" si="34"/>
        <v>0.43</v>
      </c>
      <c r="T282" s="170">
        <f t="shared" si="35"/>
        <v>0.5</v>
      </c>
      <c r="U282" s="172">
        <f t="shared" si="38"/>
        <v>0.57000000000000006</v>
      </c>
      <c r="BP282" s="131">
        <f t="shared" si="36"/>
        <v>281</v>
      </c>
      <c r="BQ282" s="185" t="s">
        <v>465</v>
      </c>
      <c r="BR282" s="130" t="s">
        <v>178</v>
      </c>
      <c r="BS282" s="129" t="s">
        <v>179</v>
      </c>
      <c r="BT282" s="135" t="s">
        <v>180</v>
      </c>
      <c r="BU282" s="135"/>
      <c r="BV282" s="129">
        <v>1</v>
      </c>
      <c r="BW282" s="130" t="s">
        <v>1064</v>
      </c>
      <c r="BX282"/>
    </row>
    <row r="283" spans="1:76" ht="12.75">
      <c r="A283" s="153"/>
      <c r="B283" s="146">
        <f t="shared" ca="1" si="39"/>
        <v>44713</v>
      </c>
      <c r="C283" s="141">
        <v>7.3925646770600997E-2</v>
      </c>
      <c r="D283" s="141">
        <v>0.5</v>
      </c>
      <c r="E283" s="141">
        <v>0.5</v>
      </c>
      <c r="F283" s="141">
        <v>0.14349999999999999</v>
      </c>
      <c r="G283" s="141">
        <v>0.151</v>
      </c>
      <c r="H283" s="141">
        <v>0.1585</v>
      </c>
      <c r="I283" s="142">
        <v>4.3674999999999997</v>
      </c>
      <c r="J283" s="141">
        <v>4.3724999999999996</v>
      </c>
      <c r="K283" s="141">
        <v>-0.12100000000000001</v>
      </c>
      <c r="L283" s="141">
        <v>0</v>
      </c>
      <c r="M283" s="141">
        <v>0.2525</v>
      </c>
      <c r="O283" s="125">
        <f ca="1">(IF(MONTH(B283)&gt;=4,IF(MONTH(B283)&lt;=10,Inputs!$H$2,Inputs!$H$3),Inputs!$H$3))</f>
        <v>6.5000000000000002E-2</v>
      </c>
      <c r="P283" s="155">
        <f ca="1">J283+(IF($L$2=TRUE,IF(MONTH(B283)&gt;=4,IF(MONTH(B283)&lt;=10,L283,M283),M283),0))+(IF('Pricing Inputs'!$AN$3=2,O283,0))</f>
        <v>4.3724999999999996</v>
      </c>
      <c r="Q283" s="155"/>
      <c r="R283" s="336">
        <f t="shared" ca="1" si="37"/>
        <v>44713</v>
      </c>
      <c r="S283" s="171">
        <f t="shared" si="34"/>
        <v>0.43</v>
      </c>
      <c r="T283" s="170">
        <f t="shared" si="35"/>
        <v>0.5</v>
      </c>
      <c r="U283" s="172">
        <f t="shared" si="38"/>
        <v>0.57000000000000006</v>
      </c>
      <c r="BP283" s="131">
        <f t="shared" si="36"/>
        <v>282</v>
      </c>
      <c r="BQ283" s="185" t="s">
        <v>466</v>
      </c>
      <c r="BR283" s="130" t="s">
        <v>178</v>
      </c>
      <c r="BS283" s="129" t="s">
        <v>179</v>
      </c>
      <c r="BT283" s="135" t="s">
        <v>180</v>
      </c>
      <c r="BU283" s="135"/>
      <c r="BV283" s="129">
        <v>1</v>
      </c>
      <c r="BW283" s="130" t="s">
        <v>1065</v>
      </c>
      <c r="BX283"/>
    </row>
    <row r="284" spans="1:76" ht="12.75">
      <c r="A284" s="153"/>
      <c r="B284" s="146">
        <f t="shared" ca="1" si="39"/>
        <v>44743</v>
      </c>
      <c r="C284" s="141">
        <v>7.3916709387923996E-2</v>
      </c>
      <c r="D284" s="141">
        <v>0.5</v>
      </c>
      <c r="E284" s="141">
        <v>0.5</v>
      </c>
      <c r="F284" s="141">
        <v>0.14349999999999999</v>
      </c>
      <c r="G284" s="141">
        <v>0.151</v>
      </c>
      <c r="H284" s="141">
        <v>0.1585</v>
      </c>
      <c r="I284" s="142">
        <v>4.3775000000000004</v>
      </c>
      <c r="J284" s="141">
        <v>4.3825000000000003</v>
      </c>
      <c r="K284" s="141">
        <v>-0.157</v>
      </c>
      <c r="L284" s="141">
        <v>0</v>
      </c>
      <c r="M284" s="141">
        <v>0.25750000000000001</v>
      </c>
      <c r="O284" s="125">
        <f ca="1">(IF(MONTH(B284)&gt;=4,IF(MONTH(B284)&lt;=10,Inputs!$H$2,Inputs!$H$3),Inputs!$H$3))</f>
        <v>6.5000000000000002E-2</v>
      </c>
      <c r="P284" s="155">
        <f ca="1">J284+(IF($L$2=TRUE,IF(MONTH(B284)&gt;=4,IF(MONTH(B284)&lt;=10,L284,M284),M284),0))+(IF('Pricing Inputs'!$AN$3=2,O284,0))</f>
        <v>4.3825000000000003</v>
      </c>
      <c r="Q284" s="155"/>
      <c r="R284" s="336">
        <f t="shared" ca="1" si="37"/>
        <v>44743</v>
      </c>
      <c r="S284" s="171">
        <f t="shared" si="34"/>
        <v>0.43</v>
      </c>
      <c r="T284" s="170">
        <f t="shared" si="35"/>
        <v>0.5</v>
      </c>
      <c r="U284" s="172">
        <f t="shared" si="38"/>
        <v>0.57000000000000006</v>
      </c>
      <c r="BP284" s="131">
        <f t="shared" si="36"/>
        <v>283</v>
      </c>
      <c r="BQ284" s="185" t="s">
        <v>467</v>
      </c>
      <c r="BR284" s="130" t="s">
        <v>178</v>
      </c>
      <c r="BS284" s="129" t="s">
        <v>179</v>
      </c>
      <c r="BT284" s="135" t="s">
        <v>180</v>
      </c>
      <c r="BU284" s="135"/>
      <c r="BV284" s="129">
        <v>1</v>
      </c>
      <c r="BW284" s="130" t="s">
        <v>1066</v>
      </c>
      <c r="BX284"/>
    </row>
    <row r="285" spans="1:76" ht="12.75">
      <c r="A285" s="153"/>
      <c r="B285" s="146">
        <f t="shared" ca="1" si="39"/>
        <v>44774</v>
      </c>
      <c r="C285" s="141">
        <v>7.3907474092519007E-2</v>
      </c>
      <c r="D285" s="141">
        <v>0.6</v>
      </c>
      <c r="E285" s="141">
        <v>0.6</v>
      </c>
      <c r="F285" s="141">
        <v>0.14349999999999999</v>
      </c>
      <c r="G285" s="141">
        <v>0.151</v>
      </c>
      <c r="H285" s="141">
        <v>0.1585</v>
      </c>
      <c r="I285" s="142">
        <v>4.3845000000000001</v>
      </c>
      <c r="J285" s="141">
        <v>4.3895</v>
      </c>
      <c r="K285" s="141">
        <v>-0.161</v>
      </c>
      <c r="L285" s="141">
        <v>0</v>
      </c>
      <c r="M285" s="141">
        <v>0.25750000000000001</v>
      </c>
      <c r="O285" s="125">
        <f ca="1">(IF(MONTH(B285)&gt;=4,IF(MONTH(B285)&lt;=10,Inputs!$H$2,Inputs!$H$3),Inputs!$H$3))</f>
        <v>6.5000000000000002E-2</v>
      </c>
      <c r="P285" s="155">
        <f ca="1">J285+(IF($L$2=TRUE,IF(MONTH(B285)&gt;=4,IF(MONTH(B285)&lt;=10,L285,M285),M285),0))+(IF('Pricing Inputs'!$AN$3=2,O285,0))</f>
        <v>4.3895</v>
      </c>
      <c r="Q285" s="155"/>
      <c r="R285" s="336">
        <f t="shared" ca="1" si="37"/>
        <v>44774</v>
      </c>
      <c r="S285" s="171">
        <f t="shared" si="34"/>
        <v>0.53</v>
      </c>
      <c r="T285" s="170">
        <f t="shared" si="35"/>
        <v>0.6</v>
      </c>
      <c r="U285" s="172">
        <f t="shared" si="38"/>
        <v>0.66999999999999993</v>
      </c>
      <c r="BP285" s="131">
        <f t="shared" si="36"/>
        <v>284</v>
      </c>
      <c r="BQ285" s="185" t="s">
        <v>468</v>
      </c>
      <c r="BR285" s="130" t="s">
        <v>178</v>
      </c>
      <c r="BS285" s="129" t="s">
        <v>179</v>
      </c>
      <c r="BT285" s="135" t="s">
        <v>180</v>
      </c>
      <c r="BU285" s="135"/>
      <c r="BV285" s="129">
        <v>1</v>
      </c>
      <c r="BW285" s="130" t="s">
        <v>1067</v>
      </c>
      <c r="BX285"/>
    </row>
    <row r="286" spans="1:76" ht="12.75">
      <c r="A286" s="153"/>
      <c r="B286" s="146">
        <f t="shared" ca="1" si="39"/>
        <v>44805</v>
      </c>
      <c r="C286" s="141">
        <v>7.3898238797141996E-2</v>
      </c>
      <c r="D286" s="141">
        <v>0.6</v>
      </c>
      <c r="E286" s="141">
        <v>0.6</v>
      </c>
      <c r="F286" s="141">
        <v>0.14349999999999999</v>
      </c>
      <c r="G286" s="141">
        <v>0.151</v>
      </c>
      <c r="H286" s="141">
        <v>0.1585</v>
      </c>
      <c r="I286" s="142">
        <v>4.3915000000000006</v>
      </c>
      <c r="J286" s="141">
        <v>4.3965000000000005</v>
      </c>
      <c r="K286" s="141">
        <v>-0.17</v>
      </c>
      <c r="L286" s="141">
        <v>0</v>
      </c>
      <c r="M286" s="141">
        <v>0.2525</v>
      </c>
      <c r="O286" s="125">
        <f ca="1">(IF(MONTH(B286)&gt;=4,IF(MONTH(B286)&lt;=10,Inputs!$H$2,Inputs!$H$3),Inputs!$H$3))</f>
        <v>6.5000000000000002E-2</v>
      </c>
      <c r="P286" s="155">
        <f ca="1">J286+(IF($L$2=TRUE,IF(MONTH(B286)&gt;=4,IF(MONTH(B286)&lt;=10,L286,M286),M286),0))+(IF('Pricing Inputs'!$AN$3=2,O286,0))</f>
        <v>4.3965000000000005</v>
      </c>
      <c r="Q286" s="155"/>
      <c r="R286" s="336">
        <f t="shared" ca="1" si="37"/>
        <v>44805</v>
      </c>
      <c r="S286" s="171">
        <f t="shared" si="34"/>
        <v>0.53</v>
      </c>
      <c r="T286" s="170">
        <f t="shared" si="35"/>
        <v>0.6</v>
      </c>
      <c r="U286" s="172">
        <f t="shared" si="38"/>
        <v>0.66999999999999993</v>
      </c>
      <c r="BP286" s="131">
        <f t="shared" si="36"/>
        <v>285</v>
      </c>
      <c r="BQ286" s="185" t="s">
        <v>469</v>
      </c>
      <c r="BR286" s="130" t="s">
        <v>178</v>
      </c>
      <c r="BS286" s="129" t="s">
        <v>179</v>
      </c>
      <c r="BT286" s="135" t="s">
        <v>180</v>
      </c>
      <c r="BU286" s="135"/>
      <c r="BV286" s="129">
        <v>1</v>
      </c>
      <c r="BW286" s="130" t="s">
        <v>1068</v>
      </c>
      <c r="BX286"/>
    </row>
    <row r="287" spans="1:76" ht="12.75">
      <c r="A287" s="153"/>
      <c r="B287" s="146">
        <f t="shared" ca="1" si="39"/>
        <v>44835</v>
      </c>
      <c r="C287" s="141">
        <v>7.3889301414545999E-2</v>
      </c>
      <c r="D287" s="141">
        <v>0.65</v>
      </c>
      <c r="E287" s="141">
        <v>0.65</v>
      </c>
      <c r="F287" s="141">
        <v>0.14349999999999999</v>
      </c>
      <c r="G287" s="141">
        <v>0.151</v>
      </c>
      <c r="H287" s="141">
        <v>0.1585</v>
      </c>
      <c r="I287" s="142">
        <v>4.4175000000000004</v>
      </c>
      <c r="J287" s="141">
        <v>4.4225000000000003</v>
      </c>
      <c r="K287" s="141">
        <v>-0.17499999999999999</v>
      </c>
      <c r="L287" s="141">
        <v>0</v>
      </c>
      <c r="M287" s="141">
        <v>0.255</v>
      </c>
      <c r="O287" s="125">
        <f ca="1">(IF(MONTH(B287)&gt;=4,IF(MONTH(B287)&lt;=10,Inputs!$H$2,Inputs!$H$3),Inputs!$H$3))</f>
        <v>6.5000000000000002E-2</v>
      </c>
      <c r="P287" s="155">
        <f ca="1">J287+(IF($L$2=TRUE,IF(MONTH(B287)&gt;=4,IF(MONTH(B287)&lt;=10,L287,M287),M287),0))+(IF('Pricing Inputs'!$AN$3=2,O287,0))</f>
        <v>4.4225000000000003</v>
      </c>
      <c r="Q287" s="155"/>
      <c r="R287" s="336">
        <f t="shared" ca="1" si="37"/>
        <v>44835</v>
      </c>
      <c r="S287" s="171">
        <f t="shared" si="34"/>
        <v>0.58000000000000007</v>
      </c>
      <c r="T287" s="170">
        <f t="shared" si="35"/>
        <v>0.65</v>
      </c>
      <c r="U287" s="172">
        <f t="shared" si="38"/>
        <v>0.72</v>
      </c>
      <c r="BP287" s="131">
        <f t="shared" si="36"/>
        <v>286</v>
      </c>
      <c r="BQ287" s="185" t="s">
        <v>470</v>
      </c>
      <c r="BR287" s="130" t="s">
        <v>178</v>
      </c>
      <c r="BS287" s="129" t="s">
        <v>179</v>
      </c>
      <c r="BT287" s="135" t="s">
        <v>180</v>
      </c>
      <c r="BU287" s="135"/>
      <c r="BV287" s="129">
        <v>1</v>
      </c>
      <c r="BW287" s="130" t="s">
        <v>1069</v>
      </c>
      <c r="BX287"/>
    </row>
    <row r="288" spans="1:76" ht="12.75">
      <c r="A288" s="153"/>
      <c r="B288" s="146">
        <f t="shared" ca="1" si="39"/>
        <v>44866</v>
      </c>
      <c r="C288" s="141">
        <v>7.3880066119224999E-2</v>
      </c>
      <c r="D288" s="141">
        <v>0.95</v>
      </c>
      <c r="E288" s="141">
        <v>0.95</v>
      </c>
      <c r="F288" s="141">
        <v>0.14349999999999999</v>
      </c>
      <c r="G288" s="141">
        <v>0.151</v>
      </c>
      <c r="H288" s="141">
        <v>0.1585</v>
      </c>
      <c r="I288" s="142">
        <v>4.5525000000000002</v>
      </c>
      <c r="J288" s="141">
        <v>4.5575000000000001</v>
      </c>
      <c r="K288" s="141">
        <v>-0.183</v>
      </c>
      <c r="L288" s="141">
        <v>0</v>
      </c>
      <c r="M288" s="141">
        <v>0.71499999999999997</v>
      </c>
      <c r="O288" s="125">
        <f ca="1">(IF(MONTH(B288)&gt;=4,IF(MONTH(B288)&lt;=10,Inputs!$H$2,Inputs!$H$3),Inputs!$H$3))</f>
        <v>6.5000000000000002E-2</v>
      </c>
      <c r="P288" s="155">
        <f ca="1">J288+(IF($L$2=TRUE,IF(MONTH(B288)&gt;=4,IF(MONTH(B288)&lt;=10,L288,M288),M288),0))+(IF('Pricing Inputs'!$AN$3=2,O288,0))</f>
        <v>5.2725</v>
      </c>
      <c r="Q288" s="155"/>
      <c r="R288" s="336">
        <f t="shared" ca="1" si="37"/>
        <v>44866</v>
      </c>
      <c r="S288" s="171">
        <f t="shared" si="34"/>
        <v>0.87999999999999989</v>
      </c>
      <c r="T288" s="170">
        <f t="shared" si="35"/>
        <v>0.95</v>
      </c>
      <c r="U288" s="172">
        <f t="shared" si="38"/>
        <v>1.02</v>
      </c>
      <c r="BP288" s="131">
        <f t="shared" si="36"/>
        <v>287</v>
      </c>
      <c r="BQ288" s="185" t="s">
        <v>471</v>
      </c>
      <c r="BR288" s="130" t="s">
        <v>178</v>
      </c>
      <c r="BS288" s="129" t="s">
        <v>179</v>
      </c>
      <c r="BT288" s="135" t="s">
        <v>180</v>
      </c>
      <c r="BU288" s="135"/>
      <c r="BV288" s="129">
        <v>1</v>
      </c>
      <c r="BW288" s="130" t="s">
        <v>1070</v>
      </c>
      <c r="BX288"/>
    </row>
    <row r="289" spans="1:76" ht="12.75">
      <c r="A289" s="153"/>
      <c r="B289" s="146">
        <f t="shared" ca="1" si="39"/>
        <v>44896</v>
      </c>
      <c r="C289" s="141">
        <v>7.3871128736682001E-2</v>
      </c>
      <c r="D289" s="141">
        <v>1.25</v>
      </c>
      <c r="E289" s="141">
        <v>1.25</v>
      </c>
      <c r="F289" s="141">
        <v>0.14349999999999999</v>
      </c>
      <c r="G289" s="141">
        <v>0.151</v>
      </c>
      <c r="H289" s="141">
        <v>0.1585</v>
      </c>
      <c r="I289" s="142">
        <v>4.6764999999999999</v>
      </c>
      <c r="J289" s="141">
        <v>4.6815000000000007</v>
      </c>
      <c r="K289" s="141">
        <v>-0.17800000000000002</v>
      </c>
      <c r="L289" s="141">
        <v>0</v>
      </c>
      <c r="M289" s="141">
        <v>1.03</v>
      </c>
      <c r="O289" s="125">
        <f ca="1">(IF(MONTH(B289)&gt;=4,IF(MONTH(B289)&lt;=10,Inputs!$H$2,Inputs!$H$3),Inputs!$H$3))</f>
        <v>6.5000000000000002E-2</v>
      </c>
      <c r="P289" s="155">
        <f ca="1">J289+(IF($L$2=TRUE,IF(MONTH(B289)&gt;=4,IF(MONTH(B289)&lt;=10,L289,M289),M289),0))+(IF('Pricing Inputs'!$AN$3=2,O289,0))</f>
        <v>5.7115000000000009</v>
      </c>
      <c r="Q289" s="155"/>
      <c r="R289" s="336">
        <f t="shared" ca="1" si="37"/>
        <v>44896</v>
      </c>
      <c r="S289" s="171">
        <f t="shared" si="34"/>
        <v>1.18</v>
      </c>
      <c r="T289" s="170">
        <f t="shared" si="35"/>
        <v>1.25</v>
      </c>
      <c r="U289" s="172">
        <f t="shared" si="38"/>
        <v>1.32</v>
      </c>
      <c r="BP289" s="131">
        <f t="shared" si="36"/>
        <v>288</v>
      </c>
      <c r="BQ289" s="185" t="s">
        <v>472</v>
      </c>
      <c r="BR289" s="130" t="s">
        <v>178</v>
      </c>
      <c r="BS289" s="129" t="s">
        <v>179</v>
      </c>
      <c r="BT289" s="135" t="s">
        <v>180</v>
      </c>
      <c r="BU289" s="135"/>
      <c r="BV289" s="129">
        <v>1</v>
      </c>
      <c r="BW289" s="130" t="s">
        <v>1071</v>
      </c>
      <c r="BX289"/>
    </row>
    <row r="290" spans="1:76" ht="12.75">
      <c r="A290" s="153"/>
      <c r="B290" s="146">
        <f t="shared" ca="1" si="39"/>
        <v>44927</v>
      </c>
      <c r="C290" s="141">
        <v>7.3861893441415999E-2</v>
      </c>
      <c r="D290" s="141">
        <v>1.45</v>
      </c>
      <c r="E290" s="141">
        <v>1.45</v>
      </c>
      <c r="F290" s="141">
        <v>0.14349999999999999</v>
      </c>
      <c r="G290" s="141">
        <v>0.151</v>
      </c>
      <c r="H290" s="141">
        <v>0.1585</v>
      </c>
      <c r="I290" s="142">
        <v>4.8150000000000004</v>
      </c>
      <c r="J290" s="141">
        <v>4.82</v>
      </c>
      <c r="K290" s="141">
        <v>-0.185</v>
      </c>
      <c r="L290" s="141">
        <v>0</v>
      </c>
      <c r="M290" s="141">
        <v>1.4950000000000001</v>
      </c>
      <c r="O290" s="125">
        <f ca="1">(IF(MONTH(B290)&gt;=4,IF(MONTH(B290)&lt;=10,Inputs!$H$2,Inputs!$H$3),Inputs!$H$3))</f>
        <v>6.5000000000000002E-2</v>
      </c>
      <c r="P290" s="155">
        <f ca="1">J290+(IF($L$2=TRUE,IF(MONTH(B290)&gt;=4,IF(MONTH(B290)&lt;=10,L290,M290),M290),0))+(IF('Pricing Inputs'!$AN$3=2,O290,0))</f>
        <v>6.3150000000000004</v>
      </c>
      <c r="Q290" s="155"/>
      <c r="R290" s="336">
        <f t="shared" ca="1" si="37"/>
        <v>44927</v>
      </c>
      <c r="S290" s="171">
        <f t="shared" si="34"/>
        <v>1.38</v>
      </c>
      <c r="T290" s="170">
        <f t="shared" si="35"/>
        <v>1.45</v>
      </c>
      <c r="U290" s="172">
        <f t="shared" si="38"/>
        <v>1.52</v>
      </c>
      <c r="BP290" s="131">
        <f t="shared" si="36"/>
        <v>289</v>
      </c>
      <c r="BQ290" s="185" t="s">
        <v>473</v>
      </c>
      <c r="BR290" s="130" t="s">
        <v>178</v>
      </c>
      <c r="BS290" s="129" t="s">
        <v>179</v>
      </c>
      <c r="BT290" s="135" t="s">
        <v>180</v>
      </c>
      <c r="BU290" s="135"/>
      <c r="BV290" s="129">
        <v>1</v>
      </c>
      <c r="BW290" s="130" t="s">
        <v>1072</v>
      </c>
      <c r="BX290"/>
    </row>
    <row r="291" spans="1:76" ht="12.75">
      <c r="A291" s="153"/>
      <c r="B291" s="146">
        <f t="shared" ca="1" si="39"/>
        <v>44958</v>
      </c>
      <c r="C291" s="141">
        <v>7.3852658146178002E-2</v>
      </c>
      <c r="D291" s="141">
        <v>1.45</v>
      </c>
      <c r="E291" s="141">
        <v>1.45</v>
      </c>
      <c r="F291" s="141">
        <v>0.14349999999999999</v>
      </c>
      <c r="G291" s="141">
        <v>0.151</v>
      </c>
      <c r="H291" s="141">
        <v>0.1585</v>
      </c>
      <c r="I291" s="142">
        <v>4.6970000000000001</v>
      </c>
      <c r="J291" s="141">
        <v>4.702</v>
      </c>
      <c r="K291" s="141">
        <v>-0.17900000000000002</v>
      </c>
      <c r="L291" s="141">
        <v>0</v>
      </c>
      <c r="M291" s="141">
        <v>1.395</v>
      </c>
      <c r="O291" s="125">
        <f ca="1">(IF(MONTH(B291)&gt;=4,IF(MONTH(B291)&lt;=10,Inputs!$H$2,Inputs!$H$3),Inputs!$H$3))</f>
        <v>6.5000000000000002E-2</v>
      </c>
      <c r="P291" s="155">
        <f ca="1">J291+(IF($L$2=TRUE,IF(MONTH(B291)&gt;=4,IF(MONTH(B291)&lt;=10,L291,M291),M291),0))+(IF('Pricing Inputs'!$AN$3=2,O291,0))</f>
        <v>6.0969999999999995</v>
      </c>
      <c r="Q291" s="155"/>
      <c r="R291" s="336">
        <f t="shared" ca="1" si="37"/>
        <v>44958</v>
      </c>
      <c r="S291" s="171">
        <f t="shared" si="34"/>
        <v>1.38</v>
      </c>
      <c r="T291" s="170">
        <f t="shared" si="35"/>
        <v>1.45</v>
      </c>
      <c r="U291" s="172">
        <f t="shared" si="38"/>
        <v>1.52</v>
      </c>
      <c r="BP291" s="131">
        <f t="shared" si="36"/>
        <v>290</v>
      </c>
      <c r="BQ291" s="185" t="s">
        <v>474</v>
      </c>
      <c r="BR291" s="130" t="s">
        <v>178</v>
      </c>
      <c r="BS291" s="129" t="s">
        <v>179</v>
      </c>
      <c r="BT291" s="135" t="s">
        <v>180</v>
      </c>
      <c r="BU291" s="135"/>
      <c r="BV291" s="129">
        <v>1</v>
      </c>
      <c r="BW291" s="130" t="s">
        <v>1073</v>
      </c>
      <c r="BX291"/>
    </row>
    <row r="292" spans="1:76" ht="12.75">
      <c r="A292" s="153"/>
      <c r="B292" s="146">
        <f t="shared" ca="1" si="39"/>
        <v>44986</v>
      </c>
      <c r="C292" s="141">
        <v>7.3844316589213005E-2</v>
      </c>
      <c r="D292" s="141">
        <v>1</v>
      </c>
      <c r="E292" s="141">
        <v>1</v>
      </c>
      <c r="F292" s="141">
        <v>0.14349999999999999</v>
      </c>
      <c r="G292" s="141">
        <v>0.151</v>
      </c>
      <c r="H292" s="141">
        <v>0.1585</v>
      </c>
      <c r="I292" s="142">
        <v>4.577</v>
      </c>
      <c r="J292" s="141">
        <v>4.5819999999999999</v>
      </c>
      <c r="K292" s="141">
        <v>-0.17</v>
      </c>
      <c r="L292" s="141">
        <v>0</v>
      </c>
      <c r="M292" s="141">
        <v>0.86499999999999999</v>
      </c>
      <c r="O292" s="125">
        <f ca="1">(IF(MONTH(B292)&gt;=4,IF(MONTH(B292)&lt;=10,Inputs!$H$2,Inputs!$H$3),Inputs!$H$3))</f>
        <v>6.5000000000000002E-2</v>
      </c>
      <c r="P292" s="155">
        <f ca="1">J292+(IF($L$2=TRUE,IF(MONTH(B292)&gt;=4,IF(MONTH(B292)&lt;=10,L292,M292),M292),0))+(IF('Pricing Inputs'!$AN$3=2,O292,0))</f>
        <v>5.4470000000000001</v>
      </c>
      <c r="Q292" s="155"/>
      <c r="R292" s="336">
        <f t="shared" ca="1" si="37"/>
        <v>44986</v>
      </c>
      <c r="S292" s="171">
        <f t="shared" si="34"/>
        <v>0.92999999999999994</v>
      </c>
      <c r="T292" s="170">
        <f t="shared" si="35"/>
        <v>1</v>
      </c>
      <c r="U292" s="172">
        <f t="shared" si="38"/>
        <v>1.07</v>
      </c>
      <c r="BP292" s="131">
        <f t="shared" si="36"/>
        <v>291</v>
      </c>
      <c r="BQ292" s="185" t="s">
        <v>475</v>
      </c>
      <c r="BR292" s="130" t="s">
        <v>178</v>
      </c>
      <c r="BS292" s="129" t="s">
        <v>179</v>
      </c>
      <c r="BT292" s="135" t="s">
        <v>180</v>
      </c>
      <c r="BU292" s="135"/>
      <c r="BV292" s="129">
        <v>1</v>
      </c>
      <c r="BW292" s="130" t="s">
        <v>1074</v>
      </c>
      <c r="BX292"/>
    </row>
    <row r="293" spans="1:76" ht="12.75">
      <c r="A293" s="153"/>
      <c r="B293" s="146">
        <f t="shared" ca="1" si="39"/>
        <v>45017</v>
      </c>
      <c r="C293" s="141">
        <v>7.3835081294029006E-2</v>
      </c>
      <c r="D293" s="141">
        <v>0.45</v>
      </c>
      <c r="E293" s="141">
        <v>0.45</v>
      </c>
      <c r="F293" s="141">
        <v>0.14349999999999999</v>
      </c>
      <c r="G293" s="141">
        <v>0.151</v>
      </c>
      <c r="H293" s="141">
        <v>0.1585</v>
      </c>
      <c r="I293" s="142">
        <v>4.5274999999999999</v>
      </c>
      <c r="J293" s="141">
        <v>4.5324999999999998</v>
      </c>
      <c r="K293" s="141">
        <v>-0.16600000000000001</v>
      </c>
      <c r="L293" s="141">
        <v>0</v>
      </c>
      <c r="M293" s="141">
        <v>0.37</v>
      </c>
      <c r="O293" s="125">
        <f ca="1">(IF(MONTH(B293)&gt;=4,IF(MONTH(B293)&lt;=10,Inputs!$H$2,Inputs!$H$3),Inputs!$H$3))</f>
        <v>6.5000000000000002E-2</v>
      </c>
      <c r="P293" s="155">
        <f ca="1">J293+(IF($L$2=TRUE,IF(MONTH(B293)&gt;=4,IF(MONTH(B293)&lt;=10,L293,M293),M293),0))+(IF('Pricing Inputs'!$AN$3=2,O293,0))</f>
        <v>4.5324999999999998</v>
      </c>
      <c r="Q293" s="155"/>
      <c r="R293" s="336">
        <f t="shared" ca="1" si="37"/>
        <v>45017</v>
      </c>
      <c r="S293" s="171">
        <f t="shared" si="34"/>
        <v>0.38</v>
      </c>
      <c r="T293" s="170">
        <f t="shared" si="35"/>
        <v>0.45</v>
      </c>
      <c r="U293" s="172">
        <f t="shared" si="38"/>
        <v>0.52</v>
      </c>
      <c r="BP293" s="131">
        <f t="shared" si="36"/>
        <v>292</v>
      </c>
      <c r="BQ293" s="185" t="s">
        <v>476</v>
      </c>
      <c r="BR293" s="130" t="s">
        <v>178</v>
      </c>
      <c r="BS293" s="129" t="s">
        <v>179</v>
      </c>
      <c r="BT293" s="135" t="s">
        <v>180</v>
      </c>
      <c r="BU293" s="135"/>
      <c r="BV293" s="129">
        <v>1</v>
      </c>
      <c r="BW293" s="130" t="s">
        <v>1075</v>
      </c>
      <c r="BX293"/>
    </row>
    <row r="294" spans="1:76" ht="12.75">
      <c r="A294" s="153"/>
      <c r="B294" s="146">
        <f t="shared" ca="1" si="39"/>
        <v>45047</v>
      </c>
      <c r="C294" s="141">
        <v>7.3826143911618E-2</v>
      </c>
      <c r="D294" s="141">
        <v>0.5</v>
      </c>
      <c r="E294" s="141">
        <v>0.5</v>
      </c>
      <c r="F294" s="141">
        <v>0.14349999999999999</v>
      </c>
      <c r="G294" s="141">
        <v>0.151</v>
      </c>
      <c r="H294" s="141">
        <v>0.1585</v>
      </c>
      <c r="I294" s="142">
        <v>4.5015000000000001</v>
      </c>
      <c r="J294" s="141">
        <v>4.5065</v>
      </c>
      <c r="K294" s="141">
        <v>-0.152</v>
      </c>
      <c r="L294" s="141">
        <v>0</v>
      </c>
      <c r="M294" s="141">
        <v>0.2525</v>
      </c>
      <c r="O294" s="125">
        <f ca="1">(IF(MONTH(B294)&gt;=4,IF(MONTH(B294)&lt;=10,Inputs!$H$2,Inputs!$H$3),Inputs!$H$3))</f>
        <v>6.5000000000000002E-2</v>
      </c>
      <c r="P294" s="155">
        <f ca="1">J294+(IF($L$2=TRUE,IF(MONTH(B294)&gt;=4,IF(MONTH(B294)&lt;=10,L294,M294),M294),0))+(IF('Pricing Inputs'!$AN$3=2,O294,0))</f>
        <v>4.5065</v>
      </c>
      <c r="Q294" s="155"/>
      <c r="R294" s="336">
        <f t="shared" ca="1" si="37"/>
        <v>45047</v>
      </c>
      <c r="S294" s="171">
        <f t="shared" si="34"/>
        <v>0.43</v>
      </c>
      <c r="T294" s="170">
        <f t="shared" si="35"/>
        <v>0.5</v>
      </c>
      <c r="U294" s="172">
        <f t="shared" si="38"/>
        <v>0.57000000000000006</v>
      </c>
      <c r="BP294" s="131">
        <f t="shared" si="36"/>
        <v>293</v>
      </c>
      <c r="BQ294" s="185" t="s">
        <v>477</v>
      </c>
      <c r="BR294" s="130" t="s">
        <v>178</v>
      </c>
      <c r="BS294" s="129" t="s">
        <v>179</v>
      </c>
      <c r="BT294" s="135" t="s">
        <v>180</v>
      </c>
      <c r="BU294" s="135"/>
      <c r="BV294" s="129">
        <v>1</v>
      </c>
      <c r="BW294" s="130" t="s">
        <v>1076</v>
      </c>
      <c r="BX294"/>
    </row>
    <row r="295" spans="1:76" ht="12.75">
      <c r="A295" s="153"/>
      <c r="B295" s="146">
        <f t="shared" ca="1" si="39"/>
        <v>45078</v>
      </c>
      <c r="C295" s="141">
        <v>7.3816908616488999E-2</v>
      </c>
      <c r="D295" s="141">
        <v>0.5</v>
      </c>
      <c r="E295" s="141">
        <v>0.5</v>
      </c>
      <c r="F295" s="141">
        <v>0.14349999999999999</v>
      </c>
      <c r="G295" s="141">
        <v>0.151</v>
      </c>
      <c r="H295" s="141">
        <v>0.1585</v>
      </c>
      <c r="I295" s="142">
        <v>4.5075000000000003</v>
      </c>
      <c r="J295" s="141">
        <v>4.5125000000000002</v>
      </c>
      <c r="K295" s="141">
        <v>-0.14100000000000001</v>
      </c>
      <c r="L295" s="141">
        <v>0</v>
      </c>
      <c r="M295" s="141">
        <v>0.2525</v>
      </c>
      <c r="O295" s="125">
        <f ca="1">(IF(MONTH(B295)&gt;=4,IF(MONTH(B295)&lt;=10,Inputs!$H$2,Inputs!$H$3),Inputs!$H$3))</f>
        <v>6.5000000000000002E-2</v>
      </c>
      <c r="P295" s="155">
        <f ca="1">J295+(IF($L$2=TRUE,IF(MONTH(B295)&gt;=4,IF(MONTH(B295)&lt;=10,L295,M295),M295),0))+(IF('Pricing Inputs'!$AN$3=2,O295,0))</f>
        <v>4.5125000000000002</v>
      </c>
      <c r="Q295" s="155"/>
      <c r="R295" s="336">
        <f t="shared" ca="1" si="37"/>
        <v>45078</v>
      </c>
      <c r="S295" s="171">
        <f t="shared" si="34"/>
        <v>0.43</v>
      </c>
      <c r="T295" s="170">
        <f t="shared" si="35"/>
        <v>0.5</v>
      </c>
      <c r="U295" s="172">
        <f t="shared" si="38"/>
        <v>0.57000000000000006</v>
      </c>
      <c r="BP295" s="131">
        <f t="shared" si="36"/>
        <v>294</v>
      </c>
      <c r="BQ295" s="185" t="s">
        <v>478</v>
      </c>
      <c r="BR295" s="130" t="s">
        <v>178</v>
      </c>
      <c r="BS295" s="129" t="s">
        <v>179</v>
      </c>
      <c r="BT295" s="135" t="s">
        <v>180</v>
      </c>
      <c r="BU295" s="135"/>
      <c r="BV295" s="129">
        <v>1</v>
      </c>
      <c r="BW295" s="130" t="s">
        <v>1077</v>
      </c>
      <c r="BX295"/>
    </row>
    <row r="296" spans="1:76" ht="12.75">
      <c r="A296" s="153"/>
      <c r="B296" s="146">
        <f t="shared" ca="1" si="39"/>
        <v>45108</v>
      </c>
      <c r="C296" s="141">
        <v>7.3807971234134004E-2</v>
      </c>
      <c r="D296" s="141">
        <v>0.5</v>
      </c>
      <c r="E296" s="141">
        <v>0.5</v>
      </c>
      <c r="F296" s="141">
        <v>0.14349999999999999</v>
      </c>
      <c r="G296" s="141">
        <v>0.151</v>
      </c>
      <c r="H296" s="141">
        <v>0.1585</v>
      </c>
      <c r="I296" s="142">
        <v>4.5175000000000001</v>
      </c>
      <c r="J296" s="141">
        <v>4.5225</v>
      </c>
      <c r="K296" s="141">
        <v>-0.17700000000000002</v>
      </c>
      <c r="L296" s="141">
        <v>0</v>
      </c>
      <c r="M296" s="141">
        <v>0.25750000000000001</v>
      </c>
      <c r="O296" s="125">
        <f ca="1">(IF(MONTH(B296)&gt;=4,IF(MONTH(B296)&lt;=10,Inputs!$H$2,Inputs!$H$3),Inputs!$H$3))</f>
        <v>6.5000000000000002E-2</v>
      </c>
      <c r="P296" s="155">
        <f ca="1">J296+(IF($L$2=TRUE,IF(MONTH(B296)&gt;=4,IF(MONTH(B296)&lt;=10,L296,M296),M296),0))+(IF('Pricing Inputs'!$AN$3=2,O296,0))</f>
        <v>4.5225</v>
      </c>
      <c r="Q296" s="155"/>
      <c r="R296" s="336">
        <f t="shared" ca="1" si="37"/>
        <v>45108</v>
      </c>
      <c r="S296" s="171">
        <f t="shared" si="34"/>
        <v>0.43</v>
      </c>
      <c r="T296" s="170">
        <f t="shared" si="35"/>
        <v>0.5</v>
      </c>
      <c r="U296" s="172">
        <f t="shared" si="38"/>
        <v>0.57000000000000006</v>
      </c>
      <c r="BP296" s="131">
        <f t="shared" si="36"/>
        <v>295</v>
      </c>
      <c r="BQ296" s="185" t="s">
        <v>479</v>
      </c>
      <c r="BR296" s="130" t="s">
        <v>178</v>
      </c>
      <c r="BS296" s="129" t="s">
        <v>179</v>
      </c>
      <c r="BT296" s="135" t="s">
        <v>180</v>
      </c>
      <c r="BU296" s="135"/>
      <c r="BV296" s="129">
        <v>1</v>
      </c>
      <c r="BW296" s="130" t="s">
        <v>1078</v>
      </c>
      <c r="BX296"/>
    </row>
    <row r="297" spans="1:76" ht="12.75">
      <c r="A297" s="153"/>
      <c r="B297" s="146">
        <f t="shared" ca="1" si="39"/>
        <v>45139</v>
      </c>
      <c r="C297" s="141">
        <v>7.3798735939060001E-2</v>
      </c>
      <c r="D297" s="141">
        <v>0.6</v>
      </c>
      <c r="E297" s="141">
        <v>0.6</v>
      </c>
      <c r="F297" s="141">
        <v>0.14349999999999999</v>
      </c>
      <c r="G297" s="141">
        <v>0.151</v>
      </c>
      <c r="H297" s="141">
        <v>0.1585</v>
      </c>
      <c r="I297" s="142">
        <v>4.5245000000000006</v>
      </c>
      <c r="J297" s="141">
        <v>4.5295000000000005</v>
      </c>
      <c r="K297" s="141">
        <v>-0.18100000000000002</v>
      </c>
      <c r="L297" s="141">
        <v>0</v>
      </c>
      <c r="M297" s="141">
        <v>0.25750000000000001</v>
      </c>
      <c r="O297" s="125">
        <f ca="1">(IF(MONTH(B297)&gt;=4,IF(MONTH(B297)&lt;=10,Inputs!$H$2,Inputs!$H$3),Inputs!$H$3))</f>
        <v>6.5000000000000002E-2</v>
      </c>
      <c r="P297" s="155">
        <f ca="1">J297+(IF($L$2=TRUE,IF(MONTH(B297)&gt;=4,IF(MONTH(B297)&lt;=10,L297,M297),M297),0))+(IF('Pricing Inputs'!$AN$3=2,O297,0))</f>
        <v>4.5295000000000005</v>
      </c>
      <c r="Q297" s="155"/>
      <c r="R297" s="336">
        <f t="shared" ca="1" si="37"/>
        <v>45139</v>
      </c>
      <c r="S297" s="171">
        <f t="shared" si="34"/>
        <v>0.53</v>
      </c>
      <c r="T297" s="170">
        <f t="shared" si="35"/>
        <v>0.6</v>
      </c>
      <c r="U297" s="172">
        <f t="shared" si="38"/>
        <v>0.66999999999999993</v>
      </c>
      <c r="BP297" s="131">
        <f t="shared" si="36"/>
        <v>296</v>
      </c>
      <c r="BQ297" s="185" t="s">
        <v>480</v>
      </c>
      <c r="BR297" s="130" t="s">
        <v>178</v>
      </c>
      <c r="BS297" s="129" t="s">
        <v>179</v>
      </c>
      <c r="BT297" s="135" t="s">
        <v>180</v>
      </c>
      <c r="BU297" s="135"/>
      <c r="BV297" s="129">
        <v>1</v>
      </c>
      <c r="BW297" s="130" t="s">
        <v>1079</v>
      </c>
      <c r="BX297"/>
    </row>
    <row r="298" spans="1:76" ht="12.75">
      <c r="A298" s="153"/>
      <c r="B298" s="146">
        <f t="shared" ca="1" si="39"/>
        <v>45170</v>
      </c>
      <c r="C298" s="141">
        <v>7.3789500644015002E-2</v>
      </c>
      <c r="D298" s="141">
        <v>0.6</v>
      </c>
      <c r="E298" s="141">
        <v>0.6</v>
      </c>
      <c r="F298" s="141">
        <v>0.14349999999999999</v>
      </c>
      <c r="G298" s="141">
        <v>0.151</v>
      </c>
      <c r="H298" s="141">
        <v>0.1585</v>
      </c>
      <c r="I298" s="142">
        <v>4.5315000000000003</v>
      </c>
      <c r="J298" s="141">
        <v>4.5365000000000002</v>
      </c>
      <c r="K298" s="141">
        <v>-0.19</v>
      </c>
      <c r="L298" s="141">
        <v>0</v>
      </c>
      <c r="M298" s="141">
        <v>0.2525</v>
      </c>
      <c r="O298" s="125">
        <f ca="1">(IF(MONTH(B298)&gt;=4,IF(MONTH(B298)&lt;=10,Inputs!$H$2,Inputs!$H$3),Inputs!$H$3))</f>
        <v>6.5000000000000002E-2</v>
      </c>
      <c r="P298" s="155">
        <f ca="1">J298+(IF($L$2=TRUE,IF(MONTH(B298)&gt;=4,IF(MONTH(B298)&lt;=10,L298,M298),M298),0))+(IF('Pricing Inputs'!$AN$3=2,O298,0))</f>
        <v>4.5365000000000002</v>
      </c>
      <c r="Q298" s="155"/>
      <c r="R298" s="336">
        <f t="shared" ca="1" si="37"/>
        <v>45170</v>
      </c>
      <c r="S298" s="171">
        <f t="shared" si="34"/>
        <v>0.53</v>
      </c>
      <c r="T298" s="170">
        <f t="shared" si="35"/>
        <v>0.6</v>
      </c>
      <c r="U298" s="172">
        <f t="shared" si="38"/>
        <v>0.66999999999999993</v>
      </c>
      <c r="BP298" s="131">
        <f t="shared" si="36"/>
        <v>297</v>
      </c>
      <c r="BQ298" s="185" t="s">
        <v>481</v>
      </c>
      <c r="BR298" s="130" t="s">
        <v>178</v>
      </c>
      <c r="BS298" s="129" t="s">
        <v>179</v>
      </c>
      <c r="BT298" s="135" t="s">
        <v>180</v>
      </c>
      <c r="BU298" s="135"/>
      <c r="BV298" s="129">
        <v>1</v>
      </c>
      <c r="BW298" s="130" t="s">
        <v>1080</v>
      </c>
      <c r="BX298"/>
    </row>
    <row r="299" spans="1:76" ht="12.75">
      <c r="A299" s="153"/>
      <c r="B299" s="146">
        <f t="shared" ca="1" si="39"/>
        <v>45200</v>
      </c>
      <c r="C299" s="141">
        <v>7.3780563261738999E-2</v>
      </c>
      <c r="D299" s="141">
        <v>0.65</v>
      </c>
      <c r="E299" s="141">
        <v>0.65</v>
      </c>
      <c r="F299" s="141">
        <v>0.14349999999999999</v>
      </c>
      <c r="G299" s="141">
        <v>0.151</v>
      </c>
      <c r="H299" s="141">
        <v>0.1585</v>
      </c>
      <c r="I299" s="142">
        <v>4.5575000000000001</v>
      </c>
      <c r="J299" s="141">
        <v>4.5625</v>
      </c>
      <c r="K299" s="141">
        <v>-0.19500000000000001</v>
      </c>
      <c r="L299" s="141">
        <v>0</v>
      </c>
      <c r="M299" s="141">
        <v>0.255</v>
      </c>
      <c r="O299" s="125">
        <f ca="1">(IF(MONTH(B299)&gt;=4,IF(MONTH(B299)&lt;=10,Inputs!$H$2,Inputs!$H$3),Inputs!$H$3))</f>
        <v>6.5000000000000002E-2</v>
      </c>
      <c r="P299" s="155">
        <f ca="1">J299+(IF($L$2=TRUE,IF(MONTH(B299)&gt;=4,IF(MONTH(B299)&lt;=10,L299,M299),M299),0))+(IF('Pricing Inputs'!$AN$3=2,O299,0))</f>
        <v>4.5625</v>
      </c>
      <c r="Q299" s="155"/>
      <c r="R299" s="336">
        <f t="shared" ca="1" si="37"/>
        <v>45200</v>
      </c>
      <c r="S299" s="171">
        <f t="shared" si="34"/>
        <v>0.58000000000000007</v>
      </c>
      <c r="T299" s="170">
        <f t="shared" si="35"/>
        <v>0.65</v>
      </c>
      <c r="U299" s="172">
        <f t="shared" si="38"/>
        <v>0.72</v>
      </c>
      <c r="BP299" s="131">
        <f t="shared" si="36"/>
        <v>298</v>
      </c>
      <c r="BQ299" s="185" t="s">
        <v>482</v>
      </c>
      <c r="BR299" s="130" t="s">
        <v>178</v>
      </c>
      <c r="BS299" s="129" t="s">
        <v>179</v>
      </c>
      <c r="BT299" s="135" t="s">
        <v>180</v>
      </c>
      <c r="BU299" s="135"/>
      <c r="BV299" s="129">
        <v>1</v>
      </c>
      <c r="BW299" s="130" t="s">
        <v>1081</v>
      </c>
      <c r="BX299"/>
    </row>
    <row r="300" spans="1:76" ht="12.75">
      <c r="A300" s="153"/>
      <c r="B300" s="146">
        <f t="shared" ca="1" si="39"/>
        <v>45231</v>
      </c>
      <c r="C300" s="141">
        <v>7.3771327966748998E-2</v>
      </c>
      <c r="D300" s="141">
        <v>0.95</v>
      </c>
      <c r="E300" s="141">
        <v>0.95</v>
      </c>
      <c r="F300" s="141">
        <v>0.14349999999999999</v>
      </c>
      <c r="G300" s="141">
        <v>0.151</v>
      </c>
      <c r="H300" s="141">
        <v>0.1585</v>
      </c>
      <c r="I300" s="142">
        <v>4.6924999999999999</v>
      </c>
      <c r="J300" s="141">
        <v>4.6974999999999998</v>
      </c>
      <c r="K300" s="141">
        <v>-0.20300000000000001</v>
      </c>
      <c r="L300" s="141">
        <v>0</v>
      </c>
      <c r="M300" s="141">
        <v>0.71499999999999997</v>
      </c>
      <c r="O300" s="125">
        <f ca="1">(IF(MONTH(B300)&gt;=4,IF(MONTH(B300)&lt;=10,Inputs!$H$2,Inputs!$H$3),Inputs!$H$3))</f>
        <v>6.5000000000000002E-2</v>
      </c>
      <c r="P300" s="155">
        <f ca="1">J300+(IF($L$2=TRUE,IF(MONTH(B300)&gt;=4,IF(MONTH(B300)&lt;=10,L300,M300),M300),0))+(IF('Pricing Inputs'!$AN$3=2,O300,0))</f>
        <v>5.4124999999999996</v>
      </c>
      <c r="Q300" s="155"/>
      <c r="R300" s="336">
        <f t="shared" ca="1" si="37"/>
        <v>45231</v>
      </c>
      <c r="S300" s="171">
        <f t="shared" si="34"/>
        <v>0.87999999999999989</v>
      </c>
      <c r="T300" s="170">
        <f t="shared" si="35"/>
        <v>0.95</v>
      </c>
      <c r="U300" s="172">
        <f t="shared" si="38"/>
        <v>1.02</v>
      </c>
      <c r="BP300" s="131">
        <f t="shared" si="36"/>
        <v>299</v>
      </c>
      <c r="BQ300" s="185" t="s">
        <v>483</v>
      </c>
      <c r="BR300" s="130" t="s">
        <v>178</v>
      </c>
      <c r="BS300" s="129" t="s">
        <v>179</v>
      </c>
      <c r="BT300" s="135" t="s">
        <v>180</v>
      </c>
      <c r="BU300" s="135"/>
      <c r="BV300" s="129">
        <v>1</v>
      </c>
      <c r="BW300" s="130" t="s">
        <v>1082</v>
      </c>
      <c r="BX300"/>
    </row>
    <row r="301" spans="1:76" ht="12.75">
      <c r="A301" s="153"/>
      <c r="B301" s="146">
        <f t="shared" ca="1" si="39"/>
        <v>45261</v>
      </c>
      <c r="C301" s="141">
        <v>7.3762390584527007E-2</v>
      </c>
      <c r="D301" s="141">
        <v>1.25</v>
      </c>
      <c r="E301" s="141">
        <v>1.25</v>
      </c>
      <c r="F301" s="141">
        <v>0.14349999999999999</v>
      </c>
      <c r="G301" s="141">
        <v>0.151</v>
      </c>
      <c r="H301" s="141">
        <v>0.1585</v>
      </c>
      <c r="I301" s="142">
        <v>4.8165000000000004</v>
      </c>
      <c r="J301" s="141">
        <v>4.8215000000000003</v>
      </c>
      <c r="K301" s="141">
        <v>-0.19800000000000001</v>
      </c>
      <c r="L301" s="141">
        <v>0</v>
      </c>
      <c r="M301" s="141">
        <v>1.03</v>
      </c>
      <c r="O301" s="125">
        <f ca="1">(IF(MONTH(B301)&gt;=4,IF(MONTH(B301)&lt;=10,Inputs!$H$2,Inputs!$H$3),Inputs!$H$3))</f>
        <v>6.5000000000000002E-2</v>
      </c>
      <c r="P301" s="155">
        <f ca="1">J301+(IF($L$2=TRUE,IF(MONTH(B301)&gt;=4,IF(MONTH(B301)&lt;=10,L301,M301),M301),0))+(IF('Pricing Inputs'!$AN$3=2,O301,0))</f>
        <v>5.8515000000000006</v>
      </c>
      <c r="Q301" s="155"/>
      <c r="R301" s="336">
        <f t="shared" ca="1" si="37"/>
        <v>45261</v>
      </c>
      <c r="S301" s="171">
        <f t="shared" si="34"/>
        <v>1.18</v>
      </c>
      <c r="T301" s="170">
        <f t="shared" si="35"/>
        <v>1.25</v>
      </c>
      <c r="U301" s="172">
        <f t="shared" si="38"/>
        <v>1.32</v>
      </c>
      <c r="BP301" s="131">
        <f t="shared" si="36"/>
        <v>300</v>
      </c>
      <c r="BQ301" s="185" t="s">
        <v>484</v>
      </c>
      <c r="BR301" s="130" t="s">
        <v>178</v>
      </c>
      <c r="BS301" s="129" t="s">
        <v>179</v>
      </c>
      <c r="BT301" s="135" t="s">
        <v>180</v>
      </c>
      <c r="BU301" s="135"/>
      <c r="BV301" s="129">
        <v>1</v>
      </c>
      <c r="BW301" s="130" t="s">
        <v>1083</v>
      </c>
      <c r="BX301"/>
    </row>
    <row r="302" spans="1:76" ht="12.75">
      <c r="A302" s="153"/>
      <c r="B302" s="146">
        <f t="shared" ca="1" si="39"/>
        <v>45292</v>
      </c>
      <c r="C302" s="141">
        <v>7.3753155289593003E-2</v>
      </c>
      <c r="D302" s="141">
        <v>1.45</v>
      </c>
      <c r="E302" s="141">
        <v>1.45</v>
      </c>
      <c r="F302" s="141">
        <v>0.14349999999999999</v>
      </c>
      <c r="G302" s="141">
        <v>0.151</v>
      </c>
      <c r="H302" s="141">
        <v>0.1585</v>
      </c>
      <c r="I302" s="142">
        <v>4.96</v>
      </c>
      <c r="J302" s="141">
        <v>4.9649999999999999</v>
      </c>
      <c r="K302" s="141">
        <v>-0.20499999999999999</v>
      </c>
      <c r="L302" s="141">
        <v>0</v>
      </c>
      <c r="M302" s="141">
        <v>1.4950000000000001</v>
      </c>
      <c r="O302" s="125">
        <f ca="1">(IF(MONTH(B302)&gt;=4,IF(MONTH(B302)&lt;=10,Inputs!$H$2,Inputs!$H$3),Inputs!$H$3))</f>
        <v>6.5000000000000002E-2</v>
      </c>
      <c r="P302" s="155">
        <f ca="1">J302+(IF($L$2=TRUE,IF(MONTH(B302)&gt;=4,IF(MONTH(B302)&lt;=10,L302,M302),M302),0))+(IF('Pricing Inputs'!$AN$3=2,O302,0))</f>
        <v>6.46</v>
      </c>
      <c r="Q302" s="155"/>
      <c r="R302" s="336">
        <f t="shared" ca="1" si="37"/>
        <v>45292</v>
      </c>
      <c r="S302" s="171">
        <f t="shared" si="34"/>
        <v>1.38</v>
      </c>
      <c r="T302" s="170">
        <f t="shared" si="35"/>
        <v>1.45</v>
      </c>
      <c r="U302" s="172">
        <f t="shared" si="38"/>
        <v>1.52</v>
      </c>
      <c r="BP302" s="131">
        <f t="shared" si="36"/>
        <v>301</v>
      </c>
      <c r="BQ302" s="185" t="s">
        <v>485</v>
      </c>
      <c r="BR302" s="130" t="s">
        <v>178</v>
      </c>
      <c r="BS302" s="129" t="s">
        <v>179</v>
      </c>
      <c r="BT302" s="135" t="s">
        <v>180</v>
      </c>
      <c r="BU302" s="135"/>
      <c r="BV302" s="129">
        <v>1</v>
      </c>
      <c r="BW302" s="130" t="s">
        <v>1084</v>
      </c>
      <c r="BX302"/>
    </row>
    <row r="303" spans="1:76" ht="12.75">
      <c r="A303" s="153"/>
      <c r="B303" s="146">
        <f t="shared" ca="1" si="39"/>
        <v>45323</v>
      </c>
      <c r="C303" s="141">
        <v>7.3743919994687004E-2</v>
      </c>
      <c r="D303" s="141">
        <v>1.45</v>
      </c>
      <c r="E303" s="141">
        <v>1.45</v>
      </c>
      <c r="F303" s="141">
        <v>0.14349999999999999</v>
      </c>
      <c r="G303" s="141">
        <v>0.151</v>
      </c>
      <c r="H303" s="141">
        <v>0.1585</v>
      </c>
      <c r="I303" s="142">
        <v>4.8420000000000005</v>
      </c>
      <c r="J303" s="141">
        <v>4.8470000000000004</v>
      </c>
      <c r="K303" s="141">
        <v>-0.19900000000000001</v>
      </c>
      <c r="L303" s="141">
        <v>0</v>
      </c>
      <c r="M303" s="141">
        <v>1.395</v>
      </c>
      <c r="O303" s="125">
        <f ca="1">(IF(MONTH(B303)&gt;=4,IF(MONTH(B303)&lt;=10,Inputs!$H$2,Inputs!$H$3),Inputs!$H$3))</f>
        <v>6.5000000000000002E-2</v>
      </c>
      <c r="P303" s="155">
        <f ca="1">J303+(IF($L$2=TRUE,IF(MONTH(B303)&gt;=4,IF(MONTH(B303)&lt;=10,L303,M303),M303),0))+(IF('Pricing Inputs'!$AN$3=2,O303,0))</f>
        <v>6.2420000000000009</v>
      </c>
      <c r="Q303" s="155"/>
      <c r="R303" s="336">
        <f t="shared" ca="1" si="37"/>
        <v>45323</v>
      </c>
      <c r="S303" s="171">
        <f t="shared" si="34"/>
        <v>1.38</v>
      </c>
      <c r="T303" s="170">
        <f t="shared" si="35"/>
        <v>1.45</v>
      </c>
      <c r="U303" s="172">
        <f t="shared" si="38"/>
        <v>1.52</v>
      </c>
      <c r="BP303" s="131">
        <f t="shared" si="36"/>
        <v>302</v>
      </c>
      <c r="BQ303" s="185" t="s">
        <v>486</v>
      </c>
      <c r="BR303" s="130" t="s">
        <v>178</v>
      </c>
      <c r="BS303" s="129" t="s">
        <v>179</v>
      </c>
      <c r="BT303" s="135" t="s">
        <v>180</v>
      </c>
      <c r="BU303" s="135"/>
      <c r="BV303" s="129">
        <v>1</v>
      </c>
      <c r="BW303" s="130" t="s">
        <v>1085</v>
      </c>
      <c r="BX303"/>
    </row>
    <row r="304" spans="1:76" ht="12.75">
      <c r="A304" s="153"/>
      <c r="B304" s="146">
        <f t="shared" ca="1" si="39"/>
        <v>45352</v>
      </c>
      <c r="C304" s="141">
        <v>7.3735280525282998E-2</v>
      </c>
      <c r="D304" s="141">
        <v>1</v>
      </c>
      <c r="E304" s="141">
        <v>1</v>
      </c>
      <c r="F304" s="141">
        <v>0.14349999999999999</v>
      </c>
      <c r="G304" s="141">
        <v>0.151</v>
      </c>
      <c r="H304" s="141">
        <v>0.1585</v>
      </c>
      <c r="I304" s="142">
        <v>4.7220000000000004</v>
      </c>
      <c r="J304" s="141">
        <v>4.7270000000000003</v>
      </c>
      <c r="K304" s="141">
        <v>-0.19</v>
      </c>
      <c r="L304" s="141">
        <v>0</v>
      </c>
      <c r="M304" s="141">
        <v>0.86499999999999999</v>
      </c>
      <c r="O304" s="125">
        <f ca="1">(IF(MONTH(B304)&gt;=4,IF(MONTH(B304)&lt;=10,Inputs!$H$2,Inputs!$H$3),Inputs!$H$3))</f>
        <v>6.5000000000000002E-2</v>
      </c>
      <c r="P304" s="155">
        <f ca="1">J304+(IF($L$2=TRUE,IF(MONTH(B304)&gt;=4,IF(MONTH(B304)&lt;=10,L304,M304),M304),0))+(IF('Pricing Inputs'!$AN$3=2,O304,0))</f>
        <v>5.5920000000000005</v>
      </c>
      <c r="Q304" s="155"/>
      <c r="R304" s="336">
        <f t="shared" ca="1" si="37"/>
        <v>45352</v>
      </c>
      <c r="S304" s="171">
        <f t="shared" si="34"/>
        <v>0.92999999999999994</v>
      </c>
      <c r="T304" s="170">
        <f t="shared" si="35"/>
        <v>1</v>
      </c>
      <c r="U304" s="172">
        <f t="shared" si="38"/>
        <v>1.07</v>
      </c>
      <c r="BP304" s="131">
        <f t="shared" si="36"/>
        <v>303</v>
      </c>
      <c r="BQ304" s="185" t="s">
        <v>487</v>
      </c>
      <c r="BR304" s="130" t="s">
        <v>178</v>
      </c>
      <c r="BS304" s="129" t="s">
        <v>179</v>
      </c>
      <c r="BT304" s="135" t="s">
        <v>180</v>
      </c>
      <c r="BU304" s="135"/>
      <c r="BV304" s="129">
        <v>1</v>
      </c>
      <c r="BW304" s="130" t="s">
        <v>1086</v>
      </c>
      <c r="BX304"/>
    </row>
    <row r="305" spans="1:76" ht="12.75">
      <c r="A305" s="153"/>
      <c r="B305" s="146">
        <f t="shared" ca="1" si="39"/>
        <v>45383</v>
      </c>
      <c r="C305" s="141">
        <v>7.3726045230430998E-2</v>
      </c>
      <c r="D305" s="141">
        <v>0.45</v>
      </c>
      <c r="E305" s="141">
        <v>0.45</v>
      </c>
      <c r="F305" s="141">
        <v>0.14349999999999999</v>
      </c>
      <c r="G305" s="141">
        <v>0.151</v>
      </c>
      <c r="H305" s="141">
        <v>0.1585</v>
      </c>
      <c r="I305" s="142">
        <v>4.6725000000000003</v>
      </c>
      <c r="J305" s="141">
        <v>4.6775000000000002</v>
      </c>
      <c r="K305" s="141">
        <v>-0.186</v>
      </c>
      <c r="L305" s="141">
        <v>0</v>
      </c>
      <c r="M305" s="141">
        <v>0.37</v>
      </c>
      <c r="O305" s="125">
        <f ca="1">(IF(MONTH(B305)&gt;=4,IF(MONTH(B305)&lt;=10,Inputs!$H$2,Inputs!$H$3),Inputs!$H$3))</f>
        <v>6.5000000000000002E-2</v>
      </c>
      <c r="P305" s="155">
        <f ca="1">J305+(IF($L$2=TRUE,IF(MONTH(B305)&gt;=4,IF(MONTH(B305)&lt;=10,L305,M305),M305),0))+(IF('Pricing Inputs'!$AN$3=2,O305,0))</f>
        <v>4.6775000000000002</v>
      </c>
      <c r="Q305" s="155"/>
      <c r="R305" s="336">
        <f t="shared" ca="1" si="37"/>
        <v>45383</v>
      </c>
      <c r="S305" s="171">
        <f t="shared" si="34"/>
        <v>0.38</v>
      </c>
      <c r="T305" s="170">
        <f t="shared" si="35"/>
        <v>0.45</v>
      </c>
      <c r="U305" s="172">
        <f t="shared" si="38"/>
        <v>0.52</v>
      </c>
      <c r="BP305" s="131">
        <f t="shared" si="36"/>
        <v>304</v>
      </c>
      <c r="BQ305" s="185" t="s">
        <v>488</v>
      </c>
      <c r="BR305" s="130" t="s">
        <v>178</v>
      </c>
      <c r="BS305" s="129" t="s">
        <v>179</v>
      </c>
      <c r="BT305" s="135" t="s">
        <v>180</v>
      </c>
      <c r="BU305" s="135"/>
      <c r="BV305" s="129">
        <v>1</v>
      </c>
      <c r="BW305" s="130" t="s">
        <v>1087</v>
      </c>
      <c r="BX305"/>
    </row>
    <row r="306" spans="1:76" ht="12.75">
      <c r="A306" s="153"/>
      <c r="B306" s="146">
        <f t="shared" ca="1" si="39"/>
        <v>45413</v>
      </c>
      <c r="C306" s="141">
        <v>7.3717107848342997E-2</v>
      </c>
      <c r="D306" s="141">
        <v>0.5</v>
      </c>
      <c r="E306" s="141">
        <v>0.5</v>
      </c>
      <c r="F306" s="141">
        <v>0.14349999999999999</v>
      </c>
      <c r="G306" s="141">
        <v>0.151</v>
      </c>
      <c r="H306" s="141">
        <v>0.1585</v>
      </c>
      <c r="I306" s="142">
        <v>4.6465000000000005</v>
      </c>
      <c r="J306" s="141">
        <v>4.6515000000000004</v>
      </c>
      <c r="K306" s="141">
        <v>-0.17200000000000001</v>
      </c>
      <c r="L306" s="141">
        <v>0</v>
      </c>
      <c r="M306" s="141">
        <v>0.2525</v>
      </c>
      <c r="O306" s="125">
        <f ca="1">(IF(MONTH(B306)&gt;=4,IF(MONTH(B306)&lt;=10,Inputs!$H$2,Inputs!$H$3),Inputs!$H$3))</f>
        <v>6.5000000000000002E-2</v>
      </c>
      <c r="P306" s="155">
        <f ca="1">J306+(IF($L$2=TRUE,IF(MONTH(B306)&gt;=4,IF(MONTH(B306)&lt;=10,L306,M306),M306),0))+(IF('Pricing Inputs'!$AN$3=2,O306,0))</f>
        <v>4.6515000000000004</v>
      </c>
      <c r="Q306" s="155"/>
      <c r="R306" s="336">
        <f t="shared" ca="1" si="37"/>
        <v>45413</v>
      </c>
      <c r="S306" s="171">
        <f t="shared" si="34"/>
        <v>0.43</v>
      </c>
      <c r="T306" s="170">
        <f t="shared" si="35"/>
        <v>0.5</v>
      </c>
      <c r="U306" s="172">
        <f t="shared" si="38"/>
        <v>0.57000000000000006</v>
      </c>
      <c r="BP306" s="131">
        <f t="shared" si="36"/>
        <v>305</v>
      </c>
      <c r="BQ306" s="185" t="s">
        <v>489</v>
      </c>
      <c r="BR306" s="130" t="s">
        <v>178</v>
      </c>
      <c r="BS306" s="129" t="s">
        <v>179</v>
      </c>
      <c r="BT306" s="135" t="s">
        <v>180</v>
      </c>
      <c r="BU306" s="135"/>
      <c r="BV306" s="129">
        <v>1</v>
      </c>
      <c r="BW306" s="130" t="s">
        <v>1088</v>
      </c>
      <c r="BX306"/>
    </row>
    <row r="307" spans="1:76" ht="12.75">
      <c r="A307" s="153"/>
      <c r="B307" s="146">
        <f t="shared" ca="1" si="39"/>
        <v>45444</v>
      </c>
      <c r="C307" s="141">
        <v>7.3707872553546008E-2</v>
      </c>
      <c r="D307" s="141">
        <v>0.5</v>
      </c>
      <c r="E307" s="141">
        <v>0.5</v>
      </c>
      <c r="F307" s="141">
        <v>0.14349999999999999</v>
      </c>
      <c r="G307" s="141">
        <v>0.151</v>
      </c>
      <c r="H307" s="141">
        <v>0.1585</v>
      </c>
      <c r="I307" s="142">
        <v>4.5245000000000006</v>
      </c>
      <c r="J307" s="141">
        <v>4.5295000000000005</v>
      </c>
      <c r="K307" s="141">
        <v>-0.18100000000000002</v>
      </c>
      <c r="L307" s="141">
        <v>0</v>
      </c>
      <c r="M307" s="141">
        <v>0.2525</v>
      </c>
      <c r="O307" s="125">
        <f ca="1">(IF(MONTH(B307)&gt;=4,IF(MONTH(B307)&lt;=10,Inputs!$H$2,Inputs!$H$3),Inputs!$H$3))</f>
        <v>6.5000000000000002E-2</v>
      </c>
      <c r="P307" s="155">
        <f ca="1">J307+(IF($L$2=TRUE,IF(MONTH(B307)&gt;=4,IF(MONTH(B307)&lt;=10,L307,M307),M307),0))+(IF('Pricing Inputs'!$AN$3=2,O307,0))</f>
        <v>4.5295000000000005</v>
      </c>
      <c r="Q307" s="155"/>
      <c r="R307" s="336">
        <f t="shared" ca="1" si="37"/>
        <v>45444</v>
      </c>
      <c r="S307" s="171">
        <f t="shared" si="34"/>
        <v>0.43</v>
      </c>
      <c r="T307" s="170">
        <f t="shared" si="35"/>
        <v>0.5</v>
      </c>
      <c r="U307" s="172">
        <f t="shared" si="38"/>
        <v>0.57000000000000006</v>
      </c>
      <c r="BP307" s="131">
        <f t="shared" si="36"/>
        <v>306</v>
      </c>
      <c r="BQ307" s="185" t="s">
        <v>490</v>
      </c>
      <c r="BR307" s="130" t="s">
        <v>178</v>
      </c>
      <c r="BS307" s="129" t="s">
        <v>179</v>
      </c>
      <c r="BT307" s="135" t="s">
        <v>180</v>
      </c>
      <c r="BU307" s="135"/>
      <c r="BV307" s="129">
        <v>1</v>
      </c>
      <c r="BW307" s="130" t="s">
        <v>1089</v>
      </c>
      <c r="BX307"/>
    </row>
    <row r="308" spans="1:76" ht="12.75">
      <c r="A308" s="153"/>
      <c r="B308" s="146">
        <f t="shared" ca="1" si="39"/>
        <v>45474</v>
      </c>
      <c r="C308" s="141">
        <v>7.3698935171512006E-2</v>
      </c>
      <c r="D308" s="141">
        <v>0.5</v>
      </c>
      <c r="E308" s="141">
        <v>0.5</v>
      </c>
      <c r="F308" s="141">
        <v>0.14349999999999999</v>
      </c>
      <c r="G308" s="141">
        <v>0.151</v>
      </c>
      <c r="H308" s="141">
        <v>0.1585</v>
      </c>
      <c r="I308" s="142">
        <v>4.5315000000000003</v>
      </c>
      <c r="J308" s="141">
        <v>4.5365000000000002</v>
      </c>
      <c r="K308" s="141">
        <v>-0.19</v>
      </c>
      <c r="L308" s="141">
        <v>0</v>
      </c>
      <c r="M308" s="141">
        <v>0.25750000000000001</v>
      </c>
      <c r="O308" s="125">
        <f ca="1">(IF(MONTH(B308)&gt;=4,IF(MONTH(B308)&lt;=10,Inputs!$H$2,Inputs!$H$3),Inputs!$H$3))</f>
        <v>6.5000000000000002E-2</v>
      </c>
      <c r="P308" s="155">
        <f ca="1">J308+(IF($L$2=TRUE,IF(MONTH(B308)&gt;=4,IF(MONTH(B308)&lt;=10,L308,M308),M308),0))+(IF('Pricing Inputs'!$AN$3=2,O308,0))</f>
        <v>4.5365000000000002</v>
      </c>
      <c r="Q308" s="155"/>
      <c r="R308" s="336">
        <f t="shared" ca="1" si="37"/>
        <v>45474</v>
      </c>
      <c r="S308" s="171">
        <f t="shared" si="34"/>
        <v>0.43</v>
      </c>
      <c r="T308" s="170">
        <f t="shared" si="35"/>
        <v>0.5</v>
      </c>
      <c r="U308" s="172">
        <f t="shared" si="38"/>
        <v>0.57000000000000006</v>
      </c>
      <c r="BP308" s="131">
        <f t="shared" si="36"/>
        <v>307</v>
      </c>
      <c r="BQ308" s="185" t="s">
        <v>491</v>
      </c>
      <c r="BR308" s="130" t="s">
        <v>178</v>
      </c>
      <c r="BS308" s="129" t="s">
        <v>179</v>
      </c>
      <c r="BT308" s="135" t="s">
        <v>180</v>
      </c>
      <c r="BU308" s="135"/>
      <c r="BV308" s="129">
        <v>1</v>
      </c>
      <c r="BW308" s="130" t="s">
        <v>1090</v>
      </c>
      <c r="BX308"/>
    </row>
    <row r="309" spans="1:76" ht="12.75">
      <c r="A309" s="153"/>
      <c r="B309" s="146">
        <f t="shared" ca="1" si="39"/>
        <v>45505</v>
      </c>
      <c r="C309" s="141">
        <v>7.3689699876771E-2</v>
      </c>
      <c r="D309" s="141">
        <v>0.6</v>
      </c>
      <c r="E309" s="141">
        <v>0.6</v>
      </c>
      <c r="F309" s="141">
        <v>0.14349999999999999</v>
      </c>
      <c r="G309" s="141">
        <v>0.151</v>
      </c>
      <c r="H309" s="141">
        <v>0.1585</v>
      </c>
      <c r="I309" s="142">
        <v>4.5575000000000001</v>
      </c>
      <c r="J309" s="141">
        <v>4.5625</v>
      </c>
      <c r="K309" s="141">
        <v>-0.19500000000000001</v>
      </c>
      <c r="L309" s="141">
        <v>0</v>
      </c>
      <c r="M309" s="141">
        <v>0.25750000000000001</v>
      </c>
      <c r="O309" s="125">
        <f ca="1">(IF(MONTH(B309)&gt;=4,IF(MONTH(B309)&lt;=10,Inputs!$H$2,Inputs!$H$3),Inputs!$H$3))</f>
        <v>6.5000000000000002E-2</v>
      </c>
      <c r="P309" s="155">
        <f ca="1">J309+(IF($L$2=TRUE,IF(MONTH(B309)&gt;=4,IF(MONTH(B309)&lt;=10,L309,M309),M309),0))+(IF('Pricing Inputs'!$AN$3=2,O309,0))</f>
        <v>4.5625</v>
      </c>
      <c r="Q309" s="155"/>
      <c r="R309" s="336">
        <f t="shared" ca="1" si="37"/>
        <v>45505</v>
      </c>
      <c r="S309" s="171">
        <f t="shared" si="34"/>
        <v>0.53</v>
      </c>
      <c r="T309" s="170">
        <f t="shared" si="35"/>
        <v>0.6</v>
      </c>
      <c r="U309" s="172">
        <f t="shared" si="38"/>
        <v>0.66999999999999993</v>
      </c>
      <c r="BP309" s="131">
        <f t="shared" si="36"/>
        <v>308</v>
      </c>
      <c r="BQ309" s="185" t="s">
        <v>492</v>
      </c>
      <c r="BR309" s="130" t="s">
        <v>178</v>
      </c>
      <c r="BS309" s="129" t="s">
        <v>179</v>
      </c>
      <c r="BT309" s="135" t="s">
        <v>180</v>
      </c>
      <c r="BU309" s="135"/>
      <c r="BV309" s="129">
        <v>1</v>
      </c>
      <c r="BW309" s="130" t="s">
        <v>1091</v>
      </c>
      <c r="BX309"/>
    </row>
    <row r="310" spans="1:76" ht="12.75">
      <c r="A310" s="153"/>
      <c r="B310" s="146">
        <f t="shared" ca="1" si="39"/>
        <v>45536</v>
      </c>
      <c r="C310" s="141">
        <v>7.3680464582057001E-2</v>
      </c>
      <c r="D310" s="141">
        <v>0.6</v>
      </c>
      <c r="E310" s="141">
        <v>0.6</v>
      </c>
      <c r="F310" s="141">
        <v>0.14349999999999999</v>
      </c>
      <c r="G310" s="141">
        <v>0.151</v>
      </c>
      <c r="H310" s="141">
        <v>0.1585</v>
      </c>
      <c r="I310" s="142">
        <v>4.6924999999999999</v>
      </c>
      <c r="J310" s="141">
        <v>4.6974999999999998</v>
      </c>
      <c r="K310" s="141">
        <v>-0.20300000000000001</v>
      </c>
      <c r="L310" s="141">
        <v>0</v>
      </c>
      <c r="M310" s="141">
        <v>0.2525</v>
      </c>
      <c r="O310" s="125">
        <f ca="1">(IF(MONTH(B310)&gt;=4,IF(MONTH(B310)&lt;=10,Inputs!$H$2,Inputs!$H$3),Inputs!$H$3))</f>
        <v>6.5000000000000002E-2</v>
      </c>
      <c r="P310" s="155">
        <f ca="1">J310+(IF($L$2=TRUE,IF(MONTH(B310)&gt;=4,IF(MONTH(B310)&lt;=10,L310,M310),M310),0))+(IF('Pricing Inputs'!$AN$3=2,O310,0))</f>
        <v>4.6974999999999998</v>
      </c>
      <c r="Q310" s="155"/>
      <c r="R310" s="336">
        <f t="shared" ca="1" si="37"/>
        <v>45536</v>
      </c>
      <c r="S310" s="171">
        <f t="shared" si="34"/>
        <v>0.53</v>
      </c>
      <c r="T310" s="170">
        <f t="shared" si="35"/>
        <v>0.6</v>
      </c>
      <c r="U310" s="172">
        <f t="shared" si="38"/>
        <v>0.66999999999999993</v>
      </c>
      <c r="BP310" s="131">
        <f t="shared" si="36"/>
        <v>309</v>
      </c>
      <c r="BQ310" s="185" t="s">
        <v>493</v>
      </c>
      <c r="BR310" s="130" t="s">
        <v>178</v>
      </c>
      <c r="BS310" s="129" t="s">
        <v>179</v>
      </c>
      <c r="BT310" s="135" t="s">
        <v>180</v>
      </c>
      <c r="BU310" s="135"/>
      <c r="BV310" s="129">
        <v>1</v>
      </c>
      <c r="BW310" s="130" t="s">
        <v>1092</v>
      </c>
      <c r="BX310"/>
    </row>
    <row r="311" spans="1:76" ht="12.75">
      <c r="A311" s="153"/>
      <c r="B311" s="146">
        <f t="shared" ca="1" si="39"/>
        <v>45566</v>
      </c>
      <c r="C311" s="141">
        <v>7.3671527200104003E-2</v>
      </c>
      <c r="D311" s="141">
        <v>0.65</v>
      </c>
      <c r="E311" s="141">
        <v>0.65</v>
      </c>
      <c r="F311" s="141">
        <v>0.14349999999999999</v>
      </c>
      <c r="G311" s="141">
        <v>0.151</v>
      </c>
      <c r="H311" s="141">
        <v>0.1585</v>
      </c>
      <c r="I311" s="142">
        <v>4.8165000000000004</v>
      </c>
      <c r="J311" s="141">
        <v>4.8215000000000003</v>
      </c>
      <c r="K311" s="157">
        <v>-0.19800000000000001</v>
      </c>
      <c r="L311" s="141">
        <v>0</v>
      </c>
      <c r="M311" s="141">
        <v>0.255</v>
      </c>
      <c r="BP311" s="131">
        <f t="shared" si="36"/>
        <v>310</v>
      </c>
      <c r="BQ311" s="185" t="s">
        <v>494</v>
      </c>
      <c r="BR311" s="130" t="s">
        <v>178</v>
      </c>
      <c r="BS311" s="129" t="s">
        <v>179</v>
      </c>
      <c r="BT311" s="135" t="s">
        <v>180</v>
      </c>
      <c r="BU311" s="135"/>
      <c r="BV311" s="129">
        <v>1</v>
      </c>
      <c r="BW311" s="130" t="s">
        <v>1093</v>
      </c>
      <c r="BX311"/>
    </row>
    <row r="312" spans="1:76" ht="12.75">
      <c r="A312" s="153"/>
      <c r="B312" s="146">
        <f t="shared" ca="1" si="39"/>
        <v>45597</v>
      </c>
      <c r="C312" s="141">
        <v>7.3662291905446001E-2</v>
      </c>
      <c r="D312" s="141">
        <v>0.95</v>
      </c>
      <c r="E312" s="141">
        <v>0.95</v>
      </c>
      <c r="F312" s="141">
        <v>0.14349999999999999</v>
      </c>
      <c r="G312" s="141">
        <v>0.151</v>
      </c>
      <c r="H312" s="141">
        <v>0.1585</v>
      </c>
      <c r="I312" s="142">
        <v>4.96</v>
      </c>
      <c r="J312" s="141">
        <v>4.9649999999999999</v>
      </c>
      <c r="K312" s="157">
        <v>-0.20499999999999999</v>
      </c>
      <c r="L312" s="141">
        <v>0</v>
      </c>
      <c r="M312" s="141">
        <v>0.71499999999999997</v>
      </c>
      <c r="BP312" s="131">
        <f t="shared" si="36"/>
        <v>311</v>
      </c>
      <c r="BQ312" s="185" t="s">
        <v>495</v>
      </c>
      <c r="BR312" s="130" t="s">
        <v>178</v>
      </c>
      <c r="BS312" s="129" t="s">
        <v>179</v>
      </c>
      <c r="BT312" s="135" t="s">
        <v>180</v>
      </c>
      <c r="BU312" s="135"/>
      <c r="BV312" s="129">
        <v>1</v>
      </c>
      <c r="BW312" s="130" t="s">
        <v>1094</v>
      </c>
      <c r="BX312"/>
    </row>
    <row r="313" spans="1:76" ht="12.75">
      <c r="A313" s="153"/>
      <c r="B313" s="146">
        <f t="shared" ca="1" si="39"/>
        <v>45627</v>
      </c>
      <c r="C313" s="141">
        <v>7.3653354523546002E-2</v>
      </c>
      <c r="D313" s="141">
        <v>1.25</v>
      </c>
      <c r="E313" s="141">
        <v>1.25</v>
      </c>
      <c r="F313" s="141">
        <v>0.14349999999999999</v>
      </c>
      <c r="G313" s="141">
        <v>0.151</v>
      </c>
      <c r="H313" s="141">
        <v>0.1585</v>
      </c>
      <c r="I313" s="142">
        <v>4.8420000000000005</v>
      </c>
      <c r="J313" s="141">
        <v>4.8470000000000004</v>
      </c>
      <c r="K313" s="157">
        <v>-0.19900000000000001</v>
      </c>
      <c r="L313" s="141">
        <v>0</v>
      </c>
      <c r="M313" s="141">
        <v>1.03</v>
      </c>
      <c r="BP313" s="131">
        <f t="shared" si="36"/>
        <v>312</v>
      </c>
      <c r="BQ313" s="185" t="s">
        <v>496</v>
      </c>
      <c r="BR313" s="130" t="s">
        <v>178</v>
      </c>
      <c r="BS313" s="129" t="s">
        <v>179</v>
      </c>
      <c r="BT313" s="135" t="s">
        <v>180</v>
      </c>
      <c r="BU313" s="135"/>
      <c r="BV313" s="129">
        <v>1</v>
      </c>
      <c r="BW313" s="130" t="s">
        <v>1095</v>
      </c>
      <c r="BX313"/>
    </row>
    <row r="314" spans="1:76" ht="12.75">
      <c r="A314" s="153"/>
      <c r="B314" s="146">
        <f t="shared" ca="1" si="39"/>
        <v>45658</v>
      </c>
      <c r="C314" s="141">
        <v>7.3644119228943997E-2</v>
      </c>
      <c r="D314" s="141">
        <v>1.45</v>
      </c>
      <c r="E314" s="141">
        <v>1.45</v>
      </c>
      <c r="F314" s="141">
        <v>0.14349999999999999</v>
      </c>
      <c r="G314" s="141">
        <v>0.151</v>
      </c>
      <c r="H314" s="141">
        <v>0.1585</v>
      </c>
      <c r="I314" s="142">
        <v>4.7220000000000004</v>
      </c>
      <c r="J314" s="141">
        <v>4.7270000000000003</v>
      </c>
      <c r="K314" s="157">
        <v>-0.19</v>
      </c>
      <c r="L314" s="141">
        <v>0</v>
      </c>
      <c r="M314" s="141">
        <v>1.4950000000000001</v>
      </c>
      <c r="BP314" s="131">
        <f t="shared" si="36"/>
        <v>313</v>
      </c>
      <c r="BQ314" s="185" t="s">
        <v>497</v>
      </c>
      <c r="BR314" s="130" t="s">
        <v>178</v>
      </c>
      <c r="BS314" s="129" t="s">
        <v>179</v>
      </c>
      <c r="BT314" s="135" t="s">
        <v>180</v>
      </c>
      <c r="BU314" s="135"/>
      <c r="BV314" s="129">
        <v>1</v>
      </c>
      <c r="BW314" s="130" t="s">
        <v>1096</v>
      </c>
      <c r="BX314"/>
    </row>
    <row r="315" spans="1:76" ht="12.75">
      <c r="A315" s="153"/>
      <c r="B315" s="146">
        <f t="shared" ca="1" si="39"/>
        <v>45689</v>
      </c>
      <c r="C315" s="141">
        <v>7.3634883934368997E-2</v>
      </c>
      <c r="D315" s="141">
        <v>1.45</v>
      </c>
      <c r="E315" s="141">
        <v>1.45</v>
      </c>
      <c r="F315" s="141">
        <v>0.14349999999999999</v>
      </c>
      <c r="G315" s="141">
        <v>0.151</v>
      </c>
      <c r="H315" s="141">
        <v>0.1585</v>
      </c>
      <c r="I315" s="142">
        <v>4.6725000000000003</v>
      </c>
      <c r="J315" s="141">
        <v>4.6775000000000002</v>
      </c>
      <c r="K315" s="157">
        <v>-0.186</v>
      </c>
      <c r="L315" s="141">
        <v>0</v>
      </c>
      <c r="M315" s="141">
        <v>1.395</v>
      </c>
      <c r="BP315" s="131">
        <f t="shared" si="36"/>
        <v>314</v>
      </c>
      <c r="BQ315" s="185" t="s">
        <v>498</v>
      </c>
      <c r="BR315" s="130" t="s">
        <v>178</v>
      </c>
      <c r="BS315" s="129" t="s">
        <v>179</v>
      </c>
      <c r="BT315" s="135" t="s">
        <v>180</v>
      </c>
      <c r="BU315" s="135"/>
      <c r="BV315" s="129">
        <v>1</v>
      </c>
      <c r="BW315" s="130" t="s">
        <v>1097</v>
      </c>
      <c r="BX315"/>
    </row>
    <row r="316" spans="1:76" ht="12.75">
      <c r="A316" s="153"/>
      <c r="B316" s="146">
        <f t="shared" ca="1" si="39"/>
        <v>45717</v>
      </c>
      <c r="C316" s="141">
        <v>7.3626542378005005E-2</v>
      </c>
      <c r="D316" s="141">
        <v>1</v>
      </c>
      <c r="E316" s="141">
        <v>1</v>
      </c>
      <c r="F316" s="141">
        <v>0.14349999999999999</v>
      </c>
      <c r="G316" s="141">
        <v>0.151</v>
      </c>
      <c r="H316" s="141">
        <v>0.1585</v>
      </c>
      <c r="I316" s="142">
        <v>4.6465000000000005</v>
      </c>
      <c r="J316" s="141">
        <v>4.6515000000000004</v>
      </c>
      <c r="K316" s="157">
        <v>-0.17200000000000001</v>
      </c>
      <c r="L316" s="141">
        <v>0</v>
      </c>
      <c r="M316" s="141">
        <v>0.86499999999999999</v>
      </c>
      <c r="BP316" s="131">
        <f t="shared" si="36"/>
        <v>315</v>
      </c>
      <c r="BQ316" s="185" t="s">
        <v>499</v>
      </c>
      <c r="BR316" s="130" t="s">
        <v>178</v>
      </c>
      <c r="BS316" s="129" t="s">
        <v>179</v>
      </c>
      <c r="BT316" s="135" t="s">
        <v>180</v>
      </c>
      <c r="BU316" s="135"/>
      <c r="BV316" s="129">
        <v>1</v>
      </c>
      <c r="BW316" s="130" t="s">
        <v>1098</v>
      </c>
      <c r="BX316"/>
    </row>
    <row r="317" spans="1:76" ht="12.75">
      <c r="A317" s="153"/>
      <c r="B317" s="146">
        <f t="shared" ca="1" si="39"/>
        <v>45748</v>
      </c>
      <c r="C317" s="141">
        <v>7.3617307083484004E-2</v>
      </c>
      <c r="D317" s="141">
        <v>0.45</v>
      </c>
      <c r="E317" s="141">
        <v>0.45</v>
      </c>
      <c r="F317" s="141">
        <v>0.14349999999999999</v>
      </c>
      <c r="G317" s="141">
        <v>0.151</v>
      </c>
      <c r="H317" s="141">
        <v>0.1585</v>
      </c>
      <c r="I317" s="142"/>
      <c r="K317" s="157"/>
      <c r="L317" s="141">
        <v>0</v>
      </c>
      <c r="M317" s="141">
        <v>0.37</v>
      </c>
      <c r="BP317" s="131">
        <f t="shared" si="36"/>
        <v>316</v>
      </c>
      <c r="BQ317" s="185" t="s">
        <v>500</v>
      </c>
      <c r="BR317" s="130" t="s">
        <v>178</v>
      </c>
      <c r="BS317" s="129" t="s">
        <v>179</v>
      </c>
      <c r="BT317" s="135" t="s">
        <v>180</v>
      </c>
      <c r="BU317" s="135"/>
      <c r="BV317" s="129">
        <v>1</v>
      </c>
      <c r="BW317" s="130" t="s">
        <v>1099</v>
      </c>
      <c r="BX317"/>
    </row>
    <row r="318" spans="1:76" ht="12.75">
      <c r="A318" s="153"/>
      <c r="B318" s="146">
        <f t="shared" ca="1" si="39"/>
        <v>45778</v>
      </c>
      <c r="C318" s="141">
        <v>7.3608369701715998E-2</v>
      </c>
      <c r="D318" s="141">
        <v>0.5</v>
      </c>
      <c r="E318" s="141">
        <v>0.5</v>
      </c>
      <c r="F318" s="141">
        <v>0.14349999999999999</v>
      </c>
      <c r="G318" s="141">
        <v>0.151</v>
      </c>
      <c r="H318" s="141">
        <v>0.1585</v>
      </c>
      <c r="I318" s="142"/>
      <c r="K318" s="157"/>
      <c r="L318" s="141">
        <v>0</v>
      </c>
      <c r="M318" s="141">
        <v>0.2525</v>
      </c>
      <c r="BP318" s="131">
        <f t="shared" si="36"/>
        <v>317</v>
      </c>
      <c r="BQ318" s="185" t="s">
        <v>501</v>
      </c>
      <c r="BR318" s="130" t="s">
        <v>178</v>
      </c>
      <c r="BS318" s="129" t="s">
        <v>179</v>
      </c>
      <c r="BT318" s="135" t="s">
        <v>180</v>
      </c>
      <c r="BU318" s="135"/>
      <c r="BV318" s="129">
        <v>1</v>
      </c>
      <c r="BW318" s="130" t="s">
        <v>1100</v>
      </c>
      <c r="BX318"/>
    </row>
    <row r="319" spans="1:76" ht="12.75">
      <c r="A319" s="153"/>
      <c r="B319" s="146">
        <f t="shared" ca="1" si="39"/>
        <v>45809</v>
      </c>
      <c r="C319" s="141">
        <v>7.3599134407251007E-2</v>
      </c>
      <c r="D319" s="141">
        <v>0.5</v>
      </c>
      <c r="E319" s="141">
        <v>0.5</v>
      </c>
      <c r="F319" s="141">
        <v>0.14349999999999999</v>
      </c>
      <c r="G319" s="141">
        <v>0.151</v>
      </c>
      <c r="H319" s="141">
        <v>0.1585</v>
      </c>
      <c r="I319" s="142"/>
      <c r="K319" s="157"/>
      <c r="L319" s="141">
        <v>0</v>
      </c>
      <c r="M319" s="141">
        <v>0.2525</v>
      </c>
      <c r="BP319" s="131">
        <f t="shared" si="36"/>
        <v>318</v>
      </c>
      <c r="BQ319" s="185" t="s">
        <v>502</v>
      </c>
      <c r="BR319" s="130" t="s">
        <v>178</v>
      </c>
      <c r="BS319" s="129" t="s">
        <v>179</v>
      </c>
      <c r="BT319" s="135" t="s">
        <v>180</v>
      </c>
      <c r="BU319" s="135"/>
      <c r="BV319" s="129">
        <v>1</v>
      </c>
      <c r="BW319" s="130" t="s">
        <v>1101</v>
      </c>
      <c r="BX319"/>
    </row>
    <row r="320" spans="1:76" ht="12.75">
      <c r="A320" s="153"/>
      <c r="B320" s="146">
        <f t="shared" ca="1" si="39"/>
        <v>45839</v>
      </c>
      <c r="C320" s="141">
        <v>7.3590197025536999E-2</v>
      </c>
      <c r="D320" s="141">
        <v>0.5</v>
      </c>
      <c r="E320" s="141">
        <v>0.5</v>
      </c>
      <c r="F320" s="141">
        <v>0.14349999999999999</v>
      </c>
      <c r="G320" s="141">
        <v>0.151</v>
      </c>
      <c r="H320" s="141">
        <v>0.1585</v>
      </c>
      <c r="I320" s="142"/>
      <c r="K320" s="157"/>
      <c r="L320" s="141">
        <v>0</v>
      </c>
      <c r="M320" s="141">
        <v>0.25750000000000001</v>
      </c>
      <c r="BP320" s="131">
        <f t="shared" si="36"/>
        <v>319</v>
      </c>
      <c r="BQ320" s="185" t="s">
        <v>503</v>
      </c>
      <c r="BR320" s="130" t="s">
        <v>178</v>
      </c>
      <c r="BS320" s="129" t="s">
        <v>179</v>
      </c>
      <c r="BT320" s="135" t="s">
        <v>180</v>
      </c>
      <c r="BU320" s="135"/>
      <c r="BV320" s="129">
        <v>1</v>
      </c>
      <c r="BW320" s="130" t="s">
        <v>1102</v>
      </c>
      <c r="BX320"/>
    </row>
    <row r="321" spans="1:76" ht="12.75">
      <c r="A321" s="153"/>
      <c r="B321" s="146">
        <f t="shared" ca="1" si="39"/>
        <v>45870</v>
      </c>
      <c r="C321" s="141">
        <v>7.3580961731128006E-2</v>
      </c>
      <c r="D321" s="141">
        <v>0.6</v>
      </c>
      <c r="E321" s="141">
        <v>0.6</v>
      </c>
      <c r="F321" s="141">
        <v>0.14349999999999999</v>
      </c>
      <c r="G321" s="141">
        <v>0.151</v>
      </c>
      <c r="H321" s="141">
        <v>0.1585</v>
      </c>
      <c r="I321" s="142"/>
      <c r="K321" s="157"/>
      <c r="L321" s="141">
        <v>0</v>
      </c>
      <c r="M321" s="141">
        <v>0.25750000000000001</v>
      </c>
      <c r="BP321" s="131">
        <f t="shared" si="36"/>
        <v>320</v>
      </c>
      <c r="BQ321" s="185" t="s">
        <v>504</v>
      </c>
      <c r="BR321" s="130" t="s">
        <v>178</v>
      </c>
      <c r="BS321" s="129" t="s">
        <v>179</v>
      </c>
      <c r="BT321" s="135" t="s">
        <v>180</v>
      </c>
      <c r="BU321" s="135"/>
      <c r="BV321" s="129">
        <v>1</v>
      </c>
      <c r="BW321" s="130" t="s">
        <v>1103</v>
      </c>
      <c r="BX321"/>
    </row>
    <row r="322" spans="1:76" ht="12.75">
      <c r="A322" s="153"/>
      <c r="B322" s="146">
        <f t="shared" ca="1" si="39"/>
        <v>45901</v>
      </c>
      <c r="C322" s="141">
        <v>7.3571726436746004E-2</v>
      </c>
      <c r="D322" s="141">
        <v>0.6</v>
      </c>
      <c r="E322" s="141">
        <v>0.6</v>
      </c>
      <c r="I322" s="142"/>
      <c r="K322" s="157"/>
      <c r="L322" s="141">
        <v>0</v>
      </c>
      <c r="M322" s="141">
        <v>0.2525</v>
      </c>
      <c r="BP322" s="131">
        <f t="shared" ref="BP322:BP385" si="40">BP321+BV322</f>
        <v>321</v>
      </c>
      <c r="BQ322" s="185" t="s">
        <v>505</v>
      </c>
      <c r="BR322" s="130" t="s">
        <v>178</v>
      </c>
      <c r="BS322" s="129" t="s">
        <v>179</v>
      </c>
      <c r="BT322" s="135" t="s">
        <v>180</v>
      </c>
      <c r="BU322" s="135"/>
      <c r="BV322" s="129">
        <v>1</v>
      </c>
      <c r="BW322" s="130" t="s">
        <v>1104</v>
      </c>
      <c r="BX322"/>
    </row>
    <row r="323" spans="1:76" ht="12.75">
      <c r="A323" s="153"/>
      <c r="B323" s="146">
        <f t="shared" ca="1" si="39"/>
        <v>45931</v>
      </c>
      <c r="C323" s="141">
        <v>7.3562789055113001E-2</v>
      </c>
      <c r="D323" s="141">
        <v>0.65</v>
      </c>
      <c r="E323" s="141">
        <v>0.65</v>
      </c>
      <c r="I323" s="142"/>
      <c r="K323" s="157"/>
      <c r="L323" s="141">
        <v>0</v>
      </c>
      <c r="M323" s="141">
        <v>0.255</v>
      </c>
      <c r="BP323" s="131">
        <f t="shared" si="40"/>
        <v>322</v>
      </c>
      <c r="BQ323" s="185" t="s">
        <v>506</v>
      </c>
      <c r="BR323" s="130" t="s">
        <v>178</v>
      </c>
      <c r="BS323" s="129" t="s">
        <v>179</v>
      </c>
      <c r="BT323" s="135" t="s">
        <v>180</v>
      </c>
      <c r="BU323" s="135"/>
      <c r="BV323" s="129">
        <v>1</v>
      </c>
      <c r="BW323" s="130" t="s">
        <v>1105</v>
      </c>
      <c r="BX323"/>
    </row>
    <row r="324" spans="1:76" ht="12.75">
      <c r="A324" s="153"/>
      <c r="B324" s="146">
        <f t="shared" ca="1" si="39"/>
        <v>45962</v>
      </c>
      <c r="C324" s="141">
        <v>7.3553553760786997E-2</v>
      </c>
      <c r="D324" s="141">
        <v>0.95</v>
      </c>
      <c r="E324" s="141">
        <v>0.95</v>
      </c>
      <c r="I324" s="142"/>
      <c r="K324" s="157"/>
      <c r="L324" s="141">
        <v>0</v>
      </c>
      <c r="M324" s="141">
        <v>0.71499999999999997</v>
      </c>
      <c r="BP324" s="131">
        <f t="shared" si="40"/>
        <v>323</v>
      </c>
      <c r="BQ324" s="185" t="s">
        <v>507</v>
      </c>
      <c r="BR324" s="130" t="s">
        <v>178</v>
      </c>
      <c r="BS324" s="129" t="s">
        <v>179</v>
      </c>
      <c r="BT324" s="135" t="s">
        <v>180</v>
      </c>
      <c r="BU324" s="135"/>
      <c r="BV324" s="129">
        <v>1</v>
      </c>
      <c r="BW324" s="130" t="s">
        <v>1106</v>
      </c>
      <c r="BX324"/>
    </row>
    <row r="325" spans="1:76" ht="12.75">
      <c r="A325" s="153"/>
      <c r="B325" s="146">
        <f t="shared" ca="1" si="39"/>
        <v>45992</v>
      </c>
      <c r="C325" s="141">
        <v>7.3544616379208005E-2</v>
      </c>
      <c r="D325" s="141">
        <v>1.25</v>
      </c>
      <c r="E325" s="141">
        <v>1.25</v>
      </c>
      <c r="I325" s="142"/>
      <c r="K325" s="157"/>
      <c r="L325" s="141">
        <v>0</v>
      </c>
      <c r="M325" s="141">
        <v>1.03</v>
      </c>
      <c r="BP325" s="131">
        <f t="shared" si="40"/>
        <v>324</v>
      </c>
      <c r="BQ325" s="185" t="s">
        <v>508</v>
      </c>
      <c r="BR325" s="130" t="s">
        <v>178</v>
      </c>
      <c r="BS325" s="129" t="s">
        <v>179</v>
      </c>
      <c r="BT325" s="135" t="s">
        <v>180</v>
      </c>
      <c r="BU325" s="135"/>
      <c r="BV325" s="129">
        <v>1</v>
      </c>
      <c r="BW325" s="130" t="s">
        <v>1107</v>
      </c>
      <c r="BX325"/>
    </row>
    <row r="326" spans="1:76" ht="12.75">
      <c r="A326" s="153"/>
      <c r="B326" s="146">
        <f t="shared" ca="1" si="39"/>
        <v>46023</v>
      </c>
      <c r="C326" s="141">
        <v>7.3535381084936999E-2</v>
      </c>
      <c r="D326" s="141">
        <v>1.45</v>
      </c>
      <c r="E326" s="141">
        <v>1.45</v>
      </c>
      <c r="I326" s="142"/>
      <c r="K326" s="157"/>
      <c r="L326" s="141">
        <v>0</v>
      </c>
      <c r="M326" s="141">
        <v>1.4950000000000001</v>
      </c>
      <c r="BP326" s="131">
        <f t="shared" si="40"/>
        <v>325</v>
      </c>
      <c r="BQ326" s="185" t="s">
        <v>509</v>
      </c>
      <c r="BR326" s="130" t="s">
        <v>178</v>
      </c>
      <c r="BS326" s="129" t="s">
        <v>179</v>
      </c>
      <c r="BT326" s="135" t="s">
        <v>180</v>
      </c>
      <c r="BU326" s="135"/>
      <c r="BV326" s="129">
        <v>1</v>
      </c>
      <c r="BW326" s="130" t="s">
        <v>1108</v>
      </c>
      <c r="BX326"/>
    </row>
    <row r="327" spans="1:76" ht="12.75">
      <c r="A327" s="153"/>
      <c r="B327" s="146">
        <f t="shared" ca="1" si="39"/>
        <v>46054</v>
      </c>
      <c r="C327" s="141">
        <v>7.3526145790693997E-2</v>
      </c>
      <c r="D327" s="141">
        <v>1.45</v>
      </c>
      <c r="E327" s="141">
        <v>1.45</v>
      </c>
      <c r="I327" s="142"/>
      <c r="K327" s="157"/>
      <c r="L327" s="141">
        <v>0</v>
      </c>
      <c r="M327" s="141">
        <v>1.395</v>
      </c>
      <c r="BP327" s="131">
        <f t="shared" si="40"/>
        <v>326</v>
      </c>
      <c r="BQ327" s="185" t="s">
        <v>510</v>
      </c>
      <c r="BR327" s="130" t="s">
        <v>178</v>
      </c>
      <c r="BS327" s="129" t="s">
        <v>179</v>
      </c>
      <c r="BT327" s="135" t="s">
        <v>180</v>
      </c>
      <c r="BU327" s="135"/>
      <c r="BV327" s="129">
        <v>1</v>
      </c>
      <c r="BW327" s="130" t="s">
        <v>1109</v>
      </c>
      <c r="BX327"/>
    </row>
    <row r="328" spans="1:76" ht="12.75">
      <c r="A328" s="153"/>
      <c r="B328" s="146">
        <f t="shared" ca="1" si="39"/>
        <v>46082</v>
      </c>
      <c r="C328" s="141">
        <v>7.3517804234629003E-2</v>
      </c>
      <c r="D328" s="141">
        <v>1</v>
      </c>
      <c r="E328" s="141">
        <v>1</v>
      </c>
      <c r="I328" s="142"/>
      <c r="K328" s="157"/>
      <c r="L328" s="141">
        <v>0</v>
      </c>
      <c r="M328" s="141">
        <v>0.86499999999999999</v>
      </c>
      <c r="BP328" s="131">
        <f t="shared" si="40"/>
        <v>327</v>
      </c>
      <c r="BQ328" s="185" t="s">
        <v>511</v>
      </c>
      <c r="BR328" s="130" t="s">
        <v>178</v>
      </c>
      <c r="BS328" s="129" t="s">
        <v>179</v>
      </c>
      <c r="BT328" s="135" t="s">
        <v>180</v>
      </c>
      <c r="BU328" s="135"/>
      <c r="BV328" s="129">
        <v>1</v>
      </c>
      <c r="BW328" s="130" t="s">
        <v>1110</v>
      </c>
      <c r="BX328"/>
    </row>
    <row r="329" spans="1:76" ht="12.75">
      <c r="A329" s="153"/>
      <c r="B329" s="146">
        <f t="shared" ca="1" si="39"/>
        <v>46113</v>
      </c>
      <c r="C329" s="141">
        <v>7.3508568940439001E-2</v>
      </c>
      <c r="D329" s="141">
        <v>0.45</v>
      </c>
      <c r="E329" s="141">
        <v>0.45</v>
      </c>
      <c r="I329" s="142"/>
      <c r="K329" s="157"/>
      <c r="L329" s="141">
        <v>0</v>
      </c>
      <c r="M329" s="141">
        <v>0.37</v>
      </c>
      <c r="BP329" s="131">
        <f t="shared" si="40"/>
        <v>328</v>
      </c>
      <c r="BQ329" s="185" t="s">
        <v>512</v>
      </c>
      <c r="BR329" s="130" t="s">
        <v>178</v>
      </c>
      <c r="BS329" s="129" t="s">
        <v>179</v>
      </c>
      <c r="BT329" s="135" t="s">
        <v>180</v>
      </c>
      <c r="BU329" s="135"/>
      <c r="BV329" s="129">
        <v>1</v>
      </c>
      <c r="BW329" s="130" t="s">
        <v>1111</v>
      </c>
      <c r="BX329"/>
    </row>
    <row r="330" spans="1:76" ht="12.75">
      <c r="A330" s="153"/>
      <c r="B330" s="146">
        <f t="shared" ca="1" si="39"/>
        <v>46143</v>
      </c>
      <c r="C330" s="141">
        <v>7.3499631559000009E-2</v>
      </c>
      <c r="D330" s="141">
        <v>0.5</v>
      </c>
      <c r="E330" s="141">
        <v>0.5</v>
      </c>
      <c r="I330" s="142"/>
      <c r="K330" s="157"/>
      <c r="L330" s="141">
        <v>0</v>
      </c>
      <c r="M330" s="141">
        <v>0.2525</v>
      </c>
      <c r="BP330" s="131">
        <f t="shared" si="40"/>
        <v>329</v>
      </c>
      <c r="BQ330" s="185" t="s">
        <v>513</v>
      </c>
      <c r="BR330" s="130" t="s">
        <v>178</v>
      </c>
      <c r="BS330" s="129" t="s">
        <v>179</v>
      </c>
      <c r="BT330" s="135" t="s">
        <v>180</v>
      </c>
      <c r="BU330" s="135"/>
      <c r="BV330" s="129">
        <v>1</v>
      </c>
      <c r="BW330" s="130" t="s">
        <v>1112</v>
      </c>
      <c r="BX330"/>
    </row>
    <row r="331" spans="1:76" ht="12.75">
      <c r="A331" s="153"/>
      <c r="B331" s="146">
        <f t="shared" ca="1" si="39"/>
        <v>46174</v>
      </c>
      <c r="C331" s="141">
        <v>7.3490396264858995E-2</v>
      </c>
      <c r="D331" s="141">
        <v>0.5</v>
      </c>
      <c r="E331" s="141">
        <v>0.5</v>
      </c>
      <c r="I331" s="142"/>
      <c r="K331" s="157"/>
      <c r="L331" s="141">
        <v>0</v>
      </c>
      <c r="M331" s="141">
        <v>0.2525</v>
      </c>
      <c r="BP331" s="131">
        <f t="shared" si="40"/>
        <v>330</v>
      </c>
      <c r="BQ331" s="185" t="s">
        <v>514</v>
      </c>
      <c r="BR331" s="130" t="s">
        <v>178</v>
      </c>
      <c r="BS331" s="129" t="s">
        <v>179</v>
      </c>
      <c r="BT331" s="135" t="s">
        <v>180</v>
      </c>
      <c r="BU331" s="135"/>
      <c r="BV331" s="129">
        <v>1</v>
      </c>
      <c r="BW331" s="130" t="s">
        <v>1113</v>
      </c>
      <c r="BX331"/>
    </row>
    <row r="332" spans="1:76" ht="12.75">
      <c r="A332" s="153"/>
      <c r="B332" s="146">
        <f t="shared" ca="1" si="39"/>
        <v>46204</v>
      </c>
      <c r="C332" s="141">
        <v>7.3481458883466008E-2</v>
      </c>
      <c r="D332" s="141">
        <v>0.5</v>
      </c>
      <c r="E332" s="141">
        <v>0.5</v>
      </c>
      <c r="I332" s="142"/>
      <c r="K332" s="157"/>
      <c r="L332" s="141">
        <v>0</v>
      </c>
      <c r="M332" s="141">
        <v>0.25750000000000001</v>
      </c>
      <c r="BP332" s="131">
        <f t="shared" si="40"/>
        <v>331</v>
      </c>
      <c r="BQ332" s="185" t="s">
        <v>515</v>
      </c>
      <c r="BR332" s="130" t="s">
        <v>178</v>
      </c>
      <c r="BS332" s="129" t="s">
        <v>179</v>
      </c>
      <c r="BT332" s="135" t="s">
        <v>180</v>
      </c>
      <c r="BU332" s="135"/>
      <c r="BV332" s="129">
        <v>1</v>
      </c>
      <c r="BW332" s="130" t="s">
        <v>1114</v>
      </c>
      <c r="BX332"/>
    </row>
    <row r="333" spans="1:76" ht="12.75">
      <c r="A333" s="153"/>
      <c r="B333" s="146">
        <f t="shared" ca="1" si="39"/>
        <v>46235</v>
      </c>
      <c r="C333" s="141">
        <v>7.3472223589388E-2</v>
      </c>
      <c r="D333" s="141">
        <v>0.6</v>
      </c>
      <c r="E333" s="141">
        <v>0.6</v>
      </c>
      <c r="I333" s="142"/>
      <c r="K333" s="157"/>
      <c r="L333" s="141">
        <v>0</v>
      </c>
      <c r="M333" s="141">
        <v>0.25750000000000001</v>
      </c>
      <c r="BP333" s="131">
        <f t="shared" si="40"/>
        <v>332</v>
      </c>
      <c r="BQ333" s="185" t="s">
        <v>516</v>
      </c>
      <c r="BR333" s="130" t="s">
        <v>178</v>
      </c>
      <c r="BS333" s="129" t="s">
        <v>179</v>
      </c>
      <c r="BT333" s="135" t="s">
        <v>180</v>
      </c>
      <c r="BU333" s="135"/>
      <c r="BV333" s="129">
        <v>1</v>
      </c>
      <c r="BW333" s="130" t="s">
        <v>1115</v>
      </c>
      <c r="BX333"/>
    </row>
    <row r="334" spans="1:76" ht="12.75">
      <c r="A334" s="153"/>
      <c r="B334" s="146">
        <f t="shared" ca="1" si="39"/>
        <v>46266</v>
      </c>
      <c r="C334" s="141">
        <v>7.3462988295337997E-2</v>
      </c>
      <c r="D334" s="141">
        <v>0.6</v>
      </c>
      <c r="E334" s="141">
        <v>0.6</v>
      </c>
      <c r="I334" s="142"/>
      <c r="K334" s="157"/>
      <c r="L334" s="141">
        <v>0</v>
      </c>
      <c r="M334" s="141">
        <v>0.2525</v>
      </c>
      <c r="BP334" s="131">
        <f t="shared" si="40"/>
        <v>333</v>
      </c>
      <c r="BQ334" s="185" t="s">
        <v>517</v>
      </c>
      <c r="BR334" s="130" t="s">
        <v>178</v>
      </c>
      <c r="BS334" s="129" t="s">
        <v>179</v>
      </c>
      <c r="BT334" s="135" t="s">
        <v>180</v>
      </c>
      <c r="BU334" s="135"/>
      <c r="BV334" s="129">
        <v>1</v>
      </c>
      <c r="BW334" s="130" t="s">
        <v>1116</v>
      </c>
      <c r="BX334"/>
    </row>
    <row r="335" spans="1:76" ht="12.75">
      <c r="A335" s="153"/>
      <c r="B335" s="146">
        <f t="shared" ca="1" si="39"/>
        <v>46296</v>
      </c>
      <c r="C335" s="141">
        <v>7.3454050914026001E-2</v>
      </c>
      <c r="D335" s="141">
        <v>0.65</v>
      </c>
      <c r="E335" s="141">
        <v>0.65</v>
      </c>
      <c r="I335" s="142"/>
      <c r="K335" s="157"/>
      <c r="L335" s="141">
        <v>0</v>
      </c>
      <c r="M335" s="141">
        <v>0.255</v>
      </c>
      <c r="BP335" s="131">
        <f t="shared" si="40"/>
        <v>334</v>
      </c>
      <c r="BQ335" s="185" t="s">
        <v>518</v>
      </c>
      <c r="BR335" s="130" t="s">
        <v>178</v>
      </c>
      <c r="BS335" s="129" t="s">
        <v>179</v>
      </c>
      <c r="BT335" s="135" t="s">
        <v>180</v>
      </c>
      <c r="BU335" s="135"/>
      <c r="BV335" s="129">
        <v>1</v>
      </c>
      <c r="BW335" s="130" t="s">
        <v>1117</v>
      </c>
      <c r="BX335"/>
    </row>
    <row r="336" spans="1:76" ht="12.75">
      <c r="A336" s="153"/>
      <c r="B336" s="146">
        <f t="shared" ca="1" si="39"/>
        <v>46327</v>
      </c>
      <c r="C336" s="141">
        <v>7.3444815620030995E-2</v>
      </c>
      <c r="D336" s="141">
        <v>0.95</v>
      </c>
      <c r="E336" s="141">
        <v>0.95</v>
      </c>
      <c r="I336" s="142"/>
      <c r="K336" s="157"/>
      <c r="L336" s="141">
        <v>0</v>
      </c>
      <c r="M336" s="141">
        <v>0.71499999999999997</v>
      </c>
      <c r="BP336" s="131">
        <f t="shared" si="40"/>
        <v>335</v>
      </c>
      <c r="BQ336" s="185" t="s">
        <v>519</v>
      </c>
      <c r="BR336" s="130" t="s">
        <v>178</v>
      </c>
      <c r="BS336" s="129" t="s">
        <v>179</v>
      </c>
      <c r="BT336" s="135" t="s">
        <v>180</v>
      </c>
      <c r="BU336" s="135"/>
      <c r="BV336" s="129">
        <v>1</v>
      </c>
      <c r="BW336" s="130" t="s">
        <v>1118</v>
      </c>
      <c r="BX336"/>
    </row>
    <row r="337" spans="1:76" ht="12.75">
      <c r="A337" s="153"/>
      <c r="B337" s="146">
        <f t="shared" ca="1" si="39"/>
        <v>46357</v>
      </c>
      <c r="C337" s="141">
        <v>7.3435878238772997E-2</v>
      </c>
      <c r="D337" s="141">
        <v>1.25</v>
      </c>
      <c r="E337" s="141">
        <v>1.25</v>
      </c>
      <c r="I337" s="142"/>
      <c r="K337" s="157"/>
      <c r="L337" s="141">
        <v>0</v>
      </c>
      <c r="M337" s="141">
        <v>1.03</v>
      </c>
      <c r="BP337" s="131">
        <f t="shared" si="40"/>
        <v>336</v>
      </c>
      <c r="BQ337" s="185" t="s">
        <v>520</v>
      </c>
      <c r="BR337" s="130" t="s">
        <v>178</v>
      </c>
      <c r="BS337" s="129" t="s">
        <v>179</v>
      </c>
      <c r="BT337" s="135" t="s">
        <v>180</v>
      </c>
      <c r="BU337" s="135"/>
      <c r="BV337" s="129">
        <v>1</v>
      </c>
      <c r="BW337" s="130" t="s">
        <v>1119</v>
      </c>
      <c r="BX337"/>
    </row>
    <row r="338" spans="1:76" ht="12.75">
      <c r="A338" s="153"/>
      <c r="B338" s="146">
        <f t="shared" ref="B338:B377" ca="1" si="41">NextMonth(B337)</f>
        <v>46388</v>
      </c>
      <c r="C338" s="141">
        <v>7.3426642944833004E-2</v>
      </c>
      <c r="D338" s="141">
        <v>1.45</v>
      </c>
      <c r="E338" s="141">
        <v>1.45</v>
      </c>
      <c r="I338" s="142"/>
      <c r="K338" s="157"/>
      <c r="L338" s="141">
        <v>0</v>
      </c>
      <c r="M338" s="141">
        <v>1.4950000000000001</v>
      </c>
      <c r="BP338" s="131">
        <f t="shared" si="40"/>
        <v>337</v>
      </c>
      <c r="BQ338" s="185" t="s">
        <v>521</v>
      </c>
      <c r="BR338" s="130" t="s">
        <v>178</v>
      </c>
      <c r="BS338" s="129" t="s">
        <v>179</v>
      </c>
      <c r="BT338" s="135" t="s">
        <v>180</v>
      </c>
      <c r="BU338" s="135"/>
      <c r="BV338" s="129">
        <v>1</v>
      </c>
      <c r="BW338" s="130" t="s">
        <v>1120</v>
      </c>
      <c r="BX338"/>
    </row>
    <row r="339" spans="1:76" ht="12.75">
      <c r="A339" s="153"/>
      <c r="B339" s="146">
        <f t="shared" ca="1" si="41"/>
        <v>46419</v>
      </c>
      <c r="C339" s="141">
        <v>7.3417407650922001E-2</v>
      </c>
      <c r="D339" s="141">
        <v>1.45</v>
      </c>
      <c r="E339" s="141">
        <v>1.45</v>
      </c>
      <c r="I339" s="142"/>
      <c r="K339" s="157"/>
      <c r="L339" s="141">
        <v>0</v>
      </c>
      <c r="M339" s="141">
        <v>1.395</v>
      </c>
      <c r="BP339" s="131">
        <f t="shared" si="40"/>
        <v>338</v>
      </c>
      <c r="BQ339" s="185" t="s">
        <v>522</v>
      </c>
      <c r="BR339" s="130" t="s">
        <v>178</v>
      </c>
      <c r="BS339" s="129" t="s">
        <v>179</v>
      </c>
      <c r="BT339" s="135" t="s">
        <v>180</v>
      </c>
      <c r="BU339" s="135"/>
      <c r="BV339" s="129">
        <v>1</v>
      </c>
      <c r="BW339" s="130" t="s">
        <v>1121</v>
      </c>
      <c r="BX339"/>
    </row>
    <row r="340" spans="1:76" ht="12.75">
      <c r="A340" s="153"/>
      <c r="B340" s="146">
        <f t="shared" ca="1" si="41"/>
        <v>46447</v>
      </c>
      <c r="C340" s="141">
        <v>7.3409066095156003E-2</v>
      </c>
      <c r="D340" s="141">
        <v>1</v>
      </c>
      <c r="E340" s="141">
        <v>1</v>
      </c>
      <c r="I340" s="142"/>
      <c r="K340" s="157"/>
      <c r="L340" s="141">
        <v>0</v>
      </c>
      <c r="M340" s="141">
        <v>0.86499999999999999</v>
      </c>
      <c r="BP340" s="131">
        <f t="shared" si="40"/>
        <v>339</v>
      </c>
      <c r="BQ340" s="185" t="s">
        <v>523</v>
      </c>
      <c r="BR340" s="130" t="s">
        <v>178</v>
      </c>
      <c r="BS340" s="129" t="s">
        <v>179</v>
      </c>
      <c r="BT340" s="135" t="s">
        <v>180</v>
      </c>
      <c r="BU340" s="135"/>
      <c r="BV340" s="129">
        <v>1</v>
      </c>
      <c r="BW340" s="130" t="s">
        <v>1122</v>
      </c>
      <c r="BX340"/>
    </row>
    <row r="341" spans="1:76" ht="12.75">
      <c r="A341" s="153"/>
      <c r="B341" s="146">
        <f t="shared" ca="1" si="41"/>
        <v>46478</v>
      </c>
      <c r="C341" s="141">
        <v>7.3399830801297999E-2</v>
      </c>
      <c r="D341" s="141">
        <v>0.45</v>
      </c>
      <c r="E341" s="141">
        <v>0.45</v>
      </c>
      <c r="I341" s="142"/>
      <c r="K341" s="157"/>
      <c r="L341" s="141">
        <v>0</v>
      </c>
      <c r="M341" s="141">
        <v>0.37</v>
      </c>
      <c r="BP341" s="131">
        <f t="shared" si="40"/>
        <v>340</v>
      </c>
      <c r="BQ341" s="185" t="s">
        <v>524</v>
      </c>
      <c r="BR341" s="130" t="s">
        <v>178</v>
      </c>
      <c r="BS341" s="129" t="s">
        <v>179</v>
      </c>
      <c r="BT341" s="135" t="s">
        <v>180</v>
      </c>
      <c r="BU341" s="135"/>
      <c r="BV341" s="129">
        <v>1</v>
      </c>
      <c r="BW341" s="130" t="s">
        <v>1123</v>
      </c>
      <c r="BX341"/>
    </row>
    <row r="342" spans="1:76" ht="12.75">
      <c r="A342" s="153"/>
      <c r="B342" s="146">
        <f t="shared" ca="1" si="41"/>
        <v>46508</v>
      </c>
      <c r="C342" s="141">
        <v>7.3390893420172007E-2</v>
      </c>
      <c r="D342" s="141">
        <v>0.5</v>
      </c>
      <c r="E342" s="141">
        <v>0.5</v>
      </c>
      <c r="I342" s="142"/>
      <c r="K342" s="157"/>
      <c r="L342" s="141">
        <v>0</v>
      </c>
      <c r="M342" s="141">
        <v>0.2525</v>
      </c>
      <c r="BP342" s="131">
        <f t="shared" si="40"/>
        <v>341</v>
      </c>
      <c r="BQ342" s="185" t="s">
        <v>525</v>
      </c>
      <c r="BR342" s="130" t="s">
        <v>178</v>
      </c>
      <c r="BS342" s="129" t="s">
        <v>179</v>
      </c>
      <c r="BT342" s="135" t="s">
        <v>180</v>
      </c>
      <c r="BU342" s="135"/>
      <c r="BV342" s="129">
        <v>1</v>
      </c>
      <c r="BW342" s="130" t="s">
        <v>1124</v>
      </c>
      <c r="BX342"/>
    </row>
    <row r="343" spans="1:76" ht="12.75">
      <c r="A343" s="153"/>
      <c r="B343" s="146">
        <f t="shared" ca="1" si="41"/>
        <v>46539</v>
      </c>
      <c r="C343" s="141">
        <v>7.338165812637E-2</v>
      </c>
      <c r="D343" s="141">
        <v>0.5</v>
      </c>
      <c r="E343" s="141">
        <v>0.5</v>
      </c>
      <c r="I343" s="142"/>
      <c r="K343" s="157"/>
      <c r="L343" s="141">
        <v>0</v>
      </c>
      <c r="M343" s="141">
        <v>0.2525</v>
      </c>
      <c r="BP343" s="131">
        <f t="shared" si="40"/>
        <v>342</v>
      </c>
      <c r="BQ343" s="185" t="s">
        <v>526</v>
      </c>
      <c r="BR343" s="130" t="s">
        <v>178</v>
      </c>
      <c r="BS343" s="129" t="s">
        <v>179</v>
      </c>
      <c r="BT343" s="135" t="s">
        <v>180</v>
      </c>
      <c r="BU343" s="135"/>
      <c r="BV343" s="129">
        <v>1</v>
      </c>
      <c r="BW343" s="130" t="s">
        <v>1125</v>
      </c>
      <c r="BX343"/>
    </row>
    <row r="344" spans="1:76" ht="12.75">
      <c r="A344" s="153"/>
      <c r="B344" s="146">
        <f t="shared" ca="1" si="41"/>
        <v>46569</v>
      </c>
      <c r="C344" s="141">
        <v>7.3372720745298006E-2</v>
      </c>
      <c r="D344" s="141">
        <v>0.5</v>
      </c>
      <c r="E344" s="141">
        <v>0.5</v>
      </c>
      <c r="I344" s="142"/>
      <c r="K344" s="157"/>
      <c r="L344" s="141">
        <v>0</v>
      </c>
      <c r="M344" s="141">
        <v>0.25750000000000001</v>
      </c>
      <c r="BP344" s="131">
        <f t="shared" si="40"/>
        <v>343</v>
      </c>
      <c r="BQ344" s="185" t="s">
        <v>527</v>
      </c>
      <c r="BR344" s="130" t="s">
        <v>178</v>
      </c>
      <c r="BS344" s="129" t="s">
        <v>179</v>
      </c>
      <c r="BT344" s="135" t="s">
        <v>180</v>
      </c>
      <c r="BU344" s="135"/>
      <c r="BV344" s="129">
        <v>1</v>
      </c>
      <c r="BW344" s="130" t="s">
        <v>1126</v>
      </c>
      <c r="BX344"/>
    </row>
    <row r="345" spans="1:76" ht="12.75">
      <c r="A345" s="153"/>
      <c r="B345" s="146">
        <f t="shared" ca="1" si="41"/>
        <v>46600</v>
      </c>
      <c r="C345" s="141">
        <v>7.3363485451550997E-2</v>
      </c>
      <c r="D345" s="141">
        <v>0.6</v>
      </c>
      <c r="E345" s="141">
        <v>0.6</v>
      </c>
      <c r="I345" s="142"/>
      <c r="K345" s="157"/>
      <c r="L345" s="141">
        <v>0</v>
      </c>
      <c r="M345" s="141">
        <v>0.25750000000000001</v>
      </c>
      <c r="BP345" s="131">
        <f t="shared" si="40"/>
        <v>344</v>
      </c>
      <c r="BQ345" s="185" t="s">
        <v>528</v>
      </c>
      <c r="BR345" s="130" t="s">
        <v>178</v>
      </c>
      <c r="BS345" s="129" t="s">
        <v>179</v>
      </c>
      <c r="BT345" s="135" t="s">
        <v>180</v>
      </c>
      <c r="BU345" s="135"/>
      <c r="BV345" s="129">
        <v>1</v>
      </c>
      <c r="BW345" s="130" t="s">
        <v>1127</v>
      </c>
      <c r="BX345"/>
    </row>
    <row r="346" spans="1:76" ht="12.75">
      <c r="A346" s="153"/>
      <c r="B346" s="146">
        <f t="shared" ca="1" si="41"/>
        <v>46631</v>
      </c>
      <c r="C346" s="141">
        <v>7.3354250157833006E-2</v>
      </c>
      <c r="D346" s="141">
        <v>0.6</v>
      </c>
      <c r="E346" s="141">
        <v>0.6</v>
      </c>
      <c r="I346" s="142"/>
      <c r="K346" s="157"/>
      <c r="L346" s="141">
        <v>0</v>
      </c>
      <c r="M346" s="141">
        <v>0.2525</v>
      </c>
      <c r="BP346" s="131">
        <f t="shared" si="40"/>
        <v>345</v>
      </c>
      <c r="BQ346" s="185" t="s">
        <v>529</v>
      </c>
      <c r="BR346" s="130" t="s">
        <v>178</v>
      </c>
      <c r="BS346" s="129" t="s">
        <v>179</v>
      </c>
      <c r="BT346" s="135" t="s">
        <v>180</v>
      </c>
      <c r="BU346" s="135"/>
      <c r="BV346" s="129">
        <v>1</v>
      </c>
      <c r="BW346" s="130" t="s">
        <v>1128</v>
      </c>
      <c r="BX346"/>
    </row>
    <row r="347" spans="1:76" ht="12.75">
      <c r="A347" s="153"/>
      <c r="B347" s="146">
        <f t="shared" ca="1" si="41"/>
        <v>46661</v>
      </c>
      <c r="C347" s="141">
        <v>7.3345312776841004E-2</v>
      </c>
      <c r="D347" s="141">
        <v>0.65</v>
      </c>
      <c r="E347" s="141">
        <v>0.65</v>
      </c>
      <c r="I347" s="142"/>
      <c r="K347" s="157"/>
      <c r="L347" s="141">
        <v>0</v>
      </c>
      <c r="M347" s="141">
        <v>0.255</v>
      </c>
      <c r="BP347" s="131">
        <f t="shared" si="40"/>
        <v>346</v>
      </c>
      <c r="BQ347" s="185" t="s">
        <v>530</v>
      </c>
      <c r="BR347" s="130" t="s">
        <v>178</v>
      </c>
      <c r="BS347" s="129" t="s">
        <v>179</v>
      </c>
      <c r="BT347" s="135" t="s">
        <v>180</v>
      </c>
      <c r="BU347" s="135"/>
      <c r="BV347" s="129">
        <v>1</v>
      </c>
      <c r="BW347" s="130" t="s">
        <v>1129</v>
      </c>
      <c r="BX347"/>
    </row>
    <row r="348" spans="1:76" ht="12.75">
      <c r="A348" s="153"/>
      <c r="B348" s="146">
        <f t="shared" ca="1" si="41"/>
        <v>46692</v>
      </c>
      <c r="C348" s="141">
        <v>7.3336077483177997E-2</v>
      </c>
      <c r="D348" s="141">
        <v>0.95</v>
      </c>
      <c r="E348" s="141">
        <v>0.95</v>
      </c>
      <c r="I348" s="142"/>
      <c r="K348" s="157"/>
      <c r="L348" s="141">
        <v>0</v>
      </c>
      <c r="M348" s="141">
        <v>0.71499999999999997</v>
      </c>
      <c r="BP348" s="131">
        <f t="shared" si="40"/>
        <v>347</v>
      </c>
      <c r="BQ348" s="185" t="s">
        <v>531</v>
      </c>
      <c r="BR348" s="130" t="s">
        <v>178</v>
      </c>
      <c r="BS348" s="129" t="s">
        <v>179</v>
      </c>
      <c r="BT348" s="135" t="s">
        <v>180</v>
      </c>
      <c r="BU348" s="135"/>
      <c r="BV348" s="129">
        <v>1</v>
      </c>
      <c r="BW348" s="130" t="s">
        <v>1130</v>
      </c>
      <c r="BX348"/>
    </row>
    <row r="349" spans="1:76" ht="12.75">
      <c r="A349" s="153"/>
      <c r="B349" s="146">
        <f t="shared" ca="1" si="41"/>
        <v>46722</v>
      </c>
      <c r="C349" s="141">
        <v>7.3327140102239993E-2</v>
      </c>
      <c r="D349" s="141">
        <v>1.25</v>
      </c>
      <c r="E349" s="141">
        <v>1.25</v>
      </c>
      <c r="I349" s="142"/>
      <c r="K349" s="157"/>
      <c r="L349" s="141">
        <v>0</v>
      </c>
      <c r="M349" s="141">
        <v>1.03</v>
      </c>
      <c r="BP349" s="131">
        <f t="shared" si="40"/>
        <v>348</v>
      </c>
      <c r="BQ349" s="185" t="s">
        <v>532</v>
      </c>
      <c r="BR349" s="130" t="s">
        <v>178</v>
      </c>
      <c r="BS349" s="129" t="s">
        <v>179</v>
      </c>
      <c r="BT349" s="135" t="s">
        <v>180</v>
      </c>
      <c r="BU349" s="135"/>
      <c r="BV349" s="129">
        <v>1</v>
      </c>
      <c r="BW349" s="130" t="s">
        <v>1131</v>
      </c>
      <c r="BX349"/>
    </row>
    <row r="350" spans="1:76" ht="12.75">
      <c r="A350" s="153"/>
      <c r="B350" s="146">
        <f t="shared" ca="1" si="41"/>
        <v>46753</v>
      </c>
      <c r="C350" s="141">
        <v>7.3317904808632997E-2</v>
      </c>
      <c r="D350" s="141">
        <v>0.65</v>
      </c>
      <c r="E350" s="141">
        <v>0.65</v>
      </c>
      <c r="I350" s="142"/>
      <c r="K350" s="157"/>
      <c r="L350" s="141">
        <v>0</v>
      </c>
      <c r="M350" s="141">
        <v>1.4950000000000001</v>
      </c>
      <c r="BP350" s="131">
        <f t="shared" si="40"/>
        <v>349</v>
      </c>
      <c r="BQ350" s="185" t="s">
        <v>533</v>
      </c>
      <c r="BR350" s="130" t="s">
        <v>178</v>
      </c>
      <c r="BS350" s="129" t="s">
        <v>179</v>
      </c>
      <c r="BT350" s="135" t="s">
        <v>180</v>
      </c>
      <c r="BU350" s="135"/>
      <c r="BV350" s="129">
        <v>1</v>
      </c>
      <c r="BW350" s="130" t="s">
        <v>1132</v>
      </c>
      <c r="BX350"/>
    </row>
    <row r="351" spans="1:76" ht="12.75">
      <c r="A351" s="153"/>
      <c r="B351" s="146">
        <f t="shared" ca="1" si="41"/>
        <v>46784</v>
      </c>
      <c r="C351" s="141">
        <v>7.3308669515053007E-2</v>
      </c>
      <c r="D351" s="141">
        <v>0.95</v>
      </c>
      <c r="E351" s="141">
        <v>0.95</v>
      </c>
      <c r="I351" s="142"/>
      <c r="K351" s="157"/>
      <c r="L351" s="141">
        <v>0</v>
      </c>
      <c r="M351" s="141">
        <v>1.395</v>
      </c>
      <c r="BP351" s="131">
        <f t="shared" si="40"/>
        <v>350</v>
      </c>
      <c r="BQ351" s="185" t="s">
        <v>534</v>
      </c>
      <c r="BR351" s="130" t="s">
        <v>178</v>
      </c>
      <c r="BS351" s="129" t="s">
        <v>179</v>
      </c>
      <c r="BT351" s="135" t="s">
        <v>180</v>
      </c>
      <c r="BU351" s="135"/>
      <c r="BV351" s="129">
        <v>1</v>
      </c>
      <c r="BW351" s="130" t="s">
        <v>1133</v>
      </c>
      <c r="BX351"/>
    </row>
    <row r="352" spans="1:76" ht="12.75">
      <c r="A352" s="153"/>
      <c r="B352" s="146">
        <f t="shared" ca="1" si="41"/>
        <v>46813</v>
      </c>
      <c r="C352" s="141">
        <v>7.3300030046891007E-2</v>
      </c>
      <c r="D352" s="141">
        <v>1.25</v>
      </c>
      <c r="E352" s="141">
        <v>1.25</v>
      </c>
      <c r="I352" s="142"/>
      <c r="K352" s="157"/>
      <c r="L352" s="141">
        <v>0</v>
      </c>
      <c r="M352" s="141">
        <v>0.86499999999999999</v>
      </c>
      <c r="BP352" s="131">
        <f t="shared" si="40"/>
        <v>351</v>
      </c>
      <c r="BQ352" s="185" t="s">
        <v>535</v>
      </c>
      <c r="BR352" s="130" t="s">
        <v>178</v>
      </c>
      <c r="BS352" s="129" t="s">
        <v>179</v>
      </c>
      <c r="BT352" s="135" t="s">
        <v>180</v>
      </c>
      <c r="BU352" s="135"/>
      <c r="BV352" s="129">
        <v>1</v>
      </c>
      <c r="BW352" s="130" t="s">
        <v>1134</v>
      </c>
      <c r="BX352"/>
    </row>
    <row r="353" spans="1:76" ht="12.75">
      <c r="A353" s="153"/>
      <c r="B353" s="146">
        <f t="shared" ca="1" si="41"/>
        <v>46844</v>
      </c>
      <c r="C353" s="141">
        <v>7.3290794753366001E-2</v>
      </c>
      <c r="D353" s="141">
        <v>1</v>
      </c>
      <c r="I353" s="142"/>
      <c r="K353" s="157"/>
      <c r="L353" s="141">
        <v>0</v>
      </c>
      <c r="M353" s="141">
        <v>0.37</v>
      </c>
      <c r="BP353" s="131">
        <f t="shared" si="40"/>
        <v>352</v>
      </c>
      <c r="BQ353" s="185" t="s">
        <v>536</v>
      </c>
      <c r="BR353" s="130" t="s">
        <v>178</v>
      </c>
      <c r="BS353" s="129" t="s">
        <v>179</v>
      </c>
      <c r="BT353" s="135" t="s">
        <v>180</v>
      </c>
      <c r="BU353" s="135"/>
      <c r="BV353" s="129">
        <v>1</v>
      </c>
      <c r="BW353" s="130" t="s">
        <v>1135</v>
      </c>
      <c r="BX353"/>
    </row>
    <row r="354" spans="1:76" ht="12.75">
      <c r="A354" s="153"/>
      <c r="B354" s="146">
        <f t="shared" ca="1" si="41"/>
        <v>46874</v>
      </c>
      <c r="C354" s="141">
        <v>7.3281857372562001E-2</v>
      </c>
      <c r="I354" s="142"/>
      <c r="K354" s="157"/>
      <c r="L354" s="141">
        <v>0</v>
      </c>
      <c r="M354" s="141">
        <v>0.2525</v>
      </c>
      <c r="BP354" s="131">
        <f t="shared" si="40"/>
        <v>353</v>
      </c>
      <c r="BQ354" s="185" t="s">
        <v>537</v>
      </c>
      <c r="BR354" s="130" t="s">
        <v>178</v>
      </c>
      <c r="BS354" s="129" t="s">
        <v>179</v>
      </c>
      <c r="BT354" s="135" t="s">
        <v>180</v>
      </c>
      <c r="BU354" s="135"/>
      <c r="BV354" s="129">
        <v>1</v>
      </c>
      <c r="BW354" s="130" t="s">
        <v>1136</v>
      </c>
      <c r="BX354"/>
    </row>
    <row r="355" spans="1:76" ht="12.75">
      <c r="A355" s="153"/>
      <c r="B355" s="146">
        <f t="shared" ca="1" si="41"/>
        <v>46905</v>
      </c>
      <c r="C355" s="141">
        <v>7.3272622079092006E-2</v>
      </c>
      <c r="I355" s="142"/>
      <c r="K355" s="157"/>
      <c r="L355" s="141">
        <v>0</v>
      </c>
      <c r="M355" s="141">
        <v>0.2525</v>
      </c>
      <c r="BP355" s="131">
        <f t="shared" si="40"/>
        <v>354</v>
      </c>
      <c r="BQ355" s="185" t="s">
        <v>538</v>
      </c>
      <c r="BR355" s="130" t="s">
        <v>178</v>
      </c>
      <c r="BS355" s="129" t="s">
        <v>179</v>
      </c>
      <c r="BT355" s="135" t="s">
        <v>180</v>
      </c>
      <c r="BU355" s="135"/>
      <c r="BV355" s="129">
        <v>1</v>
      </c>
      <c r="BW355" s="130" t="s">
        <v>1137</v>
      </c>
      <c r="BX355"/>
    </row>
    <row r="356" spans="1:76" ht="12.75">
      <c r="A356" s="153"/>
      <c r="B356" s="146">
        <f t="shared" ca="1" si="41"/>
        <v>46935</v>
      </c>
      <c r="C356" s="141">
        <v>7.3263684698342005E-2</v>
      </c>
      <c r="I356" s="142"/>
      <c r="L356" s="141">
        <v>0</v>
      </c>
      <c r="M356" s="141">
        <v>0.25750000000000001</v>
      </c>
      <c r="BP356" s="131">
        <f t="shared" si="40"/>
        <v>355</v>
      </c>
      <c r="BQ356" s="185" t="s">
        <v>539</v>
      </c>
      <c r="BR356" s="130" t="s">
        <v>178</v>
      </c>
      <c r="BS356" s="129" t="s">
        <v>179</v>
      </c>
      <c r="BT356" s="135" t="s">
        <v>180</v>
      </c>
      <c r="BU356" s="135"/>
      <c r="BV356" s="129">
        <v>1</v>
      </c>
      <c r="BW356" s="130" t="s">
        <v>1138</v>
      </c>
      <c r="BX356"/>
    </row>
    <row r="357" spans="1:76" ht="12.75">
      <c r="A357" s="153"/>
      <c r="B357" s="146">
        <f t="shared" ca="1" si="41"/>
        <v>46966</v>
      </c>
      <c r="C357" s="141">
        <v>7.3254449404927008E-2</v>
      </c>
      <c r="I357" s="142"/>
      <c r="L357" s="141">
        <v>0</v>
      </c>
      <c r="M357" s="141">
        <v>0.25750000000000001</v>
      </c>
      <c r="BP357" s="131">
        <f t="shared" si="40"/>
        <v>356</v>
      </c>
      <c r="BQ357" s="185" t="s">
        <v>540</v>
      </c>
      <c r="BR357" s="130" t="s">
        <v>178</v>
      </c>
      <c r="BS357" s="129" t="s">
        <v>179</v>
      </c>
      <c r="BT357" s="135" t="s">
        <v>180</v>
      </c>
      <c r="BU357" s="135"/>
      <c r="BV357" s="129">
        <v>1</v>
      </c>
      <c r="BW357" s="130" t="s">
        <v>1139</v>
      </c>
      <c r="BX357"/>
    </row>
    <row r="358" spans="1:76" ht="12.75">
      <c r="A358" s="153"/>
      <c r="B358" s="146">
        <f t="shared" ca="1" si="41"/>
        <v>46997</v>
      </c>
      <c r="C358" s="141">
        <v>7.3245214111541002E-2</v>
      </c>
      <c r="I358" s="142"/>
      <c r="L358" s="141">
        <v>0</v>
      </c>
      <c r="M358" s="141">
        <v>0.2525</v>
      </c>
      <c r="BP358" s="131">
        <f t="shared" si="40"/>
        <v>357</v>
      </c>
      <c r="BQ358" s="185" t="s">
        <v>541</v>
      </c>
      <c r="BR358" s="130" t="s">
        <v>178</v>
      </c>
      <c r="BS358" s="129" t="s">
        <v>179</v>
      </c>
      <c r="BT358" s="135" t="s">
        <v>180</v>
      </c>
      <c r="BU358" s="135"/>
      <c r="BV358" s="129">
        <v>1</v>
      </c>
      <c r="BW358" s="130" t="s">
        <v>1140</v>
      </c>
      <c r="BX358"/>
    </row>
    <row r="359" spans="1:76" ht="12.75">
      <c r="A359" s="153"/>
      <c r="B359" s="146">
        <f t="shared" ca="1" si="41"/>
        <v>47027</v>
      </c>
      <c r="C359" s="141">
        <v>7.3236276730872005E-2</v>
      </c>
      <c r="I359" s="142"/>
      <c r="L359" s="141">
        <v>0</v>
      </c>
      <c r="M359" s="141">
        <v>0.255</v>
      </c>
      <c r="BP359" s="131">
        <f t="shared" si="40"/>
        <v>358</v>
      </c>
      <c r="BQ359" s="185" t="s">
        <v>542</v>
      </c>
      <c r="BR359" s="130" t="s">
        <v>178</v>
      </c>
      <c r="BS359" s="129" t="s">
        <v>179</v>
      </c>
      <c r="BT359" s="135" t="s">
        <v>180</v>
      </c>
      <c r="BU359" s="135"/>
      <c r="BV359" s="129">
        <v>1</v>
      </c>
      <c r="BW359" s="130" t="s">
        <v>1141</v>
      </c>
      <c r="BX359"/>
    </row>
    <row r="360" spans="1:76" ht="12.75">
      <c r="A360" s="153"/>
      <c r="B360" s="146">
        <f t="shared" ca="1" si="41"/>
        <v>47058</v>
      </c>
      <c r="C360" s="141">
        <v>7.3227041437540996E-2</v>
      </c>
      <c r="I360" s="142"/>
      <c r="L360" s="141">
        <v>0</v>
      </c>
      <c r="M360" s="141">
        <v>0.71499999999999997</v>
      </c>
      <c r="BP360" s="131">
        <f t="shared" si="40"/>
        <v>359</v>
      </c>
      <c r="BQ360" s="185" t="s">
        <v>544</v>
      </c>
      <c r="BR360" s="130" t="s">
        <v>178</v>
      </c>
      <c r="BS360" s="129" t="s">
        <v>179</v>
      </c>
      <c r="BT360" s="135" t="s">
        <v>180</v>
      </c>
      <c r="BU360" s="135"/>
      <c r="BV360" s="129">
        <v>1</v>
      </c>
      <c r="BW360" s="130" t="s">
        <v>1142</v>
      </c>
      <c r="BX360"/>
    </row>
    <row r="361" spans="1:76" ht="12.75">
      <c r="A361" s="153"/>
      <c r="B361" s="146">
        <f t="shared" ca="1" si="41"/>
        <v>47088</v>
      </c>
      <c r="C361" s="141">
        <v>7.3218104056924999E-2</v>
      </c>
      <c r="I361" s="142"/>
      <c r="L361" s="141">
        <v>0</v>
      </c>
      <c r="M361" s="141">
        <v>1.03</v>
      </c>
      <c r="BP361" s="131">
        <f t="shared" si="40"/>
        <v>360</v>
      </c>
      <c r="BQ361" s="185" t="s">
        <v>546</v>
      </c>
      <c r="BR361" s="130" t="s">
        <v>178</v>
      </c>
      <c r="BS361" s="129" t="s">
        <v>179</v>
      </c>
      <c r="BT361" s="135" t="s">
        <v>180</v>
      </c>
      <c r="BU361" s="135"/>
      <c r="BV361" s="129">
        <v>1</v>
      </c>
      <c r="BW361" s="130" t="s">
        <v>1143</v>
      </c>
      <c r="BX361"/>
    </row>
    <row r="362" spans="1:76" ht="12.75">
      <c r="A362" s="153"/>
      <c r="B362" s="146">
        <f t="shared" ca="1" si="41"/>
        <v>47119</v>
      </c>
      <c r="C362" s="141">
        <v>7.3208868763650001E-2</v>
      </c>
      <c r="I362" s="142"/>
      <c r="L362" s="141">
        <v>0</v>
      </c>
      <c r="M362" s="141">
        <v>1.4950000000000001</v>
      </c>
      <c r="BP362" s="131">
        <f t="shared" si="40"/>
        <v>361</v>
      </c>
      <c r="BQ362" s="185" t="s">
        <v>547</v>
      </c>
      <c r="BR362" s="130" t="s">
        <v>178</v>
      </c>
      <c r="BS362" s="129" t="s">
        <v>179</v>
      </c>
      <c r="BT362" s="135" t="s">
        <v>180</v>
      </c>
      <c r="BU362" s="135"/>
      <c r="BV362" s="129">
        <v>1</v>
      </c>
      <c r="BW362" s="130" t="s">
        <v>1144</v>
      </c>
      <c r="BX362"/>
    </row>
    <row r="363" spans="1:76" ht="12.75">
      <c r="A363" s="153"/>
      <c r="B363" s="146">
        <f t="shared" ca="1" si="41"/>
        <v>47150</v>
      </c>
      <c r="C363" s="141">
        <v>7.3199633470401995E-2</v>
      </c>
      <c r="I363" s="142"/>
      <c r="L363" s="141">
        <v>0</v>
      </c>
      <c r="M363" s="141">
        <v>1.395</v>
      </c>
      <c r="BP363" s="131">
        <f t="shared" si="40"/>
        <v>362</v>
      </c>
      <c r="BQ363" s="185" t="s">
        <v>548</v>
      </c>
      <c r="BR363" s="130" t="s">
        <v>178</v>
      </c>
      <c r="BS363" s="129" t="s">
        <v>179</v>
      </c>
      <c r="BT363" s="135" t="s">
        <v>180</v>
      </c>
      <c r="BU363" s="135"/>
      <c r="BV363" s="129">
        <v>1</v>
      </c>
      <c r="BW363" s="130" t="s">
        <v>1145</v>
      </c>
      <c r="BX363"/>
    </row>
    <row r="364" spans="1:76" ht="12.75">
      <c r="A364" s="153"/>
      <c r="B364" s="146">
        <f t="shared" ca="1" si="41"/>
        <v>47178</v>
      </c>
      <c r="C364" s="141">
        <v>7.3191291915236004E-2</v>
      </c>
      <c r="I364" s="142"/>
      <c r="L364" s="141">
        <v>0</v>
      </c>
      <c r="M364" s="141">
        <v>0.86499999999999999</v>
      </c>
      <c r="BP364" s="131">
        <f t="shared" si="40"/>
        <v>363</v>
      </c>
      <c r="BQ364" s="185" t="s">
        <v>549</v>
      </c>
      <c r="BR364" s="130" t="s">
        <v>178</v>
      </c>
      <c r="BS364" s="129" t="s">
        <v>179</v>
      </c>
      <c r="BT364" s="135" t="s">
        <v>180</v>
      </c>
      <c r="BU364" s="135"/>
      <c r="BV364" s="129">
        <v>1</v>
      </c>
      <c r="BW364" s="130" t="s">
        <v>1146</v>
      </c>
      <c r="BX364"/>
    </row>
    <row r="365" spans="1:76" ht="12.75">
      <c r="A365" s="153"/>
      <c r="B365" s="146">
        <f t="shared" ca="1" si="41"/>
        <v>47209</v>
      </c>
      <c r="C365" s="141">
        <v>7.3182056622041997E-2</v>
      </c>
      <c r="I365" s="142"/>
      <c r="L365" s="141">
        <v>0</v>
      </c>
      <c r="M365" s="141">
        <v>0.37</v>
      </c>
      <c r="BP365" s="131">
        <f t="shared" si="40"/>
        <v>364</v>
      </c>
      <c r="BQ365" s="185" t="s">
        <v>550</v>
      </c>
      <c r="BR365" s="130" t="s">
        <v>178</v>
      </c>
      <c r="BS365" s="129" t="s">
        <v>179</v>
      </c>
      <c r="BT365" s="135" t="s">
        <v>180</v>
      </c>
      <c r="BU365" s="135"/>
      <c r="BV365" s="129">
        <v>1</v>
      </c>
      <c r="BW365" s="130" t="s">
        <v>1147</v>
      </c>
      <c r="BX365"/>
    </row>
    <row r="366" spans="1:76" ht="12.75">
      <c r="A366" s="153"/>
      <c r="B366" s="146">
        <f t="shared" ca="1" si="41"/>
        <v>47239</v>
      </c>
      <c r="C366" s="141">
        <v>7.3173119241559004E-2</v>
      </c>
      <c r="I366" s="142"/>
      <c r="L366" s="141">
        <v>0</v>
      </c>
      <c r="M366" s="141">
        <v>0.2525</v>
      </c>
      <c r="BP366" s="131">
        <f t="shared" si="40"/>
        <v>365</v>
      </c>
      <c r="BQ366" s="185" t="s">
        <v>551</v>
      </c>
      <c r="BR366" s="130" t="s">
        <v>178</v>
      </c>
      <c r="BS366" s="129" t="s">
        <v>179</v>
      </c>
      <c r="BT366" s="135" t="s">
        <v>180</v>
      </c>
      <c r="BU366" s="135"/>
      <c r="BV366" s="129">
        <v>1</v>
      </c>
      <c r="BW366" s="130" t="s">
        <v>1148</v>
      </c>
      <c r="BX366"/>
    </row>
    <row r="367" spans="1:76" ht="12.75">
      <c r="A367" s="153"/>
      <c r="B367" s="146">
        <f t="shared" ca="1" si="41"/>
        <v>47270</v>
      </c>
      <c r="C367" s="141">
        <v>7.3163883948421007E-2</v>
      </c>
      <c r="I367" s="142"/>
      <c r="L367" s="141">
        <v>0</v>
      </c>
      <c r="M367" s="141">
        <v>0.2525</v>
      </c>
      <c r="BP367" s="131">
        <f t="shared" si="40"/>
        <v>366</v>
      </c>
      <c r="BQ367" s="185" t="s">
        <v>552</v>
      </c>
      <c r="BR367" s="130" t="s">
        <v>178</v>
      </c>
      <c r="BS367" s="129" t="s">
        <v>179</v>
      </c>
      <c r="BT367" s="135" t="s">
        <v>180</v>
      </c>
      <c r="BU367" s="135"/>
      <c r="BV367" s="129">
        <v>1</v>
      </c>
      <c r="BW367" s="130" t="s">
        <v>1149</v>
      </c>
      <c r="BX367"/>
    </row>
    <row r="368" spans="1:76" ht="12.75">
      <c r="A368" s="153"/>
      <c r="B368" s="146">
        <f t="shared" ca="1" si="41"/>
        <v>47300</v>
      </c>
      <c r="C368" s="141">
        <v>7.3154946568000007E-2</v>
      </c>
      <c r="I368" s="142"/>
      <c r="L368" s="141">
        <v>0</v>
      </c>
      <c r="M368" s="141">
        <v>0.25750000000000001</v>
      </c>
      <c r="BP368" s="131">
        <f t="shared" si="40"/>
        <v>367</v>
      </c>
      <c r="BQ368" s="185" t="s">
        <v>553</v>
      </c>
      <c r="BR368" s="130" t="s">
        <v>178</v>
      </c>
      <c r="BS368" s="129" t="s">
        <v>179</v>
      </c>
      <c r="BT368" s="135" t="s">
        <v>180</v>
      </c>
      <c r="BU368" s="135"/>
      <c r="BV368" s="129">
        <v>1</v>
      </c>
      <c r="BW368" s="130" t="s">
        <v>1150</v>
      </c>
      <c r="BX368"/>
    </row>
    <row r="369" spans="1:76" ht="12.75">
      <c r="A369" s="153"/>
      <c r="B369" s="146">
        <f t="shared" ca="1" si="41"/>
        <v>47331</v>
      </c>
      <c r="C369" s="141">
        <v>7.3145711274909E-2</v>
      </c>
      <c r="I369" s="142"/>
      <c r="L369" s="141">
        <v>0</v>
      </c>
      <c r="M369" s="141">
        <v>0.25750000000000001</v>
      </c>
      <c r="BP369" s="131">
        <f t="shared" si="40"/>
        <v>368</v>
      </c>
      <c r="BQ369" s="185" t="s">
        <v>554</v>
      </c>
      <c r="BR369" s="130" t="s">
        <v>178</v>
      </c>
      <c r="BS369" s="129" t="s">
        <v>179</v>
      </c>
      <c r="BT369" s="135" t="s">
        <v>180</v>
      </c>
      <c r="BU369" s="135"/>
      <c r="BV369" s="129">
        <v>1</v>
      </c>
      <c r="BW369" s="130" t="s">
        <v>1151</v>
      </c>
      <c r="BX369"/>
    </row>
    <row r="370" spans="1:76" ht="12.75">
      <c r="A370" s="153"/>
      <c r="B370" s="146">
        <f t="shared" ca="1" si="41"/>
        <v>47362</v>
      </c>
      <c r="C370" s="141">
        <v>7.3136475981854007E-2</v>
      </c>
      <c r="I370" s="142"/>
      <c r="L370" s="141">
        <v>0</v>
      </c>
      <c r="M370" s="141">
        <v>0.2525</v>
      </c>
      <c r="BP370" s="131">
        <f t="shared" si="40"/>
        <v>369</v>
      </c>
      <c r="BQ370" s="185" t="s">
        <v>555</v>
      </c>
      <c r="BR370" s="130" t="s">
        <v>178</v>
      </c>
      <c r="BS370" s="129" t="s">
        <v>179</v>
      </c>
      <c r="BT370" s="135" t="s">
        <v>180</v>
      </c>
      <c r="BU370" s="135"/>
      <c r="BV370" s="129">
        <v>1</v>
      </c>
      <c r="BW370" s="130" t="s">
        <v>1152</v>
      </c>
      <c r="BX370"/>
    </row>
    <row r="371" spans="1:76" ht="12.75">
      <c r="A371" s="153"/>
      <c r="B371" s="146">
        <f t="shared" ca="1" si="41"/>
        <v>47392</v>
      </c>
      <c r="C371" s="141">
        <v>7.3127538601505004E-2</v>
      </c>
      <c r="I371" s="142"/>
      <c r="L371" s="141">
        <v>0</v>
      </c>
      <c r="M371" s="141">
        <v>0.255</v>
      </c>
      <c r="BP371" s="131">
        <f t="shared" si="40"/>
        <v>370</v>
      </c>
      <c r="BQ371" s="185" t="s">
        <v>556</v>
      </c>
      <c r="BR371" s="130" t="s">
        <v>178</v>
      </c>
      <c r="BS371" s="129" t="s">
        <v>179</v>
      </c>
      <c r="BT371" s="135" t="s">
        <v>180</v>
      </c>
      <c r="BU371" s="135"/>
      <c r="BV371" s="129">
        <v>1</v>
      </c>
      <c r="BW371" s="130" t="s">
        <v>1153</v>
      </c>
      <c r="BX371"/>
    </row>
    <row r="372" spans="1:76" ht="12.75">
      <c r="A372" s="153"/>
      <c r="B372" s="146">
        <f t="shared" ca="1" si="41"/>
        <v>47423</v>
      </c>
      <c r="C372" s="141">
        <v>7.3118303308506008E-2</v>
      </c>
      <c r="I372" s="142"/>
      <c r="L372" s="141">
        <v>0</v>
      </c>
      <c r="M372" s="141">
        <v>0.71499999999999997</v>
      </c>
      <c r="BP372" s="131">
        <f t="shared" si="40"/>
        <v>371</v>
      </c>
      <c r="BQ372" s="185" t="s">
        <v>557</v>
      </c>
      <c r="BR372" s="130" t="s">
        <v>178</v>
      </c>
      <c r="BS372" s="129" t="s">
        <v>179</v>
      </c>
      <c r="BT372" s="135" t="s">
        <v>180</v>
      </c>
      <c r="BU372" s="135"/>
      <c r="BV372" s="129">
        <v>1</v>
      </c>
      <c r="BW372" s="130" t="s">
        <v>1154</v>
      </c>
      <c r="BX372"/>
    </row>
    <row r="373" spans="1:76" ht="12.75">
      <c r="A373" s="153"/>
      <c r="B373" s="146">
        <f t="shared" ca="1" si="41"/>
        <v>47453</v>
      </c>
      <c r="C373" s="141">
        <v>7.3109365928209991E-2</v>
      </c>
      <c r="I373" s="142"/>
      <c r="L373" s="141">
        <v>0</v>
      </c>
      <c r="M373" s="141">
        <v>1.03</v>
      </c>
      <c r="BP373" s="131">
        <f t="shared" si="40"/>
        <v>372</v>
      </c>
      <c r="BQ373" s="185" t="s">
        <v>558</v>
      </c>
      <c r="BR373" s="130" t="s">
        <v>178</v>
      </c>
      <c r="BS373" s="129" t="s">
        <v>179</v>
      </c>
      <c r="BT373" s="135" t="s">
        <v>180</v>
      </c>
      <c r="BU373" s="135"/>
      <c r="BV373" s="129">
        <v>1</v>
      </c>
      <c r="BW373" s="130" t="s">
        <v>1155</v>
      </c>
      <c r="BX373"/>
    </row>
    <row r="374" spans="1:76" ht="12.75">
      <c r="A374" s="153"/>
      <c r="B374" s="146">
        <f t="shared" ca="1" si="41"/>
        <v>47484</v>
      </c>
      <c r="C374" s="141">
        <v>7.3100130635267005E-2</v>
      </c>
      <c r="I374" s="142"/>
      <c r="L374" s="141">
        <v>0</v>
      </c>
      <c r="M374" s="141">
        <v>0.71499999999999997</v>
      </c>
      <c r="BP374" s="131">
        <f t="shared" si="40"/>
        <v>373</v>
      </c>
      <c r="BQ374" s="185" t="s">
        <v>559</v>
      </c>
      <c r="BR374" s="130" t="s">
        <v>178</v>
      </c>
      <c r="BS374" s="129" t="s">
        <v>179</v>
      </c>
      <c r="BT374" s="135" t="s">
        <v>180</v>
      </c>
      <c r="BU374" s="135"/>
      <c r="BV374" s="129">
        <v>1</v>
      </c>
      <c r="BW374" s="130" t="s">
        <v>1156</v>
      </c>
      <c r="BX374"/>
    </row>
    <row r="375" spans="1:76" ht="12.75">
      <c r="A375" s="153"/>
      <c r="B375" s="146">
        <f t="shared" ca="1" si="41"/>
        <v>47515</v>
      </c>
      <c r="C375" s="141">
        <v>7.3090895342350998E-2</v>
      </c>
      <c r="I375" s="142"/>
      <c r="L375" s="141">
        <v>0</v>
      </c>
      <c r="M375" s="141">
        <v>1.03</v>
      </c>
      <c r="BP375" s="131">
        <f t="shared" si="40"/>
        <v>374</v>
      </c>
      <c r="BQ375" s="185" t="s">
        <v>560</v>
      </c>
      <c r="BR375" s="130" t="s">
        <v>178</v>
      </c>
      <c r="BS375" s="129" t="s">
        <v>179</v>
      </c>
      <c r="BT375" s="135" t="s">
        <v>180</v>
      </c>
      <c r="BU375" s="135"/>
      <c r="BV375" s="129">
        <v>1</v>
      </c>
      <c r="BW375" s="130" t="s">
        <v>1157</v>
      </c>
      <c r="BX375"/>
    </row>
    <row r="376" spans="1:76" ht="12.75">
      <c r="A376" s="153"/>
      <c r="B376" s="146">
        <f t="shared" ca="1" si="41"/>
        <v>47543</v>
      </c>
      <c r="C376" s="141">
        <v>7.3082553787484003E-2</v>
      </c>
      <c r="I376" s="142"/>
      <c r="BP376" s="131">
        <f t="shared" si="40"/>
        <v>375</v>
      </c>
      <c r="BQ376" s="185" t="s">
        <v>561</v>
      </c>
      <c r="BR376" s="130" t="s">
        <v>178</v>
      </c>
      <c r="BS376" s="129" t="s">
        <v>179</v>
      </c>
      <c r="BT376" s="135" t="s">
        <v>180</v>
      </c>
      <c r="BU376" s="135"/>
      <c r="BV376" s="129">
        <v>1</v>
      </c>
      <c r="BW376" s="130" t="s">
        <v>1158</v>
      </c>
      <c r="BX376"/>
    </row>
    <row r="377" spans="1:76" ht="12.75">
      <c r="A377" s="153"/>
      <c r="B377" s="146">
        <f t="shared" ca="1" si="41"/>
        <v>47574</v>
      </c>
      <c r="C377" s="141">
        <v>7.3082553787484003E-2</v>
      </c>
      <c r="I377" s="142"/>
      <c r="BP377" s="131">
        <f t="shared" si="40"/>
        <v>376</v>
      </c>
      <c r="BQ377" s="185" t="s">
        <v>562</v>
      </c>
      <c r="BR377" s="130" t="s">
        <v>178</v>
      </c>
      <c r="BS377" s="129" t="s">
        <v>179</v>
      </c>
      <c r="BT377" s="135" t="s">
        <v>180</v>
      </c>
      <c r="BU377" s="135"/>
      <c r="BV377" s="129">
        <v>1</v>
      </c>
      <c r="BW377" s="130" t="s">
        <v>1159</v>
      </c>
      <c r="BX377"/>
    </row>
    <row r="378" spans="1:76" ht="12.75">
      <c r="I378" s="142"/>
      <c r="BP378" s="131">
        <f t="shared" si="40"/>
        <v>377</v>
      </c>
      <c r="BQ378" s="185" t="s">
        <v>563</v>
      </c>
      <c r="BR378" s="130" t="s">
        <v>178</v>
      </c>
      <c r="BS378" s="129" t="s">
        <v>179</v>
      </c>
      <c r="BT378" s="135" t="s">
        <v>180</v>
      </c>
      <c r="BU378" s="135"/>
      <c r="BV378" s="129">
        <v>1</v>
      </c>
      <c r="BW378" s="130" t="s">
        <v>1160</v>
      </c>
      <c r="BX378"/>
    </row>
    <row r="379" spans="1:76" ht="12.75">
      <c r="I379" s="142"/>
      <c r="BP379" s="131">
        <f t="shared" si="40"/>
        <v>378</v>
      </c>
      <c r="BQ379" s="185" t="s">
        <v>564</v>
      </c>
      <c r="BR379" s="130" t="s">
        <v>178</v>
      </c>
      <c r="BS379" s="129" t="s">
        <v>179</v>
      </c>
      <c r="BT379" s="135" t="s">
        <v>180</v>
      </c>
      <c r="BU379" s="135"/>
      <c r="BV379" s="129">
        <v>1</v>
      </c>
      <c r="BW379" s="130" t="s">
        <v>1161</v>
      </c>
      <c r="BX379"/>
    </row>
    <row r="380" spans="1:76" ht="12.75">
      <c r="I380" s="142"/>
      <c r="BP380" s="131">
        <f t="shared" si="40"/>
        <v>379</v>
      </c>
      <c r="BQ380" s="185" t="s">
        <v>565</v>
      </c>
      <c r="BR380" s="130" t="s">
        <v>178</v>
      </c>
      <c r="BS380" s="129" t="s">
        <v>179</v>
      </c>
      <c r="BT380" s="135" t="s">
        <v>180</v>
      </c>
      <c r="BU380" s="135"/>
      <c r="BV380" s="129">
        <v>1</v>
      </c>
      <c r="BW380" s="130" t="s">
        <v>1162</v>
      </c>
      <c r="BX380"/>
    </row>
    <row r="381" spans="1:76" ht="12.75">
      <c r="I381" s="142"/>
      <c r="BP381" s="131">
        <f t="shared" si="40"/>
        <v>380</v>
      </c>
      <c r="BQ381" s="185" t="s">
        <v>569</v>
      </c>
      <c r="BR381" s="130" t="s">
        <v>178</v>
      </c>
      <c r="BS381" s="129" t="s">
        <v>179</v>
      </c>
      <c r="BT381" s="135" t="s">
        <v>180</v>
      </c>
      <c r="BU381" s="135"/>
      <c r="BV381" s="129">
        <v>1</v>
      </c>
      <c r="BW381" s="130" t="s">
        <v>1163</v>
      </c>
      <c r="BX381"/>
    </row>
    <row r="382" spans="1:76" ht="12.75">
      <c r="I382" s="142"/>
      <c r="BP382" s="131">
        <f t="shared" si="40"/>
        <v>381</v>
      </c>
      <c r="BQ382" s="185" t="s">
        <v>570</v>
      </c>
      <c r="BR382" s="130" t="s">
        <v>178</v>
      </c>
      <c r="BS382" s="129" t="s">
        <v>179</v>
      </c>
      <c r="BT382" s="135" t="s">
        <v>180</v>
      </c>
      <c r="BU382" s="135"/>
      <c r="BV382" s="129">
        <v>1</v>
      </c>
      <c r="BW382" s="130" t="s">
        <v>1164</v>
      </c>
      <c r="BX382"/>
    </row>
    <row r="383" spans="1:76" ht="12.75">
      <c r="I383" s="142"/>
      <c r="BP383" s="131">
        <f t="shared" si="40"/>
        <v>382</v>
      </c>
      <c r="BQ383" s="185" t="s">
        <v>571</v>
      </c>
      <c r="BR383" s="130" t="s">
        <v>178</v>
      </c>
      <c r="BS383" s="129" t="s">
        <v>179</v>
      </c>
      <c r="BT383" s="135" t="s">
        <v>180</v>
      </c>
      <c r="BU383" s="135"/>
      <c r="BV383" s="129">
        <v>1</v>
      </c>
      <c r="BW383" s="130" t="s">
        <v>1165</v>
      </c>
      <c r="BX383"/>
    </row>
    <row r="384" spans="1:76" ht="12.75">
      <c r="I384" s="142"/>
      <c r="BP384" s="131">
        <f t="shared" si="40"/>
        <v>383</v>
      </c>
      <c r="BQ384" s="185" t="s">
        <v>572</v>
      </c>
      <c r="BR384" s="130" t="s">
        <v>178</v>
      </c>
      <c r="BS384" s="129" t="s">
        <v>179</v>
      </c>
      <c r="BT384" s="135" t="s">
        <v>180</v>
      </c>
      <c r="BU384" s="135"/>
      <c r="BV384" s="129">
        <v>1</v>
      </c>
      <c r="BW384" s="130" t="s">
        <v>1166</v>
      </c>
      <c r="BX384"/>
    </row>
    <row r="385" spans="9:76" ht="12.75">
      <c r="I385" s="142"/>
      <c r="BP385" s="131">
        <f t="shared" si="40"/>
        <v>384</v>
      </c>
      <c r="BQ385" s="185" t="s">
        <v>573</v>
      </c>
      <c r="BR385" s="130" t="s">
        <v>178</v>
      </c>
      <c r="BS385" s="129" t="s">
        <v>179</v>
      </c>
      <c r="BT385" s="135" t="s">
        <v>180</v>
      </c>
      <c r="BU385" s="135"/>
      <c r="BV385" s="129">
        <v>1</v>
      </c>
      <c r="BW385" s="130" t="s">
        <v>1167</v>
      </c>
      <c r="BX385"/>
    </row>
    <row r="386" spans="9:76" ht="12.75">
      <c r="I386" s="142"/>
      <c r="BP386" s="131">
        <f t="shared" ref="BP386:BP409" si="42">BP385+BV386</f>
        <v>385</v>
      </c>
      <c r="BQ386" s="185" t="s">
        <v>574</v>
      </c>
      <c r="BR386" s="130" t="s">
        <v>178</v>
      </c>
      <c r="BS386" s="129" t="s">
        <v>179</v>
      </c>
      <c r="BT386" s="135" t="s">
        <v>180</v>
      </c>
      <c r="BU386" s="135"/>
      <c r="BV386" s="129">
        <v>1</v>
      </c>
      <c r="BW386" s="130" t="s">
        <v>1168</v>
      </c>
      <c r="BX386"/>
    </row>
    <row r="387" spans="9:76" ht="12.75">
      <c r="I387" s="142"/>
      <c r="BP387" s="131">
        <f t="shared" si="42"/>
        <v>386</v>
      </c>
      <c r="BQ387" s="185" t="s">
        <v>575</v>
      </c>
      <c r="BR387" s="130" t="s">
        <v>178</v>
      </c>
      <c r="BS387" s="129" t="s">
        <v>179</v>
      </c>
      <c r="BT387" s="135" t="s">
        <v>180</v>
      </c>
      <c r="BU387" s="135"/>
      <c r="BV387" s="129">
        <v>1</v>
      </c>
      <c r="BW387" s="130" t="s">
        <v>1169</v>
      </c>
      <c r="BX387"/>
    </row>
    <row r="388" spans="9:76" ht="12.75">
      <c r="I388" s="142"/>
      <c r="BP388" s="131">
        <f t="shared" si="42"/>
        <v>387</v>
      </c>
      <c r="BQ388" s="185" t="s">
        <v>576</v>
      </c>
      <c r="BR388" s="130" t="s">
        <v>178</v>
      </c>
      <c r="BS388" s="129" t="s">
        <v>179</v>
      </c>
      <c r="BT388" s="135" t="s">
        <v>180</v>
      </c>
      <c r="BU388" s="135"/>
      <c r="BV388" s="129">
        <v>1</v>
      </c>
      <c r="BW388" s="130" t="s">
        <v>1170</v>
      </c>
      <c r="BX388"/>
    </row>
    <row r="389" spans="9:76" ht="12.75">
      <c r="I389" s="142"/>
      <c r="BP389" s="131">
        <f t="shared" si="42"/>
        <v>388</v>
      </c>
      <c r="BQ389" s="185" t="s">
        <v>577</v>
      </c>
      <c r="BR389" s="130" t="s">
        <v>178</v>
      </c>
      <c r="BS389" s="129" t="s">
        <v>179</v>
      </c>
      <c r="BT389" s="135" t="s">
        <v>180</v>
      </c>
      <c r="BU389" s="135"/>
      <c r="BV389" s="129">
        <v>1</v>
      </c>
      <c r="BW389" s="130" t="s">
        <v>1171</v>
      </c>
      <c r="BX389"/>
    </row>
    <row r="390" spans="9:76" ht="12.75">
      <c r="I390" s="142"/>
      <c r="BP390" s="131">
        <f t="shared" si="42"/>
        <v>389</v>
      </c>
      <c r="BQ390" s="185" t="s">
        <v>578</v>
      </c>
      <c r="BR390" s="130" t="s">
        <v>178</v>
      </c>
      <c r="BS390" s="129" t="s">
        <v>179</v>
      </c>
      <c r="BT390" s="135" t="s">
        <v>180</v>
      </c>
      <c r="BU390" s="135"/>
      <c r="BV390" s="129">
        <v>1</v>
      </c>
      <c r="BW390" s="130" t="s">
        <v>1172</v>
      </c>
      <c r="BX390"/>
    </row>
    <row r="391" spans="9:76" ht="12.75">
      <c r="I391" s="142"/>
      <c r="BP391" s="131">
        <f t="shared" si="42"/>
        <v>390</v>
      </c>
      <c r="BQ391" s="185" t="s">
        <v>579</v>
      </c>
      <c r="BR391" s="130" t="s">
        <v>178</v>
      </c>
      <c r="BS391" s="129" t="s">
        <v>179</v>
      </c>
      <c r="BT391" s="135" t="s">
        <v>180</v>
      </c>
      <c r="BU391" s="135"/>
      <c r="BV391" s="129">
        <v>1</v>
      </c>
      <c r="BW391" s="130" t="s">
        <v>1173</v>
      </c>
      <c r="BX391"/>
    </row>
    <row r="392" spans="9:76" ht="12.75">
      <c r="I392" s="142"/>
      <c r="BP392" s="131">
        <f t="shared" si="42"/>
        <v>391</v>
      </c>
      <c r="BQ392" s="185" t="s">
        <v>580</v>
      </c>
      <c r="BR392" s="130" t="s">
        <v>178</v>
      </c>
      <c r="BS392" s="129" t="s">
        <v>179</v>
      </c>
      <c r="BT392" s="135" t="s">
        <v>180</v>
      </c>
      <c r="BU392" s="135"/>
      <c r="BV392" s="129">
        <v>1</v>
      </c>
      <c r="BW392" s="130" t="s">
        <v>1174</v>
      </c>
      <c r="BX392"/>
    </row>
    <row r="393" spans="9:76" ht="12.75">
      <c r="I393" s="142"/>
      <c r="BP393" s="131">
        <f t="shared" si="42"/>
        <v>392</v>
      </c>
      <c r="BQ393" s="185" t="s">
        <v>581</v>
      </c>
      <c r="BR393" s="130" t="s">
        <v>178</v>
      </c>
      <c r="BS393" s="129" t="s">
        <v>179</v>
      </c>
      <c r="BT393" s="135" t="s">
        <v>180</v>
      </c>
      <c r="BU393" s="135"/>
      <c r="BV393" s="129">
        <v>1</v>
      </c>
      <c r="BW393" s="130" t="s">
        <v>1175</v>
      </c>
      <c r="BX393"/>
    </row>
    <row r="394" spans="9:76" ht="12.75">
      <c r="I394" s="142"/>
      <c r="BP394" s="131">
        <f t="shared" si="42"/>
        <v>393</v>
      </c>
      <c r="BQ394" s="185" t="s">
        <v>582</v>
      </c>
      <c r="BR394" s="130" t="s">
        <v>178</v>
      </c>
      <c r="BS394" s="129" t="s">
        <v>179</v>
      </c>
      <c r="BT394" s="135" t="s">
        <v>180</v>
      </c>
      <c r="BU394" s="135"/>
      <c r="BV394" s="129">
        <v>1</v>
      </c>
      <c r="BW394" s="130" t="s">
        <v>1176</v>
      </c>
      <c r="BX394"/>
    </row>
    <row r="395" spans="9:76" ht="12.75">
      <c r="I395" s="142"/>
      <c r="BP395" s="131">
        <f t="shared" si="42"/>
        <v>394</v>
      </c>
      <c r="BQ395" s="185" t="s">
        <v>583</v>
      </c>
      <c r="BR395" s="130" t="s">
        <v>178</v>
      </c>
      <c r="BS395" s="129" t="s">
        <v>179</v>
      </c>
      <c r="BT395" s="135" t="s">
        <v>180</v>
      </c>
      <c r="BU395" s="135"/>
      <c r="BV395" s="129">
        <v>1</v>
      </c>
      <c r="BW395" s="130" t="s">
        <v>1177</v>
      </c>
      <c r="BX395"/>
    </row>
    <row r="396" spans="9:76" ht="12.75">
      <c r="I396" s="142"/>
      <c r="BP396" s="131">
        <f t="shared" si="42"/>
        <v>395</v>
      </c>
      <c r="BQ396" s="185" t="s">
        <v>584</v>
      </c>
      <c r="BR396" s="130" t="s">
        <v>178</v>
      </c>
      <c r="BS396" s="129" t="s">
        <v>179</v>
      </c>
      <c r="BT396" s="135" t="s">
        <v>180</v>
      </c>
      <c r="BU396" s="135"/>
      <c r="BV396" s="129">
        <v>1</v>
      </c>
      <c r="BW396" s="130" t="s">
        <v>1178</v>
      </c>
      <c r="BX396"/>
    </row>
    <row r="397" spans="9:76" ht="12.75">
      <c r="I397" s="142"/>
      <c r="BP397" s="131">
        <f t="shared" si="42"/>
        <v>396</v>
      </c>
      <c r="BQ397" s="185" t="s">
        <v>585</v>
      </c>
      <c r="BR397" s="130" t="s">
        <v>178</v>
      </c>
      <c r="BS397" s="129" t="s">
        <v>179</v>
      </c>
      <c r="BT397" s="135" t="s">
        <v>180</v>
      </c>
      <c r="BU397" s="135"/>
      <c r="BV397" s="129">
        <v>1</v>
      </c>
      <c r="BW397" s="130" t="s">
        <v>1179</v>
      </c>
      <c r="BX397"/>
    </row>
    <row r="398" spans="9:76" ht="12.75">
      <c r="I398" s="142"/>
      <c r="BP398" s="131">
        <f t="shared" si="42"/>
        <v>397</v>
      </c>
      <c r="BQ398" s="185" t="s">
        <v>586</v>
      </c>
      <c r="BR398" s="130" t="s">
        <v>178</v>
      </c>
      <c r="BS398" s="129" t="s">
        <v>179</v>
      </c>
      <c r="BT398" s="135" t="s">
        <v>180</v>
      </c>
      <c r="BU398" s="135"/>
      <c r="BV398" s="129">
        <v>1</v>
      </c>
      <c r="BW398" s="130" t="s">
        <v>1180</v>
      </c>
      <c r="BX398"/>
    </row>
    <row r="399" spans="9:76" ht="12.75">
      <c r="I399" s="142"/>
      <c r="BP399" s="131">
        <f t="shared" si="42"/>
        <v>398</v>
      </c>
      <c r="BQ399" s="185" t="s">
        <v>587</v>
      </c>
      <c r="BR399" s="130" t="s">
        <v>178</v>
      </c>
      <c r="BS399" s="129" t="s">
        <v>179</v>
      </c>
      <c r="BT399" s="135" t="s">
        <v>180</v>
      </c>
      <c r="BU399" s="135"/>
      <c r="BV399" s="129">
        <v>1</v>
      </c>
      <c r="BW399" s="130" t="s">
        <v>1181</v>
      </c>
      <c r="BX399"/>
    </row>
    <row r="400" spans="9:76" ht="12.75">
      <c r="I400" s="142"/>
      <c r="BP400" s="131">
        <f t="shared" si="42"/>
        <v>399</v>
      </c>
      <c r="BQ400" s="185" t="s">
        <v>588</v>
      </c>
      <c r="BR400" s="130" t="s">
        <v>178</v>
      </c>
      <c r="BS400" s="129" t="s">
        <v>179</v>
      </c>
      <c r="BT400" s="135" t="s">
        <v>180</v>
      </c>
      <c r="BU400" s="135"/>
      <c r="BV400" s="129">
        <v>1</v>
      </c>
      <c r="BW400" s="130" t="s">
        <v>1182</v>
      </c>
      <c r="BX400"/>
    </row>
    <row r="401" spans="9:76" ht="12.75">
      <c r="I401" s="142"/>
      <c r="BP401" s="131">
        <f t="shared" si="42"/>
        <v>400</v>
      </c>
      <c r="BQ401" s="185" t="s">
        <v>589</v>
      </c>
      <c r="BR401" s="130" t="s">
        <v>178</v>
      </c>
      <c r="BS401" s="129" t="s">
        <v>179</v>
      </c>
      <c r="BT401" s="135" t="s">
        <v>180</v>
      </c>
      <c r="BU401" s="135"/>
      <c r="BV401" s="129">
        <v>1</v>
      </c>
      <c r="BW401" s="130" t="s">
        <v>1183</v>
      </c>
      <c r="BX401"/>
    </row>
    <row r="402" spans="9:76" ht="12.75">
      <c r="I402" s="142"/>
      <c r="BP402" s="131">
        <f t="shared" si="42"/>
        <v>401</v>
      </c>
      <c r="BQ402" s="185" t="s">
        <v>590</v>
      </c>
      <c r="BR402" s="130" t="s">
        <v>178</v>
      </c>
      <c r="BS402" s="129" t="s">
        <v>179</v>
      </c>
      <c r="BT402" s="135" t="s">
        <v>180</v>
      </c>
      <c r="BU402" s="135"/>
      <c r="BV402" s="129">
        <v>1</v>
      </c>
      <c r="BW402" s="130" t="s">
        <v>1184</v>
      </c>
      <c r="BX402"/>
    </row>
    <row r="403" spans="9:76" ht="12.75">
      <c r="I403" s="142"/>
      <c r="BP403" s="131">
        <f t="shared" si="42"/>
        <v>402</v>
      </c>
      <c r="BQ403" s="185" t="s">
        <v>591</v>
      </c>
      <c r="BR403" s="130" t="s">
        <v>178</v>
      </c>
      <c r="BS403" s="129" t="s">
        <v>179</v>
      </c>
      <c r="BT403" s="135" t="s">
        <v>180</v>
      </c>
      <c r="BU403" s="135"/>
      <c r="BV403" s="129">
        <v>1</v>
      </c>
      <c r="BW403" s="130" t="s">
        <v>1185</v>
      </c>
      <c r="BX403"/>
    </row>
    <row r="404" spans="9:76" ht="12.75">
      <c r="I404" s="142"/>
      <c r="BP404" s="131">
        <f t="shared" si="42"/>
        <v>403</v>
      </c>
      <c r="BQ404" s="185" t="s">
        <v>592</v>
      </c>
      <c r="BR404" s="130" t="s">
        <v>178</v>
      </c>
      <c r="BS404" s="129" t="s">
        <v>179</v>
      </c>
      <c r="BT404" s="135" t="s">
        <v>180</v>
      </c>
      <c r="BU404" s="135"/>
      <c r="BV404" s="129">
        <v>1</v>
      </c>
      <c r="BW404" s="130" t="s">
        <v>1186</v>
      </c>
      <c r="BX404"/>
    </row>
    <row r="405" spans="9:76" ht="12.75">
      <c r="I405" s="142"/>
      <c r="BP405" s="131">
        <f t="shared" si="42"/>
        <v>404</v>
      </c>
      <c r="BQ405" s="185" t="s">
        <v>593</v>
      </c>
      <c r="BR405" s="130" t="s">
        <v>178</v>
      </c>
      <c r="BS405" s="129" t="s">
        <v>179</v>
      </c>
      <c r="BT405" s="135" t="s">
        <v>180</v>
      </c>
      <c r="BU405" s="135"/>
      <c r="BV405" s="129">
        <v>1</v>
      </c>
      <c r="BW405" s="130" t="s">
        <v>1187</v>
      </c>
      <c r="BX405"/>
    </row>
    <row r="406" spans="9:76" ht="12.75">
      <c r="I406" s="142"/>
      <c r="BP406" s="131">
        <f t="shared" si="42"/>
        <v>405</v>
      </c>
      <c r="BQ406" s="185" t="s">
        <v>594</v>
      </c>
      <c r="BR406" s="130" t="s">
        <v>178</v>
      </c>
      <c r="BS406" s="129" t="s">
        <v>179</v>
      </c>
      <c r="BT406" s="135" t="s">
        <v>180</v>
      </c>
      <c r="BU406" s="135"/>
      <c r="BV406" s="129">
        <v>1</v>
      </c>
      <c r="BW406" s="130" t="s">
        <v>1188</v>
      </c>
      <c r="BX406"/>
    </row>
    <row r="407" spans="9:76" ht="12.75">
      <c r="I407" s="142"/>
      <c r="BP407" s="131">
        <f t="shared" si="42"/>
        <v>406</v>
      </c>
      <c r="BQ407" s="185" t="s">
        <v>595</v>
      </c>
      <c r="BR407" s="130" t="s">
        <v>178</v>
      </c>
      <c r="BS407" s="129" t="s">
        <v>179</v>
      </c>
      <c r="BT407" s="135" t="s">
        <v>180</v>
      </c>
      <c r="BU407" s="135"/>
      <c r="BV407" s="129">
        <v>1</v>
      </c>
      <c r="BW407" s="130" t="s">
        <v>1189</v>
      </c>
      <c r="BX407"/>
    </row>
    <row r="408" spans="9:76" ht="12.75">
      <c r="I408" s="142"/>
      <c r="BP408" s="131">
        <f t="shared" si="42"/>
        <v>407</v>
      </c>
      <c r="BQ408" s="185" t="s">
        <v>596</v>
      </c>
      <c r="BR408" s="130" t="s">
        <v>178</v>
      </c>
      <c r="BS408" s="129" t="s">
        <v>179</v>
      </c>
      <c r="BT408" s="135" t="s">
        <v>180</v>
      </c>
      <c r="BU408" s="135"/>
      <c r="BV408" s="129">
        <v>1</v>
      </c>
      <c r="BW408" s="130" t="s">
        <v>1190</v>
      </c>
      <c r="BX408"/>
    </row>
    <row r="409" spans="9:76" ht="12.75">
      <c r="I409" s="142"/>
      <c r="BP409" s="131">
        <f t="shared" si="42"/>
        <v>408</v>
      </c>
      <c r="BQ409" s="185" t="s">
        <v>597</v>
      </c>
      <c r="BR409" s="130" t="s">
        <v>178</v>
      </c>
      <c r="BS409" s="129" t="s">
        <v>179</v>
      </c>
      <c r="BT409" s="135" t="s">
        <v>180</v>
      </c>
      <c r="BU409" s="135"/>
      <c r="BV409" s="129">
        <v>1</v>
      </c>
      <c r="BW409" s="130" t="s">
        <v>1191</v>
      </c>
      <c r="BX409"/>
    </row>
    <row r="410" spans="9:76">
      <c r="I410" s="142"/>
    </row>
    <row r="411" spans="9:76">
      <c r="I411" s="142"/>
    </row>
    <row r="412" spans="9:76">
      <c r="I412" s="142"/>
    </row>
    <row r="413" spans="9:76">
      <c r="I413" s="142"/>
    </row>
    <row r="414" spans="9:76">
      <c r="I414" s="142"/>
    </row>
    <row r="415" spans="9:76">
      <c r="I415" s="142"/>
    </row>
    <row r="416" spans="9:76">
      <c r="I416" s="142"/>
    </row>
    <row r="417" spans="9:9">
      <c r="I417" s="142"/>
    </row>
    <row r="418" spans="9:9">
      <c r="I418" s="142"/>
    </row>
    <row r="419" spans="9:9">
      <c r="I419" s="142"/>
    </row>
    <row r="420" spans="9:9">
      <c r="I420" s="142"/>
    </row>
    <row r="421" spans="9:9">
      <c r="I421" s="142"/>
    </row>
    <row r="422" spans="9:9">
      <c r="I422" s="142"/>
    </row>
    <row r="423" spans="9:9">
      <c r="I423" s="142"/>
    </row>
    <row r="424" spans="9:9">
      <c r="I424" s="142"/>
    </row>
    <row r="425" spans="9:9">
      <c r="I425" s="142"/>
    </row>
    <row r="426" spans="9:9">
      <c r="I426" s="142"/>
    </row>
    <row r="427" spans="9:9">
      <c r="I427" s="142"/>
    </row>
    <row r="428" spans="9:9">
      <c r="I428" s="142"/>
    </row>
    <row r="429" spans="9:9">
      <c r="I429" s="142"/>
    </row>
    <row r="430" spans="9:9">
      <c r="I430" s="142"/>
    </row>
    <row r="431" spans="9:9">
      <c r="I431" s="142"/>
    </row>
    <row r="432" spans="9:9">
      <c r="I432" s="142"/>
    </row>
    <row r="433" spans="9:9">
      <c r="I433" s="142"/>
    </row>
    <row r="434" spans="9:9">
      <c r="I434" s="142"/>
    </row>
    <row r="435" spans="9:9">
      <c r="I435" s="142"/>
    </row>
    <row r="436" spans="9:9">
      <c r="I436" s="142"/>
    </row>
    <row r="437" spans="9:9">
      <c r="I437" s="142"/>
    </row>
    <row r="438" spans="9:9">
      <c r="I438" s="142"/>
    </row>
    <row r="439" spans="9:9">
      <c r="I439" s="142"/>
    </row>
    <row r="440" spans="9:9">
      <c r="I440" s="142"/>
    </row>
    <row r="441" spans="9:9">
      <c r="I441" s="142"/>
    </row>
    <row r="442" spans="9:9">
      <c r="I442" s="142"/>
    </row>
    <row r="443" spans="9:9">
      <c r="I443" s="142"/>
    </row>
    <row r="444" spans="9:9">
      <c r="I444" s="142"/>
    </row>
    <row r="445" spans="9:9">
      <c r="I445" s="142"/>
    </row>
    <row r="446" spans="9:9">
      <c r="I446" s="142"/>
    </row>
    <row r="447" spans="9:9">
      <c r="I447" s="142"/>
    </row>
    <row r="448" spans="9:9">
      <c r="I448" s="142"/>
    </row>
    <row r="449" spans="9:9">
      <c r="I449" s="142"/>
    </row>
    <row r="450" spans="9:9">
      <c r="I450" s="142"/>
    </row>
    <row r="451" spans="9:9">
      <c r="I451" s="142"/>
    </row>
    <row r="452" spans="9:9">
      <c r="I452" s="142"/>
    </row>
    <row r="453" spans="9:9">
      <c r="I453" s="142"/>
    </row>
    <row r="454" spans="9:9">
      <c r="I454" s="142"/>
    </row>
    <row r="455" spans="9:9">
      <c r="I455" s="142"/>
    </row>
    <row r="456" spans="9:9">
      <c r="I456" s="142"/>
    </row>
    <row r="457" spans="9:9">
      <c r="I457" s="142"/>
    </row>
    <row r="458" spans="9:9">
      <c r="I458" s="142"/>
    </row>
    <row r="459" spans="9:9">
      <c r="I459" s="142"/>
    </row>
    <row r="460" spans="9:9">
      <c r="I460" s="142"/>
    </row>
    <row r="461" spans="9:9">
      <c r="I461" s="142"/>
    </row>
    <row r="462" spans="9:9">
      <c r="I462" s="142"/>
    </row>
    <row r="463" spans="9:9">
      <c r="I463" s="142"/>
    </row>
    <row r="464" spans="9:9">
      <c r="I464" s="142"/>
    </row>
    <row r="465" spans="9:9">
      <c r="I465" s="142"/>
    </row>
    <row r="466" spans="9:9">
      <c r="I466" s="142"/>
    </row>
    <row r="467" spans="9:9">
      <c r="I467" s="142"/>
    </row>
    <row r="468" spans="9:9">
      <c r="I468" s="142"/>
    </row>
    <row r="469" spans="9:9">
      <c r="I469" s="142"/>
    </row>
    <row r="470" spans="9:9">
      <c r="I470" s="142"/>
    </row>
    <row r="471" spans="9:9">
      <c r="I471" s="142"/>
    </row>
    <row r="472" spans="9:9">
      <c r="I472" s="142"/>
    </row>
    <row r="473" spans="9:9">
      <c r="I473" s="142"/>
    </row>
    <row r="474" spans="9:9">
      <c r="I474" s="142"/>
    </row>
    <row r="475" spans="9:9">
      <c r="I475" s="142"/>
    </row>
    <row r="476" spans="9:9">
      <c r="I476" s="142"/>
    </row>
    <row r="477" spans="9:9">
      <c r="I477" s="142"/>
    </row>
    <row r="478" spans="9:9">
      <c r="I478" s="142"/>
    </row>
    <row r="479" spans="9:9">
      <c r="I479" s="142"/>
    </row>
    <row r="480" spans="9:9">
      <c r="I480" s="142"/>
    </row>
    <row r="481" spans="9:9">
      <c r="I481" s="142"/>
    </row>
    <row r="482" spans="9:9">
      <c r="I482" s="142"/>
    </row>
    <row r="483" spans="9:9">
      <c r="I483" s="142"/>
    </row>
    <row r="484" spans="9:9">
      <c r="I484" s="142"/>
    </row>
    <row r="485" spans="9:9">
      <c r="I485" s="142"/>
    </row>
    <row r="486" spans="9:9">
      <c r="I486" s="142"/>
    </row>
  </sheetData>
  <pageMargins left="0.2" right="0.23" top="0.17" bottom="0.19" header="0.17" footer="0.19"/>
  <pageSetup scale="7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LoadInTheCurves">
                <anchor moveWithCells="1" sizeWithCells="1">
                  <from>
                    <xdr:col>1</xdr:col>
                    <xdr:colOff>571500</xdr:colOff>
                    <xdr:row>4</xdr:row>
                    <xdr:rowOff>114300</xdr:rowOff>
                  </from>
                  <to>
                    <xdr:col>3</xdr:col>
                    <xdr:colOff>723900</xdr:colOff>
                    <xdr:row>6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W10838"/>
  <sheetViews>
    <sheetView zoomScale="75" workbookViewId="0">
      <pane xSplit="1" ySplit="3" topLeftCell="BK9" activePane="bottomRight" state="frozen"/>
      <selection pane="topRight" activeCell="B1" sqref="B1"/>
      <selection pane="bottomLeft" activeCell="A4" sqref="A4"/>
      <selection pane="bottomRight" activeCell="BS22" sqref="BS22"/>
    </sheetView>
  </sheetViews>
  <sheetFormatPr defaultRowHeight="12.75"/>
  <cols>
    <col min="1" max="1" width="7.140625" bestFit="1" customWidth="1"/>
    <col min="2" max="2" width="5" bestFit="1" customWidth="1"/>
    <col min="3" max="3" width="10.140625" customWidth="1"/>
    <col min="4" max="4" width="5.42578125" bestFit="1" customWidth="1"/>
    <col min="5" max="5" width="9" customWidth="1"/>
    <col min="6" max="6" width="7.7109375" bestFit="1" customWidth="1"/>
    <col min="7" max="7" width="7.7109375" customWidth="1"/>
    <col min="8" max="8" width="11.5703125" bestFit="1" customWidth="1"/>
    <col min="9" max="9" width="10" bestFit="1" customWidth="1"/>
    <col min="10" max="10" width="12.42578125" bestFit="1" customWidth="1"/>
    <col min="11" max="11" width="10" customWidth="1"/>
    <col min="12" max="12" width="12.42578125" bestFit="1" customWidth="1"/>
    <col min="13" max="13" width="10" customWidth="1"/>
    <col min="14" max="14" width="12.42578125" bestFit="1" customWidth="1"/>
    <col min="15" max="15" width="12.28515625" bestFit="1" customWidth="1"/>
    <col min="16" max="16" width="10" bestFit="1" customWidth="1"/>
    <col min="17" max="17" width="12.42578125" bestFit="1" customWidth="1"/>
    <col min="18" max="18" width="10" bestFit="1" customWidth="1"/>
    <col min="19" max="19" width="12.42578125" bestFit="1" customWidth="1"/>
    <col min="20" max="20" width="10" bestFit="1" customWidth="1"/>
    <col min="21" max="21" width="12.42578125" bestFit="1" customWidth="1"/>
    <col min="22" max="22" width="12.28515625" bestFit="1" customWidth="1"/>
    <col min="23" max="23" width="11.140625" bestFit="1" customWidth="1"/>
    <col min="24" max="24" width="13.85546875" bestFit="1" customWidth="1"/>
    <col min="25" max="25" width="11.140625" bestFit="1" customWidth="1"/>
    <col min="26" max="26" width="13.85546875" bestFit="1" customWidth="1"/>
    <col min="27" max="27" width="11.140625" bestFit="1" customWidth="1"/>
    <col min="28" max="28" width="12.42578125" bestFit="1" customWidth="1"/>
    <col min="29" max="29" width="12.28515625" bestFit="1" customWidth="1"/>
    <col min="30" max="34" width="4.28515625" bestFit="1" customWidth="1"/>
    <col min="35" max="35" width="4.5703125" customWidth="1"/>
    <col min="36" max="36" width="5.140625" bestFit="1" customWidth="1"/>
    <col min="37" max="38" width="4.140625" bestFit="1" customWidth="1"/>
    <col min="39" max="39" width="3.140625" bestFit="1" customWidth="1"/>
    <col min="40" max="40" width="3" bestFit="1" customWidth="1"/>
    <col min="41" max="41" width="3.140625" customWidth="1"/>
    <col min="42" max="42" width="5.85546875" customWidth="1"/>
    <col min="43" max="43" width="4.140625" bestFit="1" customWidth="1"/>
    <col min="44" max="44" width="10" customWidth="1"/>
    <col min="45" max="46" width="4.5703125" bestFit="1" customWidth="1"/>
    <col min="47" max="47" width="4.42578125" bestFit="1" customWidth="1"/>
    <col min="48" max="48" width="3.7109375" bestFit="1" customWidth="1"/>
    <col min="49" max="49" width="5.140625" bestFit="1" customWidth="1"/>
    <col min="50" max="50" width="3.7109375" bestFit="1" customWidth="1"/>
    <col min="51" max="51" width="3" bestFit="1" customWidth="1"/>
    <col min="52" max="52" width="10" customWidth="1"/>
    <col min="53" max="53" width="8.28515625" style="4" customWidth="1"/>
    <col min="54" max="54" width="12" style="4" customWidth="1"/>
    <col min="55" max="55" width="12.42578125" style="4" customWidth="1"/>
    <col min="56" max="56" width="11.140625" style="4" customWidth="1"/>
    <col min="57" max="57" width="12.42578125" style="4" customWidth="1"/>
    <col min="58" max="58" width="11.140625" style="4" customWidth="1"/>
    <col min="59" max="59" width="12.42578125" customWidth="1"/>
    <col min="60" max="65" width="12.28515625" customWidth="1"/>
    <col min="67" max="67" width="9.28515625" customWidth="1"/>
    <col min="69" max="69" width="8.7109375" bestFit="1" customWidth="1"/>
    <col min="70" max="70" width="8" bestFit="1" customWidth="1"/>
    <col min="72" max="72" width="11.5703125" bestFit="1" customWidth="1"/>
    <col min="73" max="73" width="9.5703125" customWidth="1"/>
  </cols>
  <sheetData>
    <row r="1" spans="1:75">
      <c r="A1" s="411" t="s">
        <v>1287</v>
      </c>
      <c r="B1" s="412"/>
      <c r="C1" s="412"/>
      <c r="D1" s="412"/>
      <c r="E1" s="412"/>
      <c r="F1" s="412"/>
      <c r="G1" s="412"/>
      <c r="H1" s="413"/>
      <c r="I1" s="419" t="s">
        <v>1300</v>
      </c>
      <c r="J1" s="420"/>
      <c r="K1" s="420"/>
      <c r="L1" s="420"/>
      <c r="M1" s="420"/>
      <c r="N1" s="420"/>
      <c r="O1" s="421"/>
      <c r="P1" s="422" t="s">
        <v>1340</v>
      </c>
      <c r="Q1" s="423"/>
      <c r="R1" s="423"/>
      <c r="S1" s="423"/>
      <c r="T1" s="423"/>
      <c r="U1" s="423"/>
      <c r="V1" s="424"/>
      <c r="W1" s="425" t="s">
        <v>1343</v>
      </c>
      <c r="X1" s="412"/>
      <c r="Y1" s="412"/>
      <c r="Z1" s="412"/>
      <c r="AA1" s="412"/>
      <c r="AB1" s="412"/>
      <c r="AC1" s="412"/>
      <c r="AD1" s="426" t="s">
        <v>1301</v>
      </c>
      <c r="AE1" s="427"/>
      <c r="AF1" s="427"/>
      <c r="AG1" s="427"/>
      <c r="AH1" s="427"/>
      <c r="AI1" s="427"/>
      <c r="AJ1" s="428"/>
      <c r="AK1" s="426" t="s">
        <v>1302</v>
      </c>
      <c r="AL1" s="412"/>
      <c r="AM1" s="412"/>
      <c r="AN1" s="412"/>
      <c r="AO1" s="412"/>
      <c r="AP1" s="412"/>
      <c r="AQ1" s="412"/>
      <c r="AR1" s="412"/>
      <c r="AS1" s="412"/>
      <c r="AT1" s="412"/>
      <c r="AU1" s="412"/>
      <c r="AV1" s="412"/>
      <c r="AW1" s="412"/>
      <c r="AX1" s="412"/>
      <c r="AY1" s="412"/>
      <c r="AZ1" s="413"/>
      <c r="BA1" s="418" t="s">
        <v>1359</v>
      </c>
      <c r="BB1" s="412"/>
      <c r="BC1" s="412"/>
      <c r="BD1" s="412"/>
      <c r="BE1" s="412"/>
      <c r="BF1" s="412"/>
      <c r="BG1" s="412"/>
      <c r="BH1" s="412"/>
      <c r="BI1" s="413"/>
      <c r="BJ1" s="414" t="s">
        <v>1324</v>
      </c>
      <c r="BK1" s="412"/>
      <c r="BL1" s="412"/>
      <c r="BM1" s="413"/>
      <c r="BN1" s="415" t="s">
        <v>1375</v>
      </c>
      <c r="BO1" s="416"/>
      <c r="BP1" s="416"/>
      <c r="BQ1" s="416"/>
      <c r="BR1" s="416"/>
      <c r="BS1" s="416"/>
      <c r="BT1" s="416"/>
      <c r="BU1" s="416"/>
      <c r="BV1" s="416"/>
      <c r="BW1" s="417"/>
    </row>
    <row r="2" spans="1:75" s="240" customFormat="1" ht="11.25">
      <c r="A2" s="246"/>
      <c r="B2" s="246"/>
      <c r="C2" s="246"/>
      <c r="D2" s="246"/>
      <c r="E2" s="305" t="s">
        <v>1342</v>
      </c>
      <c r="F2" s="246"/>
      <c r="G2" s="247" t="s">
        <v>1393</v>
      </c>
      <c r="H2" s="247" t="s">
        <v>1257</v>
      </c>
      <c r="I2" s="253" t="s">
        <v>1288</v>
      </c>
      <c r="J2" s="253" t="s">
        <v>1288</v>
      </c>
      <c r="K2" s="254" t="s">
        <v>1273</v>
      </c>
      <c r="L2" s="254" t="s">
        <v>1273</v>
      </c>
      <c r="M2" s="254" t="s">
        <v>1274</v>
      </c>
      <c r="N2" s="254" t="s">
        <v>1274</v>
      </c>
      <c r="O2" s="254" t="s">
        <v>1291</v>
      </c>
      <c r="P2" s="257" t="s">
        <v>1288</v>
      </c>
      <c r="Q2" s="257" t="s">
        <v>1288</v>
      </c>
      <c r="R2" s="258" t="s">
        <v>1273</v>
      </c>
      <c r="S2" s="258" t="s">
        <v>1273</v>
      </c>
      <c r="T2" s="258" t="s">
        <v>1274</v>
      </c>
      <c r="U2" s="258" t="s">
        <v>1274</v>
      </c>
      <c r="V2" s="258" t="s">
        <v>1291</v>
      </c>
      <c r="W2" s="260" t="s">
        <v>1288</v>
      </c>
      <c r="X2" s="260" t="s">
        <v>1288</v>
      </c>
      <c r="Y2" s="260" t="s">
        <v>1273</v>
      </c>
      <c r="Z2" s="260" t="s">
        <v>1273</v>
      </c>
      <c r="AA2" s="260" t="s">
        <v>1274</v>
      </c>
      <c r="AB2" s="260" t="s">
        <v>1274</v>
      </c>
      <c r="AC2" s="260" t="s">
        <v>1291</v>
      </c>
      <c r="AD2" s="269"/>
      <c r="AE2" s="269"/>
      <c r="AF2" s="269"/>
      <c r="AG2" s="269"/>
      <c r="AH2" s="269"/>
      <c r="AI2" s="270" t="s">
        <v>1303</v>
      </c>
      <c r="AJ2" s="264">
        <v>100</v>
      </c>
      <c r="AK2" s="269"/>
      <c r="AL2" s="269"/>
      <c r="AM2" s="269"/>
      <c r="AN2" s="269"/>
      <c r="AO2" s="270" t="s">
        <v>1302</v>
      </c>
      <c r="AP2" s="264">
        <v>1400</v>
      </c>
      <c r="AQ2" s="269"/>
      <c r="AR2" s="269" t="s">
        <v>1292</v>
      </c>
      <c r="AS2" s="286"/>
      <c r="AT2" s="286"/>
      <c r="AU2" s="286"/>
      <c r="AV2" s="286"/>
      <c r="AW2" s="286"/>
      <c r="AX2" s="286"/>
      <c r="AY2" s="286"/>
      <c r="AZ2" s="286" t="s">
        <v>1276</v>
      </c>
      <c r="BA2" s="266"/>
      <c r="BB2" s="265" t="s">
        <v>1288</v>
      </c>
      <c r="BC2" s="265" t="s">
        <v>1288</v>
      </c>
      <c r="BD2" s="265" t="s">
        <v>1273</v>
      </c>
      <c r="BE2" s="265" t="s">
        <v>1273</v>
      </c>
      <c r="BF2" s="265" t="s">
        <v>1274</v>
      </c>
      <c r="BG2" s="265" t="s">
        <v>1274</v>
      </c>
      <c r="BH2" s="265" t="s">
        <v>1291</v>
      </c>
      <c r="BI2" s="265" t="s">
        <v>1276</v>
      </c>
      <c r="BJ2" s="295" t="s">
        <v>1325</v>
      </c>
      <c r="BK2" s="295" t="s">
        <v>1326</v>
      </c>
      <c r="BL2" s="295" t="s">
        <v>1252</v>
      </c>
      <c r="BM2" s="295" t="s">
        <v>1393</v>
      </c>
      <c r="BN2" s="307" t="s">
        <v>1299</v>
      </c>
      <c r="BO2" s="307" t="s">
        <v>1299</v>
      </c>
      <c r="BP2" s="307" t="s">
        <v>1299</v>
      </c>
      <c r="BQ2" s="307" t="s">
        <v>16</v>
      </c>
      <c r="BR2" s="307" t="s">
        <v>16</v>
      </c>
      <c r="BS2" s="307" t="s">
        <v>16</v>
      </c>
      <c r="BT2" s="307" t="s">
        <v>1308</v>
      </c>
      <c r="BU2" s="307" t="s">
        <v>1336</v>
      </c>
      <c r="BV2" s="307" t="s">
        <v>1309</v>
      </c>
      <c r="BW2" s="307" t="s">
        <v>1311</v>
      </c>
    </row>
    <row r="3" spans="1:75" s="240" customFormat="1" ht="11.25">
      <c r="A3" s="247" t="s">
        <v>1251</v>
      </c>
      <c r="B3" s="247" t="s">
        <v>1297</v>
      </c>
      <c r="C3" s="247" t="s">
        <v>16</v>
      </c>
      <c r="D3" s="247" t="s">
        <v>61</v>
      </c>
      <c r="E3" s="247" t="s">
        <v>1341</v>
      </c>
      <c r="F3" s="247" t="s">
        <v>1252</v>
      </c>
      <c r="G3" s="247" t="s">
        <v>36</v>
      </c>
      <c r="H3" s="247" t="s">
        <v>1258</v>
      </c>
      <c r="I3" s="253" t="s">
        <v>1270</v>
      </c>
      <c r="J3" s="253" t="s">
        <v>1289</v>
      </c>
      <c r="K3" s="254" t="s">
        <v>1270</v>
      </c>
      <c r="L3" s="254" t="s">
        <v>1289</v>
      </c>
      <c r="M3" s="254" t="s">
        <v>1270</v>
      </c>
      <c r="N3" s="254" t="s">
        <v>1289</v>
      </c>
      <c r="O3" s="254" t="s">
        <v>1290</v>
      </c>
      <c r="P3" s="257" t="s">
        <v>1270</v>
      </c>
      <c r="Q3" s="257" t="s">
        <v>1289</v>
      </c>
      <c r="R3" s="258" t="s">
        <v>1270</v>
      </c>
      <c r="S3" s="258" t="s">
        <v>1289</v>
      </c>
      <c r="T3" s="258" t="s">
        <v>1270</v>
      </c>
      <c r="U3" s="258" t="s">
        <v>1289</v>
      </c>
      <c r="V3" s="258" t="s">
        <v>1290</v>
      </c>
      <c r="W3" s="260" t="s">
        <v>1270</v>
      </c>
      <c r="X3" s="260" t="s">
        <v>1289</v>
      </c>
      <c r="Y3" s="260" t="s">
        <v>1270</v>
      </c>
      <c r="Z3" s="260" t="s">
        <v>1289</v>
      </c>
      <c r="AA3" s="260" t="s">
        <v>1270</v>
      </c>
      <c r="AB3" s="260" t="s">
        <v>1289</v>
      </c>
      <c r="AC3" s="260" t="s">
        <v>1290</v>
      </c>
      <c r="AD3" s="269"/>
      <c r="AE3" s="269"/>
      <c r="AF3" s="269"/>
      <c r="AG3" s="269"/>
      <c r="AH3" s="269"/>
      <c r="AI3" s="269"/>
      <c r="AJ3" s="269"/>
      <c r="AK3" s="269"/>
      <c r="AL3" s="269"/>
      <c r="AM3" s="269"/>
      <c r="AN3" s="269"/>
      <c r="AO3" s="270"/>
      <c r="AP3" s="269"/>
      <c r="AQ3" s="269"/>
      <c r="AR3" s="269" t="s">
        <v>1297</v>
      </c>
      <c r="AS3" s="286"/>
      <c r="AT3" s="286"/>
      <c r="AU3" s="286"/>
      <c r="AV3" s="286"/>
      <c r="AW3" s="286"/>
      <c r="AX3" s="286"/>
      <c r="AY3" s="286"/>
      <c r="AZ3" s="286" t="s">
        <v>1292</v>
      </c>
      <c r="BA3" s="265" t="s">
        <v>1298</v>
      </c>
      <c r="BB3" s="265" t="s">
        <v>1270</v>
      </c>
      <c r="BC3" s="265" t="s">
        <v>1289</v>
      </c>
      <c r="BD3" s="265" t="s">
        <v>1270</v>
      </c>
      <c r="BE3" s="265" t="s">
        <v>1289</v>
      </c>
      <c r="BF3" s="265" t="s">
        <v>1270</v>
      </c>
      <c r="BG3" s="265" t="s">
        <v>1289</v>
      </c>
      <c r="BH3" s="265" t="s">
        <v>1290</v>
      </c>
      <c r="BI3" s="265" t="s">
        <v>1322</v>
      </c>
      <c r="BJ3" s="295" t="s">
        <v>1321</v>
      </c>
      <c r="BK3" s="295" t="s">
        <v>1327</v>
      </c>
      <c r="BL3" s="295" t="s">
        <v>1327</v>
      </c>
      <c r="BM3" s="295" t="s">
        <v>36</v>
      </c>
      <c r="BN3" s="307" t="s">
        <v>1281</v>
      </c>
      <c r="BO3" s="307" t="s">
        <v>1282</v>
      </c>
      <c r="BP3" s="307" t="s">
        <v>1283</v>
      </c>
      <c r="BQ3" s="307" t="s">
        <v>1281</v>
      </c>
      <c r="BR3" s="307" t="s">
        <v>1306</v>
      </c>
      <c r="BS3" s="307" t="s">
        <v>1307</v>
      </c>
      <c r="BT3" s="307" t="s">
        <v>28</v>
      </c>
      <c r="BU3" s="307" t="s">
        <v>1271</v>
      </c>
      <c r="BV3" s="307" t="s">
        <v>1310</v>
      </c>
      <c r="BW3" s="307" t="s">
        <v>35</v>
      </c>
    </row>
    <row r="4" spans="1:75">
      <c r="A4" s="248">
        <f>Inputs!K2</f>
        <v>36892</v>
      </c>
      <c r="B4" s="262">
        <f>IF(A4="N/A"," ",YEAR(A4))</f>
        <v>2001</v>
      </c>
      <c r="C4" s="249">
        <f ca="1">IF(A4="N/A"," ",VLOOKUP(A4,ScaledPrice,10))</f>
        <v>4.4749999999999996</v>
      </c>
      <c r="D4" s="250">
        <f>IF(A4="N/A"," ",(VLOOKUP(MONTH($A4),Inputs!$A$14:$B$25,2))/1000)</f>
        <v>10.5</v>
      </c>
      <c r="E4" s="304">
        <f ca="1">IF($A4="N/A"," ",C4*D4)</f>
        <v>46.987499999999997</v>
      </c>
      <c r="F4" s="251">
        <f>IF(A4="N/A"," ",Inputs!$F$6)</f>
        <v>2</v>
      </c>
      <c r="G4" s="251">
        <f ca="1">IF(A4="N/A"," ",Inputs!$F$9/IF(AND('Pricing Inputs'!$AQ$3&gt;=4,'Pricing Inputs'!$AQ$3&lt;=6),16,IF(AND('Pricing Inputs'!$AQ$3&gt;=7,'Pricing Inputs'!$AQ$3&lt;=9),8,24))/(BA4/BW4))</f>
        <v>0</v>
      </c>
      <c r="H4" s="252">
        <f ca="1">IF(A4="N/A"," ",(C4*D4)+F4+G4)</f>
        <v>48.987499999999997</v>
      </c>
      <c r="I4" s="255">
        <f>VLOOKUP(A4,ScaledPrice,(IF(AND('Pricing Inputs'!$AQ$3&gt;=1,'Pricing Inputs'!$AQ$3&lt;=6),2,4)))</f>
        <v>36.342966342428966</v>
      </c>
      <c r="J4" s="255">
        <f>IF(A4="N/A"," ",IF(AND('Pricing Inputs'!$AQ$3&gt;=1,'Pricing Inputs'!$AQ$3&lt;=6),I4,(VLOOKUP(A4,ScaledPrice,2))*(2-(VLOOKUP(A4,ScaledPrice,3)))))</f>
        <v>38.657033657571034</v>
      </c>
      <c r="K4" s="255">
        <f>IF(A4="N/A"," ",IF(OR('Pricing Inputs'!$AQ$3=2,'Pricing Inputs'!$AQ$3=3,'Pricing Inputs'!$AQ$3=5,'Pricing Inputs'!$AQ$3=6,'Pricing Inputs'!$AQ$3=8,'Pricing Inputs'!$AQ$3=9),VLOOKUP(A4,ScaledPrice,IF(AND('Pricing Inputs'!$AQ$3&gt;=2,'Pricing Inputs'!$AQ$3&lt;=6),5,6)),0))</f>
        <v>27.86172824727819</v>
      </c>
      <c r="L4" s="255">
        <f>IF(A4="N/A"," ",IF(OR('Pricing Inputs'!$AQ$3=2,'Pricing Inputs'!$AQ$3=3,'Pricing Inputs'!$AQ$3=5,'Pricing Inputs'!$AQ$3=6,'Pricing Inputs'!$AQ$3=8,'Pricing Inputs'!$AQ$3=9),IF(AND('Pricing Inputs'!$AQ$3&gt;=2,'Pricing Inputs'!$AQ$3&lt;=6),K4,(VLOOKUP(A4,ScaledPrice,5))*(2-(VLOOKUP(A4,ScaledPrice,3)))),0))</f>
        <v>29.63576931131556</v>
      </c>
      <c r="M4" s="255">
        <f>IF(A4="N/A"," ",IF(OR('Pricing Inputs'!$AQ$3=3,'Pricing Inputs'!$AQ$3=6,'Pricing Inputs'!$AQ$3=9),(VLOOKUP(A4,ScaledPrice,IF(AND('Pricing Inputs'!$AQ$3&gt;=3,'Pricing Inputs'!$AQ$3&lt;=6),7,8))),0))</f>
        <v>26.411645590834226</v>
      </c>
      <c r="N4" s="255">
        <f>IF(A4="N/A"," ",IF(OR('Pricing Inputs'!$AQ$3=3,'Pricing Inputs'!$AQ$3=6,'Pricing Inputs'!$AQ$3=9),IF(AND('Pricing Inputs'!$AQ$3&gt;=3,'Pricing Inputs'!$AQ$3&lt;=6),M4,(VLOOKUP(A4,ScaledPrice,7))*(2-(VLOOKUP(A4,ScaledPrice,3)))),0))</f>
        <v>28.093355477281008</v>
      </c>
      <c r="O4" s="255">
        <f>IF(A4="N/A"," ",IF(AND('Pricing Inputs'!$AQ$3&gt;=1,'Pricing Inputs'!$AQ$3&lt;=3),VLOOKUP(A4,ScaledPrice,9),0))</f>
        <v>0</v>
      </c>
      <c r="P4" s="320">
        <f ca="1">IF($A4="N/A"," ",IF('Pricing Inputs'!$AN$8=2,(I4-H4),IF('Pricing Inputs'!$AN$3=2,IF((I4-$H4)&gt;0,I4-$H4,0),(_xll.xSPRDOPT(I4,$E4,$BU4,0,$BP4,$BS4,$BT4,($A4-Inputs!$D$1)+15,1,0)))))</f>
        <v>0.42764166067992931</v>
      </c>
      <c r="Q4" s="320">
        <f ca="1">IF($A4="N/A"," ",IF('Pricing Inputs'!$AN$8=2,(J4-$H4),IF('Pricing Inputs'!$AN$3=2,IF((J4-$H4)&gt;0,J4-$H4,0),(_xll.xSPRDOPT(J4,$E4,$BU4,0,$BP4,$BS4,$BT4,($A4-Inputs!$D$1)+15,1,0)))))</f>
        <v>0.75531939694713235</v>
      </c>
      <c r="R4" s="320">
        <f ca="1">IF($A4="N/A"," ",IF('Pricing Inputs'!$AN$8=2,(K4-$H4),IF('Pricing Inputs'!$AN$3=2,IF((K4-$H4)&gt;0,K4-$H4,0),(_xll.xSPRDOPT(K4,$E4,$BU4,0,$BP4,$BS4,$BT4,($A4-Inputs!$D$1)+15,1,0)))))</f>
        <v>1.9865915613465859E-2</v>
      </c>
      <c r="S4" s="320">
        <f ca="1">IF($A4="N/A"," ",IF('Pricing Inputs'!$AN$8=2,(L4-$H4),IF('Pricing Inputs'!$AN$3=2,IF((L4-$H4)&gt;0,L4-$H4,0),(_xll.xSPRDOPT(L4,$E4,$BU4,0,$BP4,$BS4,$BT4,($A4-Inputs!$D$1)+15,1,0)))))</f>
        <v>4.4503705435334683E-2</v>
      </c>
      <c r="T4" s="320">
        <f ca="1">IF($A4="N/A"," ",IF('Pricing Inputs'!$AN$8=2,(M4-$H4),IF('Pricing Inputs'!$AN$3=2,IF((M4-$H4)&gt;0,M4-$H4,0),(_xll.xSPRDOPT(M4,$E4,$BU4,0,$BP4,$BS4,$BT4,($A4-Inputs!$D$1)+15,1,0)))))</f>
        <v>9.4213340702777194E-3</v>
      </c>
      <c r="U4" s="320">
        <f ca="1">IF($A4="N/A"," ",IF('Pricing Inputs'!$AN$8=2,(N4-$H4),IF('Pricing Inputs'!$AN$3=2,IF((N4-$H4)&gt;0,N4-$H4,0),(_xll.xSPRDOPT(N4,$E4,$BU4,0,$BP4,$BS4,$BT4,($A4-Inputs!$D$1)+15,1,0)))))</f>
        <v>2.2210954633863782E-2</v>
      </c>
      <c r="V4" s="259">
        <f ca="1">IF($A4="N/A"," ",(IF('Pricing Inputs'!$AN$8=2,(O4-$H4),IF((O4-$H4)&lt;=0,0,(O4-$H4)))))</f>
        <v>0</v>
      </c>
      <c r="W4" s="306">
        <f ca="1">IF($A4="N/A"," ",IF(0&lt;&gt;P4,IF('Pricing Inputs'!$AN$3=2,8*VLOOKUP($A4,NumberofDaysTable,2),(_xll.xSPRDOPT(I4,$E4,$BU4,0,$BP4,$BS4,$BT4,$A4-Inputs!$D$1,1,1))*(8*VLOOKUP($A4,NumberofDaysTable,2))),0))</f>
        <v>18.791999192610191</v>
      </c>
      <c r="X4" s="306">
        <f ca="1">IF($A4="N/A"," ",IF(Q4&lt;&gt;0,IF('Pricing Inputs'!$AN$3=2,8*VLOOKUP($A4,NumberofDaysTable,2),(_xll.xSPRDOPT(J4,$E4,$BU4,0,$BP4,$BS4,$BT4,$A4-Inputs!$D$1,1,1))*(8*VLOOKUP($A4,NumberofDaysTable,2))),0))</f>
        <v>28.999087713794093</v>
      </c>
      <c r="Y4" s="306">
        <f ca="1">IF($A4="N/A"," ",IF(R4&lt;&gt;0,IF('Pricing Inputs'!$AN$3=2,8*VLOOKUP($A4,NumberofDaysTable,3),(_xll.xSPRDOPT(K4,$E4,$BU4,0,$BP4,$BS4,$BT4,$A4-Inputs!$D$1,1,1))*(8*VLOOKUP($A4,NumberofDaysTable,3))),0))</f>
        <v>0.26085856767178806</v>
      </c>
      <c r="Z4" s="306">
        <f ca="1">IF($A4="N/A"," ",IF(S4&lt;&gt;0,IF('Pricing Inputs'!$AN$3=2,8*VLOOKUP($A4,NumberofDaysTable,3),(_xll.xSPRDOPT(L4,$E4,$BU4,0,$BP4,$BS4,$BT4,$A4-Inputs!$D$1,1,1))*(8*VLOOKUP($A4,NumberofDaysTable,3))),0))</f>
        <v>0.52691259889359554</v>
      </c>
      <c r="AA4" s="306">
        <f ca="1">IF($A4="N/A"," ",IF(T4&lt;&gt;0,IF('Pricing Inputs'!$AN$3=2,8*VLOOKUP($A4,NumberofDaysTable,4),(_xll.xSPRDOPT(M4,$E4,$BU4,0,$BP4,$BS4,$BT4,$A4-Inputs!$D$1,1,1))*(8*VLOOKUP($A4,NumberofDaysTable,4))),0))</f>
        <v>0.13456668491530308</v>
      </c>
      <c r="AB4" s="306">
        <f ca="1">IF($A4="N/A"," ",IF(U4&lt;&gt;0,IF('Pricing Inputs'!$AN$3=2,8*VLOOKUP($A4,NumberofDaysTable,4),(_xll.xSPRDOPT(N4,$E4,$BU4,0,$BP4,$BS4,$BT4,$A4-Inputs!$D$1,1,1))*(8*VLOOKUP($A4,NumberofDaysTable,4))),0))</f>
        <v>0.28774555848730765</v>
      </c>
      <c r="AC4" s="306">
        <f ca="1">IF($A4="N/A"," ",(IF(V4&lt;&gt;0,(8*VLOOKUP($A4,NumberofDaysTable,6)),0)))</f>
        <v>0</v>
      </c>
      <c r="AD4" s="271">
        <f t="shared" ref="AD4:AJ4" ca="1" si="0">IF($A4="N/A"," ",RANK(P4,$P$4:$V$15))</f>
        <v>32</v>
      </c>
      <c r="AE4" s="272">
        <f t="shared" ca="1" si="0"/>
        <v>29</v>
      </c>
      <c r="AF4" s="272">
        <f t="shared" ca="1" si="0"/>
        <v>54</v>
      </c>
      <c r="AG4" s="272">
        <f t="shared" ca="1" si="0"/>
        <v>47</v>
      </c>
      <c r="AH4" s="272">
        <f t="shared" ca="1" si="0"/>
        <v>57</v>
      </c>
      <c r="AI4" s="272">
        <f t="shared" ca="1" si="0"/>
        <v>53</v>
      </c>
      <c r="AJ4" s="273">
        <f t="shared" ca="1" si="0"/>
        <v>73</v>
      </c>
      <c r="AK4" s="314">
        <f t="shared" ref="AK4:AK15" ca="1" si="1">IF($A4="N/A",0,IF(AD4&lt;=$AJ$2,W4,0))</f>
        <v>18.791999192610191</v>
      </c>
      <c r="AL4" s="313">
        <f t="shared" ref="AL4:AL15" ca="1" si="2">IF($A4="N/A",0,IF(AE4&lt;=$AJ$2,X4,0))</f>
        <v>28.999087713794093</v>
      </c>
      <c r="AM4" s="313">
        <f t="shared" ref="AM4:AM15" ca="1" si="3">IF($A4="N/A",0,IF(AF4&lt;=$AJ$2,Y4,0))</f>
        <v>0.26085856767178806</v>
      </c>
      <c r="AN4" s="313">
        <f t="shared" ref="AN4:AN15" ca="1" si="4">IF($A4="N/A",0,IF(AG4&lt;=$AJ$2,Z4,0))</f>
        <v>0.52691259889359554</v>
      </c>
      <c r="AO4" s="313">
        <f t="shared" ref="AO4:AO15" ca="1" si="5">IF($A4="N/A",0,IF(AH4&lt;=$AJ$2,AA4,0))</f>
        <v>0.13456668491530308</v>
      </c>
      <c r="AP4" s="313">
        <f t="shared" ref="AP4:AP15" ca="1" si="6">IF($A4="N/A",0,IF(AI4&lt;=$AJ$2,AB4,0))</f>
        <v>0.28774555848730765</v>
      </c>
      <c r="AQ4" s="313">
        <f t="shared" ref="AQ4:AQ15" ca="1" si="7">IF($A4="N/A",0,IF(AJ4&lt;=$AJ$2,AC4,0))</f>
        <v>0</v>
      </c>
      <c r="AR4" s="273"/>
      <c r="AS4" s="321">
        <f t="shared" ref="AS4:AS15" ca="1" si="8">IF($A4="N/A",0,IF(AND(AD4=$AJ$2+1,AK4=0),MIN($AR$15,W4),0))</f>
        <v>0</v>
      </c>
      <c r="AT4" s="322">
        <f t="shared" ref="AT4:AT15" ca="1" si="9">IF($A4="N/A",0,IF(AND(AE4=$AJ$2+1,AL4=0),MIN($AR$15,X4),0))</f>
        <v>0</v>
      </c>
      <c r="AU4" s="322">
        <f t="shared" ref="AU4:AU15" ca="1" si="10">IF($A4="N/A",0,IF(AND(AF4=$AJ$2+1,AM4=0),MIN($AR$15,Y4),0))</f>
        <v>0</v>
      </c>
      <c r="AV4" s="322">
        <f t="shared" ref="AV4:AV15" ca="1" si="11">IF($A4="N/A",0,IF(AND(AG4=$AJ$2+1,AN4=0),MIN($AR$15,Z4),0))</f>
        <v>0</v>
      </c>
      <c r="AW4" s="322">
        <f t="shared" ref="AW4:AW15" ca="1" si="12">IF($A4="N/A",0,IF(AND(AH4=$AJ$2+1,AO4=0),MIN($AR$15,AA4),0))</f>
        <v>0</v>
      </c>
      <c r="AX4" s="322">
        <f t="shared" ref="AX4:AX15" ca="1" si="13">IF($A4="N/A",0,IF(AND(AI4=$AJ$2+1,AP4=0),MIN($AR$15,AB4),0))</f>
        <v>0</v>
      </c>
      <c r="AY4" s="322">
        <f t="shared" ref="AY4:AY15" ca="1" si="14">IF($A4="N/A",0,IF(AND(AJ4=$AJ$2+1,AQ4=0),MIN($AR$15,AC4),0))</f>
        <v>0</v>
      </c>
      <c r="AZ4" s="329"/>
      <c r="BA4" s="267">
        <f ca="1">IF($A4="N/A"," ",(IF(MONTH(A4)&gt;=4,IF(MONTH(A4)&lt;=10,Inputs!$F$13,Inputs!$F$14),Inputs!$F$14))*$BW4)</f>
        <v>180</v>
      </c>
      <c r="BB4" s="268">
        <f ca="1">IF($A4="N/A"," ",(IF(AK4&gt;0,($BA4*(8*(VLOOKUP($A4,NumberofDaysTable,2)))*P4),0)+IF(AS4&gt;0,($BA4*((AS4))*P4),0)))</f>
        <v>13547.687810340161</v>
      </c>
      <c r="BC4" s="268">
        <f ca="1">IF($A4="N/A"," ",(IF(AL4&gt;0,($BA4*(8*(VLOOKUP($A4,NumberofDaysTable,2)))*Q4),0)+IF(AT4&gt;0,($BA4*((AT4))*Q4),0)))</f>
        <v>23928.518495285152</v>
      </c>
      <c r="BD4" s="268">
        <f ca="1">IF($A4="N/A"," ",(IF(AM4&gt;0,($BA4*(8*(VLOOKUP($A4,NumberofDaysTable,3)))*R4),0)+IF(AU4&gt;0,($BA4*((AU4))*R4),0)))</f>
        <v>114.42767393356336</v>
      </c>
      <c r="BE4" s="268">
        <f ca="1">IF($A4="N/A"," ",(IF(AN4&gt;0,($BA4*(8*(VLOOKUP($A4,NumberofDaysTable,3)))*S4),0)+IF(AV4&gt;0,($BA4*((AV4))*S4),0)))</f>
        <v>256.34134330752778</v>
      </c>
      <c r="BF4" s="268">
        <f ca="1">IF($A4="N/A"," ",(IF(AO4&gt;0,($BA4*(8*(VLOOKUP($A4,NumberofDaysTable,4)+VLOOKUP($A4,NumberofDaysTable,5)))*T4),0)+IF(AW4&gt;0,($BA4*((AW4))*T4),0)))</f>
        <v>67.833605305999583</v>
      </c>
      <c r="BG4" s="268">
        <f ca="1">IF($A4="N/A"," ",(IF(AP4&gt;0,($BA4*(8*(VLOOKUP($A4,NumberofDaysTable,4)+VLOOKUP($A4,NumberofDaysTable,5)))*U4),0)+IF(AX4&gt;0,($BA4*((AX4))*U4),0)))</f>
        <v>159.91887336381924</v>
      </c>
      <c r="BH4" s="268">
        <f ca="1">IF($A4="N/A"," ",($BA4*AQ4*V4))</f>
        <v>0</v>
      </c>
      <c r="BI4" s="268">
        <f ca="1">IF($A4="N/A"," ",SUM(BB4:BH4))</f>
        <v>38074.727801536217</v>
      </c>
      <c r="BJ4" s="296">
        <f ca="1">IF($A4="N/A"," ",(H4*(SUM($AK4:$AQ4)+SUM($AS4:$AY4))*$BA4))</f>
        <v>432080.06955719169</v>
      </c>
      <c r="BK4" s="296">
        <f ca="1">IF($A4="N/A"," ",((C4*D4)*(SUM($AK4:$AQ4)+SUM($AS4:$AY4))*$BA4))</f>
        <v>414439.64824329765</v>
      </c>
      <c r="BL4" s="296">
        <f ca="1">IF($A4="N/A"," ",(F4*(SUM($AK4:$AQ4)+SUM($AS4:$AY4))*$BA4))</f>
        <v>17640.421313894025</v>
      </c>
      <c r="BM4" s="296">
        <f ca="1">IF($A4="N/A"," ",(G4*(SUM($AK4:$AQ4)+SUM($AS4:$AY4))*$BA4))</f>
        <v>0</v>
      </c>
      <c r="BN4" s="405">
        <f>IF(A4="N/A"," ",(VLOOKUP(A4,PowerVolTable,(IF('Pricing Inputs'!$AT$3=2,7,IF('Pricing Inputs'!$AT$3=1,6,8))),FALSE)))</f>
        <v>0.28400000000000003</v>
      </c>
      <c r="BO4" s="405">
        <f>IF(A4="N/A"," ",(VLOOKUP(A4,IntraPowerVol,(IF('Pricing Inputs'!$AT$3=2,3,IF('Pricing Inputs'!$AT$3=1,2,4))),FALSE)*VLOOKUP(MONTH($A4),Inputs!$A$28:$B$39,2)))</f>
        <v>2.2999999999999998</v>
      </c>
      <c r="BP4" s="406">
        <f t="shared" ref="BP4:BP67" ca="1" si="15">IF($A4="N/A"," ",(IF(DateToday&gt;$A4,$BO4,((($BN4^2)*((($A4-1)-DateToday)/((EOMONTH($A4,0)+1)-DateToday-15)))+((($BO4)^2)*((15)/((EOMONTH($A4,0)+1)-DateToday-15))))^0.5)))</f>
        <v>0.56884159493184971</v>
      </c>
      <c r="BQ4" s="405">
        <f ca="1">IF($A4="N/A"," ",(VLOOKUP($A4,GasVolTable,(IF('Pricing Inputs'!$AT$3=2,6,IF('Pricing Inputs'!$AT$3=1,7,5))),FALSE)))</f>
        <v>0.39500000000000002</v>
      </c>
      <c r="BR4" s="405">
        <f ca="1">IF($A4="N/A"," ",(VLOOKUP($A4,OmicronVol,(IF('Pricing Inputs'!$AT$3=2,3,IF('Pricing Inputs'!$AT$3=1,4,2))),FALSE)))</f>
        <v>1.45</v>
      </c>
      <c r="BS4" s="406">
        <f ca="1">IF($A4="N/A"," ",IF('Pricing Inputs'!$AN$3=1,(IF(DateToday&gt;$A4,$BR4,((($BQ4^2)*((($A4-1)-DateToday)/((EOMONTH($A4,0)+1)-DateToday-15)))+((($BR4)^2)*((15)/((EOMONTH($A4,0)+1)-DateToday-15))))^0.5)),0.000001))</f>
        <v>0.49599360612902293</v>
      </c>
      <c r="BT4" s="405">
        <f>IF($A4="N/A"," ",IF('Pricing Inputs'!$AN$3=1,(VLOOKUP($A4,CorrelationTable,2,FALSE)),0))</f>
        <v>0.9</v>
      </c>
      <c r="BU4" s="407">
        <f ca="1">IF($A4="N/A"," ",F4+G4+(D4*(VLOOKUP($A4,'Gas Curves'!$B$17:$P$310,14,FALSE))))</f>
        <v>2.6825000000000001</v>
      </c>
      <c r="BV4" s="405">
        <f>IF($A4="N/A"," ",IF('Pricing Inputs'!$AW$3=1,0,(VLOOKUP($A4,InterestRatesTable,2))))</f>
        <v>0</v>
      </c>
      <c r="BW4" s="408">
        <f t="shared" ref="BW4:BW67" ca="1" si="16">IF($A4="N/A"," ",(1+BV4/2)^(-2*((EOMONTH(A4,0)+20)-DateToday)/365.25))</f>
        <v>1</v>
      </c>
    </row>
    <row r="5" spans="1:75">
      <c r="A5" s="248">
        <f>IF(A4="N/A","N/A",IF(EDATE(A4,1)&gt;Inputs!$K$3,"N/A",EDATE(A4,1)))</f>
        <v>36923</v>
      </c>
      <c r="B5" s="262">
        <f t="shared" ref="B5:B68" si="17">IF(A5="N/A"," ",YEAR(A5))</f>
        <v>2001</v>
      </c>
      <c r="C5" s="249">
        <f t="shared" ref="C5:C68" ca="1" si="18">IF(A5="N/A"," ",VLOOKUP(A5,ScaledPrice,10))</f>
        <v>4.335</v>
      </c>
      <c r="D5" s="250">
        <f>IF(A5="N/A"," ",(VLOOKUP(MONTH($A5),Inputs!$A$14:$B$25,2))/1000)</f>
        <v>10.5</v>
      </c>
      <c r="E5" s="304">
        <f t="shared" ref="E5:E68" ca="1" si="19">IF($A5="N/A"," ",C5*D5)</f>
        <v>45.517499999999998</v>
      </c>
      <c r="F5" s="251">
        <f>IF(A5="N/A"," ",Inputs!$F$6)</f>
        <v>2</v>
      </c>
      <c r="G5" s="251">
        <f ca="1">IF(A5="N/A"," ",Inputs!$F$9/IF(AND('Pricing Inputs'!$AQ$3&gt;=4,'Pricing Inputs'!$AQ$3&lt;=6),16,IF(AND('Pricing Inputs'!$AQ$3&gt;=7,'Pricing Inputs'!$AQ$3&lt;=9),8,24))/(BA5/BW5))</f>
        <v>0</v>
      </c>
      <c r="H5" s="252">
        <f t="shared" ref="H5:H68" ca="1" si="20">IF(A5="N/A"," ",(C5*D5)+F5+G5)</f>
        <v>47.517499999999998</v>
      </c>
      <c r="I5" s="255">
        <f>VLOOKUP(A5,ScaledPrice,(IF(AND('Pricing Inputs'!$AQ$3&gt;=1,'Pricing Inputs'!$AQ$3&lt;=6),2,4)))</f>
        <v>36.342966342428966</v>
      </c>
      <c r="J5" s="255">
        <f>IF(A5="N/A"," ",IF(AND('Pricing Inputs'!$AQ$3&gt;=1,'Pricing Inputs'!$AQ$3&lt;=6),I5,(VLOOKUP(A5,ScaledPrice,2))*(2-(VLOOKUP(A5,ScaledPrice,3)))))</f>
        <v>38.657033657571034</v>
      </c>
      <c r="K5" s="255">
        <f>IF(A5="N/A"," ",IF(OR('Pricing Inputs'!$AQ$3=2,'Pricing Inputs'!$AQ$3=3,'Pricing Inputs'!$AQ$3=5,'Pricing Inputs'!$AQ$3=6,'Pricing Inputs'!$AQ$3=8,'Pricing Inputs'!$AQ$3=9),VLOOKUP(A5,ScaledPrice,IF(AND('Pricing Inputs'!$AQ$3&gt;=2,'Pricing Inputs'!$AQ$3&lt;=6),5,6)),0))</f>
        <v>26.890160944643103</v>
      </c>
      <c r="L5" s="255">
        <f>IF(A5="N/A"," ",IF(OR('Pricing Inputs'!$AQ$3=2,'Pricing Inputs'!$AQ$3=3,'Pricing Inputs'!$AQ$3=5,'Pricing Inputs'!$AQ$3=6,'Pricing Inputs'!$AQ$3=8,'Pricing Inputs'!$AQ$3=9),IF(AND('Pricing Inputs'!$AQ$3&gt;=2,'Pricing Inputs'!$AQ$3&lt;=6),K5,(VLOOKUP(A5,ScaledPrice,5))*(2-(VLOOKUP(A5,ScaledPrice,3)))),0))</f>
        <v>28.602339360532678</v>
      </c>
      <c r="M5" s="255">
        <f>IF(A5="N/A"," ",IF(OR('Pricing Inputs'!$AQ$3=3,'Pricing Inputs'!$AQ$3=6,'Pricing Inputs'!$AQ$3=9),(VLOOKUP(A5,ScaledPrice,IF(AND('Pricing Inputs'!$AQ$3&gt;=3,'Pricing Inputs'!$AQ$3&lt;=6),7,8))),0))</f>
        <v>24.468507288566329</v>
      </c>
      <c r="N5" s="255">
        <f>IF(A5="N/A"," ",IF(OR('Pricing Inputs'!$AQ$3=3,'Pricing Inputs'!$AQ$3=6,'Pricing Inputs'!$AQ$3=9),IF(AND('Pricing Inputs'!$AQ$3&gt;=3,'Pricing Inputs'!$AQ$3&lt;=6),M5,(VLOOKUP(A5,ScaledPrice,7))*(2-(VLOOKUP(A5,ScaledPrice,3)))),0))</f>
        <v>26.026491643318437</v>
      </c>
      <c r="O5" s="255">
        <f>IF(A5="N/A"," ",IF(AND('Pricing Inputs'!$AQ$3&gt;=1,'Pricing Inputs'!$AQ$3&lt;=3),VLOOKUP(A5,ScaledPrice,9),0))</f>
        <v>0</v>
      </c>
      <c r="P5" s="320">
        <f ca="1">IF($A5="N/A"," ",IF('Pricing Inputs'!$AN$8=2,(I5-H5),IF('Pricing Inputs'!$AN$3=2,IF((I5-$H5)&gt;0,I5-$H5,0),(_xll.xSPRDOPT(I5,$E5,$BU5,0,$BP5,$BS5,$BT5,($A5-Inputs!$D$1)+15,1,0)))))</f>
        <v>0.55626208604159844</v>
      </c>
      <c r="Q5" s="320">
        <f ca="1">IF($A5="N/A"," ",IF('Pricing Inputs'!$AN$8=2,(J5-$H5),IF('Pricing Inputs'!$AN$3=2,IF((J5-$H5)&gt;0,J5-$H5,0),(_xll.xSPRDOPT(J5,$E5,$BU5,0,$BP5,$BS5,$BT5,($A5-Inputs!$D$1)+15,1,0)))))</f>
        <v>0.95642914703111304</v>
      </c>
      <c r="R5" s="320">
        <f ca="1">IF($A5="N/A"," ",IF('Pricing Inputs'!$AN$8=2,(K5-$H5),IF('Pricing Inputs'!$AN$3=2,IF((K5-$H5)&gt;0,K5-$H5,0),(_xll.xSPRDOPT(K5,$E5,$BU5,0,$BP5,$BS5,$BT5,($A5-Inputs!$D$1)+15,1,0)))))</f>
        <v>1.8371813044954645E-2</v>
      </c>
      <c r="S5" s="320">
        <f ca="1">IF($A5="N/A"," ",IF('Pricing Inputs'!$AN$8=2,(L5-$H5),IF('Pricing Inputs'!$AN$3=2,IF((L5-$H5)&gt;0,L5-$H5,0),(_xll.xSPRDOPT(L5,$E5,$BU5,0,$BP5,$BS5,$BT5,($A5-Inputs!$D$1)+15,1,0)))))</f>
        <v>4.1197844731231135E-2</v>
      </c>
      <c r="T5" s="320">
        <f ca="1">IF($A5="N/A"," ",IF('Pricing Inputs'!$AN$8=2,(M5-$H5),IF('Pricing Inputs'!$AN$3=2,IF((M5-$H5)&gt;0,M5-$H5,0),(_xll.xSPRDOPT(M5,$E5,$BU5,0,$BP5,$BS5,$BT5,($A5-Inputs!$D$1)+15,1,0)))))</f>
        <v>4.7702699160478354E-3</v>
      </c>
      <c r="U5" s="320">
        <f ca="1">IF($A5="N/A"," ",IF('Pricing Inputs'!$AN$8=2,(N5-$H5),IF('Pricing Inputs'!$AN$3=2,IF((N5-$H5)&gt;0,N5-$H5,0),(_xll.xSPRDOPT(N5,$E5,$BU5,0,$BP5,$BS5,$BT5,($A5-Inputs!$D$1)+15,1,0)))))</f>
        <v>1.1705799516927365E-2</v>
      </c>
      <c r="V5" s="259">
        <f ca="1">IF($A5="N/A"," ",(IF('Pricing Inputs'!$AN$8=2,(O5-$H5),IF((O5-$H5)&lt;=0,0,(O5-$H5)))))</f>
        <v>0</v>
      </c>
      <c r="W5" s="306">
        <f ca="1">IF($A5="N/A"," ",IF(0&lt;&gt;P5,IF('Pricing Inputs'!$AN$3=2,8*VLOOKUP($A5,NumberofDaysTable,2),(_xll.xSPRDOPT(I5,$E5,$BU5,0,$BP5,$BS5,$BT5,$A5-Inputs!$D$1,1,1))*(8*VLOOKUP($A5,NumberofDaysTable,2))),0))</f>
        <v>21.480816499862957</v>
      </c>
      <c r="X5" s="306">
        <f ca="1">IF($A5="N/A"," ",IF(Q5&lt;&gt;0,IF('Pricing Inputs'!$AN$3=2,8*VLOOKUP($A5,NumberofDaysTable,2),(_xll.xSPRDOPT(J5,$E5,$BU5,0,$BP5,$BS5,$BT5,$A5-Inputs!$D$1,1,1))*(8*VLOOKUP($A5,NumberofDaysTable,2))),0))</f>
        <v>32.113059192818994</v>
      </c>
      <c r="Y5" s="306">
        <f ca="1">IF($A5="N/A"," ",IF(R5&lt;&gt;0,IF('Pricing Inputs'!$AN$3=2,8*VLOOKUP($A5,NumberofDaysTable,3),(_xll.xSPRDOPT(K5,$E5,$BU5,0,$BP5,$BS5,$BT5,$A5-Inputs!$D$1,1,1))*(8*VLOOKUP($A5,NumberofDaysTable,3))),0))</f>
        <v>0.25367141939161314</v>
      </c>
      <c r="Z5" s="306">
        <f ca="1">IF($A5="N/A"," ",IF(S5&lt;&gt;0,IF('Pricing Inputs'!$AN$3=2,8*VLOOKUP($A5,NumberofDaysTable,3),(_xll.xSPRDOPT(L5,$E5,$BU5,0,$BP5,$BS5,$BT5,$A5-Inputs!$D$1,1,1))*(8*VLOOKUP($A5,NumberofDaysTable,3))),0))</f>
        <v>0.51177717673459977</v>
      </c>
      <c r="AA5" s="306">
        <f ca="1">IF($A5="N/A"," ",IF(T5&lt;&gt;0,IF('Pricing Inputs'!$AN$3=2,8*VLOOKUP($A5,NumberofDaysTable,4),(_xll.xSPRDOPT(M5,$E5,$BU5,0,$BP5,$BS5,$BT5,$A5-Inputs!$D$1,1,1))*(8*VLOOKUP($A5,NumberofDaysTable,4))),0))</f>
        <v>7.6466576092227082E-2</v>
      </c>
      <c r="AB5" s="306">
        <f ca="1">IF($A5="N/A"," ",IF(U5&lt;&gt;0,IF('Pricing Inputs'!$AN$3=2,8*VLOOKUP($A5,NumberofDaysTable,4),(_xll.xSPRDOPT(N5,$E5,$BU5,0,$BP5,$BS5,$BT5,$A5-Inputs!$D$1,1,1))*(8*VLOOKUP($A5,NumberofDaysTable,4))),0))</f>
        <v>0.1704755087364527</v>
      </c>
      <c r="AC5" s="306">
        <f t="shared" ref="AC5:AC68" ca="1" si="21">IF($A5="N/A"," ",(IF(V5&lt;&gt;0,(8*VLOOKUP($A5,NumberofDaysTable,6)),0)))</f>
        <v>0</v>
      </c>
      <c r="AD5" s="274">
        <f t="shared" ref="AD5:AD15" ca="1" si="22">IF($A5="N/A"," ",RANK(P5,$P$4:$V$15))</f>
        <v>30</v>
      </c>
      <c r="AE5" s="275">
        <f t="shared" ref="AE5:AE15" ca="1" si="23">IF($A5="N/A"," ",RANK(Q5,$P$4:$V$15))</f>
        <v>27</v>
      </c>
      <c r="AF5" s="275">
        <f t="shared" ref="AF5:AF15" ca="1" si="24">IF($A5="N/A"," ",RANK(R5,$P$4:$V$15))</f>
        <v>55</v>
      </c>
      <c r="AG5" s="275">
        <f t="shared" ref="AG5:AG15" ca="1" si="25">IF($A5="N/A"," ",RANK(S5,$P$4:$V$15))</f>
        <v>49</v>
      </c>
      <c r="AH5" s="275">
        <f t="shared" ref="AH5:AH15" ca="1" si="26">IF($A5="N/A"," ",RANK(T5,$P$4:$V$15))</f>
        <v>61</v>
      </c>
      <c r="AI5" s="275">
        <f t="shared" ref="AI5:AI15" ca="1" si="27">IF($A5="N/A"," ",RANK(U5,$P$4:$V$15))</f>
        <v>56</v>
      </c>
      <c r="AJ5" s="276">
        <f t="shared" ref="AJ5:AJ15" ca="1" si="28">IF($A5="N/A"," ",RANK(V5,$P$4:$V$15))</f>
        <v>73</v>
      </c>
      <c r="AK5" s="314">
        <f t="shared" ca="1" si="1"/>
        <v>21.480816499862957</v>
      </c>
      <c r="AL5" s="315">
        <f t="shared" ca="1" si="2"/>
        <v>32.113059192818994</v>
      </c>
      <c r="AM5" s="315">
        <f t="shared" ca="1" si="3"/>
        <v>0.25367141939161314</v>
      </c>
      <c r="AN5" s="315">
        <f t="shared" ca="1" si="4"/>
        <v>0.51177717673459977</v>
      </c>
      <c r="AO5" s="315">
        <f t="shared" ca="1" si="5"/>
        <v>7.6466576092227082E-2</v>
      </c>
      <c r="AP5" s="315">
        <f t="shared" ca="1" si="6"/>
        <v>0.1704755087364527</v>
      </c>
      <c r="AQ5" s="315">
        <f t="shared" ca="1" si="7"/>
        <v>0</v>
      </c>
      <c r="AR5" s="276"/>
      <c r="AS5" s="321">
        <f t="shared" ca="1" si="8"/>
        <v>0</v>
      </c>
      <c r="AT5" s="324">
        <f t="shared" ca="1" si="9"/>
        <v>0</v>
      </c>
      <c r="AU5" s="324">
        <f t="shared" ca="1" si="10"/>
        <v>0</v>
      </c>
      <c r="AV5" s="324">
        <f t="shared" ca="1" si="11"/>
        <v>0</v>
      </c>
      <c r="AW5" s="324">
        <f t="shared" ca="1" si="12"/>
        <v>0</v>
      </c>
      <c r="AX5" s="324">
        <f t="shared" ca="1" si="13"/>
        <v>0</v>
      </c>
      <c r="AY5" s="324">
        <f t="shared" ca="1" si="14"/>
        <v>0</v>
      </c>
      <c r="AZ5" s="283"/>
      <c r="BA5" s="267">
        <f ca="1">IF($A5="N/A"," ",(IF(MONTH(A5)&gt;=4,IF(MONTH(A5)&lt;=10,Inputs!$F$13,Inputs!$F$14),Inputs!$F$14))*$BW5)</f>
        <v>180</v>
      </c>
      <c r="BB5" s="268">
        <f t="shared" ref="BB5:BB16" ca="1" si="29">IF($A5="N/A"," ",(IF(AK5&gt;0,($BA5*(8*(VLOOKUP($A5,NumberofDaysTable,2)))*P5),0)+IF(AS5&gt;0,($BA5*((AS5))*P5),0)))</f>
        <v>16020.348077998035</v>
      </c>
      <c r="BC5" s="268">
        <f t="shared" ref="BC5:BC16" ca="1" si="30">IF($A5="N/A"," ",(IF(AL5&gt;0,($BA5*(8*(VLOOKUP($A5,NumberofDaysTable,2)))*Q5),0)+IF(AT5&gt;0,($BA5*((AT5))*Q5),0)))</f>
        <v>27545.159434496054</v>
      </c>
      <c r="BD5" s="268">
        <f t="shared" ref="BD5:BD68" ca="1" si="31">IF($A5="N/A"," ",(IF(AM5&gt;0,($BA5*(8*(VLOOKUP($A5,NumberofDaysTable,3)))*R5),0)+IF(AU5&gt;0,($BA5*((AU5))*R5),0)))</f>
        <v>105.82164313893875</v>
      </c>
      <c r="BE5" s="268">
        <f t="shared" ref="BE5:BE68" ca="1" si="32">IF($A5="N/A"," ",(IF(AN5&gt;0,($BA5*(8*(VLOOKUP($A5,NumberofDaysTable,3)))*S5),0)+IF(AV5&gt;0,($BA5*((AV5))*S5),0)))</f>
        <v>237.29958565189133</v>
      </c>
      <c r="BF5" s="268">
        <f t="shared" ref="BF5:BF68" ca="1" si="33">IF($A5="N/A"," ",(IF(AO5&gt;0,($BA5*(8*(VLOOKUP($A5,NumberofDaysTable,4)+VLOOKUP($A5,NumberofDaysTable,5)))*T5),0)+IF(AW5&gt;0,($BA5*((AW5))*T5),0)))</f>
        <v>27.476754716435533</v>
      </c>
      <c r="BG5" s="268">
        <f t="shared" ref="BG5:BG68" ca="1" si="34">IF($A5="N/A"," ",(IF(AP5&gt;0,($BA5*(8*(VLOOKUP($A5,NumberofDaysTable,4)+VLOOKUP($A5,NumberofDaysTable,5)))*U5),0)+IF(AX5&gt;0,($BA5*((AX5))*U5),0)))</f>
        <v>67.42540521750162</v>
      </c>
      <c r="BH5" s="268">
        <f t="shared" ref="BH5:BH12" ca="1" si="35">IF($A5="N/A"," ",($BA5*AQ5*V5))</f>
        <v>0</v>
      </c>
      <c r="BI5" s="268">
        <f t="shared" ref="BI5:BI68" ca="1" si="36">IF($A5="N/A"," ",SUM(BB5:BH5))</f>
        <v>44003.530901218859</v>
      </c>
      <c r="BJ5" s="296">
        <f t="shared" ref="BJ5:BJ68" ca="1" si="37">IF($A5="N/A"," ",(H5*(SUM(AK5:AQ5)+SUM(AS5:AY5))*BA5))</f>
        <v>467055.58723367198</v>
      </c>
      <c r="BK5" s="296">
        <f t="shared" ref="BK5:BK68" ca="1" si="38">IF($A5="N/A"," ",((C5*D5)*(SUM($AK5:$AQ5)+SUM($AS5:$AY5))*$BA5))</f>
        <v>447397.33133916266</v>
      </c>
      <c r="BL5" s="296">
        <f t="shared" ref="BL5:BL68" ca="1" si="39">IF($A5="N/A"," ",(F5*(SUM($AK5:$AQ5)+SUM($AS5:$AY5))*$BA5))</f>
        <v>19658.255894509264</v>
      </c>
      <c r="BM5" s="296">
        <f t="shared" ref="BM5:BM68" ca="1" si="40">IF($A5="N/A"," ",(G5*(SUM($AK5:$AQ5)+SUM($AS5:$AY5))*$BA5))</f>
        <v>0</v>
      </c>
      <c r="BN5" s="405">
        <f>IF(A5="N/A"," ",(VLOOKUP(A5,PowerVolTable,(IF('Pricing Inputs'!$AT$3=2,7,IF('Pricing Inputs'!$AT$3=1,6,8))),FALSE)))</f>
        <v>0.27400000000000002</v>
      </c>
      <c r="BO5" s="405">
        <f>IF(A5="N/A"," ",(VLOOKUP(A5,IntraPowerVol,(IF('Pricing Inputs'!$AT$3=2,3,IF('Pricing Inputs'!$AT$3=1,2,4))),FALSE)*VLOOKUP(MONTH($A5),Inputs!$A$28:$B$39,2)))</f>
        <v>2.2999999999999998</v>
      </c>
      <c r="BP5" s="406">
        <f t="shared" ca="1" si="15"/>
        <v>0.54720037659800369</v>
      </c>
      <c r="BQ5" s="405">
        <f ca="1">IF($A5="N/A"," ",(VLOOKUP($A5,GasVolTable,(IF('Pricing Inputs'!$AT$3=2,6,IF('Pricing Inputs'!$AT$3=1,7,5))),FALSE)))</f>
        <v>0.39</v>
      </c>
      <c r="BR5" s="405">
        <f ca="1">IF($A5="N/A"," ",(VLOOKUP($A5,OmicronVol,(IF('Pricing Inputs'!$AT$3=2,3,IF('Pricing Inputs'!$AT$3=1,4,2))),FALSE)))</f>
        <v>1.45</v>
      </c>
      <c r="BS5" s="406">
        <f ca="1">IF($A5="N/A"," ",IF('Pricing Inputs'!$AN$3=1,(IF(DateToday&gt;$A5,$BR5,((($BQ5^2)*((($A5-1)-DateToday)/((EOMONTH($A5,0)+1)-DateToday-15)))+((($BR5)^2)*((15)/((EOMONTH($A5,0)+1)-DateToday-15))))^0.5)),0.0001))</f>
        <v>0.48617270269744428</v>
      </c>
      <c r="BT5" s="405">
        <f>IF($A5="N/A"," ",IF('Pricing Inputs'!$AN$3=1,(VLOOKUP($A5,CorrelationTable,2,FALSE)),0))</f>
        <v>0.9</v>
      </c>
      <c r="BU5" s="407">
        <f ca="1">IF($A5="N/A"," ",F5+G5+(D5*(VLOOKUP($A5,'Gas Curves'!$B$17:$P$310,14,FALSE))))</f>
        <v>2.6825000000000001</v>
      </c>
      <c r="BV5" s="405">
        <f>IF($A5="N/A"," ",IF('Pricing Inputs'!$AW$3=1,0,(VLOOKUP($A5,InterestRatesTable,2))))</f>
        <v>0</v>
      </c>
      <c r="BW5" s="408">
        <f t="shared" ca="1" si="16"/>
        <v>1</v>
      </c>
    </row>
    <row r="6" spans="1:75">
      <c r="A6" s="248">
        <f>IF(A5="N/A","N/A",IF(EDATE(A5,1)&gt;Inputs!$K$3,"N/A",EDATE(A5,1)))</f>
        <v>36951</v>
      </c>
      <c r="B6" s="262">
        <f t="shared" si="17"/>
        <v>2001</v>
      </c>
      <c r="C6" s="249">
        <f t="shared" ca="1" si="18"/>
        <v>3.7399999999999998</v>
      </c>
      <c r="D6" s="250">
        <f>IF(A6="N/A"," ",(VLOOKUP(MONTH($A6),Inputs!$A$14:$B$25,2))/1000)</f>
        <v>10.5</v>
      </c>
      <c r="E6" s="304">
        <f t="shared" ca="1" si="19"/>
        <v>39.269999999999996</v>
      </c>
      <c r="F6" s="251">
        <f>IF(A6="N/A"," ",Inputs!$F$6)</f>
        <v>2</v>
      </c>
      <c r="G6" s="251">
        <f ca="1">IF(A6="N/A"," ",Inputs!$F$9/IF(AND('Pricing Inputs'!$AQ$3&gt;=4,'Pricing Inputs'!$AQ$3&lt;=6),16,IF(AND('Pricing Inputs'!$AQ$3&gt;=7,'Pricing Inputs'!$AQ$3&lt;=9),8,24))/(BA6/BW6))</f>
        <v>0</v>
      </c>
      <c r="H6" s="252">
        <f t="shared" ca="1" si="20"/>
        <v>41.269999999999996</v>
      </c>
      <c r="I6" s="255">
        <f>VLOOKUP(A6,ScaledPrice,(IF(AND('Pricing Inputs'!$AQ$3&gt;=1,'Pricing Inputs'!$AQ$3&lt;=6),2,4)))</f>
        <v>32.793187500000002</v>
      </c>
      <c r="J6" s="255">
        <f>IF(A6="N/A"," ",IF(AND('Pricing Inputs'!$AQ$3&gt;=1,'Pricing Inputs'!$AQ$3&lt;=6),I6,(VLOOKUP(A6,ScaledPrice,2))*(2-(VLOOKUP(A6,ScaledPrice,3)))))</f>
        <v>34.706812499999998</v>
      </c>
      <c r="K6" s="255">
        <f>IF(A6="N/A"," ",IF(OR('Pricing Inputs'!$AQ$3=2,'Pricing Inputs'!$AQ$3=3,'Pricing Inputs'!$AQ$3=5,'Pricing Inputs'!$AQ$3=6,'Pricing Inputs'!$AQ$3=8,'Pricing Inputs'!$AQ$3=9),VLOOKUP(A6,ScaledPrice,IF(AND('Pricing Inputs'!$AQ$3&gt;=2,'Pricing Inputs'!$AQ$3&lt;=6),5,6)),0))</f>
        <v>20.34124945201874</v>
      </c>
      <c r="L6" s="255">
        <f>IF(A6="N/A"," ",IF(OR('Pricing Inputs'!$AQ$3=2,'Pricing Inputs'!$AQ$3=3,'Pricing Inputs'!$AQ$3=5,'Pricing Inputs'!$AQ$3=6,'Pricing Inputs'!$AQ$3=8,'Pricing Inputs'!$AQ$3=9),IF(AND('Pricing Inputs'!$AQ$3&gt;=2,'Pricing Inputs'!$AQ$3&lt;=6),K6,(VLOOKUP(A6,ScaledPrice,5))*(2-(VLOOKUP(A6,ScaledPrice,3)))),0))</f>
        <v>21.528249754524229</v>
      </c>
      <c r="M6" s="255">
        <f>IF(A6="N/A"," ",IF(OR('Pricing Inputs'!$AQ$3=3,'Pricing Inputs'!$AQ$3=6,'Pricing Inputs'!$AQ$3=9),(VLOOKUP(A6,ScaledPrice,IF(AND('Pricing Inputs'!$AQ$3&gt;=3,'Pricing Inputs'!$AQ$3&lt;=6),7,8))),0))</f>
        <v>19.981495357513431</v>
      </c>
      <c r="N6" s="255">
        <f>IF(A6="N/A"," ",IF(OR('Pricing Inputs'!$AQ$3=3,'Pricing Inputs'!$AQ$3=6,'Pricing Inputs'!$AQ$3=9),IF(AND('Pricing Inputs'!$AQ$3&gt;=3,'Pricing Inputs'!$AQ$3&lt;=6),M6,(VLOOKUP(A6,ScaledPrice,7))*(2-(VLOOKUP(A6,ScaledPrice,3)))),0))</f>
        <v>21.147502445220944</v>
      </c>
      <c r="O6" s="255">
        <f>IF(A6="N/A"," ",IF(AND('Pricing Inputs'!$AQ$3&gt;=1,'Pricing Inputs'!$AQ$3&lt;=3),VLOOKUP(A6,ScaledPrice,9),0))</f>
        <v>0</v>
      </c>
      <c r="P6" s="320">
        <f ca="1">IF($A6="N/A"," ",IF('Pricing Inputs'!$AN$8=2,(I6-H6),IF('Pricing Inputs'!$AN$3=2,IF((I6-$H6)&gt;0,I6-$H6,0),(_xll.xSPRDOPT(I6,$E6,$BU6,0,$BP6,$BS6,$BT6,($A6-Inputs!$D$1)+15,1,0)))))</f>
        <v>0.23842292482249947</v>
      </c>
      <c r="Q6" s="320">
        <f ca="1">IF($A6="N/A"," ",IF('Pricing Inputs'!$AN$8=2,(J6-$H6),IF('Pricing Inputs'!$AN$3=2,IF((J6-$H6)&gt;0,J6-$H6,0),(_xll.xSPRDOPT(J6,$E6,$BU6,0,$BP6,$BS6,$BT6,($A6-Inputs!$D$1)+15,1,0)))))</f>
        <v>0.47989981833876355</v>
      </c>
      <c r="R6" s="320">
        <f ca="1">IF($A6="N/A"," ",IF('Pricing Inputs'!$AN$8=2,(K6-$H6),IF('Pricing Inputs'!$AN$3=2,IF((K6-$H6)&gt;0,K6-$H6,0),(_xll.xSPRDOPT(K6,$E6,$BU6,0,$BP6,$BS6,$BT6,($A6-Inputs!$D$1)+15,1,0)))))</f>
        <v>2.1678823020375045E-5</v>
      </c>
      <c r="S6" s="320">
        <f ca="1">IF($A6="N/A"," ",IF('Pricing Inputs'!$AN$8=2,(L6-$H6),IF('Pricing Inputs'!$AN$3=2,IF((L6-$H6)&gt;0,L6-$H6,0),(_xll.xSPRDOPT(L6,$E6,$BU6,0,$BP6,$BS6,$BT6,($A6-Inputs!$D$1)+15,1,0)))))</f>
        <v>9.202318206692383E-5</v>
      </c>
      <c r="T6" s="320">
        <f ca="1">IF($A6="N/A"," ",IF('Pricing Inputs'!$AN$8=2,(M6-$H6),IF('Pricing Inputs'!$AN$3=2,IF((M6-$H6)&gt;0,M6-$H6,0),(_xll.xSPRDOPT(M6,$E6,$BU6,0,$BP6,$BS6,$BT6,($A6-Inputs!$D$1)+15,1,0)))))</f>
        <v>1.3486305149461978E-5</v>
      </c>
      <c r="U6" s="320">
        <f ca="1">IF($A6="N/A"," ",IF('Pricing Inputs'!$AN$8=2,(N6-$H6),IF('Pricing Inputs'!$AN$3=2,IF((N6-$H6)&gt;0,N6-$H6,0),(_xll.xSPRDOPT(N6,$E6,$BU6,0,$BP6,$BS6,$BT6,($A6-Inputs!$D$1)+15,1,0)))))</f>
        <v>5.8996020254846529E-5</v>
      </c>
      <c r="V6" s="259">
        <f ca="1">IF($A6="N/A"," ",(IF('Pricing Inputs'!$AN$8=2,(O6-$H6),IF((O6-$H6)&lt;=0,0,(O6-$H6)))))</f>
        <v>0</v>
      </c>
      <c r="W6" s="306">
        <f ca="1">IF($A6="N/A"," ",IF(0&lt;&gt;P6,IF('Pricing Inputs'!$AN$3=2,8*VLOOKUP($A6,NumberofDaysTable,2),(_xll.xSPRDOPT(I6,$E6,$BU6,0,$BP6,$BS6,$BT6,$A6-Inputs!$D$1,1,1))*(8*VLOOKUP($A6,NumberofDaysTable,2))),0))</f>
        <v>15.785693475350804</v>
      </c>
      <c r="X6" s="306">
        <f ca="1">IF($A6="N/A"," ",IF(Q6&lt;&gt;0,IF('Pricing Inputs'!$AN$3=2,8*VLOOKUP($A6,NumberofDaysTable,2),(_xll.xSPRDOPT(J6,$E6,$BU6,0,$BP6,$BS6,$BT6,$A6-Inputs!$D$1,1,1))*(8*VLOOKUP($A6,NumberofDaysTable,2))),0))</f>
        <v>27.347201701563971</v>
      </c>
      <c r="Y6" s="306">
        <f ca="1">IF($A6="N/A"," ",IF(R6&lt;&gt;0,IF('Pricing Inputs'!$AN$3=2,8*VLOOKUP($A6,NumberofDaysTable,3),(_xll.xSPRDOPT(K6,$E6,$BU6,0,$BP6,$BS6,$BT6,$A6-Inputs!$D$1,1,1))*(8*VLOOKUP($A6,NumberofDaysTable,3))),0))</f>
        <v>7.7887187715006568E-4</v>
      </c>
      <c r="Z6" s="306">
        <f ca="1">IF($A6="N/A"," ",IF(S6&lt;&gt;0,IF('Pricing Inputs'!$AN$3=2,8*VLOOKUP($A6,NumberofDaysTable,3),(_xll.xSPRDOPT(L6,$E6,$BU6,0,$BP6,$BS6,$BT6,$A6-Inputs!$D$1,1,1))*(8*VLOOKUP($A6,NumberofDaysTable,3))),0))</f>
        <v>3.0794762859652804E-3</v>
      </c>
      <c r="AA6" s="306">
        <f ca="1">IF($A6="N/A"," ",IF(T6&lt;&gt;0,IF('Pricing Inputs'!$AN$3=2,8*VLOOKUP($A6,NumberofDaysTable,4),(_xll.xSPRDOPT(M6,$E6,$BU6,0,$BP6,$BS6,$BT6,$A6-Inputs!$D$1,1,1))*(8*VLOOKUP($A6,NumberofDaysTable,4))),0))</f>
        <v>3.9576801984390794E-4</v>
      </c>
      <c r="AB6" s="306">
        <f ca="1">IF($A6="N/A"," ",IF(U6&lt;&gt;0,IF('Pricing Inputs'!$AN$3=2,8*VLOOKUP($A6,NumberofDaysTable,4),(_xll.xSPRDOPT(N6,$E6,$BU6,0,$BP6,$BS6,$BT6,$A6-Inputs!$D$1,1,1))*(8*VLOOKUP($A6,NumberofDaysTable,4))),0))</f>
        <v>1.6164337308647893E-3</v>
      </c>
      <c r="AC6" s="306">
        <f t="shared" ca="1" si="21"/>
        <v>0</v>
      </c>
      <c r="AD6" s="274">
        <f t="shared" ca="1" si="22"/>
        <v>36</v>
      </c>
      <c r="AE6" s="275">
        <f t="shared" ca="1" si="23"/>
        <v>31</v>
      </c>
      <c r="AF6" s="275">
        <f t="shared" ca="1" si="24"/>
        <v>71</v>
      </c>
      <c r="AG6" s="275">
        <f t="shared" ca="1" si="25"/>
        <v>69</v>
      </c>
      <c r="AH6" s="275">
        <f t="shared" ca="1" si="26"/>
        <v>72</v>
      </c>
      <c r="AI6" s="275">
        <f t="shared" ca="1" si="27"/>
        <v>70</v>
      </c>
      <c r="AJ6" s="276">
        <f t="shared" ca="1" si="28"/>
        <v>73</v>
      </c>
      <c r="AK6" s="314">
        <f t="shared" ca="1" si="1"/>
        <v>15.785693475350804</v>
      </c>
      <c r="AL6" s="315">
        <f t="shared" ca="1" si="2"/>
        <v>27.347201701563971</v>
      </c>
      <c r="AM6" s="315">
        <f t="shared" ca="1" si="3"/>
        <v>7.7887187715006568E-4</v>
      </c>
      <c r="AN6" s="315">
        <f t="shared" ca="1" si="4"/>
        <v>3.0794762859652804E-3</v>
      </c>
      <c r="AO6" s="315">
        <f t="shared" ca="1" si="5"/>
        <v>3.9576801984390794E-4</v>
      </c>
      <c r="AP6" s="315">
        <f t="shared" ca="1" si="6"/>
        <v>1.6164337308647893E-3</v>
      </c>
      <c r="AQ6" s="315">
        <f t="shared" ca="1" si="7"/>
        <v>0</v>
      </c>
      <c r="AR6" s="276"/>
      <c r="AS6" s="321">
        <f t="shared" ca="1" si="8"/>
        <v>0</v>
      </c>
      <c r="AT6" s="324">
        <f t="shared" ca="1" si="9"/>
        <v>0</v>
      </c>
      <c r="AU6" s="324">
        <f t="shared" ca="1" si="10"/>
        <v>0</v>
      </c>
      <c r="AV6" s="324">
        <f t="shared" ca="1" si="11"/>
        <v>0</v>
      </c>
      <c r="AW6" s="324">
        <f t="shared" ca="1" si="12"/>
        <v>0</v>
      </c>
      <c r="AX6" s="324">
        <f t="shared" ca="1" si="13"/>
        <v>0</v>
      </c>
      <c r="AY6" s="324">
        <f t="shared" ca="1" si="14"/>
        <v>0</v>
      </c>
      <c r="AZ6" s="283"/>
      <c r="BA6" s="267">
        <f ca="1">IF($A6="N/A"," ",(IF(MONTH(A6)&gt;=4,IF(MONTH(A6)&lt;=10,Inputs!$F$13,Inputs!$F$14),Inputs!$F$14))*$BW6)</f>
        <v>180</v>
      </c>
      <c r="BB6" s="268">
        <f t="shared" ca="1" si="29"/>
        <v>7553.2382583767831</v>
      </c>
      <c r="BC6" s="268">
        <f t="shared" ca="1" si="30"/>
        <v>15203.226244972029</v>
      </c>
      <c r="BD6" s="268">
        <f t="shared" ca="1" si="31"/>
        <v>0.15608752574670032</v>
      </c>
      <c r="BE6" s="268">
        <f t="shared" ca="1" si="32"/>
        <v>0.6625669108818516</v>
      </c>
      <c r="BF6" s="268">
        <f t="shared" ca="1" si="33"/>
        <v>7.7681117660900995E-2</v>
      </c>
      <c r="BG6" s="268">
        <f t="shared" ca="1" si="34"/>
        <v>0.339817076667916</v>
      </c>
      <c r="BH6" s="268">
        <f t="shared" ca="1" si="35"/>
        <v>0</v>
      </c>
      <c r="BI6" s="268">
        <f t="shared" ca="1" si="36"/>
        <v>22757.70065597977</v>
      </c>
      <c r="BJ6" s="296">
        <f t="shared" ca="1" si="37"/>
        <v>320460.63507831888</v>
      </c>
      <c r="BK6" s="296">
        <f t="shared" ca="1" si="38"/>
        <v>304930.67941666063</v>
      </c>
      <c r="BL6" s="296">
        <f t="shared" ca="1" si="39"/>
        <v>15529.955661658296</v>
      </c>
      <c r="BM6" s="296">
        <f t="shared" ca="1" si="40"/>
        <v>0</v>
      </c>
      <c r="BN6" s="405">
        <f>IF(A6="N/A"," ",(VLOOKUP(A6,PowerVolTable,(IF('Pricing Inputs'!$AT$3=2,7,IF('Pricing Inputs'!$AT$3=1,6,8))),FALSE)))</f>
        <v>0.26707500000000001</v>
      </c>
      <c r="BO6" s="405">
        <f>IF(A6="N/A"," ",(VLOOKUP(A6,IntraPowerVol,(IF('Pricing Inputs'!$AT$3=2,3,IF('Pricing Inputs'!$AT$3=1,2,4))),FALSE)*VLOOKUP(MONTH($A6),Inputs!$A$28:$B$39,2)))</f>
        <v>1.4949999999999999</v>
      </c>
      <c r="BP6" s="406">
        <f t="shared" ca="1" si="15"/>
        <v>0.39542722463004293</v>
      </c>
      <c r="BQ6" s="405">
        <f ca="1">IF($A6="N/A"," ",(VLOOKUP($A6,GasVolTable,(IF('Pricing Inputs'!$AT$3=2,6,IF('Pricing Inputs'!$AT$3=1,7,5))),FALSE)))</f>
        <v>0.34250000000000003</v>
      </c>
      <c r="BR6" s="405">
        <f ca="1">IF($A6="N/A"," ",(VLOOKUP($A6,OmicronVol,(IF('Pricing Inputs'!$AT$3=2,3,IF('Pricing Inputs'!$AT$3=1,4,2))),FALSE)))</f>
        <v>1</v>
      </c>
      <c r="BS6" s="406">
        <f ca="1">IF($A6="N/A"," ",IF('Pricing Inputs'!$AN$3=1,(IF(DateToday&gt;$A6,$BR6,((($BQ6^2)*((($A6-1)-DateToday)/((EOMONTH($A6,0)+1)-DateToday-15)))+((($BR6)^2)*((15)/((EOMONTH($A6,0)+1)-DateToday-15))))^0.5)),0.0001))</f>
        <v>0.38927114332598017</v>
      </c>
      <c r="BT6" s="405">
        <f>IF($A6="N/A"," ",IF('Pricing Inputs'!$AN$3=1,(VLOOKUP($A6,CorrelationTable,2,FALSE)),0))</f>
        <v>0.9</v>
      </c>
      <c r="BU6" s="407">
        <f ca="1">IF($A6="N/A"," ",F6+G6+(D6*(VLOOKUP($A6,'Gas Curves'!$B$17:$P$310,14,FALSE))))</f>
        <v>2.6825000000000001</v>
      </c>
      <c r="BV6" s="405">
        <f>IF($A6="N/A"," ",IF('Pricing Inputs'!$AW$3=1,0,(VLOOKUP($A6,InterestRatesTable,2))))</f>
        <v>0</v>
      </c>
      <c r="BW6" s="408">
        <f t="shared" ca="1" si="16"/>
        <v>1</v>
      </c>
    </row>
    <row r="7" spans="1:75">
      <c r="A7" s="248">
        <f>IF(A6="N/A","N/A",IF(EDATE(A6,1)&gt;Inputs!$K$3,"N/A",EDATE(A6,1)))</f>
        <v>36982</v>
      </c>
      <c r="B7" s="262">
        <f t="shared" si="17"/>
        <v>2001</v>
      </c>
      <c r="C7" s="249">
        <f t="shared" ca="1" si="18"/>
        <v>2.6363750000000001</v>
      </c>
      <c r="D7" s="250">
        <f>IF(A7="N/A"," ",(VLOOKUP(MONTH($A7),Inputs!$A$14:$B$25,2))/1000)</f>
        <v>10.5</v>
      </c>
      <c r="E7" s="304">
        <f t="shared" ca="1" si="19"/>
        <v>27.6819375</v>
      </c>
      <c r="F7" s="251">
        <f>IF(A7="N/A"," ",Inputs!$F$6)</f>
        <v>2</v>
      </c>
      <c r="G7" s="251">
        <f ca="1">IF(A7="N/A"," ",Inputs!$F$9/IF(AND('Pricing Inputs'!$AQ$3&gt;=4,'Pricing Inputs'!$AQ$3&lt;=6),16,IF(AND('Pricing Inputs'!$AQ$3&gt;=7,'Pricing Inputs'!$AQ$3&lt;=9),8,24))/(BA7/BW7))</f>
        <v>0</v>
      </c>
      <c r="H7" s="252">
        <f t="shared" ca="1" si="20"/>
        <v>29.6819375</v>
      </c>
      <c r="I7" s="255">
        <f>VLOOKUP(A7,ScaledPrice,(IF(AND('Pricing Inputs'!$AQ$3&gt;=1,'Pricing Inputs'!$AQ$3&lt;=6),2,4)))</f>
        <v>30.062142823371538</v>
      </c>
      <c r="J7" s="255">
        <f>IF(A7="N/A"," ",IF(AND('Pricing Inputs'!$AQ$3&gt;=1,'Pricing Inputs'!$AQ$3&lt;=6),I7,(VLOOKUP(A7,ScaledPrice,2))*(2-(VLOOKUP(A7,ScaledPrice,3)))))</f>
        <v>34.937857176628462</v>
      </c>
      <c r="K7" s="255">
        <f>IF(A7="N/A"," ",IF(OR('Pricing Inputs'!$AQ$3=2,'Pricing Inputs'!$AQ$3=3,'Pricing Inputs'!$AQ$3=5,'Pricing Inputs'!$AQ$3=6,'Pricing Inputs'!$AQ$3=8,'Pricing Inputs'!$AQ$3=9),VLOOKUP(A7,ScaledPrice,IF(AND('Pricing Inputs'!$AQ$3&gt;=2,'Pricing Inputs'!$AQ$3&lt;=6),5,6)),0))</f>
        <v>19.995950204876063</v>
      </c>
      <c r="L7" s="255">
        <f>IF(A7="N/A"," ",IF(OR('Pricing Inputs'!$AQ$3=2,'Pricing Inputs'!$AQ$3=3,'Pricing Inputs'!$AQ$3=5,'Pricing Inputs'!$AQ$3=6,'Pricing Inputs'!$AQ$3=8,'Pricing Inputs'!$AQ$3=9),IF(AND('Pricing Inputs'!$AQ$3&gt;=2,'Pricing Inputs'!$AQ$3&lt;=6),K7,(VLOOKUP(A7,ScaledPrice,5))*(2-(VLOOKUP(A7,ScaledPrice,3)))),0))</f>
        <v>23.239050405475499</v>
      </c>
      <c r="M7" s="255">
        <f>IF(A7="N/A"," ",IF(OR('Pricing Inputs'!$AQ$3=3,'Pricing Inputs'!$AQ$3=6,'Pricing Inputs'!$AQ$3=9),(VLOOKUP(A7,ScaledPrice,IF(AND('Pricing Inputs'!$AQ$3&gt;=3,'Pricing Inputs'!$AQ$3&lt;=6),7,8))),0))</f>
        <v>18.809650670478351</v>
      </c>
      <c r="N7" s="255">
        <f>IF(A7="N/A"," ",IF(OR('Pricing Inputs'!$AQ$3=3,'Pricing Inputs'!$AQ$3=6,'Pricing Inputs'!$AQ$3=9),IF(AND('Pricing Inputs'!$AQ$3&gt;=3,'Pricing Inputs'!$AQ$3&lt;=6),M7,(VLOOKUP(A7,ScaledPrice,7))*(2-(VLOOKUP(A7,ScaledPrice,3)))),0))</f>
        <v>21.860347498466961</v>
      </c>
      <c r="O7" s="255">
        <f>IF(A7="N/A"," ",IF(AND('Pricing Inputs'!$AQ$3&gt;=1,'Pricing Inputs'!$AQ$3&lt;=3),VLOOKUP(A7,ScaledPrice,9),0))</f>
        <v>0</v>
      </c>
      <c r="P7" s="320">
        <f ca="1">IF($A7="N/A"," ",IF('Pricing Inputs'!$AN$8=2,(I7-H7),IF('Pricing Inputs'!$AN$3=2,IF((I7-$H7)&gt;0,I7-$H7,0),(_xll.xSPRDOPT(I7,$E7,$BU7,0,$BP7,$BS7,$BT7,($A7-Inputs!$D$1)+15,1,0)))))</f>
        <v>1.7987965691796253</v>
      </c>
      <c r="Q7" s="320">
        <f ca="1">IF($A7="N/A"," ",IF('Pricing Inputs'!$AN$8=2,(J7-$H7),IF('Pricing Inputs'!$AN$3=2,IF((J7-$H7)&gt;0,J7-$H7,0),(_xll.xSPRDOPT(J7,$E7,$BU7,0,$BP7,$BS7,$BT7,($A7-Inputs!$D$1)+15,1,0)))))</f>
        <v>5.1353877539783497</v>
      </c>
      <c r="R7" s="320">
        <f ca="1">IF($A7="N/A"," ",IF('Pricing Inputs'!$AN$8=2,(K7-$H7),IF('Pricing Inputs'!$AN$3=2,IF((K7-$H7)&gt;0,K7-$H7,0),(_xll.xSPRDOPT(K7,$E7,$BU7,0,$BP7,$BS7,$BT7,($A7-Inputs!$D$1)+15,1,0)))))</f>
        <v>5.8948013221089305E-3</v>
      </c>
      <c r="S7" s="320">
        <f ca="1">IF($A7="N/A"," ",IF('Pricing Inputs'!$AN$8=2,(L7-$H7),IF('Pricing Inputs'!$AN$3=2,IF((L7-$H7)&gt;0,L7-$H7,0),(_xll.xSPRDOPT(L7,$E7,$BU7,0,$BP7,$BS7,$BT7,($A7-Inputs!$D$1)+15,1,0)))))</f>
        <v>8.6331181694902975E-2</v>
      </c>
      <c r="T7" s="320">
        <f ca="1">IF($A7="N/A"," ",IF('Pricing Inputs'!$AN$8=2,(M7-$H7),IF('Pricing Inputs'!$AN$3=2,IF((M7-$H7)&gt;0,M7-$H7,0),(_xll.xSPRDOPT(M7,$E7,$BU7,0,$BP7,$BS7,$BT7,($A7-Inputs!$D$1)+15,1,0)))))</f>
        <v>1.5956653219053628E-3</v>
      </c>
      <c r="U7" s="320">
        <f ca="1">IF($A7="N/A"," ",IF('Pricing Inputs'!$AN$8=2,(N7-$H7),IF('Pricing Inputs'!$AN$3=2,IF((N7-$H7)&gt;0,N7-$H7,0),(_xll.xSPRDOPT(N7,$E7,$BU7,0,$BP7,$BS7,$BT7,($A7-Inputs!$D$1)+15,1,0)))))</f>
        <v>3.1629926689688594E-2</v>
      </c>
      <c r="V7" s="259">
        <f ca="1">IF($A7="N/A"," ",(IF('Pricing Inputs'!$AN$8=2,(O7-$H7),IF((O7-$H7)&lt;=0,0,(O7-$H7)))))</f>
        <v>0</v>
      </c>
      <c r="W7" s="306">
        <f ca="1">IF($A7="N/A"," ",IF(0&lt;&gt;P7,IF('Pricing Inputs'!$AN$3=2,8*VLOOKUP($A7,NumberofDaysTable,2),(_xll.xSPRDOPT(I7,$E7,$BU7,0,$BP7,$BS7,$BT7,$A7-Inputs!$D$1,1,1))*(8*VLOOKUP($A7,NumberofDaysTable,2))),0))</f>
        <v>85.207461416609931</v>
      </c>
      <c r="X7" s="306">
        <f ca="1">IF($A7="N/A"," ",IF(Q7&lt;&gt;0,IF('Pricing Inputs'!$AN$3=2,8*VLOOKUP($A7,NumberofDaysTable,2),(_xll.xSPRDOPT(J7,$E7,$BU7,0,$BP7,$BS7,$BT7,$A7-Inputs!$D$1,1,1))*(8*VLOOKUP($A7,NumberofDaysTable,2))),0))</f>
        <v>139.86385923420164</v>
      </c>
      <c r="Y7" s="306">
        <f ca="1">IF($A7="N/A"," ",IF(R7&lt;&gt;0,IF('Pricing Inputs'!$AN$3=2,8*VLOOKUP($A7,NumberofDaysTable,3),(_xll.xSPRDOPT(K7,$E7,$BU7,0,$BP7,$BS7,$BT7,$A7-Inputs!$D$1,1,1))*(8*VLOOKUP($A7,NumberofDaysTable,3))),0))</f>
        <v>0.16607006213014264</v>
      </c>
      <c r="Z7" s="306">
        <f ca="1">IF($A7="N/A"," ",IF(S7&lt;&gt;0,IF('Pricing Inputs'!$AN$3=2,8*VLOOKUP($A7,NumberofDaysTable,3),(_xll.xSPRDOPT(L7,$E7,$BU7,0,$BP7,$BS7,$BT7,$A7-Inputs!$D$1,1,1))*(8*VLOOKUP($A7,NumberofDaysTable,3))),0))</f>
        <v>1.7203686323344096</v>
      </c>
      <c r="AA7" s="306">
        <f ca="1">IF($A7="N/A"," ",IF(T7&lt;&gt;0,IF('Pricing Inputs'!$AN$3=2,8*VLOOKUP($A7,NumberofDaysTable,4),(_xll.xSPRDOPT(M7,$E7,$BU7,0,$BP7,$BS7,$BT7,$A7-Inputs!$D$1,1,1))*(8*VLOOKUP($A7,NumberofDaysTable,4))),0))</f>
        <v>6.3246902209036213E-2</v>
      </c>
      <c r="AB7" s="306">
        <f ca="1">IF($A7="N/A"," ",IF(U7&lt;&gt;0,IF('Pricing Inputs'!$AN$3=2,8*VLOOKUP($A7,NumberofDaysTable,4),(_xll.xSPRDOPT(N7,$E7,$BU7,0,$BP7,$BS7,$BT7,$A7-Inputs!$D$1,1,1))*(8*VLOOKUP($A7,NumberofDaysTable,4))),0))</f>
        <v>0.91617860227060366</v>
      </c>
      <c r="AC7" s="306">
        <f t="shared" ca="1" si="21"/>
        <v>0</v>
      </c>
      <c r="AD7" s="274">
        <f t="shared" ca="1" si="22"/>
        <v>23</v>
      </c>
      <c r="AE7" s="275">
        <f t="shared" ca="1" si="23"/>
        <v>17</v>
      </c>
      <c r="AF7" s="275">
        <f t="shared" ca="1" si="24"/>
        <v>60</v>
      </c>
      <c r="AG7" s="275">
        <f t="shared" ca="1" si="25"/>
        <v>43</v>
      </c>
      <c r="AH7" s="275">
        <f t="shared" ca="1" si="26"/>
        <v>65</v>
      </c>
      <c r="AI7" s="275">
        <f t="shared" ca="1" si="27"/>
        <v>51</v>
      </c>
      <c r="AJ7" s="276">
        <f t="shared" ca="1" si="28"/>
        <v>73</v>
      </c>
      <c r="AK7" s="314">
        <f t="shared" ca="1" si="1"/>
        <v>85.207461416609931</v>
      </c>
      <c r="AL7" s="315">
        <f t="shared" ca="1" si="2"/>
        <v>139.86385923420164</v>
      </c>
      <c r="AM7" s="315">
        <f t="shared" ca="1" si="3"/>
        <v>0.16607006213014264</v>
      </c>
      <c r="AN7" s="315">
        <f t="shared" ca="1" si="4"/>
        <v>1.7203686323344096</v>
      </c>
      <c r="AO7" s="315">
        <f t="shared" ca="1" si="5"/>
        <v>6.3246902209036213E-2</v>
      </c>
      <c r="AP7" s="315">
        <f t="shared" ca="1" si="6"/>
        <v>0.91617860227060366</v>
      </c>
      <c r="AQ7" s="315">
        <f t="shared" ca="1" si="7"/>
        <v>0</v>
      </c>
      <c r="AR7" s="276"/>
      <c r="AS7" s="321">
        <f t="shared" ca="1" si="8"/>
        <v>0</v>
      </c>
      <c r="AT7" s="324">
        <f t="shared" ca="1" si="9"/>
        <v>0</v>
      </c>
      <c r="AU7" s="324">
        <f t="shared" ca="1" si="10"/>
        <v>0</v>
      </c>
      <c r="AV7" s="324">
        <f t="shared" ca="1" si="11"/>
        <v>0</v>
      </c>
      <c r="AW7" s="324">
        <f t="shared" ca="1" si="12"/>
        <v>0</v>
      </c>
      <c r="AX7" s="324">
        <f t="shared" ca="1" si="13"/>
        <v>0</v>
      </c>
      <c r="AY7" s="324">
        <f t="shared" ca="1" si="14"/>
        <v>0</v>
      </c>
      <c r="AZ7" s="283"/>
      <c r="BA7" s="267">
        <f ca="1">IF($A7="N/A"," ",(IF(MONTH(A7)&gt;=4,IF(MONTH(A7)&lt;=10,Inputs!$F$13,Inputs!$F$14),Inputs!$F$14))*$BW7)</f>
        <v>180</v>
      </c>
      <c r="BB7" s="268">
        <f t="shared" ca="1" si="29"/>
        <v>54395.608251991871</v>
      </c>
      <c r="BC7" s="268">
        <f t="shared" ca="1" si="30"/>
        <v>155294.1256803053</v>
      </c>
      <c r="BD7" s="268">
        <f t="shared" ca="1" si="31"/>
        <v>33.954055615347443</v>
      </c>
      <c r="BE7" s="268">
        <f t="shared" ca="1" si="32"/>
        <v>497.26760656264116</v>
      </c>
      <c r="BF7" s="268">
        <f ca="1">IF($A7="N/A"," ",(IF(AO7&gt;0,($BA7*(8*(VLOOKUP($A7,NumberofDaysTable,4)+VLOOKUP($A7,NumberofDaysTable,5)))*T7),0)+IF(AW7&gt;0,($BA7*((AW7))*T7),0)))</f>
        <v>11.488790317718612</v>
      </c>
      <c r="BG7" s="268">
        <f t="shared" ca="1" si="34"/>
        <v>227.73547216575787</v>
      </c>
      <c r="BH7" s="268">
        <f t="shared" ca="1" si="35"/>
        <v>0</v>
      </c>
      <c r="BI7" s="268">
        <f t="shared" ca="1" si="36"/>
        <v>210460.17985695862</v>
      </c>
      <c r="BJ7" s="296">
        <f t="shared" ca="1" si="37"/>
        <v>1217811.1094345516</v>
      </c>
      <c r="BK7" s="296">
        <f t="shared" ca="1" si="38"/>
        <v>1135753.7228886394</v>
      </c>
      <c r="BL7" s="296">
        <f t="shared" ca="1" si="39"/>
        <v>82057.386545912072</v>
      </c>
      <c r="BM7" s="296">
        <f t="shared" ca="1" si="40"/>
        <v>0</v>
      </c>
      <c r="BN7" s="405">
        <f>IF(A7="N/A"," ",(VLOOKUP(A7,PowerVolTable,(IF('Pricing Inputs'!$AT$3=2,7,IF('Pricing Inputs'!$AT$3=1,6,8))),FALSE)))</f>
        <v>0.23805000000000001</v>
      </c>
      <c r="BO7" s="405">
        <f>IF(A7="N/A"," ",(VLOOKUP(A7,IntraPowerVol,(IF('Pricing Inputs'!$AT$3=2,3,IF('Pricing Inputs'!$AT$3=1,2,4))),FALSE)*VLOOKUP(MONTH($A7),Inputs!$A$28:$B$39,2)))</f>
        <v>1.2649999999999999</v>
      </c>
      <c r="BP7" s="406">
        <f t="shared" ca="1" si="15"/>
        <v>0.33615650095475819</v>
      </c>
      <c r="BQ7" s="405">
        <f ca="1">IF($A7="N/A"," ",(VLOOKUP($A7,GasVolTable,(IF('Pricing Inputs'!$AT$3=2,6,IF('Pricing Inputs'!$AT$3=1,7,5))),FALSE)))</f>
        <v>0.27750000000000002</v>
      </c>
      <c r="BR7" s="405">
        <f ca="1">IF($A7="N/A"," ",(VLOOKUP($A7,OmicronVol,(IF('Pricing Inputs'!$AT$3=2,3,IF('Pricing Inputs'!$AT$3=1,4,2))),FALSE)))</f>
        <v>0.45</v>
      </c>
      <c r="BS7" s="406">
        <f ca="1">IF($A7="N/A"," ",IF('Pricing Inputs'!$AN$3=1,(IF(DateToday&gt;$A7,$BR7,((($BQ7^2)*((($A7-1)-DateToday)/((EOMONTH($A7,0)+1)-DateToday-15)))+((($BR7)^2)*((15)/((EOMONTH($A7,0)+1)-DateToday-15))))^0.5)),0.0001))</f>
        <v>0.28532378911360745</v>
      </c>
      <c r="BT7" s="405">
        <f>IF($A7="N/A"," ",IF('Pricing Inputs'!$AN$3=1,(VLOOKUP($A7,CorrelationTable,2,FALSE)),0))</f>
        <v>0.9</v>
      </c>
      <c r="BU7" s="407">
        <f ca="1">IF($A7="N/A"," ",F7+G7+(D7*(VLOOKUP($A7,'Gas Curves'!$B$17:$P$310,14,FALSE))))</f>
        <v>2.6825000000000001</v>
      </c>
      <c r="BV7" s="405">
        <f>IF($A7="N/A"," ",IF('Pricing Inputs'!$AW$3=1,0,(VLOOKUP($A7,InterestRatesTable,2))))</f>
        <v>0</v>
      </c>
      <c r="BW7" s="408">
        <f t="shared" ca="1" si="16"/>
        <v>1</v>
      </c>
    </row>
    <row r="8" spans="1:75">
      <c r="A8" s="248">
        <f>IF(A7="N/A","N/A",IF(EDATE(A7,1)&gt;Inputs!$K$3,"N/A",EDATE(A7,1)))</f>
        <v>37012</v>
      </c>
      <c r="B8" s="262">
        <f t="shared" si="17"/>
        <v>2001</v>
      </c>
      <c r="C8" s="249">
        <f t="shared" ca="1" si="18"/>
        <v>2.596625</v>
      </c>
      <c r="D8" s="250">
        <f>IF(A8="N/A"," ",(VLOOKUP(MONTH($A8),Inputs!$A$14:$B$25,2))/1000)</f>
        <v>10.5</v>
      </c>
      <c r="E8" s="304">
        <f t="shared" ca="1" si="19"/>
        <v>27.2645625</v>
      </c>
      <c r="F8" s="251">
        <f>IF(A8="N/A"," ",Inputs!$F$6)</f>
        <v>2</v>
      </c>
      <c r="G8" s="251">
        <f ca="1">IF(A8="N/A"," ",Inputs!$F$9/IF(AND('Pricing Inputs'!$AQ$3&gt;=4,'Pricing Inputs'!$AQ$3&lt;=6),16,IF(AND('Pricing Inputs'!$AQ$3&gt;=7,'Pricing Inputs'!$AQ$3&lt;=9),8,24))/(BA8/BW8))</f>
        <v>0</v>
      </c>
      <c r="H8" s="252">
        <f t="shared" ca="1" si="20"/>
        <v>29.2645625</v>
      </c>
      <c r="I8" s="255">
        <f>VLOOKUP(A8,ScaledPrice,(IF(AND('Pricing Inputs'!$AQ$3&gt;=1,'Pricing Inputs'!$AQ$3&lt;=6),2,4)))</f>
        <v>33.5462634361864</v>
      </c>
      <c r="J8" s="255">
        <f>IF(A8="N/A"," ",IF(AND('Pricing Inputs'!$AQ$3&gt;=1,'Pricing Inputs'!$AQ$3&lt;=6),I8,(VLOOKUP(A8,ScaledPrice,2))*(2-(VLOOKUP(A8,ScaledPrice,3)))))</f>
        <v>35.4537365638136</v>
      </c>
      <c r="K8" s="255">
        <f>IF(A8="N/A"," ",IF(OR('Pricing Inputs'!$AQ$3=2,'Pricing Inputs'!$AQ$3=3,'Pricing Inputs'!$AQ$3=5,'Pricing Inputs'!$AQ$3=6,'Pricing Inputs'!$AQ$3=8,'Pricing Inputs'!$AQ$3=9),VLOOKUP(A8,ScaledPrice,IF(AND('Pricing Inputs'!$AQ$3&gt;=2,'Pricing Inputs'!$AQ$3&lt;=6),5,6)),0))</f>
        <v>21.131715150327473</v>
      </c>
      <c r="L8" s="255">
        <f>IF(A8="N/A"," ",IF(OR('Pricing Inputs'!$AQ$3=2,'Pricing Inputs'!$AQ$3=3,'Pricing Inputs'!$AQ$3=5,'Pricing Inputs'!$AQ$3=6,'Pricing Inputs'!$AQ$3=8,'Pricing Inputs'!$AQ$3=9),IF(AND('Pricing Inputs'!$AQ$3&gt;=2,'Pricing Inputs'!$AQ$3&lt;=6),K8,(VLOOKUP(A8,ScaledPrice,5))*(2-(VLOOKUP(A8,ScaledPrice,3)))),0))</f>
        <v>22.333285002260418</v>
      </c>
      <c r="M8" s="255">
        <f>IF(A8="N/A"," ",IF(OR('Pricing Inputs'!$AQ$3=3,'Pricing Inputs'!$AQ$3=6,'Pricing Inputs'!$AQ$3=9),(VLOOKUP(A8,ScaledPrice,IF(AND('Pricing Inputs'!$AQ$3&gt;=3,'Pricing Inputs'!$AQ$3&lt;=6),7,8))),0))</f>
        <v>20.288196490373881</v>
      </c>
      <c r="N8" s="255">
        <f>IF(A8="N/A"," ",IF(OR('Pricing Inputs'!$AQ$3=3,'Pricing Inputs'!$AQ$3=6,'Pricing Inputs'!$AQ$3=9),IF(AND('Pricing Inputs'!$AQ$3&gt;=3,'Pricing Inputs'!$AQ$3&lt;=6),M8,(VLOOKUP(A8,ScaledPrice,7))*(2-(VLOOKUP(A8,ScaledPrice,3)))),0))</f>
        <v>21.441803051862447</v>
      </c>
      <c r="O8" s="255">
        <f>IF(A8="N/A"," ",IF(AND('Pricing Inputs'!$AQ$3&gt;=1,'Pricing Inputs'!$AQ$3&lt;=3),VLOOKUP(A8,ScaledPrice,9),0))</f>
        <v>0</v>
      </c>
      <c r="P8" s="320">
        <f ca="1">IF($A8="N/A"," ",IF('Pricing Inputs'!$AN$8=2,(I8-H8),IF('Pricing Inputs'!$AN$3=2,IF((I8-$H8)&gt;0,I8-$H8,0),(_xll.xSPRDOPT(I8,$E8,$BU8,0,$BP8,$BS8,$BT8,($A8-Inputs!$D$1)+15,1,0)))))</f>
        <v>4.6587097711464986</v>
      </c>
      <c r="Q8" s="320">
        <f ca="1">IF($A8="N/A"," ",IF('Pricing Inputs'!$AN$8=2,(J8-$H8),IF('Pricing Inputs'!$AN$3=2,IF((J8-$H8)&gt;0,J8-$H8,0),(_xll.xSPRDOPT(J8,$E8,$BU8,0,$BP8,$BS8,$BT8,($A8-Inputs!$D$1)+15,1,0)))))</f>
        <v>6.1768462313796677</v>
      </c>
      <c r="R8" s="320">
        <f ca="1">IF($A8="N/A"," ",IF('Pricing Inputs'!$AN$8=2,(K8-$H8),IF('Pricing Inputs'!$AN$3=2,IF((K8-$H8)&gt;0,K8-$H8,0),(_xll.xSPRDOPT(K8,$E8,$BU8,0,$BP8,$BS8,$BT8,($A8-Inputs!$D$1)+15,1,0)))))</f>
        <v>6.6570833801492868E-2</v>
      </c>
      <c r="S8" s="320">
        <f ca="1">IF($A8="N/A"," ",IF('Pricing Inputs'!$AN$8=2,(L8-$H8),IF('Pricing Inputs'!$AN$3=2,IF((L8-$H8)&gt;0,L8-$H8,0),(_xll.xSPRDOPT(L8,$E8,$BU8,0,$BP8,$BS8,$BT8,($A8-Inputs!$D$1)+15,1,0)))))</f>
        <v>0.13757021868937136</v>
      </c>
      <c r="T8" s="320">
        <f ca="1">IF($A8="N/A"," ",IF('Pricing Inputs'!$AN$8=2,(M8-$H8),IF('Pricing Inputs'!$AN$3=2,IF((M8-$H8)&gt;0,M8-$H8,0),(_xll.xSPRDOPT(M8,$E8,$BU8,0,$BP8,$BS8,$BT8,($A8-Inputs!$D$1)+15,1,0)))))</f>
        <v>3.7334471231296358E-2</v>
      </c>
      <c r="U8" s="320">
        <f ca="1">IF($A8="N/A"," ",IF('Pricing Inputs'!$AN$8=2,(N8-$H8),IF('Pricing Inputs'!$AN$3=2,IF((N8-$H8)&gt;0,N8-$H8,0),(_xll.xSPRDOPT(N8,$E8,$BU8,0,$BP8,$BS8,$BT8,($A8-Inputs!$D$1)+15,1,0)))))</f>
        <v>8.1127116752806178E-2</v>
      </c>
      <c r="V8" s="259">
        <f ca="1">IF($A8="N/A"," ",(IF('Pricing Inputs'!$AN$8=2,(O8-$H8),IF((O8-$H8)&lt;=0,0,(O8-$H8)))))</f>
        <v>0</v>
      </c>
      <c r="W8" s="306">
        <f ca="1">IF($A8="N/A"," ",IF(0&lt;&gt;P8,IF('Pricing Inputs'!$AN$3=2,8*VLOOKUP($A8,NumberofDaysTable,2),(_xll.xSPRDOPT(I8,$E8,$BU8,0,$BP8,$BS8,$BT8,$A8-Inputs!$D$1,1,1))*(8*VLOOKUP($A8,NumberofDaysTable,2))),0))</f>
        <v>133.12562846509906</v>
      </c>
      <c r="X8" s="306">
        <f ca="1">IF($A8="N/A"," ",IF(Q8&lt;&gt;0,IF('Pricing Inputs'!$AN$3=2,8*VLOOKUP($A8,NumberofDaysTable,2),(_xll.xSPRDOPT(J8,$E8,$BU8,0,$BP8,$BS8,$BT8,$A8-Inputs!$D$1,1,1))*(8*VLOOKUP($A8,NumberofDaysTable,2))),0))</f>
        <v>147.3932134151361</v>
      </c>
      <c r="Y8" s="306">
        <f ca="1">IF($A8="N/A"," ",IF(R8&lt;&gt;0,IF('Pricing Inputs'!$AN$3=2,8*VLOOKUP($A8,NumberofDaysTable,3),(_xll.xSPRDOPT(K8,$E8,$BU8,0,$BP8,$BS8,$BT8,$A8-Inputs!$D$1,1,1))*(8*VLOOKUP($A8,NumberofDaysTable,3))),0))</f>
        <v>1.289449781985907</v>
      </c>
      <c r="Z8" s="306">
        <f ca="1">IF($A8="N/A"," ",IF(S8&lt;&gt;0,IF('Pricing Inputs'!$AN$3=2,8*VLOOKUP($A8,NumberofDaysTable,3),(_xll.xSPRDOPT(L8,$E8,$BU8,0,$BP8,$BS8,$BT8,$A8-Inputs!$D$1,1,1))*(8*VLOOKUP($A8,NumberofDaysTable,3))),0))</f>
        <v>2.3393937386686705</v>
      </c>
      <c r="AA8" s="306">
        <f ca="1">IF($A8="N/A"," ",IF(T8&lt;&gt;0,IF('Pricing Inputs'!$AN$3=2,8*VLOOKUP($A8,NumberofDaysTable,4),(_xll.xSPRDOPT(M8,$E8,$BU8,0,$BP8,$BS8,$BT8,$A8-Inputs!$D$1,1,1))*(8*VLOOKUP($A8,NumberofDaysTable,4))),0))</f>
        <v>0.79192998027484485</v>
      </c>
      <c r="AB8" s="306">
        <f ca="1">IF($A8="N/A"," ",IF(U8&lt;&gt;0,IF('Pricing Inputs'!$AN$3=2,8*VLOOKUP($A8,NumberofDaysTable,4),(_xll.xSPRDOPT(N8,$E8,$BU8,0,$BP8,$BS8,$BT8,$A8-Inputs!$D$1,1,1))*(8*VLOOKUP($A8,NumberofDaysTable,4))),0))</f>
        <v>1.519595697093197</v>
      </c>
      <c r="AC8" s="306">
        <f t="shared" ca="1" si="21"/>
        <v>0</v>
      </c>
      <c r="AD8" s="274">
        <f t="shared" ca="1" si="22"/>
        <v>19</v>
      </c>
      <c r="AE8" s="275">
        <f t="shared" ca="1" si="23"/>
        <v>15</v>
      </c>
      <c r="AF8" s="275">
        <f t="shared" ca="1" si="24"/>
        <v>46</v>
      </c>
      <c r="AG8" s="275">
        <f t="shared" ca="1" si="25"/>
        <v>40</v>
      </c>
      <c r="AH8" s="275">
        <f t="shared" ca="1" si="26"/>
        <v>50</v>
      </c>
      <c r="AI8" s="275">
        <f t="shared" ca="1" si="27"/>
        <v>44</v>
      </c>
      <c r="AJ8" s="276">
        <f t="shared" ca="1" si="28"/>
        <v>73</v>
      </c>
      <c r="AK8" s="314">
        <f t="shared" ca="1" si="1"/>
        <v>133.12562846509906</v>
      </c>
      <c r="AL8" s="315">
        <f t="shared" ca="1" si="2"/>
        <v>147.3932134151361</v>
      </c>
      <c r="AM8" s="315">
        <f t="shared" ca="1" si="3"/>
        <v>1.289449781985907</v>
      </c>
      <c r="AN8" s="315">
        <f t="shared" ca="1" si="4"/>
        <v>2.3393937386686705</v>
      </c>
      <c r="AO8" s="315">
        <f t="shared" ca="1" si="5"/>
        <v>0.79192998027484485</v>
      </c>
      <c r="AP8" s="315">
        <f t="shared" ca="1" si="6"/>
        <v>1.519595697093197</v>
      </c>
      <c r="AQ8" s="315">
        <f t="shared" ca="1" si="7"/>
        <v>0</v>
      </c>
      <c r="AR8" s="276"/>
      <c r="AS8" s="321">
        <f t="shared" ca="1" si="8"/>
        <v>0</v>
      </c>
      <c r="AT8" s="324">
        <f t="shared" ca="1" si="9"/>
        <v>0</v>
      </c>
      <c r="AU8" s="324">
        <f t="shared" ca="1" si="10"/>
        <v>0</v>
      </c>
      <c r="AV8" s="324">
        <f t="shared" ca="1" si="11"/>
        <v>0</v>
      </c>
      <c r="AW8" s="324">
        <f t="shared" ca="1" si="12"/>
        <v>0</v>
      </c>
      <c r="AX8" s="324">
        <f t="shared" ca="1" si="13"/>
        <v>0</v>
      </c>
      <c r="AY8" s="324">
        <f t="shared" ca="1" si="14"/>
        <v>0</v>
      </c>
      <c r="AZ8" s="283"/>
      <c r="BA8" s="267">
        <f ca="1">IF($A8="N/A"," ",(IF(MONTH(A8)&gt;=4,IF(MONTH(A8)&lt;=10,Inputs!$F$13,Inputs!$F$14),Inputs!$F$14))*$BW8)</f>
        <v>180</v>
      </c>
      <c r="BB8" s="268">
        <f t="shared" ca="1" si="29"/>
        <v>147587.92554992108</v>
      </c>
      <c r="BC8" s="268">
        <f t="shared" ca="1" si="30"/>
        <v>195682.48861010786</v>
      </c>
      <c r="BD8" s="268">
        <f t="shared" ca="1" si="31"/>
        <v>383.44800269659891</v>
      </c>
      <c r="BE8" s="268">
        <f t="shared" ca="1" si="32"/>
        <v>792.40445965077902</v>
      </c>
      <c r="BF8" s="268">
        <f t="shared" ca="1" si="33"/>
        <v>268.80819286533375</v>
      </c>
      <c r="BG8" s="268">
        <f t="shared" ca="1" si="34"/>
        <v>584.11524062020453</v>
      </c>
      <c r="BH8" s="268">
        <f t="shared" ca="1" si="35"/>
        <v>0</v>
      </c>
      <c r="BI8" s="268">
        <f t="shared" ca="1" si="36"/>
        <v>345299.19005586189</v>
      </c>
      <c r="BJ8" s="296">
        <f t="shared" ca="1" si="37"/>
        <v>1508958.6275340666</v>
      </c>
      <c r="BK8" s="296">
        <f t="shared" ca="1" si="38"/>
        <v>1405833.3115458938</v>
      </c>
      <c r="BL8" s="296">
        <f t="shared" ca="1" si="39"/>
        <v>103125.31598817282</v>
      </c>
      <c r="BM8" s="296">
        <f t="shared" ca="1" si="40"/>
        <v>0</v>
      </c>
      <c r="BN8" s="405">
        <f>IF(A8="N/A"," ",(VLOOKUP(A8,PowerVolTable,(IF('Pricing Inputs'!$AT$3=2,7,IF('Pricing Inputs'!$AT$3=1,6,8))),FALSE)))</f>
        <v>0.27405000000000002</v>
      </c>
      <c r="BO8" s="405">
        <f>IF(A8="N/A"," ",(VLOOKUP(A8,IntraPowerVol,(IF('Pricing Inputs'!$AT$3=2,3,IF('Pricing Inputs'!$AT$3=1,2,4))),FALSE)*VLOOKUP(MONTH($A8),Inputs!$A$28:$B$39,2)))</f>
        <v>1.2649999999999999</v>
      </c>
      <c r="BP8" s="406">
        <f t="shared" ca="1" si="15"/>
        <v>0.35586188580502337</v>
      </c>
      <c r="BQ8" s="405">
        <f ca="1">IF($A8="N/A"," ",(VLOOKUP($A8,GasVolTable,(IF('Pricing Inputs'!$AT$3=2,6,IF('Pricing Inputs'!$AT$3=1,7,5))),FALSE)))</f>
        <v>0.2475</v>
      </c>
      <c r="BR8" s="405">
        <f ca="1">IF($A8="N/A"," ",(VLOOKUP($A8,OmicronVol,(IF('Pricing Inputs'!$AT$3=2,3,IF('Pricing Inputs'!$AT$3=1,4,2))),FALSE)))</f>
        <v>0.5</v>
      </c>
      <c r="BS8" s="406">
        <f ca="1">IF($A8="N/A"," ",IF('Pricing Inputs'!$AN$3=1,(IF(DateToday&gt;$A8,$BR8,((($BQ8^2)*((($A8-1)-DateToday)/((EOMONTH($A8,0)+1)-DateToday-15)))+((($BR8)^2)*((15)/((EOMONTH($A8,0)+1)-DateToday-15))))^0.5)),0.0001))</f>
        <v>0.25961182430645929</v>
      </c>
      <c r="BT8" s="405">
        <f>IF($A8="N/A"," ",IF('Pricing Inputs'!$AN$3=1,(VLOOKUP($A8,CorrelationTable,2,FALSE)),0))</f>
        <v>0.9</v>
      </c>
      <c r="BU8" s="407">
        <f ca="1">IF($A8="N/A"," ",F8+G8+(D8*(VLOOKUP($A8,'Gas Curves'!$B$17:$P$310,14,FALSE))))</f>
        <v>2.6825000000000001</v>
      </c>
      <c r="BV8" s="405">
        <f>IF($A8="N/A"," ",IF('Pricing Inputs'!$AW$3=1,0,(VLOOKUP($A8,InterestRatesTable,2))))</f>
        <v>0</v>
      </c>
      <c r="BW8" s="408">
        <f t="shared" ca="1" si="16"/>
        <v>1</v>
      </c>
    </row>
    <row r="9" spans="1:75">
      <c r="A9" s="248">
        <f>IF(A8="N/A","N/A",IF(EDATE(A8,1)&gt;Inputs!$K$3,"N/A",EDATE(A8,1)))</f>
        <v>37043</v>
      </c>
      <c r="B9" s="262">
        <f t="shared" si="17"/>
        <v>2001</v>
      </c>
      <c r="C9" s="249">
        <f t="shared" ca="1" si="18"/>
        <v>2.6025</v>
      </c>
      <c r="D9" s="250">
        <f>IF(A9="N/A"," ",(VLOOKUP(MONTH($A9),Inputs!$A$14:$B$25,2))/1000)</f>
        <v>10.5</v>
      </c>
      <c r="E9" s="304">
        <f t="shared" ca="1" si="19"/>
        <v>27.326250000000002</v>
      </c>
      <c r="F9" s="251">
        <f>IF(A9="N/A"," ",Inputs!$F$6)</f>
        <v>2</v>
      </c>
      <c r="G9" s="251">
        <f ca="1">IF(A9="N/A"," ",Inputs!$F$9/IF(AND('Pricing Inputs'!$AQ$3&gt;=4,'Pricing Inputs'!$AQ$3&lt;=6),16,IF(AND('Pricing Inputs'!$AQ$3&gt;=7,'Pricing Inputs'!$AQ$3&lt;=9),8,24))/(BA9/BW9))</f>
        <v>0</v>
      </c>
      <c r="H9" s="252">
        <f t="shared" ca="1" si="20"/>
        <v>29.326250000000002</v>
      </c>
      <c r="I9" s="255">
        <f>VLOOKUP(A9,ScaledPrice,(IF(AND('Pricing Inputs'!$AQ$3&gt;=1,'Pricing Inputs'!$AQ$3&lt;=6),2,4)))</f>
        <v>58.154930168183526</v>
      </c>
      <c r="J9" s="255">
        <f>IF(A9="N/A"," ",IF(AND('Pricing Inputs'!$AQ$3&gt;=1,'Pricing Inputs'!$AQ$3&lt;=6),I9,(VLOOKUP(A9,ScaledPrice,2))*(2-(VLOOKUP(A9,ScaledPrice,3)))))</f>
        <v>43.845069831816474</v>
      </c>
      <c r="K9" s="255">
        <f>IF(A9="N/A"," ",IF(OR('Pricing Inputs'!$AQ$3=2,'Pricing Inputs'!$AQ$3=3,'Pricing Inputs'!$AQ$3=5,'Pricing Inputs'!$AQ$3=6,'Pricing Inputs'!$AQ$3=8,'Pricing Inputs'!$AQ$3=9),VLOOKUP(A9,ScaledPrice,IF(AND('Pricing Inputs'!$AQ$3&gt;=2,'Pricing Inputs'!$AQ$3&lt;=6),5,6)),0))</f>
        <v>29.999677018351697</v>
      </c>
      <c r="L9" s="255">
        <f>IF(A9="N/A"," ",IF(OR('Pricing Inputs'!$AQ$3=2,'Pricing Inputs'!$AQ$3=3,'Pricing Inputs'!$AQ$3=5,'Pricing Inputs'!$AQ$3=6,'Pricing Inputs'!$AQ$3=8,'Pricing Inputs'!$AQ$3=9),IF(AND('Pricing Inputs'!$AQ$3&gt;=2,'Pricing Inputs'!$AQ$3&lt;=6),K9,(VLOOKUP(A9,ScaledPrice,5))*(2-(VLOOKUP(A9,ScaledPrice,3)))),0))</f>
        <v>22.617823286824084</v>
      </c>
      <c r="M9" s="255">
        <f>IF(A9="N/A"," ",IF(OR('Pricing Inputs'!$AQ$3=3,'Pricing Inputs'!$AQ$3=6,'Pricing Inputs'!$AQ$3=9),(VLOOKUP(A9,ScaledPrice,IF(AND('Pricing Inputs'!$AQ$3&gt;=3,'Pricing Inputs'!$AQ$3&lt;=6),7,8))),0))</f>
        <v>22.569243700638395</v>
      </c>
      <c r="N9" s="255">
        <f>IF(A9="N/A"," ",IF(OR('Pricing Inputs'!$AQ$3=3,'Pricing Inputs'!$AQ$3=6,'Pricing Inputs'!$AQ$3=9),IF(AND('Pricing Inputs'!$AQ$3&gt;=3,'Pricing Inputs'!$AQ$3&lt;=6),M9,(VLOOKUP(A9,ScaledPrice,7))*(2-(VLOOKUP(A9,ScaledPrice,3)))),0))</f>
        <v>17.015755383834261</v>
      </c>
      <c r="O9" s="255">
        <f>IF(A9="N/A"," ",IF(AND('Pricing Inputs'!$AQ$3&gt;=1,'Pricing Inputs'!$AQ$3&lt;=3),VLOOKUP(A9,ScaledPrice,9),0))</f>
        <v>0</v>
      </c>
      <c r="P9" s="320">
        <f ca="1">IF($A9="N/A"," ",IF('Pricing Inputs'!$AN$8=2,(I9-H9),IF('Pricing Inputs'!$AN$3=2,IF((I9-$H9)&gt;0,I9-$H9,0),(_xll.xSPRDOPT(I9,$E9,$BU9,0,$BP9,$BS9,$BT9,($A9-Inputs!$D$1)+15,1,0)))))</f>
        <v>28.633907781634871</v>
      </c>
      <c r="Q9" s="320">
        <f ca="1">IF($A9="N/A"," ",IF('Pricing Inputs'!$AN$8=2,(J9-$H9),IF('Pricing Inputs'!$AN$3=2,IF((J9-$H9)&gt;0,J9-$H9,0),(_xll.xSPRDOPT(J9,$E9,$BU9,0,$BP9,$BS9,$BT9,($A9-Inputs!$D$1)+15,1,0)))))</f>
        <v>15.446534468352176</v>
      </c>
      <c r="R9" s="320">
        <f ca="1">IF($A9="N/A"," ",IF('Pricing Inputs'!$AN$8=2,(K9-$H9),IF('Pricing Inputs'!$AN$3=2,IF((K9-$H9)&gt;0,K9-$H9,0),(_xll.xSPRDOPT(K9,$E9,$BU9,0,$BP9,$BS9,$BT9,($A9-Inputs!$D$1)+15,1,0)))))</f>
        <v>5.0996038085025237</v>
      </c>
      <c r="S9" s="320">
        <f ca="1">IF($A9="N/A"," ",IF('Pricing Inputs'!$AN$8=2,(L9-$H9),IF('Pricing Inputs'!$AN$3=2,IF((L9-$H9)&gt;0,L9-$H9,0),(_xll.xSPRDOPT(L9,$E9,$BU9,0,$BP9,$BS9,$BT9,($A9-Inputs!$D$1)+15,1,0)))))</f>
        <v>1.6850834388569815</v>
      </c>
      <c r="T9" s="320">
        <f ca="1">IF($A9="N/A"," ",IF('Pricing Inputs'!$AN$8=2,(M9-$H9),IF('Pricing Inputs'!$AN$3=2,IF((M9-$H9)&gt;0,M9-$H9,0),(_xll.xSPRDOPT(M9,$E9,$BU9,0,$BP9,$BS9,$BT9,($A9-Inputs!$D$1)+15,1,0)))))</f>
        <v>1.6691262253123027</v>
      </c>
      <c r="U9" s="320">
        <f ca="1">IF($A9="N/A"," ",IF('Pricing Inputs'!$AN$8=2,(N9-$H9),IF('Pricing Inputs'!$AN$3=2,IF((N9-$H9)&gt;0,N9-$H9,0),(_xll.xSPRDOPT(N9,$E9,$BU9,0,$BP9,$BS9,$BT9,($A9-Inputs!$D$1)+15,1,0)))))</f>
        <v>0.40839572743492802</v>
      </c>
      <c r="V9" s="259">
        <f ca="1">IF($A9="N/A"," ",(IF('Pricing Inputs'!$AN$8=2,(O9-$H9),IF((O9-$H9)&lt;=0,0,(O9-$H9)))))</f>
        <v>0</v>
      </c>
      <c r="W9" s="306">
        <f ca="1">IF($A9="N/A"," ",IF(0&lt;&gt;P9,IF('Pricing Inputs'!$AN$3=2,8*VLOOKUP($A9,NumberofDaysTable,2),(_xll.xSPRDOPT(I9,$E9,$BU9,0,$BP9,$BS9,$BT9,$A9-Inputs!$D$1,1,1))*(8*VLOOKUP($A9,NumberofDaysTable,2))),0))</f>
        <v>161.57744195116547</v>
      </c>
      <c r="X9" s="306">
        <f ca="1">IF($A9="N/A"," ",IF(Q9&lt;&gt;0,IF('Pricing Inputs'!$AN$3=2,8*VLOOKUP($A9,NumberofDaysTable,2),(_xll.xSPRDOPT(J9,$E9,$BU9,0,$BP9,$BS9,$BT9,$A9-Inputs!$D$1,1,1))*(8*VLOOKUP($A9,NumberofDaysTable,2))),0))</f>
        <v>145.5779327112339</v>
      </c>
      <c r="Y9" s="306">
        <f ca="1">IF($A9="N/A"," ",IF(R9&lt;&gt;0,IF('Pricing Inputs'!$AN$3=2,8*VLOOKUP($A9,NumberofDaysTable,3),(_xll.xSPRDOPT(K9,$E9,$BU9,0,$BP9,$BS9,$BT9,$A9-Inputs!$D$1,1,1))*(8*VLOOKUP($A9,NumberofDaysTable,3))),0))</f>
        <v>23.402741428914613</v>
      </c>
      <c r="Z9" s="306">
        <f ca="1">IF($A9="N/A"," ",IF(S9&lt;&gt;0,IF('Pricing Inputs'!$AN$3=2,8*VLOOKUP($A9,NumberofDaysTable,3),(_xll.xSPRDOPT(L9,$E9,$BU9,0,$BP9,$BS9,$BT9,$A9-Inputs!$D$1,1,1))*(8*VLOOKUP($A9,NumberofDaysTable,3))),0))</f>
        <v>12.970075500218226</v>
      </c>
      <c r="AA9" s="306">
        <f ca="1">IF($A9="N/A"," ",IF(T9&lt;&gt;0,IF('Pricing Inputs'!$AN$3=2,8*VLOOKUP($A9,NumberofDaysTable,4),(_xll.xSPRDOPT(M9,$E9,$BU9,0,$BP9,$BS9,$BT9,$A9-Inputs!$D$1,1,1))*(8*VLOOKUP($A9,NumberofDaysTable,4))),0))</f>
        <v>10.317229365131745</v>
      </c>
      <c r="AB9" s="306">
        <f ca="1">IF($A9="N/A"," ",IF(U9&lt;&gt;0,IF('Pricing Inputs'!$AN$3=2,8*VLOOKUP($A9,NumberofDaysTable,4),(_xll.xSPRDOPT(N9,$E9,$BU9,0,$BP9,$BS9,$BT9,$A9-Inputs!$D$1,1,1))*(8*VLOOKUP($A9,NumberofDaysTable,4))),0))</f>
        <v>4.1022195899191534</v>
      </c>
      <c r="AC9" s="306">
        <f t="shared" ca="1" si="21"/>
        <v>0</v>
      </c>
      <c r="AD9" s="274">
        <f t="shared" ca="1" si="22"/>
        <v>5</v>
      </c>
      <c r="AE9" s="275">
        <f t="shared" ca="1" si="23"/>
        <v>8</v>
      </c>
      <c r="AF9" s="275">
        <f t="shared" ca="1" si="24"/>
        <v>18</v>
      </c>
      <c r="AG9" s="275">
        <f t="shared" ca="1" si="25"/>
        <v>24</v>
      </c>
      <c r="AH9" s="275">
        <f t="shared" ca="1" si="26"/>
        <v>25</v>
      </c>
      <c r="AI9" s="275">
        <f t="shared" ca="1" si="27"/>
        <v>34</v>
      </c>
      <c r="AJ9" s="276">
        <f t="shared" ca="1" si="28"/>
        <v>73</v>
      </c>
      <c r="AK9" s="314">
        <f t="shared" ca="1" si="1"/>
        <v>161.57744195116547</v>
      </c>
      <c r="AL9" s="315">
        <f t="shared" ca="1" si="2"/>
        <v>145.5779327112339</v>
      </c>
      <c r="AM9" s="315">
        <f t="shared" ca="1" si="3"/>
        <v>23.402741428914613</v>
      </c>
      <c r="AN9" s="315">
        <f t="shared" ca="1" si="4"/>
        <v>12.970075500218226</v>
      </c>
      <c r="AO9" s="315">
        <f t="shared" ca="1" si="5"/>
        <v>10.317229365131745</v>
      </c>
      <c r="AP9" s="315">
        <f t="shared" ca="1" si="6"/>
        <v>4.1022195899191534</v>
      </c>
      <c r="AQ9" s="315">
        <f t="shared" ca="1" si="7"/>
        <v>0</v>
      </c>
      <c r="AR9" s="276"/>
      <c r="AS9" s="321">
        <f t="shared" ca="1" si="8"/>
        <v>0</v>
      </c>
      <c r="AT9" s="324">
        <f t="shared" ca="1" si="9"/>
        <v>0</v>
      </c>
      <c r="AU9" s="324">
        <f t="shared" ca="1" si="10"/>
        <v>0</v>
      </c>
      <c r="AV9" s="324">
        <f t="shared" ca="1" si="11"/>
        <v>0</v>
      </c>
      <c r="AW9" s="324">
        <f t="shared" ca="1" si="12"/>
        <v>0</v>
      </c>
      <c r="AX9" s="324">
        <f t="shared" ca="1" si="13"/>
        <v>0</v>
      </c>
      <c r="AY9" s="324">
        <f t="shared" ca="1" si="14"/>
        <v>0</v>
      </c>
      <c r="AZ9" s="283"/>
      <c r="BA9" s="267">
        <f ca="1">IF($A9="N/A"," ",(IF(MONTH(A9)&gt;=4,IF(MONTH(A9)&lt;=10,Inputs!$F$13,Inputs!$F$14),Inputs!$F$14))*$BW9)</f>
        <v>180</v>
      </c>
      <c r="BB9" s="268">
        <f t="shared" ca="1" si="29"/>
        <v>865889.37131663854</v>
      </c>
      <c r="BC9" s="268">
        <f t="shared" ca="1" si="30"/>
        <v>467103.2023229698</v>
      </c>
      <c r="BD9" s="268">
        <f t="shared" ca="1" si="31"/>
        <v>36717.147421218171</v>
      </c>
      <c r="BE9" s="268">
        <f t="shared" ca="1" si="32"/>
        <v>12132.600759770266</v>
      </c>
      <c r="BF9" s="268">
        <f t="shared" ca="1" si="33"/>
        <v>9614.1670577988643</v>
      </c>
      <c r="BG9" s="268">
        <f t="shared" ca="1" si="34"/>
        <v>2352.3593900251853</v>
      </c>
      <c r="BH9" s="268">
        <f t="shared" ca="1" si="35"/>
        <v>0</v>
      </c>
      <c r="BI9" s="268">
        <f t="shared" ca="1" si="36"/>
        <v>1393808.8482684211</v>
      </c>
      <c r="BJ9" s="296">
        <f t="shared" ca="1" si="37"/>
        <v>1889507.1588442624</v>
      </c>
      <c r="BK9" s="296">
        <f t="shared" ca="1" si="38"/>
        <v>1760646.0082474926</v>
      </c>
      <c r="BL9" s="296">
        <f t="shared" ca="1" si="39"/>
        <v>128861.15059676993</v>
      </c>
      <c r="BM9" s="296">
        <f t="shared" ca="1" si="40"/>
        <v>0</v>
      </c>
      <c r="BN9" s="405">
        <f>IF(A9="N/A"," ",(VLOOKUP(A9,PowerVolTable,(IF('Pricing Inputs'!$AT$3=2,7,IF('Pricing Inputs'!$AT$3=1,6,8))),FALSE)))</f>
        <v>0.34357500000000002</v>
      </c>
      <c r="BO9" s="405">
        <f>IF(A9="N/A"," ",(VLOOKUP(A9,IntraPowerVol,(IF('Pricing Inputs'!$AT$3=2,3,IF('Pricing Inputs'!$AT$3=1,2,4))),FALSE)*VLOOKUP(MONTH($A9),Inputs!$A$28:$B$39,2)))</f>
        <v>2.5874999999999999</v>
      </c>
      <c r="BP9" s="406">
        <f t="shared" ca="1" si="15"/>
        <v>0.57206235450367349</v>
      </c>
      <c r="BQ9" s="405">
        <f ca="1">IF($A9="N/A"," ",(VLOOKUP($A9,GasVolTable,(IF('Pricing Inputs'!$AT$3=2,6,IF('Pricing Inputs'!$AT$3=1,7,5))),FALSE)))</f>
        <v>0.24</v>
      </c>
      <c r="BR9" s="405">
        <f ca="1">IF($A9="N/A"," ",(VLOOKUP($A9,OmicronVol,(IF('Pricing Inputs'!$AT$3=2,3,IF('Pricing Inputs'!$AT$3=1,4,2))),FALSE)))</f>
        <v>0.5</v>
      </c>
      <c r="BS9" s="406">
        <f ca="1">IF($A9="N/A"," ",IF('Pricing Inputs'!$AN$3=1,(IF(DateToday&gt;$A9,$BR9,((($BQ9^2)*((($A9-1)-DateToday)/((EOMONTH($A9,0)+1)-DateToday-15)))+((($BR9)^2)*((15)/((EOMONTH($A9,0)+1)-DateToday-15))))^0.5)),0.0001))</f>
        <v>0.25220050662399801</v>
      </c>
      <c r="BT9" s="405">
        <f>IF($A9="N/A"," ",IF('Pricing Inputs'!$AN$3=1,(VLOOKUP($A9,CorrelationTable,2,FALSE)),0))</f>
        <v>0.9</v>
      </c>
      <c r="BU9" s="407">
        <f ca="1">IF($A9="N/A"," ",F9+G9+(D9*(VLOOKUP($A9,'Gas Curves'!$B$17:$P$310,14,FALSE))))</f>
        <v>2.6825000000000001</v>
      </c>
      <c r="BV9" s="405">
        <f>IF($A9="N/A"," ",IF('Pricing Inputs'!$AW$3=1,0,(VLOOKUP($A9,InterestRatesTable,2))))</f>
        <v>0</v>
      </c>
      <c r="BW9" s="408">
        <f t="shared" ca="1" si="16"/>
        <v>1</v>
      </c>
    </row>
    <row r="10" spans="1:75">
      <c r="A10" s="248">
        <f>IF(A9="N/A","N/A",IF(EDATE(A9,1)&gt;Inputs!$K$3,"N/A",EDATE(A9,1)))</f>
        <v>37073</v>
      </c>
      <c r="B10" s="262">
        <f t="shared" si="17"/>
        <v>2001</v>
      </c>
      <c r="C10" s="249">
        <f t="shared" ca="1" si="18"/>
        <v>2.6124999999999998</v>
      </c>
      <c r="D10" s="250">
        <f>IF(A10="N/A"," ",(VLOOKUP(MONTH($A10),Inputs!$A$14:$B$25,2))/1000)</f>
        <v>10.5</v>
      </c>
      <c r="E10" s="304">
        <f t="shared" ca="1" si="19"/>
        <v>27.431249999999999</v>
      </c>
      <c r="F10" s="251">
        <f>IF(A10="N/A"," ",Inputs!$F$6)</f>
        <v>2</v>
      </c>
      <c r="G10" s="251">
        <f ca="1">IF(A10="N/A"," ",Inputs!$F$9/IF(AND('Pricing Inputs'!$AQ$3&gt;=4,'Pricing Inputs'!$AQ$3&lt;=6),16,IF(AND('Pricing Inputs'!$AQ$3&gt;=7,'Pricing Inputs'!$AQ$3&lt;=9),8,24))/(BA10/BW10))</f>
        <v>0</v>
      </c>
      <c r="H10" s="252">
        <f t="shared" ca="1" si="20"/>
        <v>29.431249999999999</v>
      </c>
      <c r="I10" s="255">
        <f>VLOOKUP(A10,ScaledPrice,(IF(AND('Pricing Inputs'!$AQ$3&gt;=1,'Pricing Inputs'!$AQ$3&lt;=6),2,4)))</f>
        <v>89.374868592275163</v>
      </c>
      <c r="J10" s="255">
        <f>IF(A10="N/A"," ",IF(AND('Pricing Inputs'!$AQ$3&gt;=1,'Pricing Inputs'!$AQ$3&lt;=6),I10,(VLOOKUP(A10,ScaledPrice,2))*(2-(VLOOKUP(A10,ScaledPrice,3)))))</f>
        <v>60.625131407724837</v>
      </c>
      <c r="K10" s="255">
        <f>IF(A10="N/A"," ",IF(OR('Pricing Inputs'!$AQ$3=2,'Pricing Inputs'!$AQ$3=3,'Pricing Inputs'!$AQ$3=5,'Pricing Inputs'!$AQ$3=6,'Pricing Inputs'!$AQ$3=8,'Pricing Inputs'!$AQ$3=9),VLOOKUP(A10,ScaledPrice,IF(AND('Pricing Inputs'!$AQ$3&gt;=2,'Pricing Inputs'!$AQ$3&lt;=6),5,6)),0))</f>
        <v>48.573750953257438</v>
      </c>
      <c r="L10" s="255">
        <f>IF(A10="N/A"," ",IF(OR('Pricing Inputs'!$AQ$3=2,'Pricing Inputs'!$AQ$3=3,'Pricing Inputs'!$AQ$3=5,'Pricing Inputs'!$AQ$3=6,'Pricing Inputs'!$AQ$3=8,'Pricing Inputs'!$AQ$3=9),IF(AND('Pricing Inputs'!$AQ$3&gt;=2,'Pricing Inputs'!$AQ$3&lt;=6),K10,(VLOOKUP(A10,ScaledPrice,5))*(2-(VLOOKUP(A10,ScaledPrice,3)))),0))</f>
        <v>32.948748131215218</v>
      </c>
      <c r="M10" s="255">
        <f>IF(A10="N/A"," ",IF(OR('Pricing Inputs'!$AQ$3=3,'Pricing Inputs'!$AQ$3=6,'Pricing Inputs'!$AQ$3=9),(VLOOKUP(A10,ScaledPrice,IF(AND('Pricing Inputs'!$AQ$3&gt;=3,'Pricing Inputs'!$AQ$3&lt;=6),7,8))),0))</f>
        <v>36.044883866846845</v>
      </c>
      <c r="N10" s="255">
        <f>IF(A10="N/A"," ",IF(OR('Pricing Inputs'!$AQ$3=3,'Pricing Inputs'!$AQ$3=6,'Pricing Inputs'!$AQ$3=9),IF(AND('Pricing Inputs'!$AQ$3&gt;=3,'Pricing Inputs'!$AQ$3&lt;=6),M10,(VLOOKUP(A10,ScaledPrice,7))*(2-(VLOOKUP(A10,ScaledPrice,3)))),0))</f>
        <v>24.450115065037917</v>
      </c>
      <c r="O10" s="255">
        <f>IF(A10="N/A"," ",IF(AND('Pricing Inputs'!$AQ$3&gt;=1,'Pricing Inputs'!$AQ$3&lt;=3),VLOOKUP(A10,ScaledPrice,9),0))</f>
        <v>0</v>
      </c>
      <c r="P10" s="320">
        <f ca="1">IF($A10="N/A"," ",IF('Pricing Inputs'!$AN$8=2,(I10-H10),IF('Pricing Inputs'!$AN$3=2,IF((I10-$H10)&gt;0,I10-$H10,0),(_xll.xSPRDOPT(I10,$E10,$BU10,0,$BP10,$BS10,$BT10,($A10-Inputs!$D$1)+15,1,0)))))</f>
        <v>60.56245420234854</v>
      </c>
      <c r="Q10" s="320">
        <f ca="1">IF($A10="N/A"," ",IF('Pricing Inputs'!$AN$8=2,(J10-$H10),IF('Pricing Inputs'!$AN$3=2,IF((J10-$H10)&gt;0,J10-$H10,0),(_xll.xSPRDOPT(J10,$E10,$BU10,0,$BP10,$BS10,$BT10,($A10-Inputs!$D$1)+15,1,0)))))</f>
        <v>33.530946920927683</v>
      </c>
      <c r="R10" s="320">
        <f ca="1">IF($A10="N/A"," ",IF('Pricing Inputs'!$AN$8=2,(K10-$H10),IF('Pricing Inputs'!$AN$3=2,IF((K10-$H10)&gt;0,K10-$H10,0),(_xll.xSPRDOPT(K10,$E10,$BU10,0,$BP10,$BS10,$BT10,($A10-Inputs!$D$1)+15,1,0)))))</f>
        <v>22.965323536919357</v>
      </c>
      <c r="S10" s="320">
        <f ca="1">IF($A10="N/A"," ",IF('Pricing Inputs'!$AN$8=2,(L10-$H10),IF('Pricing Inputs'!$AN$3=2,IF((L10-$H10)&gt;0,L10-$H10,0),(_xll.xSPRDOPT(L10,$E10,$BU10,0,$BP10,$BS10,$BT10,($A10-Inputs!$D$1)+15,1,0)))))</f>
        <v>10.811340396914527</v>
      </c>
      <c r="T10" s="320">
        <f ca="1">IF($A10="N/A"," ",IF('Pricing Inputs'!$AN$8=2,(M10-$H10),IF('Pricing Inputs'!$AN$3=2,IF((M10-$H10)&gt;0,M10-$H10,0),(_xll.xSPRDOPT(M10,$E10,$BU10,0,$BP10,$BS10,$BT10,($A10-Inputs!$D$1)+15,1,0)))))</f>
        <v>13.017594548552175</v>
      </c>
      <c r="U10" s="320">
        <f ca="1">IF($A10="N/A"," ",IF('Pricing Inputs'!$AN$8=2,(N10-$H10),IF('Pricing Inputs'!$AN$3=2,IF((N10-$H10)&gt;0,N10-$H10,0),(_xll.xSPRDOPT(N10,$E10,$BU10,0,$BP10,$BS10,$BT10,($A10-Inputs!$D$1)+15,1,0)))))</f>
        <v>5.5201420142635111</v>
      </c>
      <c r="V10" s="259">
        <f ca="1">IF($A10="N/A"," ",(IF('Pricing Inputs'!$AN$8=2,(O10-$H10),IF((O10-$H10)&lt;=0,0,(O10-$H10)))))</f>
        <v>0</v>
      </c>
      <c r="W10" s="306">
        <f ca="1">IF($A10="N/A"," ",IF(0&lt;&gt;P10,IF('Pricing Inputs'!$AN$3=2,8*VLOOKUP($A10,NumberofDaysTable,2),(_xll.xSPRDOPT(I10,$E10,$BU10,0,$BP10,$BS10,$BT10,$A10-Inputs!$D$1,1,1))*(8*VLOOKUP($A10,NumberofDaysTable,2))),0))</f>
        <v>162.311555161748</v>
      </c>
      <c r="X10" s="306">
        <f ca="1">IF($A10="N/A"," ",IF(Q10&lt;&gt;0,IF('Pricing Inputs'!$AN$3=2,8*VLOOKUP($A10,NumberofDaysTable,2),(_xll.xSPRDOPT(J10,$E10,$BU10,0,$BP10,$BS10,$BT10,$A10-Inputs!$D$1,1,1))*(8*VLOOKUP($A10,NumberofDaysTable,2))),0))</f>
        <v>152.05440212584693</v>
      </c>
      <c r="Y10" s="306">
        <f ca="1">IF($A10="N/A"," ",IF(R10&lt;&gt;0,IF('Pricing Inputs'!$AN$3=2,8*VLOOKUP($A10,NumberofDaysTable,3),(_xll.xSPRDOPT(K10,$E10,$BU10,0,$BP10,$BS10,$BT10,$A10-Inputs!$D$1,1,1))*(8*VLOOKUP($A10,NumberofDaysTable,3))),0))</f>
        <v>27.044149694905609</v>
      </c>
      <c r="Z10" s="306">
        <f ca="1">IF($A10="N/A"," ",IF(S10&lt;&gt;0,IF('Pricing Inputs'!$AN$3=2,8*VLOOKUP($A10,NumberofDaysTable,3),(_xll.xSPRDOPT(L10,$E10,$BU10,0,$BP10,$BS10,$BT10,$A10-Inputs!$D$1,1,1))*(8*VLOOKUP($A10,NumberofDaysTable,3))),0))</f>
        <v>22.096125469672319</v>
      </c>
      <c r="AA10" s="306">
        <f ca="1">IF($A10="N/A"," ",IF(T10&lt;&gt;0,IF('Pricing Inputs'!$AN$3=2,8*VLOOKUP($A10,NumberofDaysTable,4),(_xll.xSPRDOPT(M10,$E10,$BU10,0,$BP10,$BS10,$BT10,$A10-Inputs!$D$1,1,1))*(8*VLOOKUP($A10,NumberofDaysTable,4))),0))</f>
        <v>29.26052657733095</v>
      </c>
      <c r="AB10" s="306">
        <f ca="1">IF($A10="N/A"," ",IF(U10&lt;&gt;0,IF('Pricing Inputs'!$AN$3=2,8*VLOOKUP($A10,NumberofDaysTable,4),(_xll.xSPRDOPT(N10,$E10,$BU10,0,$BP10,$BS10,$BT10,$A10-Inputs!$D$1,1,1))*(8*VLOOKUP($A10,NumberofDaysTable,4))),0))</f>
        <v>21.55699371412301</v>
      </c>
      <c r="AC10" s="306">
        <f t="shared" ca="1" si="21"/>
        <v>0</v>
      </c>
      <c r="AD10" s="274">
        <f t="shared" ca="1" si="22"/>
        <v>1</v>
      </c>
      <c r="AE10" s="275">
        <f t="shared" ca="1" si="23"/>
        <v>4</v>
      </c>
      <c r="AF10" s="275">
        <f t="shared" ca="1" si="24"/>
        <v>6</v>
      </c>
      <c r="AG10" s="275">
        <f t="shared" ca="1" si="25"/>
        <v>12</v>
      </c>
      <c r="AH10" s="275">
        <f t="shared" ca="1" si="26"/>
        <v>10</v>
      </c>
      <c r="AI10" s="275">
        <f t="shared" ca="1" si="27"/>
        <v>16</v>
      </c>
      <c r="AJ10" s="276">
        <f t="shared" ca="1" si="28"/>
        <v>73</v>
      </c>
      <c r="AK10" s="314">
        <f t="shared" ca="1" si="1"/>
        <v>162.311555161748</v>
      </c>
      <c r="AL10" s="315">
        <f t="shared" ca="1" si="2"/>
        <v>152.05440212584693</v>
      </c>
      <c r="AM10" s="315">
        <f t="shared" ca="1" si="3"/>
        <v>27.044149694905609</v>
      </c>
      <c r="AN10" s="315">
        <f t="shared" ca="1" si="4"/>
        <v>22.096125469672319</v>
      </c>
      <c r="AO10" s="315">
        <f t="shared" ca="1" si="5"/>
        <v>29.26052657733095</v>
      </c>
      <c r="AP10" s="315">
        <f t="shared" ca="1" si="6"/>
        <v>21.55699371412301</v>
      </c>
      <c r="AQ10" s="315">
        <f t="shared" ca="1" si="7"/>
        <v>0</v>
      </c>
      <c r="AR10" s="276"/>
      <c r="AS10" s="321">
        <f t="shared" ca="1" si="8"/>
        <v>0</v>
      </c>
      <c r="AT10" s="324">
        <f t="shared" ca="1" si="9"/>
        <v>0</v>
      </c>
      <c r="AU10" s="324">
        <f t="shared" ca="1" si="10"/>
        <v>0</v>
      </c>
      <c r="AV10" s="324">
        <f t="shared" ca="1" si="11"/>
        <v>0</v>
      </c>
      <c r="AW10" s="324">
        <f t="shared" ca="1" si="12"/>
        <v>0</v>
      </c>
      <c r="AX10" s="324">
        <f t="shared" ca="1" si="13"/>
        <v>0</v>
      </c>
      <c r="AY10" s="324">
        <f t="shared" ca="1" si="14"/>
        <v>0</v>
      </c>
      <c r="AZ10" s="283"/>
      <c r="BA10" s="267">
        <f ca="1">IF($A10="N/A"," ",(IF(MONTH(A10)&gt;=4,IF(MONTH(A10)&lt;=10,Inputs!$F$13,Inputs!$F$14),Inputs!$F$14))*$BW10)</f>
        <v>180</v>
      </c>
      <c r="BB10" s="268">
        <f t="shared" ca="1" si="29"/>
        <v>1831408.6150790199</v>
      </c>
      <c r="BC10" s="268">
        <f t="shared" ca="1" si="30"/>
        <v>1013975.8348888531</v>
      </c>
      <c r="BD10" s="268">
        <f t="shared" ca="1" si="31"/>
        <v>132280.2635726555</v>
      </c>
      <c r="BE10" s="268">
        <f t="shared" ca="1" si="32"/>
        <v>62273.320686227678</v>
      </c>
      <c r="BF10" s="268">
        <f t="shared" ca="1" si="33"/>
        <v>112472.01689949079</v>
      </c>
      <c r="BG10" s="268">
        <f t="shared" ca="1" si="34"/>
        <v>47694.027003236733</v>
      </c>
      <c r="BH10" s="268">
        <f t="shared" ca="1" si="35"/>
        <v>0</v>
      </c>
      <c r="BI10" s="268">
        <f t="shared" ca="1" si="36"/>
        <v>3200104.0781294839</v>
      </c>
      <c r="BJ10" s="296">
        <f t="shared" ca="1" si="37"/>
        <v>2194931.8706284557</v>
      </c>
      <c r="BK10" s="296">
        <f t="shared" ca="1" si="38"/>
        <v>2045775.3196407501</v>
      </c>
      <c r="BL10" s="296">
        <f t="shared" ca="1" si="39"/>
        <v>149156.55098770565</v>
      </c>
      <c r="BM10" s="296">
        <f t="shared" ca="1" si="40"/>
        <v>0</v>
      </c>
      <c r="BN10" s="405">
        <f>IF(A10="N/A"," ",(VLOOKUP(A10,PowerVolTable,(IF('Pricing Inputs'!$AT$3=2,7,IF('Pricing Inputs'!$AT$3=1,6,8))),FALSE)))</f>
        <v>0.40657500000000002</v>
      </c>
      <c r="BO10" s="405">
        <f>IF(A10="N/A"," ",(VLOOKUP(A10,IntraPowerVol,(IF('Pricing Inputs'!$AT$3=2,3,IF('Pricing Inputs'!$AT$3=1,2,4))),FALSE)*VLOOKUP(MONTH($A10),Inputs!$A$28:$B$39,2)))</f>
        <v>4.3125</v>
      </c>
      <c r="BP10" s="406">
        <f t="shared" ca="1" si="15"/>
        <v>0.84582041386820717</v>
      </c>
      <c r="BQ10" s="405">
        <f ca="1">IF($A10="N/A"," ",(VLOOKUP($A10,GasVolTable,(IF('Pricing Inputs'!$AT$3=2,6,IF('Pricing Inputs'!$AT$3=1,7,5))),FALSE)))</f>
        <v>0.23749999999999999</v>
      </c>
      <c r="BR10" s="405">
        <f ca="1">IF($A10="N/A"," ",(VLOOKUP($A10,OmicronVol,(IF('Pricing Inputs'!$AT$3=2,3,IF('Pricing Inputs'!$AT$3=1,4,2))),FALSE)))</f>
        <v>0.5</v>
      </c>
      <c r="BS10" s="406">
        <f ca="1">IF($A10="N/A"," ",IF('Pricing Inputs'!$AN$3=1,(IF(DateToday&gt;$A10,$BR10,((($BQ10^2)*((($A10-1)-DateToday)/((EOMONTH($A10,0)+1)-DateToday-15)))+((($BR10)^2)*((15)/((EOMONTH($A10,0)+1)-DateToday-15))))^0.5)),0.0001))</f>
        <v>0.2489301060722936</v>
      </c>
      <c r="BT10" s="405">
        <f>IF($A10="N/A"," ",IF('Pricing Inputs'!$AN$3=1,(VLOOKUP($A10,CorrelationTable,2,FALSE)),0))</f>
        <v>0.9</v>
      </c>
      <c r="BU10" s="407">
        <f ca="1">IF($A10="N/A"," ",F10+G10+(D10*(VLOOKUP($A10,'Gas Curves'!$B$17:$P$310,14,FALSE))))</f>
        <v>2.6825000000000001</v>
      </c>
      <c r="BV10" s="405">
        <f>IF($A10="N/A"," ",IF('Pricing Inputs'!$AW$3=1,0,(VLOOKUP($A10,InterestRatesTable,2))))</f>
        <v>0</v>
      </c>
      <c r="BW10" s="408">
        <f t="shared" ca="1" si="16"/>
        <v>1</v>
      </c>
    </row>
    <row r="11" spans="1:75">
      <c r="A11" s="248">
        <f>IF(A10="N/A","N/A",IF(EDATE(A10,1)&gt;Inputs!$K$3,"N/A",EDATE(A10,1)))</f>
        <v>37104</v>
      </c>
      <c r="B11" s="262">
        <f t="shared" si="17"/>
        <v>2001</v>
      </c>
      <c r="C11" s="249">
        <f t="shared" ca="1" si="18"/>
        <v>2.6201250000000003</v>
      </c>
      <c r="D11" s="250">
        <f>IF(A11="N/A"," ",(VLOOKUP(MONTH($A11),Inputs!$A$14:$B$25,2))/1000)</f>
        <v>10.5</v>
      </c>
      <c r="E11" s="304">
        <f t="shared" ca="1" si="19"/>
        <v>27.511312500000003</v>
      </c>
      <c r="F11" s="251">
        <f>IF(A11="N/A"," ",Inputs!$F$6)</f>
        <v>2</v>
      </c>
      <c r="G11" s="251">
        <f ca="1">IF(A11="N/A"," ",Inputs!$F$9/IF(AND('Pricing Inputs'!$AQ$3&gt;=4,'Pricing Inputs'!$AQ$3&lt;=6),16,IF(AND('Pricing Inputs'!$AQ$3&gt;=7,'Pricing Inputs'!$AQ$3&lt;=9),8,24))/(BA11/BW11))</f>
        <v>0</v>
      </c>
      <c r="H11" s="252">
        <f t="shared" ca="1" si="20"/>
        <v>29.511312500000003</v>
      </c>
      <c r="I11" s="255">
        <f>VLOOKUP(A11,ScaledPrice,(IF(AND('Pricing Inputs'!$AQ$3&gt;=1,'Pricing Inputs'!$AQ$3&lt;=6),2,4)))</f>
        <v>78.17949085996537</v>
      </c>
      <c r="J11" s="255">
        <f>IF(A11="N/A"," ",IF(AND('Pricing Inputs'!$AQ$3&gt;=1,'Pricing Inputs'!$AQ$3&lt;=6),I11,(VLOOKUP(A11,ScaledPrice,2))*(2-(VLOOKUP(A11,ScaledPrice,3)))))</f>
        <v>62.82050914003463</v>
      </c>
      <c r="K11" s="255">
        <f>IF(A11="N/A"," ",IF(OR('Pricing Inputs'!$AQ$3=2,'Pricing Inputs'!$AQ$3=3,'Pricing Inputs'!$AQ$3=5,'Pricing Inputs'!$AQ$3=6,'Pricing Inputs'!$AQ$3=8,'Pricing Inputs'!$AQ$3=9),VLOOKUP(A11,ScaledPrice,IF(AND('Pricing Inputs'!$AQ$3&gt;=2,'Pricing Inputs'!$AQ$3&lt;=6),5,6)),0))</f>
        <v>47.708894665920546</v>
      </c>
      <c r="L11" s="255">
        <f>IF(A11="N/A"," ",IF(OR('Pricing Inputs'!$AQ$3=2,'Pricing Inputs'!$AQ$3=3,'Pricing Inputs'!$AQ$3=5,'Pricing Inputs'!$AQ$3=6,'Pricing Inputs'!$AQ$3=8,'Pricing Inputs'!$AQ$3=9),IF(AND('Pricing Inputs'!$AQ$3&gt;=2,'Pricing Inputs'!$AQ$3&lt;=6),K11,(VLOOKUP(A11,ScaledPrice,5))*(2-(VLOOKUP(A11,ScaledPrice,3)))),0))</f>
        <v>38.336103503024766</v>
      </c>
      <c r="M11" s="255">
        <f>IF(A11="N/A"," ",IF(OR('Pricing Inputs'!$AQ$3=3,'Pricing Inputs'!$AQ$3=6,'Pricing Inputs'!$AQ$3=9),(VLOOKUP(A11,ScaledPrice,IF(AND('Pricing Inputs'!$AQ$3&gt;=3,'Pricing Inputs'!$AQ$3&lt;=6),7,8))),0))</f>
        <v>35.202950396601992</v>
      </c>
      <c r="N11" s="255">
        <f>IF(A11="N/A"," ",IF(OR('Pricing Inputs'!$AQ$3=3,'Pricing Inputs'!$AQ$3=6,'Pricing Inputs'!$AQ$3=9),IF(AND('Pricing Inputs'!$AQ$3&gt;=3,'Pricing Inputs'!$AQ$3&lt;=6),M11,(VLOOKUP(A11,ScaledPrice,7))*(2-(VLOOKUP(A11,ScaledPrice,3)))),0))</f>
        <v>28.287051281864805</v>
      </c>
      <c r="O11" s="255">
        <f>IF(A11="N/A"," ",IF(AND('Pricing Inputs'!$AQ$3&gt;=1,'Pricing Inputs'!$AQ$3&lt;=3),VLOOKUP(A11,ScaledPrice,9),0))</f>
        <v>0</v>
      </c>
      <c r="P11" s="320">
        <f ca="1">IF($A11="N/A"," ",IF('Pricing Inputs'!$AN$8=2,(I11-H11),IF('Pricing Inputs'!$AN$3=2,IF((I11-$H11)&gt;0,I11-$H11,0),(_xll.xSPRDOPT(I11,$E11,$BU11,0,$BP11,$BS11,$BT11,($A11-Inputs!$D$1)+15,1,0)))))</f>
        <v>49.710827298572816</v>
      </c>
      <c r="Q11" s="320">
        <f ca="1">IF($A11="N/A"," ",IF('Pricing Inputs'!$AN$8=2,(J11-$H11),IF('Pricing Inputs'!$AN$3=2,IF((J11-$H11)&gt;0,J11-$H11,0),(_xll.xSPRDOPT(J11,$E11,$BU11,0,$BP11,$BS11,$BT11,($A11-Inputs!$D$1)+15,1,0)))))</f>
        <v>35.382845259548731</v>
      </c>
      <c r="R11" s="320">
        <f ca="1">IF($A11="N/A"," ",IF('Pricing Inputs'!$AN$8=2,(K11-$H11),IF('Pricing Inputs'!$AN$3=2,IF((K11-$H11)&gt;0,K11-$H11,0),(_xll.xSPRDOPT(K11,$E11,$BU11,0,$BP11,$BS11,$BT11,($A11-Inputs!$D$1)+15,1,0)))))</f>
        <v>22.093278584389619</v>
      </c>
      <c r="S11" s="320">
        <f ca="1">IF($A11="N/A"," ",IF('Pricing Inputs'!$AN$8=2,(L11-$H11),IF('Pricing Inputs'!$AN$3=2,IF((L11-$H11)&gt;0,L11-$H11,0),(_xll.xSPRDOPT(L11,$E11,$BU11,0,$BP11,$BS11,$BT11,($A11-Inputs!$D$1)+15,1,0)))))</f>
        <v>14.587225429699236</v>
      </c>
      <c r="T11" s="320">
        <f ca="1">IF($A11="N/A"," ",IF('Pricing Inputs'!$AN$8=2,(M11-$H11),IF('Pricing Inputs'!$AN$3=2,IF((M11-$H11)&gt;0,M11-$H11,0),(_xll.xSPRDOPT(M11,$E11,$BU11,0,$BP11,$BS11,$BT11,($A11-Inputs!$D$1)+15,1,0)))))</f>
        <v>12.271572985305873</v>
      </c>
      <c r="U11" s="320">
        <f ca="1">IF($A11="N/A"," ",IF('Pricing Inputs'!$AN$8=2,(N11-$H11),IF('Pricing Inputs'!$AN$3=2,IF((N11-$H11)&gt;0,N11-$H11,0),(_xll.xSPRDOPT(N11,$E11,$BU11,0,$BP11,$BS11,$BT11,($A11-Inputs!$D$1)+15,1,0)))))</f>
        <v>7.6344985652289301</v>
      </c>
      <c r="V11" s="259">
        <f ca="1">IF($A11="N/A"," ",(IF('Pricing Inputs'!$AN$8=2,(O11-$H11),IF((O11-$H11)&lt;=0,0,(O11-$H11)))))</f>
        <v>0</v>
      </c>
      <c r="W11" s="306">
        <f ca="1">IF($A11="N/A"," ",IF(0&lt;&gt;P11,IF('Pricing Inputs'!$AN$3=2,8*VLOOKUP($A11,NumberofDaysTable,2),(_xll.xSPRDOPT(I11,$E11,$BU11,0,$BP11,$BS11,$BT11,$A11-Inputs!$D$1,1,1))*(8*VLOOKUP($A11,NumberofDaysTable,2))),0))</f>
        <v>174.98874832720082</v>
      </c>
      <c r="X11" s="306">
        <f ca="1">IF($A11="N/A"," ",IF(Q11&lt;&gt;0,IF('Pricing Inputs'!$AN$3=2,8*VLOOKUP($A11,NumberofDaysTable,2),(_xll.xSPRDOPT(J11,$E11,$BU11,0,$BP11,$BS11,$BT11,$A11-Inputs!$D$1,1,1))*(8*VLOOKUP($A11,NumberofDaysTable,2))),0))</f>
        <v>168.04481489376298</v>
      </c>
      <c r="Y11" s="306">
        <f ca="1">IF($A11="N/A"," ",IF(R11&lt;&gt;0,IF('Pricing Inputs'!$AN$3=2,8*VLOOKUP($A11,NumberofDaysTable,3),(_xll.xSPRDOPT(K11,$E11,$BU11,0,$BP11,$BS11,$BT11,$A11-Inputs!$D$1,1,1))*(8*VLOOKUP($A11,NumberofDaysTable,3))),0))</f>
        <v>26.853090877300009</v>
      </c>
      <c r="Z11" s="306">
        <f ca="1">IF($A11="N/A"," ",IF(S11&lt;&gt;0,IF('Pricing Inputs'!$AN$3=2,8*VLOOKUP($A11,NumberofDaysTable,3),(_xll.xSPRDOPT(L11,$E11,$BU11,0,$BP11,$BS11,$BT11,$A11-Inputs!$D$1,1,1))*(8*VLOOKUP($A11,NumberofDaysTable,3))),0))</f>
        <v>24.217181783228572</v>
      </c>
      <c r="AA11" s="306">
        <f ca="1">IF($A11="N/A"," ",IF(T11&lt;&gt;0,IF('Pricing Inputs'!$AN$3=2,8*VLOOKUP($A11,NumberofDaysTable,4),(_xll.xSPRDOPT(M11,$E11,$BU11,0,$BP11,$BS11,$BT11,$A11-Inputs!$D$1,1,1))*(8*VLOOKUP($A11,NumberofDaysTable,4))),0))</f>
        <v>23.018571064727567</v>
      </c>
      <c r="AB11" s="306">
        <f ca="1">IF($A11="N/A"," ",IF(U11&lt;&gt;0,IF('Pricing Inputs'!$AN$3=2,8*VLOOKUP($A11,NumberofDaysTable,4),(_xll.xSPRDOPT(N11,$E11,$BU11,0,$BP11,$BS11,$BT11,$A11-Inputs!$D$1,1,1))*(8*VLOOKUP($A11,NumberofDaysTable,4))),0))</f>
        <v>19.59059743390279</v>
      </c>
      <c r="AC11" s="306">
        <f t="shared" ca="1" si="21"/>
        <v>0</v>
      </c>
      <c r="AD11" s="274">
        <f t="shared" ca="1" si="22"/>
        <v>2</v>
      </c>
      <c r="AE11" s="275">
        <f t="shared" ca="1" si="23"/>
        <v>3</v>
      </c>
      <c r="AF11" s="275">
        <f t="shared" ca="1" si="24"/>
        <v>7</v>
      </c>
      <c r="AG11" s="275">
        <f t="shared" ca="1" si="25"/>
        <v>9</v>
      </c>
      <c r="AH11" s="275">
        <f t="shared" ca="1" si="26"/>
        <v>11</v>
      </c>
      <c r="AI11" s="275">
        <f t="shared" ca="1" si="27"/>
        <v>13</v>
      </c>
      <c r="AJ11" s="276">
        <f t="shared" ca="1" si="28"/>
        <v>73</v>
      </c>
      <c r="AK11" s="314">
        <f t="shared" ca="1" si="1"/>
        <v>174.98874832720082</v>
      </c>
      <c r="AL11" s="315">
        <f t="shared" ca="1" si="2"/>
        <v>168.04481489376298</v>
      </c>
      <c r="AM11" s="315">
        <f t="shared" ca="1" si="3"/>
        <v>26.853090877300009</v>
      </c>
      <c r="AN11" s="315">
        <f t="shared" ca="1" si="4"/>
        <v>24.217181783228572</v>
      </c>
      <c r="AO11" s="315">
        <f t="shared" ca="1" si="5"/>
        <v>23.018571064727567</v>
      </c>
      <c r="AP11" s="315">
        <f t="shared" ca="1" si="6"/>
        <v>19.59059743390279</v>
      </c>
      <c r="AQ11" s="315">
        <f t="shared" ca="1" si="7"/>
        <v>0</v>
      </c>
      <c r="AR11" s="276"/>
      <c r="AS11" s="321">
        <f t="shared" ca="1" si="8"/>
        <v>0</v>
      </c>
      <c r="AT11" s="324">
        <f t="shared" ca="1" si="9"/>
        <v>0</v>
      </c>
      <c r="AU11" s="324">
        <f t="shared" ca="1" si="10"/>
        <v>0</v>
      </c>
      <c r="AV11" s="324">
        <f t="shared" ca="1" si="11"/>
        <v>0</v>
      </c>
      <c r="AW11" s="324">
        <f t="shared" ca="1" si="12"/>
        <v>0</v>
      </c>
      <c r="AX11" s="324">
        <f t="shared" ca="1" si="13"/>
        <v>0</v>
      </c>
      <c r="AY11" s="324">
        <f t="shared" ca="1" si="14"/>
        <v>0</v>
      </c>
      <c r="AZ11" s="283"/>
      <c r="BA11" s="267">
        <f ca="1">IF($A11="N/A"," ",(IF(MONTH(A11)&gt;=4,IF(MONTH(A11)&lt;=10,Inputs!$F$13,Inputs!$F$14),Inputs!$F$14))*$BW11)</f>
        <v>180</v>
      </c>
      <c r="BB11" s="268">
        <f t="shared" ca="1" si="29"/>
        <v>1646422.6001287317</v>
      </c>
      <c r="BC11" s="268">
        <f t="shared" ca="1" si="30"/>
        <v>1171879.834996254</v>
      </c>
      <c r="BD11" s="268">
        <f t="shared" ca="1" si="31"/>
        <v>127257.28464608421</v>
      </c>
      <c r="BE11" s="268">
        <f t="shared" ca="1" si="32"/>
        <v>84022.418475067607</v>
      </c>
      <c r="BF11" s="268">
        <f t="shared" ca="1" si="33"/>
        <v>70684.260395361824</v>
      </c>
      <c r="BG11" s="268">
        <f t="shared" ca="1" si="34"/>
        <v>43974.711735718636</v>
      </c>
      <c r="BH11" s="268">
        <f t="shared" ca="1" si="35"/>
        <v>0</v>
      </c>
      <c r="BI11" s="268">
        <f t="shared" ca="1" si="36"/>
        <v>3144241.1103772181</v>
      </c>
      <c r="BJ11" s="296">
        <f t="shared" ca="1" si="37"/>
        <v>2319835.3101136214</v>
      </c>
      <c r="BK11" s="296">
        <f t="shared" ca="1" si="38"/>
        <v>2162618.6285367766</v>
      </c>
      <c r="BL11" s="296">
        <f t="shared" ca="1" si="39"/>
        <v>157216.68157684419</v>
      </c>
      <c r="BM11" s="296">
        <f t="shared" ca="1" si="40"/>
        <v>0</v>
      </c>
      <c r="BN11" s="405">
        <f>IF(A11="N/A"," ",(VLOOKUP(A11,PowerVolTable,(IF('Pricing Inputs'!$AT$3=2,7,IF('Pricing Inputs'!$AT$3=1,6,8))),FALSE)))</f>
        <v>0.40005000000000002</v>
      </c>
      <c r="BO11" s="405">
        <f>IF(A11="N/A"," ",(VLOOKUP(A11,IntraPowerVol,(IF('Pricing Inputs'!$AT$3=2,3,IF('Pricing Inputs'!$AT$3=1,2,4))),FALSE)*VLOOKUP(MONTH($A11),Inputs!$A$28:$B$39,2)))</f>
        <v>4.3125</v>
      </c>
      <c r="BP11" s="406">
        <f t="shared" ca="1" si="15"/>
        <v>0.82360289917818352</v>
      </c>
      <c r="BQ11" s="405">
        <f ca="1">IF($A11="N/A"," ",(VLOOKUP($A11,GasVolTable,(IF('Pricing Inputs'!$AT$3=2,6,IF('Pricing Inputs'!$AT$3=1,7,5))),FALSE)))</f>
        <v>0.23749999999999999</v>
      </c>
      <c r="BR11" s="405">
        <f ca="1">IF($A11="N/A"," ",(VLOOKUP($A11,OmicronVol,(IF('Pricing Inputs'!$AT$3=2,3,IF('Pricing Inputs'!$AT$3=1,4,2))),FALSE)))</f>
        <v>0.6</v>
      </c>
      <c r="BS11" s="406">
        <f ca="1">IF($A11="N/A"," ",IF('Pricing Inputs'!$AN$3=1,(IF(DateToday&gt;$A11,$BR11,((($BQ11^2)*((($A11-1)-DateToday)/((EOMONTH($A11,0)+1)-DateToday-15)))+((($BR11)^2)*((15)/((EOMONTH($A11,0)+1)-DateToday-15))))^0.5)),0.0001))</f>
        <v>0.25443763173472733</v>
      </c>
      <c r="BT11" s="405">
        <f>IF($A11="N/A"," ",IF('Pricing Inputs'!$AN$3=1,(VLOOKUP($A11,CorrelationTable,2,FALSE)),0))</f>
        <v>0.9</v>
      </c>
      <c r="BU11" s="407">
        <f ca="1">IF($A11="N/A"," ",F11+G11+(D11*(VLOOKUP($A11,'Gas Curves'!$B$17:$P$310,14,FALSE))))</f>
        <v>2.6825000000000001</v>
      </c>
      <c r="BV11" s="405">
        <f>IF($A11="N/A"," ",IF('Pricing Inputs'!$AW$3=1,0,(VLOOKUP($A11,InterestRatesTable,2))))</f>
        <v>0</v>
      </c>
      <c r="BW11" s="408">
        <f t="shared" ca="1" si="16"/>
        <v>1</v>
      </c>
    </row>
    <row r="12" spans="1:75">
      <c r="A12" s="248">
        <f>IF(A11="N/A","N/A",IF(EDATE(A11,1)&gt;Inputs!$K$3,"N/A",EDATE(A11,1)))</f>
        <v>37135</v>
      </c>
      <c r="B12" s="262">
        <f t="shared" si="17"/>
        <v>2001</v>
      </c>
      <c r="C12" s="249">
        <f t="shared" ca="1" si="18"/>
        <v>2.6256249999999999</v>
      </c>
      <c r="D12" s="250">
        <f>IF(A12="N/A"," ",(VLOOKUP(MONTH($A12),Inputs!$A$14:$B$25,2))/1000)</f>
        <v>10.5</v>
      </c>
      <c r="E12" s="304">
        <f t="shared" ca="1" si="19"/>
        <v>27.569062499999998</v>
      </c>
      <c r="F12" s="251">
        <f>IF(A12="N/A"," ",Inputs!$F$6)</f>
        <v>2</v>
      </c>
      <c r="G12" s="251">
        <f ca="1">IF(A12="N/A"," ",Inputs!$F$9/IF(AND('Pricing Inputs'!$AQ$3&gt;=4,'Pricing Inputs'!$AQ$3&lt;=6),16,IF(AND('Pricing Inputs'!$AQ$3&gt;=7,'Pricing Inputs'!$AQ$3&lt;=9),8,24))/(BA12/BW12))</f>
        <v>0</v>
      </c>
      <c r="H12" s="252">
        <f t="shared" ca="1" si="20"/>
        <v>29.569062499999998</v>
      </c>
      <c r="I12" s="255">
        <f>VLOOKUP(A12,ScaledPrice,(IF(AND('Pricing Inputs'!$AQ$3&gt;=1,'Pricing Inputs'!$AQ$3&lt;=6),2,4)))</f>
        <v>36.7338820427371</v>
      </c>
      <c r="J12" s="255">
        <f>IF(A12="N/A"," ",IF(AND('Pricing Inputs'!$AQ$3&gt;=1,'Pricing Inputs'!$AQ$3&lt;=6),I12,(VLOOKUP(A12,ScaledPrice,2))*(2-(VLOOKUP(A12,ScaledPrice,3)))))</f>
        <v>30.2661179572629</v>
      </c>
      <c r="K12" s="255">
        <f>IF(A12="N/A"," ",IF(OR('Pricing Inputs'!$AQ$3=2,'Pricing Inputs'!$AQ$3=3,'Pricing Inputs'!$AQ$3=5,'Pricing Inputs'!$AQ$3=6,'Pricing Inputs'!$AQ$3=8,'Pricing Inputs'!$AQ$3=9),VLOOKUP(A12,ScaledPrice,IF(AND('Pricing Inputs'!$AQ$3&gt;=2,'Pricing Inputs'!$AQ$3&lt;=6),5,6)),0))</f>
        <v>25.225758972085565</v>
      </c>
      <c r="L12" s="255">
        <f>IF(A12="N/A"," ",IF(OR('Pricing Inputs'!$AQ$3=2,'Pricing Inputs'!$AQ$3=3,'Pricing Inputs'!$AQ$3=5,'Pricing Inputs'!$AQ$3=6,'Pricing Inputs'!$AQ$3=8,'Pricing Inputs'!$AQ$3=9),IF(AND('Pricing Inputs'!$AQ$3&gt;=2,'Pricing Inputs'!$AQ$3&lt;=6),K12,(VLOOKUP(A12,ScaledPrice,5))*(2-(VLOOKUP(A12,ScaledPrice,3)))),0))</f>
        <v>20.784239349447638</v>
      </c>
      <c r="M12" s="255">
        <f>IF(A12="N/A"," ",IF(OR('Pricing Inputs'!$AQ$3=3,'Pricing Inputs'!$AQ$3=6,'Pricing Inputs'!$AQ$3=9),(VLOOKUP(A12,ScaledPrice,IF(AND('Pricing Inputs'!$AQ$3&gt;=3,'Pricing Inputs'!$AQ$3&lt;=6),7,8))),0))</f>
        <v>25.768544119531995</v>
      </c>
      <c r="N12" s="255">
        <f>IF(A12="N/A"," ",IF(OR('Pricing Inputs'!$AQ$3=3,'Pricing Inputs'!$AQ$3=6,'Pricing Inputs'!$AQ$3=9),IF(AND('Pricing Inputs'!$AQ$3&gt;=3,'Pricing Inputs'!$AQ$3&lt;=6),M12,(VLOOKUP(A12,ScaledPrice,7))*(2-(VLOOKUP(A12,ScaledPrice,3)))),0))</f>
        <v>21.231455880468005</v>
      </c>
      <c r="O12" s="255">
        <f>IF(A12="N/A"," ",IF(AND('Pricing Inputs'!$AQ$3&gt;=1,'Pricing Inputs'!$AQ$3&lt;=3),VLOOKUP(A12,ScaledPrice,9),0))</f>
        <v>0</v>
      </c>
      <c r="P12" s="320">
        <f ca="1">IF($A12="N/A"," ",IF('Pricing Inputs'!$AN$8=2,(I12-H12),IF('Pricing Inputs'!$AN$3=2,IF((I12-$H12)&gt;0,I12-$H12,0),(_xll.xSPRDOPT(I12,$E12,$BU12,0,$BP12,$BS12,$BT12,($A12-Inputs!$D$1)+15,1,0)))))</f>
        <v>7.5468530389510944</v>
      </c>
      <c r="Q12" s="320">
        <f ca="1">IF($A12="N/A"," ",IF('Pricing Inputs'!$AN$8=2,(J12-$H12),IF('Pricing Inputs'!$AN$3=2,IF((J12-$H12)&gt;0,J12-$H12,0),(_xll.xSPRDOPT(J12,$E12,$BU12,0,$BP12,$BS12,$BT12,($A12-Inputs!$D$1)+15,1,0)))))</f>
        <v>3.0364023539953928</v>
      </c>
      <c r="R12" s="320">
        <f ca="1">IF($A12="N/A"," ",IF('Pricing Inputs'!$AN$8=2,(K12-$H12),IF('Pricing Inputs'!$AN$3=2,IF((K12-$H12)&gt;0,K12-$H12,0),(_xll.xSPRDOPT(K12,$E12,$BU12,0,$BP12,$BS12,$BT12,($A12-Inputs!$D$1)+15,1,0)))))</f>
        <v>0.94475346949911732</v>
      </c>
      <c r="S12" s="320">
        <f ca="1">IF($A12="N/A"," ",IF('Pricing Inputs'!$AN$8=2,(L12-$H12),IF('Pricing Inputs'!$AN$3=2,IF((L12-$H12)&gt;0,L12-$H12,0),(_xll.xSPRDOPT(L12,$E12,$BU12,0,$BP12,$BS12,$BT12,($A12-Inputs!$D$1)+15,1,0)))))</f>
        <v>0.18173782174448419</v>
      </c>
      <c r="T12" s="320">
        <f ca="1">IF($A12="N/A"," ",IF('Pricing Inputs'!$AN$8=2,(M12-$H12),IF('Pricing Inputs'!$AN$3=2,IF((M12-$H12)&gt;0,M12-$H12,0),(_xll.xSPRDOPT(M12,$E12,$BU12,0,$BP12,$BS12,$BT12,($A12-Inputs!$D$1)+15,1,0)))))</f>
        <v>1.1024602586266234</v>
      </c>
      <c r="U12" s="320">
        <f ca="1">IF($A12="N/A"," ",IF('Pricing Inputs'!$AN$8=2,(N12-$H12),IF('Pricing Inputs'!$AN$3=2,IF((N12-$H12)&gt;0,N12-$H12,0),(_xll.xSPRDOPT(N12,$E12,$BU12,0,$BP12,$BS12,$BT12,($A12-Inputs!$D$1)+15,1,0)))))</f>
        <v>0.22280596351257201</v>
      </c>
      <c r="V12" s="259">
        <f ca="1">IF($A12="N/A"," ",(IF('Pricing Inputs'!$AN$8=2,(O12-$H12),IF((O12-$H12)&lt;=0,0,(O12-$H12)))))</f>
        <v>0</v>
      </c>
      <c r="W12" s="306">
        <f ca="1">IF($A12="N/A"," ",IF(0&lt;&gt;P12,IF('Pricing Inputs'!$AN$3=2,8*VLOOKUP($A12,NumberofDaysTable,2),(_xll.xSPRDOPT(I12,$E12,$BU12,0,$BP12,$BS12,$BT12,$A12-Inputs!$D$1,1,1))*(8*VLOOKUP($A12,NumberofDaysTable,2))),0))</f>
        <v>124.38889220969104</v>
      </c>
      <c r="X12" s="306">
        <f ca="1">IF($A12="N/A"," ",IF(Q12&lt;&gt;0,IF('Pricing Inputs'!$AN$3=2,8*VLOOKUP($A12,NumberofDaysTable,2),(_xll.xSPRDOPT(J12,$E12,$BU12,0,$BP12,$BS12,$BT12,$A12-Inputs!$D$1,1,1))*(8*VLOOKUP($A12,NumberofDaysTable,2))),0))</f>
        <v>83.918987899334425</v>
      </c>
      <c r="Y12" s="306">
        <f ca="1">IF($A12="N/A"," ",IF(R12&lt;&gt;0,IF('Pricing Inputs'!$AN$3=2,8*VLOOKUP($A12,NumberofDaysTable,3),(_xll.xSPRDOPT(K12,$E12,$BU12,0,$BP12,$BS12,$BT12,$A12-Inputs!$D$1,1,1))*(8*VLOOKUP($A12,NumberofDaysTable,3))),0))</f>
        <v>10.886292865758334</v>
      </c>
      <c r="Z12" s="306">
        <f ca="1">IF($A12="N/A"," ",IF(S12&lt;&gt;0,IF('Pricing Inputs'!$AN$3=2,8*VLOOKUP($A12,NumberofDaysTable,3),(_xll.xSPRDOPT(L12,$E12,$BU12,0,$BP12,$BS12,$BT12,$A12-Inputs!$D$1,1,1))*(8*VLOOKUP($A12,NumberofDaysTable,3))),0))</f>
        <v>3.2594582970954544</v>
      </c>
      <c r="AA12" s="306">
        <f ca="1">IF($A12="N/A"," ",IF(T12&lt;&gt;0,IF('Pricing Inputs'!$AN$3=2,8*VLOOKUP($A12,NumberofDaysTable,4),(_xll.xSPRDOPT(M12,$E12,$BU12,0,$BP12,$BS12,$BT12,$A12-Inputs!$D$1,1,1))*(8*VLOOKUP($A12,NumberofDaysTable,4))),0))</f>
        <v>12.0627759243492</v>
      </c>
      <c r="AB12" s="306">
        <f ca="1">IF($A12="N/A"," ",IF(U12&lt;&gt;0,IF('Pricing Inputs'!$AN$3=2,8*VLOOKUP($A12,NumberofDaysTable,4),(_xll.xSPRDOPT(N12,$E12,$BU12,0,$BP12,$BS12,$BT12,$A12-Inputs!$D$1,1,1))*(8*VLOOKUP($A12,NumberofDaysTable,4))),0))</f>
        <v>3.8161191560567471</v>
      </c>
      <c r="AC12" s="306">
        <f t="shared" ca="1" si="21"/>
        <v>0</v>
      </c>
      <c r="AD12" s="274">
        <f t="shared" ca="1" si="22"/>
        <v>14</v>
      </c>
      <c r="AE12" s="275">
        <f t="shared" ca="1" si="23"/>
        <v>20</v>
      </c>
      <c r="AF12" s="275">
        <f t="shared" ca="1" si="24"/>
        <v>28</v>
      </c>
      <c r="AG12" s="275">
        <f t="shared" ca="1" si="25"/>
        <v>38</v>
      </c>
      <c r="AH12" s="275">
        <f t="shared" ca="1" si="26"/>
        <v>26</v>
      </c>
      <c r="AI12" s="275">
        <f t="shared" ca="1" si="27"/>
        <v>37</v>
      </c>
      <c r="AJ12" s="276">
        <f t="shared" ca="1" si="28"/>
        <v>73</v>
      </c>
      <c r="AK12" s="314">
        <f t="shared" ca="1" si="1"/>
        <v>124.38889220969104</v>
      </c>
      <c r="AL12" s="315">
        <f t="shared" ca="1" si="2"/>
        <v>83.918987899334425</v>
      </c>
      <c r="AM12" s="315">
        <f t="shared" ca="1" si="3"/>
        <v>10.886292865758334</v>
      </c>
      <c r="AN12" s="315">
        <f t="shared" ca="1" si="4"/>
        <v>3.2594582970954544</v>
      </c>
      <c r="AO12" s="315">
        <f t="shared" ca="1" si="5"/>
        <v>12.0627759243492</v>
      </c>
      <c r="AP12" s="315">
        <f t="shared" ca="1" si="6"/>
        <v>3.8161191560567471</v>
      </c>
      <c r="AQ12" s="315">
        <f t="shared" ca="1" si="7"/>
        <v>0</v>
      </c>
      <c r="AR12" s="276"/>
      <c r="AS12" s="321">
        <f t="shared" ca="1" si="8"/>
        <v>0</v>
      </c>
      <c r="AT12" s="324">
        <f t="shared" ca="1" si="9"/>
        <v>0</v>
      </c>
      <c r="AU12" s="324">
        <f t="shared" ca="1" si="10"/>
        <v>0</v>
      </c>
      <c r="AV12" s="324">
        <f t="shared" ca="1" si="11"/>
        <v>0</v>
      </c>
      <c r="AW12" s="324">
        <f t="shared" ca="1" si="12"/>
        <v>0</v>
      </c>
      <c r="AX12" s="324">
        <f t="shared" ca="1" si="13"/>
        <v>0</v>
      </c>
      <c r="AY12" s="324">
        <f t="shared" ca="1" si="14"/>
        <v>0</v>
      </c>
      <c r="AZ12" s="283"/>
      <c r="BA12" s="267">
        <f ca="1">IF($A12="N/A"," ",(IF(MONTH(A12)&gt;=4,IF(MONTH(A12)&lt;=10,Inputs!$F$13,Inputs!$F$14),Inputs!$F$14))*$BW12)</f>
        <v>180</v>
      </c>
      <c r="BB12" s="268">
        <f t="shared" ca="1" si="29"/>
        <v>206481.89914570193</v>
      </c>
      <c r="BC12" s="268">
        <f t="shared" ca="1" si="30"/>
        <v>83075.96840531395</v>
      </c>
      <c r="BD12" s="268">
        <f t="shared" ca="1" si="31"/>
        <v>6802.2249803936447</v>
      </c>
      <c r="BE12" s="268">
        <f t="shared" ca="1" si="32"/>
        <v>1308.5123165602861</v>
      </c>
      <c r="BF12" s="268">
        <f t="shared" ca="1" si="33"/>
        <v>9525.2566345340274</v>
      </c>
      <c r="BG12" s="268">
        <f t="shared" ca="1" si="34"/>
        <v>1925.0435247486221</v>
      </c>
      <c r="BH12" s="268">
        <f t="shared" ca="1" si="35"/>
        <v>0</v>
      </c>
      <c r="BI12" s="268">
        <f t="shared" ca="1" si="36"/>
        <v>309118.90500725253</v>
      </c>
      <c r="BJ12" s="296">
        <f t="shared" ca="1" si="37"/>
        <v>1268508.486148851</v>
      </c>
      <c r="BK12" s="296">
        <f t="shared" ca="1" si="38"/>
        <v>1182708.7766620284</v>
      </c>
      <c r="BL12" s="296">
        <f t="shared" ca="1" si="39"/>
        <v>85799.70948682267</v>
      </c>
      <c r="BM12" s="296">
        <f t="shared" ca="1" si="40"/>
        <v>0</v>
      </c>
      <c r="BN12" s="405">
        <f>IF(A12="N/A"," ",(VLOOKUP(A12,PowerVolTable,(IF('Pricing Inputs'!$AT$3=2,7,IF('Pricing Inputs'!$AT$3=1,6,8))),FALSE)))</f>
        <v>0.26505000000000001</v>
      </c>
      <c r="BO12" s="405">
        <f>IF(A12="N/A"," ",(VLOOKUP(A12,IntraPowerVol,(IF('Pricing Inputs'!$AT$3=2,3,IF('Pricing Inputs'!$AT$3=1,2,4))),FALSE)*VLOOKUP(MONTH($A12),Inputs!$A$28:$B$39,2)))</f>
        <v>1.7249999999999999</v>
      </c>
      <c r="BP12" s="406">
        <f t="shared" ca="1" si="15"/>
        <v>0.38410225397064329</v>
      </c>
      <c r="BQ12" s="405">
        <f ca="1">IF($A12="N/A"," ",(VLOOKUP($A12,GasVolTable,(IF('Pricing Inputs'!$AT$3=2,6,IF('Pricing Inputs'!$AT$3=1,7,5))),FALSE)))</f>
        <v>0.23749999999999999</v>
      </c>
      <c r="BR12" s="405">
        <f ca="1">IF($A12="N/A"," ",(VLOOKUP($A12,OmicronVol,(IF('Pricing Inputs'!$AT$3=2,3,IF('Pricing Inputs'!$AT$3=1,4,2))),FALSE)))</f>
        <v>0.6</v>
      </c>
      <c r="BS12" s="406">
        <f ca="1">IF($A12="N/A"," ",IF('Pricing Inputs'!$AN$3=1,(IF(DateToday&gt;$A12,$BR12,((($BQ12^2)*((($A12-1)-DateToday)/((EOMONTH($A12,0)+1)-DateToday-15)))+((($BR12)^2)*((15)/((EOMONTH($A12,0)+1)-DateToday-15))))^0.5)),0.0001))</f>
        <v>0.25376111740557727</v>
      </c>
      <c r="BT12" s="405">
        <f>IF($A12="N/A"," ",IF('Pricing Inputs'!$AN$3=1,(VLOOKUP($A12,CorrelationTable,2,FALSE)),0))</f>
        <v>0.9</v>
      </c>
      <c r="BU12" s="407">
        <f ca="1">IF($A12="N/A"," ",F12+G12+(D12*(VLOOKUP($A12,'Gas Curves'!$B$17:$P$310,14,FALSE))))</f>
        <v>2.6825000000000001</v>
      </c>
      <c r="BV12" s="405">
        <f>IF($A12="N/A"," ",IF('Pricing Inputs'!$AW$3=1,0,(VLOOKUP($A12,InterestRatesTable,2))))</f>
        <v>0</v>
      </c>
      <c r="BW12" s="408">
        <f t="shared" ca="1" si="16"/>
        <v>1</v>
      </c>
    </row>
    <row r="13" spans="1:75">
      <c r="A13" s="248">
        <f>IF(A12="N/A","N/A",IF(EDATE(A12,1)&gt;Inputs!$K$3,"N/A",EDATE(A12,1)))</f>
        <v>37165</v>
      </c>
      <c r="B13" s="262">
        <f t="shared" si="17"/>
        <v>2001</v>
      </c>
      <c r="C13" s="249">
        <f t="shared" ca="1" si="18"/>
        <v>2.6616249999999999</v>
      </c>
      <c r="D13" s="250">
        <f>IF(A13="N/A"," ",(VLOOKUP(MONTH($A13),Inputs!$A$14:$B$25,2))/1000)</f>
        <v>10.5</v>
      </c>
      <c r="E13" s="304">
        <f t="shared" ca="1" si="19"/>
        <v>27.947062499999998</v>
      </c>
      <c r="F13" s="251">
        <f>IF(A13="N/A"," ",Inputs!$F$6)</f>
        <v>2</v>
      </c>
      <c r="G13" s="251">
        <f ca="1">IF(A13="N/A"," ",Inputs!$F$9/IF(AND('Pricing Inputs'!$AQ$3&gt;=4,'Pricing Inputs'!$AQ$3&lt;=6),16,IF(AND('Pricing Inputs'!$AQ$3&gt;=7,'Pricing Inputs'!$AQ$3&lt;=9),8,24))/(BA13/BW13))</f>
        <v>0</v>
      </c>
      <c r="H13" s="252">
        <f t="shared" ca="1" si="20"/>
        <v>29.947062499999998</v>
      </c>
      <c r="I13" s="255">
        <f>VLOOKUP(A13,ScaledPrice,(IF(AND('Pricing Inputs'!$AQ$3&gt;=1,'Pricing Inputs'!$AQ$3&lt;=6),2,4)))</f>
        <v>30.841406250000002</v>
      </c>
      <c r="J13" s="255">
        <f>IF(A13="N/A"," ",IF(AND('Pricing Inputs'!$AQ$3&gt;=1,'Pricing Inputs'!$AQ$3&lt;=6),I13,(VLOOKUP(A13,ScaledPrice,2))*(2-(VLOOKUP(A13,ScaledPrice,3)))))</f>
        <v>31.658593749999998</v>
      </c>
      <c r="K13" s="255">
        <f>IF(A13="N/A"," ",IF(OR('Pricing Inputs'!$AQ$3=2,'Pricing Inputs'!$AQ$3=3,'Pricing Inputs'!$AQ$3=5,'Pricing Inputs'!$AQ$3=6,'Pricing Inputs'!$AQ$3=8,'Pricing Inputs'!$AQ$3=9),VLOOKUP(A13,ScaledPrice,IF(AND('Pricing Inputs'!$AQ$3&gt;=2,'Pricing Inputs'!$AQ$3&lt;=6),5,6)),0))</f>
        <v>22.798461067914964</v>
      </c>
      <c r="L13" s="255">
        <f>IF(A13="N/A"," ",IF(OR('Pricing Inputs'!$AQ$3=2,'Pricing Inputs'!$AQ$3=3,'Pricing Inputs'!$AQ$3=5,'Pricing Inputs'!$AQ$3=6,'Pricing Inputs'!$AQ$3=8,'Pricing Inputs'!$AQ$3=9),IF(AND('Pricing Inputs'!$AQ$3&gt;=2,'Pricing Inputs'!$AQ$3&lt;=6),K13,(VLOOKUP(A13,ScaledPrice,5))*(2-(VLOOKUP(A13,ScaledPrice,3)))),0))</f>
        <v>23.402539145708083</v>
      </c>
      <c r="M13" s="255">
        <f>IF(A13="N/A"," ",IF(OR('Pricing Inputs'!$AQ$3=3,'Pricing Inputs'!$AQ$3=6,'Pricing Inputs'!$AQ$3=9),(VLOOKUP(A13,ScaledPrice,IF(AND('Pricing Inputs'!$AQ$3&gt;=3,'Pricing Inputs'!$AQ$3&lt;=6),7,8))),0))</f>
        <v>20.825104259347917</v>
      </c>
      <c r="N13" s="255">
        <f>IF(A13="N/A"," ",IF(OR('Pricing Inputs'!$AQ$3=3,'Pricing Inputs'!$AQ$3=6,'Pricing Inputs'!$AQ$3=9),IF(AND('Pricing Inputs'!$AQ$3&gt;=3,'Pricing Inputs'!$AQ$3&lt;=6),M13,(VLOOKUP(A13,ScaledPrice,7))*(2-(VLOOKUP(A13,ScaledPrice,3)))),0))</f>
        <v>21.376895404958724</v>
      </c>
      <c r="O13" s="255">
        <f>IF(A13="N/A"," ",IF(AND('Pricing Inputs'!$AQ$3&gt;=1,'Pricing Inputs'!$AQ$3&lt;=3),VLOOKUP(A13,ScaledPrice,9),0))</f>
        <v>0</v>
      </c>
      <c r="P13" s="320">
        <f ca="1">IF($A13="N/A"," ",IF('Pricing Inputs'!$AN$8=2,(I13-H13),IF('Pricing Inputs'!$AN$3=2,IF((I13-$H13)&gt;0,I13-$H13,0),(_xll.xSPRDOPT(I13,$E13,$BU13,0,$BP13,$BS13,$BT13,($A13-Inputs!$D$1)+15,1,0)))))</f>
        <v>2.3445148203576771</v>
      </c>
      <c r="Q13" s="320">
        <f ca="1">IF($A13="N/A"," ",IF('Pricing Inputs'!$AN$8=2,(J13-$H13),IF('Pricing Inputs'!$AN$3=2,IF((J13-$H13)&gt;0,J13-$H13,0),(_xll.xSPRDOPT(J13,$E13,$BU13,0,$BP13,$BS13,$BT13,($A13-Inputs!$D$1)+15,1,0)))))</f>
        <v>2.8189049313042047</v>
      </c>
      <c r="R13" s="320">
        <f ca="1">IF($A13="N/A"," ",IF('Pricing Inputs'!$AN$8=2,(K13-$H13),IF('Pricing Inputs'!$AN$3=2,IF((K13-$H13)&gt;0,K13-$H13,0),(_xll.xSPRDOPT(K13,$E13,$BU13,0,$BP13,$BS13,$BT13,($A13-Inputs!$D$1)+15,1,0)))))</f>
        <v>0.10580030217161591</v>
      </c>
      <c r="S13" s="320">
        <f ca="1">IF($A13="N/A"," ",IF('Pricing Inputs'!$AN$8=2,(L13-$H13),IF('Pricing Inputs'!$AN$3=2,IF((L13-$H13)&gt;0,L13-$H13,0),(_xll.xSPRDOPT(L13,$E13,$BU13,0,$BP13,$BS13,$BT13,($A13-Inputs!$D$1)+15,1,0)))))</f>
        <v>0.14976247462188211</v>
      </c>
      <c r="T13" s="320">
        <f ca="1">IF($A13="N/A"," ",IF('Pricing Inputs'!$AN$8=2,(M13-$H13),IF('Pricing Inputs'!$AN$3=2,IF((M13-$H13)&gt;0,M13-$H13,0),(_xll.xSPRDOPT(M13,$E13,$BU13,0,$BP13,$BS13,$BT13,($A13-Inputs!$D$1)+15,1,0)))))</f>
        <v>2.7910970266472886E-2</v>
      </c>
      <c r="U13" s="320">
        <f ca="1">IF($A13="N/A"," ",IF('Pricing Inputs'!$AN$8=2,(N13-$H13),IF('Pricing Inputs'!$AN$3=2,IF((N13-$H13)&gt;0,N13-$H13,0),(_xll.xSPRDOPT(N13,$E13,$BU13,0,$BP13,$BS13,$BT13,($A13-Inputs!$D$1)+15,1,0)))))</f>
        <v>4.1886860668687478E-2</v>
      </c>
      <c r="V13" s="259">
        <f ca="1">IF($A13="N/A"," ",(IF('Pricing Inputs'!$AN$8=2,(O13-$H13),IF((O13-$H13)&lt;=0,0,(O13-$H13)))))</f>
        <v>0</v>
      </c>
      <c r="W13" s="306">
        <f ca="1">IF($A13="N/A"," ",IF(0&lt;&gt;P13,IF('Pricing Inputs'!$AN$3=2,8*VLOOKUP($A13,NumberofDaysTable,2),(_xll.xSPRDOPT(I13,$E13,$BU13,0,$BP13,$BS13,$BT13,$A13-Inputs!$D$1,1,1))*(8*VLOOKUP($A13,NumberofDaysTable,2))),0))</f>
        <v>101.57236273206529</v>
      </c>
      <c r="X13" s="306">
        <f ca="1">IF($A13="N/A"," ",IF(Q13&lt;&gt;0,IF('Pricing Inputs'!$AN$3=2,8*VLOOKUP($A13,NumberofDaysTable,2),(_xll.xSPRDOPT(J13,$E13,$BU13,0,$BP13,$BS13,$BT13,$A13-Inputs!$D$1,1,1))*(8*VLOOKUP($A13,NumberofDaysTable,2))),0))</f>
        <v>111.99025554974155</v>
      </c>
      <c r="Y13" s="306">
        <f ca="1">IF($A13="N/A"," ",IF(R13&lt;&gt;0,IF('Pricing Inputs'!$AN$3=2,8*VLOOKUP($A13,NumberofDaysTable,3),(_xll.xSPRDOPT(K13,$E13,$BU13,0,$BP13,$BS13,$BT13,$A13-Inputs!$D$1,1,1))*(8*VLOOKUP($A13,NumberofDaysTable,3))),0))</f>
        <v>1.9337658528148234</v>
      </c>
      <c r="Z13" s="306">
        <f ca="1">IF($A13="N/A"," ",IF(S13&lt;&gt;0,IF('Pricing Inputs'!$AN$3=2,8*VLOOKUP($A13,NumberofDaysTable,3),(_xll.xSPRDOPT(L13,$E13,$BU13,0,$BP13,$BS13,$BT13,$A13-Inputs!$D$1,1,1))*(8*VLOOKUP($A13,NumberofDaysTable,3))),0))</f>
        <v>2.5594850911392304</v>
      </c>
      <c r="AA13" s="306">
        <f ca="1">IF($A13="N/A"," ",IF(T13&lt;&gt;0,IF('Pricing Inputs'!$AN$3=2,8*VLOOKUP($A13,NumberofDaysTable,4),(_xll.xSPRDOPT(M13,$E13,$BU13,0,$BP13,$BS13,$BT13,$A13-Inputs!$D$1,1,1))*(8*VLOOKUP($A13,NumberofDaysTable,4))),0))</f>
        <v>0.63477774356860961</v>
      </c>
      <c r="AB13" s="306">
        <f ca="1">IF($A13="N/A"," ",IF(U13&lt;&gt;0,IF('Pricing Inputs'!$AN$3=2,8*VLOOKUP($A13,NumberofDaysTable,4),(_xll.xSPRDOPT(N13,$E13,$BU13,0,$BP13,$BS13,$BT13,$A13-Inputs!$D$1,1,1))*(8*VLOOKUP($A13,NumberofDaysTable,4))),0))</f>
        <v>0.89628725687833044</v>
      </c>
      <c r="AC13" s="306">
        <f t="shared" ca="1" si="21"/>
        <v>0</v>
      </c>
      <c r="AD13" s="274">
        <f t="shared" ca="1" si="22"/>
        <v>22</v>
      </c>
      <c r="AE13" s="275">
        <f t="shared" ca="1" si="23"/>
        <v>21</v>
      </c>
      <c r="AF13" s="275">
        <f t="shared" ca="1" si="24"/>
        <v>42</v>
      </c>
      <c r="AG13" s="275">
        <f t="shared" ca="1" si="25"/>
        <v>39</v>
      </c>
      <c r="AH13" s="275">
        <f t="shared" ca="1" si="26"/>
        <v>52</v>
      </c>
      <c r="AI13" s="275">
        <f t="shared" ca="1" si="27"/>
        <v>48</v>
      </c>
      <c r="AJ13" s="276">
        <f t="shared" ca="1" si="28"/>
        <v>73</v>
      </c>
      <c r="AK13" s="314">
        <f t="shared" ca="1" si="1"/>
        <v>101.57236273206529</v>
      </c>
      <c r="AL13" s="315">
        <f t="shared" ca="1" si="2"/>
        <v>111.99025554974155</v>
      </c>
      <c r="AM13" s="315">
        <f t="shared" ca="1" si="3"/>
        <v>1.9337658528148234</v>
      </c>
      <c r="AN13" s="315">
        <f t="shared" ca="1" si="4"/>
        <v>2.5594850911392304</v>
      </c>
      <c r="AO13" s="315">
        <f t="shared" ca="1" si="5"/>
        <v>0.63477774356860961</v>
      </c>
      <c r="AP13" s="315">
        <f t="shared" ca="1" si="6"/>
        <v>0.89628725687833044</v>
      </c>
      <c r="AQ13" s="315">
        <f t="shared" ca="1" si="7"/>
        <v>0</v>
      </c>
      <c r="AR13" s="284" t="s">
        <v>1292</v>
      </c>
      <c r="AS13" s="321">
        <f t="shared" ca="1" si="8"/>
        <v>0</v>
      </c>
      <c r="AT13" s="324">
        <f t="shared" ca="1" si="9"/>
        <v>0</v>
      </c>
      <c r="AU13" s="324">
        <f t="shared" ca="1" si="10"/>
        <v>0</v>
      </c>
      <c r="AV13" s="324">
        <f t="shared" ca="1" si="11"/>
        <v>0</v>
      </c>
      <c r="AW13" s="324">
        <f t="shared" ca="1" si="12"/>
        <v>0</v>
      </c>
      <c r="AX13" s="324">
        <f t="shared" ca="1" si="13"/>
        <v>0</v>
      </c>
      <c r="AY13" s="324">
        <f t="shared" ca="1" si="14"/>
        <v>0</v>
      </c>
      <c r="AZ13" s="283" t="s">
        <v>1304</v>
      </c>
      <c r="BA13" s="267">
        <f ca="1">IF($A13="N/A"," ",(IF(MONTH(A13)&gt;=4,IF(MONTH(A13)&lt;=10,Inputs!$F$13,Inputs!$F$14),Inputs!$F$14))*$BW13)</f>
        <v>180</v>
      </c>
      <c r="BB13" s="268">
        <f t="shared" ca="1" si="29"/>
        <v>77650.330850246261</v>
      </c>
      <c r="BC13" s="268">
        <f t="shared" ca="1" si="30"/>
        <v>93362.131324795264</v>
      </c>
      <c r="BD13" s="268">
        <f t="shared" ca="1" si="31"/>
        <v>609.40974050850764</v>
      </c>
      <c r="BE13" s="268">
        <f t="shared" ca="1" si="32"/>
        <v>862.63185382204097</v>
      </c>
      <c r="BF13" s="268">
        <f t="shared" ca="1" si="33"/>
        <v>160.76718873488383</v>
      </c>
      <c r="BG13" s="268">
        <f t="shared" ca="1" si="34"/>
        <v>241.26831745163989</v>
      </c>
      <c r="BH13" s="268">
        <f t="shared" ref="BH13:BH76" ca="1" si="41">IF($A13="N/A"," ",($BA13*AQ13*V13))</f>
        <v>0</v>
      </c>
      <c r="BI13" s="268">
        <f t="shared" ca="1" si="36"/>
        <v>172886.53927555858</v>
      </c>
      <c r="BJ13" s="296">
        <f t="shared" ca="1" si="37"/>
        <v>1183677.0558220143</v>
      </c>
      <c r="BK13" s="296">
        <f t="shared" ca="1" si="38"/>
        <v>1104625.7595005792</v>
      </c>
      <c r="BL13" s="296">
        <f t="shared" ca="1" si="39"/>
        <v>79051.296321434813</v>
      </c>
      <c r="BM13" s="296">
        <f t="shared" ca="1" si="40"/>
        <v>0</v>
      </c>
      <c r="BN13" s="405">
        <f>IF(A13="N/A"," ",(VLOOKUP(A13,PowerVolTable,(IF('Pricing Inputs'!$AT$3=2,7,IF('Pricing Inputs'!$AT$3=1,6,8))),FALSE)))</f>
        <v>0.24210000000000001</v>
      </c>
      <c r="BO13" s="405">
        <f>IF(A13="N/A"," ",(VLOOKUP(A13,IntraPowerVol,(IF('Pricing Inputs'!$AT$3=2,3,IF('Pricing Inputs'!$AT$3=1,2,4))),FALSE)*VLOOKUP(MONTH($A13),Inputs!$A$28:$B$39,2)))</f>
        <v>1.2649999999999999</v>
      </c>
      <c r="BP13" s="406">
        <f t="shared" ca="1" si="15"/>
        <v>0.31200107800577814</v>
      </c>
      <c r="BQ13" s="405">
        <f ca="1">IF($A13="N/A"," ",(VLOOKUP($A13,GasVolTable,(IF('Pricing Inputs'!$AT$3=2,6,IF('Pricing Inputs'!$AT$3=1,7,5))),FALSE)))</f>
        <v>0.24</v>
      </c>
      <c r="BR13" s="405">
        <f ca="1">IF($A13="N/A"," ",(VLOOKUP($A13,OmicronVol,(IF('Pricing Inputs'!$AT$3=2,3,IF('Pricing Inputs'!$AT$3=1,4,2))),FALSE)))</f>
        <v>0.65</v>
      </c>
      <c r="BS13" s="406">
        <f ca="1">IF($A13="N/A"," ",IF('Pricing Inputs'!$AN$3=1,(IF(DateToday&gt;$A13,$BR13,((($BQ13^2)*((($A13-1)-DateToday)/((EOMONTH($A13,0)+1)-DateToday-15)))+((($BR13)^2)*((15)/((EOMONTH($A13,0)+1)-DateToday-15))))^0.5)),0.0001))</f>
        <v>0.2581098740279168</v>
      </c>
      <c r="BT13" s="405">
        <f>IF($A13="N/A"," ",IF('Pricing Inputs'!$AN$3=1,(VLOOKUP($A13,CorrelationTable,2,FALSE)),0))</f>
        <v>0.9</v>
      </c>
      <c r="BU13" s="407">
        <f ca="1">IF($A13="N/A"," ",F13+G13+(D13*(VLOOKUP($A13,'Gas Curves'!$B$17:$P$310,14,FALSE))))</f>
        <v>2.6825000000000001</v>
      </c>
      <c r="BV13" s="405">
        <f>IF($A13="N/A"," ",IF('Pricing Inputs'!$AW$3=1,0,(VLOOKUP($A13,InterestRatesTable,2))))</f>
        <v>0</v>
      </c>
      <c r="BW13" s="408">
        <f t="shared" ca="1" si="16"/>
        <v>1</v>
      </c>
    </row>
    <row r="14" spans="1:75">
      <c r="A14" s="248">
        <f>IF(A13="N/A","N/A",IF(EDATE(A13,1)&gt;Inputs!$K$3,"N/A",EDATE(A13,1)))</f>
        <v>37196</v>
      </c>
      <c r="B14" s="262">
        <f t="shared" si="17"/>
        <v>2001</v>
      </c>
      <c r="C14" s="249">
        <f t="shared" ca="1" si="18"/>
        <v>3.5440000000000005</v>
      </c>
      <c r="D14" s="250">
        <f>IF(A14="N/A"," ",(VLOOKUP(MONTH($A14),Inputs!$A$14:$B$25,2))/1000)</f>
        <v>10.5</v>
      </c>
      <c r="E14" s="304">
        <f t="shared" ca="1" si="19"/>
        <v>37.212000000000003</v>
      </c>
      <c r="F14" s="251">
        <f>IF(A14="N/A"," ",Inputs!$F$6)</f>
        <v>2</v>
      </c>
      <c r="G14" s="251">
        <f ca="1">IF(A14="N/A"," ",Inputs!$F$9/IF(AND('Pricing Inputs'!$AQ$3&gt;=4,'Pricing Inputs'!$AQ$3&lt;=6),16,IF(AND('Pricing Inputs'!$AQ$3&gt;=7,'Pricing Inputs'!$AQ$3&lt;=9),8,24))/(BA14/BW14))</f>
        <v>0</v>
      </c>
      <c r="H14" s="252">
        <f t="shared" ca="1" si="20"/>
        <v>39.212000000000003</v>
      </c>
      <c r="I14" s="255">
        <f>VLOOKUP(A14,ScaledPrice,(IF(AND('Pricing Inputs'!$AQ$3&gt;=1,'Pricing Inputs'!$AQ$3&lt;=6),2,4)))</f>
        <v>31.284240624999999</v>
      </c>
      <c r="J14" s="255">
        <f>IF(A14="N/A"," ",IF(AND('Pricing Inputs'!$AQ$3&gt;=1,'Pricing Inputs'!$AQ$3&lt;=6),I14,(VLOOKUP(A14,ScaledPrice,2))*(2-(VLOOKUP(A14,ScaledPrice,3)))))</f>
        <v>31.965759375000001</v>
      </c>
      <c r="K14" s="255">
        <f>IF(A14="N/A"," ",IF(OR('Pricing Inputs'!$AQ$3=2,'Pricing Inputs'!$AQ$3=3,'Pricing Inputs'!$AQ$3=5,'Pricing Inputs'!$AQ$3=6,'Pricing Inputs'!$AQ$3=8,'Pricing Inputs'!$AQ$3=9),VLOOKUP(A14,ScaledPrice,IF(AND('Pricing Inputs'!$AQ$3&gt;=2,'Pricing Inputs'!$AQ$3&lt;=6),5,6)),0))</f>
        <v>23.845022888565065</v>
      </c>
      <c r="L14" s="255">
        <f>IF(A14="N/A"," ",IF(OR('Pricing Inputs'!$AQ$3=2,'Pricing Inputs'!$AQ$3=3,'Pricing Inputs'!$AQ$3=5,'Pricing Inputs'!$AQ$3=6,'Pricing Inputs'!$AQ$3=8,'Pricing Inputs'!$AQ$3=9),IF(AND('Pricing Inputs'!$AQ$3&gt;=2,'Pricing Inputs'!$AQ$3&lt;=6),K14,(VLOOKUP(A14,ScaledPrice,5))*(2-(VLOOKUP(A14,ScaledPrice,3)))),0))</f>
        <v>24.36448028526306</v>
      </c>
      <c r="M14" s="255">
        <f>IF(A14="N/A"," ",IF(OR('Pricing Inputs'!$AQ$3=3,'Pricing Inputs'!$AQ$3=6,'Pricing Inputs'!$AQ$3=9),(VLOOKUP(A14,ScaledPrice,IF(AND('Pricing Inputs'!$AQ$3&gt;=3,'Pricing Inputs'!$AQ$3&lt;=6),7,8))),0))</f>
        <v>21.866323831367492</v>
      </c>
      <c r="N14" s="255">
        <f>IF(A14="N/A"," ",IF(OR('Pricing Inputs'!$AQ$3=3,'Pricing Inputs'!$AQ$3=6,'Pricing Inputs'!$AQ$3=9),IF(AND('Pricing Inputs'!$AQ$3&gt;=3,'Pricing Inputs'!$AQ$3&lt;=6),M14,(VLOOKUP(A14,ScaledPrice,7))*(2-(VLOOKUP(A14,ScaledPrice,3)))),0))</f>
        <v>22.342675802421571</v>
      </c>
      <c r="O14" s="255">
        <f>IF(A14="N/A"," ",IF(AND('Pricing Inputs'!$AQ$3&gt;=1,'Pricing Inputs'!$AQ$3&lt;=3),VLOOKUP(A14,ScaledPrice,9),0))</f>
        <v>0</v>
      </c>
      <c r="P14" s="320">
        <f ca="1">IF($A14="N/A"," ",IF('Pricing Inputs'!$AN$8=2,(I14-H14),IF('Pricing Inputs'!$AN$3=2,IF((I14-$H14)&gt;0,I14-$H14,0),(_xll.xSPRDOPT(I14,$E14,$BU14,0,$BP14,$BS14,$BT14,($A14-Inputs!$D$1)+15,1,0)))))</f>
        <v>0.32530112529283495</v>
      </c>
      <c r="Q14" s="320">
        <f ca="1">IF($A14="N/A"," ",IF('Pricing Inputs'!$AN$8=2,(J14-$H14),IF('Pricing Inputs'!$AN$3=2,IF((J14-$H14)&gt;0,J14-$H14,0),(_xll.xSPRDOPT(J14,$E14,$BU14,0,$BP14,$BS14,$BT14,($A14-Inputs!$D$1)+15,1,0)))))</f>
        <v>0.41511478832160797</v>
      </c>
      <c r="R14" s="320">
        <f ca="1">IF($A14="N/A"," ",IF('Pricing Inputs'!$AN$8=2,(K14-$H14),IF('Pricing Inputs'!$AN$3=2,IF((K14-$H14)&gt;0,K14-$H14,0),(_xll.xSPRDOPT(K14,$E14,$BU14,0,$BP14,$BS14,$BT14,($A14-Inputs!$D$1)+15,1,0)))))</f>
        <v>6.297767759195683E-3</v>
      </c>
      <c r="S14" s="320">
        <f ca="1">IF($A14="N/A"," ",IF('Pricing Inputs'!$AN$8=2,(L14-$H14),IF('Pricing Inputs'!$AN$3=2,IF((L14-$H14)&gt;0,L14-$H14,0),(_xll.xSPRDOPT(L14,$E14,$BU14,0,$BP14,$BS14,$BT14,($A14-Inputs!$D$1)+15,1,0)))))</f>
        <v>9.1642631527756972E-3</v>
      </c>
      <c r="T14" s="320">
        <f ca="1">IF($A14="N/A"," ",IF('Pricing Inputs'!$AN$8=2,(M14-$H14),IF('Pricing Inputs'!$AN$3=2,IF((M14-$H14)&gt;0,M14-$H14,0),(_xll.xSPRDOPT(M14,$E14,$BU14,0,$BP14,$BS14,$BT14,($A14-Inputs!$D$1)+15,1,0)))))</f>
        <v>1.2448129077116175E-3</v>
      </c>
      <c r="U14" s="320">
        <f ca="1">IF($A14="N/A"," ",IF('Pricing Inputs'!$AN$8=2,(N14-$H14),IF('Pricing Inputs'!$AN$3=2,IF((N14-$H14)&gt;0,N14-$H14,0),(_xll.xSPRDOPT(N14,$E14,$BU14,0,$BP14,$BS14,$BT14,($A14-Inputs!$D$1)+15,1,0)))))</f>
        <v>1.8953878873730625E-3</v>
      </c>
      <c r="V14" s="259">
        <f ca="1">IF($A14="N/A"," ",(IF('Pricing Inputs'!$AN$8=2,(O14-$H14),IF((O14-$H14)&lt;=0,0,(O14-$H14)))))</f>
        <v>0</v>
      </c>
      <c r="W14" s="306">
        <f ca="1">IF($A14="N/A"," ",IF(0&lt;&gt;P14,IF('Pricing Inputs'!$AN$3=2,8*VLOOKUP($A14,NumberofDaysTable,2),(_xll.xSPRDOPT(I14,$E14,$BU14,0,$BP14,$BS14,$BT14,$A14-Inputs!$D$1,1,1))*(8*VLOOKUP($A14,NumberofDaysTable,2))),0))</f>
        <v>19.594469550223597</v>
      </c>
      <c r="X14" s="306">
        <f ca="1">IF($A14="N/A"," ",IF(Q14&lt;&gt;0,IF('Pricing Inputs'!$AN$3=2,8*VLOOKUP($A14,NumberofDaysTable,2),(_xll.xSPRDOPT(J14,$E14,$BU14,0,$BP14,$BS14,$BT14,$A14-Inputs!$D$1,1,1))*(8*VLOOKUP($A14,NumberofDaysTable,2))),0))</f>
        <v>23.618015201174096</v>
      </c>
      <c r="Y14" s="306">
        <f ca="1">IF($A14="N/A"," ",IF(R14&lt;&gt;0,IF('Pricing Inputs'!$AN$3=2,8*VLOOKUP($A14,NumberofDaysTable,3),(_xll.xSPRDOPT(K14,$E14,$BU14,0,$BP14,$BS14,$BT14,$A14-Inputs!$D$1,1,1))*(8*VLOOKUP($A14,NumberofDaysTable,3))),0))</f>
        <v>0.13507099278211776</v>
      </c>
      <c r="Z14" s="306">
        <f ca="1">IF($A14="N/A"," ",IF(S14&lt;&gt;0,IF('Pricing Inputs'!$AN$3=2,8*VLOOKUP($A14,NumberofDaysTable,3),(_xll.xSPRDOPT(L14,$E14,$BU14,0,$BP14,$BS14,$BT14,$A14-Inputs!$D$1,1,1))*(8*VLOOKUP($A14,NumberofDaysTable,3))),0))</f>
        <v>0.18813693987040564</v>
      </c>
      <c r="AA14" s="306">
        <f ca="1">IF($A14="N/A"," ",IF(T14&lt;&gt;0,IF('Pricing Inputs'!$AN$3=2,8*VLOOKUP($A14,NumberofDaysTable,4),(_xll.xSPRDOPT(M14,$E14,$BU14,0,$BP14,$BS14,$BT14,$A14-Inputs!$D$1,1,1))*(8*VLOOKUP($A14,NumberofDaysTable,4))),0))</f>
        <v>3.1540640458651382E-2</v>
      </c>
      <c r="AB14" s="306">
        <f ca="1">IF($A14="N/A"," ",IF(U14&lt;&gt;0,IF('Pricing Inputs'!$AN$3=2,8*VLOOKUP($A14,NumberofDaysTable,4),(_xll.xSPRDOPT(N14,$E14,$BU14,0,$BP14,$BS14,$BT14,$A14-Inputs!$D$1,1,1))*(8*VLOOKUP($A14,NumberofDaysTable,4))),0))</f>
        <v>4.6135316536120359E-2</v>
      </c>
      <c r="AC14" s="306">
        <f t="shared" ca="1" si="21"/>
        <v>0</v>
      </c>
      <c r="AD14" s="274">
        <f t="shared" ca="1" si="22"/>
        <v>35</v>
      </c>
      <c r="AE14" s="275">
        <f t="shared" ca="1" si="23"/>
        <v>33</v>
      </c>
      <c r="AF14" s="275">
        <f t="shared" ca="1" si="24"/>
        <v>59</v>
      </c>
      <c r="AG14" s="275">
        <f t="shared" ca="1" si="25"/>
        <v>58</v>
      </c>
      <c r="AH14" s="275">
        <f t="shared" ca="1" si="26"/>
        <v>66</v>
      </c>
      <c r="AI14" s="275">
        <f t="shared" ca="1" si="27"/>
        <v>64</v>
      </c>
      <c r="AJ14" s="276">
        <f t="shared" ca="1" si="28"/>
        <v>73</v>
      </c>
      <c r="AK14" s="314">
        <f t="shared" ca="1" si="1"/>
        <v>19.594469550223597</v>
      </c>
      <c r="AL14" s="315">
        <f t="shared" ca="1" si="2"/>
        <v>23.618015201174096</v>
      </c>
      <c r="AM14" s="315">
        <f t="shared" ca="1" si="3"/>
        <v>0.13507099278211776</v>
      </c>
      <c r="AN14" s="315">
        <f t="shared" ca="1" si="4"/>
        <v>0.18813693987040564</v>
      </c>
      <c r="AO14" s="315">
        <f t="shared" ca="1" si="5"/>
        <v>3.1540640458651382E-2</v>
      </c>
      <c r="AP14" s="315">
        <f t="shared" ca="1" si="6"/>
        <v>4.6135316536120359E-2</v>
      </c>
      <c r="AQ14" s="315">
        <f t="shared" ca="1" si="7"/>
        <v>0</v>
      </c>
      <c r="AR14" s="276">
        <f ca="1">SUM(AK4:AQ15)</f>
        <v>2384.3958569664642</v>
      </c>
      <c r="AS14" s="321">
        <f t="shared" ca="1" si="8"/>
        <v>0</v>
      </c>
      <c r="AT14" s="324">
        <f t="shared" ca="1" si="9"/>
        <v>0</v>
      </c>
      <c r="AU14" s="324">
        <f t="shared" ca="1" si="10"/>
        <v>0</v>
      </c>
      <c r="AV14" s="324">
        <f t="shared" ca="1" si="11"/>
        <v>0</v>
      </c>
      <c r="AW14" s="324">
        <f t="shared" ca="1" si="12"/>
        <v>0</v>
      </c>
      <c r="AX14" s="324">
        <f t="shared" ca="1" si="13"/>
        <v>0</v>
      </c>
      <c r="AY14" s="324">
        <f t="shared" ca="1" si="14"/>
        <v>0</v>
      </c>
      <c r="AZ14" s="276">
        <f ca="1">SUM(AS4:AY15)</f>
        <v>0</v>
      </c>
      <c r="BA14" s="267">
        <f ca="1">IF($A14="N/A"," ",(IF(MONTH(A14)&gt;=4,IF(MONTH(A14)&lt;=10,Inputs!$F$13,Inputs!$F$14),Inputs!$F$14))*$BW14)</f>
        <v>180</v>
      </c>
      <c r="BB14" s="268">
        <f t="shared" ca="1" si="29"/>
        <v>9837.106028855329</v>
      </c>
      <c r="BC14" s="268">
        <f t="shared" ca="1" si="30"/>
        <v>12553.071198845426</v>
      </c>
      <c r="BD14" s="268">
        <f t="shared" ca="1" si="31"/>
        <v>36.275142292967132</v>
      </c>
      <c r="BE14" s="268">
        <f t="shared" ca="1" si="32"/>
        <v>52.786155759988013</v>
      </c>
      <c r="BF14" s="268">
        <f t="shared" ca="1" si="33"/>
        <v>8.9626529355236464</v>
      </c>
      <c r="BG14" s="268">
        <f t="shared" ca="1" si="34"/>
        <v>13.646792789086049</v>
      </c>
      <c r="BH14" s="268">
        <f t="shared" ca="1" si="41"/>
        <v>0</v>
      </c>
      <c r="BI14" s="268">
        <f t="shared" ca="1" si="36"/>
        <v>22501.847971478317</v>
      </c>
      <c r="BJ14" s="296">
        <f t="shared" ca="1" si="37"/>
        <v>307830.13400747813</v>
      </c>
      <c r="BK14" s="296">
        <f t="shared" ca="1" si="38"/>
        <v>292129.32129670196</v>
      </c>
      <c r="BL14" s="296">
        <f t="shared" ca="1" si="39"/>
        <v>15700.812710776197</v>
      </c>
      <c r="BM14" s="296">
        <f t="shared" ca="1" si="40"/>
        <v>0</v>
      </c>
      <c r="BN14" s="405">
        <f>IF(A14="N/A"," ",(VLOOKUP(A14,PowerVolTable,(IF('Pricing Inputs'!$AT$3=2,7,IF('Pricing Inputs'!$AT$3=1,6,8))),FALSE)))</f>
        <v>0.24210000000000001</v>
      </c>
      <c r="BO14" s="405">
        <f>IF(A14="N/A"," ",(VLOOKUP(A14,IntraPowerVol,(IF('Pricing Inputs'!$AT$3=2,3,IF('Pricing Inputs'!$AT$3=1,2,4))),FALSE)*VLOOKUP(MONTH($A14),Inputs!$A$28:$B$39,2)))</f>
        <v>1.4375</v>
      </c>
      <c r="BP14" s="406">
        <f t="shared" ca="1" si="15"/>
        <v>0.32677630705999666</v>
      </c>
      <c r="BQ14" s="405">
        <f ca="1">IF($A14="N/A"," ",(VLOOKUP($A14,GasVolTable,(IF('Pricing Inputs'!$AT$3=2,6,IF('Pricing Inputs'!$AT$3=1,7,5))),FALSE)))</f>
        <v>0.24</v>
      </c>
      <c r="BR14" s="405">
        <f ca="1">IF($A14="N/A"," ",(VLOOKUP($A14,OmicronVol,(IF('Pricing Inputs'!$AT$3=2,3,IF('Pricing Inputs'!$AT$3=1,4,2))),FALSE)))</f>
        <v>0.95</v>
      </c>
      <c r="BS14" s="406">
        <f ca="1">IF($A14="N/A"," ",IF('Pricing Inputs'!$AN$3=1,(IF(DateToday&gt;$A14,$BR14,((($BQ14^2)*((($A14-1)-DateToday)/((EOMONTH($A14,0)+1)-DateToday-15)))+((($BR14)^2)*((15)/((EOMONTH($A14,0)+1)-DateToday-15))))^0.5)),0.0001))</f>
        <v>0.27895839915933424</v>
      </c>
      <c r="BT14" s="405">
        <f>IF($A14="N/A"," ",IF('Pricing Inputs'!$AN$3=1,(VLOOKUP($A14,CorrelationTable,2,FALSE)),0))</f>
        <v>0.9</v>
      </c>
      <c r="BU14" s="407">
        <f ca="1">IF($A14="N/A"," ",F14+G14+(D14*(VLOOKUP($A14,'Gas Curves'!$B$17:$P$310,14,FALSE))))</f>
        <v>2.6825000000000001</v>
      </c>
      <c r="BV14" s="405">
        <f>IF($A14="N/A"," ",IF('Pricing Inputs'!$AW$3=1,0,(VLOOKUP($A14,InterestRatesTable,2))))</f>
        <v>0</v>
      </c>
      <c r="BW14" s="408">
        <f t="shared" ca="1" si="16"/>
        <v>1</v>
      </c>
    </row>
    <row r="15" spans="1:75">
      <c r="A15" s="248">
        <f>IF(A14="N/A","N/A",IF(EDATE(A14,1)&gt;Inputs!$K$3,"N/A",EDATE(A14,1)))</f>
        <v>37226</v>
      </c>
      <c r="B15" s="262">
        <f t="shared" si="17"/>
        <v>2001</v>
      </c>
      <c r="C15" s="249">
        <f t="shared" ca="1" si="18"/>
        <v>4.024</v>
      </c>
      <c r="D15" s="250">
        <f>IF(A15="N/A"," ",(VLOOKUP(MONTH($A15),Inputs!$A$14:$B$25,2))/1000)</f>
        <v>10.5</v>
      </c>
      <c r="E15" s="304">
        <f t="shared" ca="1" si="19"/>
        <v>42.252000000000002</v>
      </c>
      <c r="F15" s="251">
        <f>IF(A15="N/A"," ",Inputs!$F$6)</f>
        <v>2</v>
      </c>
      <c r="G15" s="251">
        <f ca="1">IF(A15="N/A"," ",Inputs!$F$9/IF(AND('Pricing Inputs'!$AQ$3&gt;=4,'Pricing Inputs'!$AQ$3&lt;=6),16,IF(AND('Pricing Inputs'!$AQ$3&gt;=7,'Pricing Inputs'!$AQ$3&lt;=9),8,24))/(BA15/BW15))</f>
        <v>0</v>
      </c>
      <c r="H15" s="252">
        <f t="shared" ca="1" si="20"/>
        <v>44.252000000000002</v>
      </c>
      <c r="I15" s="255">
        <f>VLOOKUP(A15,ScaledPrice,(IF(AND('Pricing Inputs'!$AQ$3&gt;=1,'Pricing Inputs'!$AQ$3&lt;=6),2,4)))</f>
        <v>30.82336252213727</v>
      </c>
      <c r="J15" s="255">
        <f>IF(A15="N/A"," ",IF(AND('Pricing Inputs'!$AQ$3&gt;=1,'Pricing Inputs'!$AQ$3&lt;=6),I15,(VLOOKUP(A15,ScaledPrice,2))*(2-(VLOOKUP(A15,ScaledPrice,3)))))</f>
        <v>32.176637477862727</v>
      </c>
      <c r="K15" s="255">
        <f>IF(A15="N/A"," ",IF(OR('Pricing Inputs'!$AQ$3=2,'Pricing Inputs'!$AQ$3=3,'Pricing Inputs'!$AQ$3=5,'Pricing Inputs'!$AQ$3=6,'Pricing Inputs'!$AQ$3=8,'Pricing Inputs'!$AQ$3=9),VLOOKUP(A15,ScaledPrice,IF(AND('Pricing Inputs'!$AQ$3&gt;=2,'Pricing Inputs'!$AQ$3&lt;=6),5,6)),0))</f>
        <v>25.006062852979788</v>
      </c>
      <c r="L15" s="255">
        <f>IF(A15="N/A"," ",IF(OR('Pricing Inputs'!$AQ$3=2,'Pricing Inputs'!$AQ$3=3,'Pricing Inputs'!$AQ$3=5,'Pricing Inputs'!$AQ$3=6,'Pricing Inputs'!$AQ$3=8,'Pricing Inputs'!$AQ$3=9),IF(AND('Pricing Inputs'!$AQ$3&gt;=2,'Pricing Inputs'!$AQ$3&lt;=6),K15,(VLOOKUP(A15,ScaledPrice,5))*(2-(VLOOKUP(A15,ScaledPrice,3)))),0))</f>
        <v>26.103933942674509</v>
      </c>
      <c r="M15" s="255">
        <f>IF(A15="N/A"," ",IF(OR('Pricing Inputs'!$AQ$3=3,'Pricing Inputs'!$AQ$3=6,'Pricing Inputs'!$AQ$3=9),(VLOOKUP(A15,ScaledPrice,IF(AND('Pricing Inputs'!$AQ$3&gt;=3,'Pricing Inputs'!$AQ$3&lt;=6),7,8))),0))</f>
        <v>21.576353018944999</v>
      </c>
      <c r="N15" s="255">
        <f>IF(A15="N/A"," ",IF(OR('Pricing Inputs'!$AQ$3=3,'Pricing Inputs'!$AQ$3=6,'Pricing Inputs'!$AQ$3=9),IF(AND('Pricing Inputs'!$AQ$3&gt;=3,'Pricing Inputs'!$AQ$3&lt;=6),M15,(VLOOKUP(A15,ScaledPrice,7))*(2-(VLOOKUP(A15,ScaledPrice,3)))),0))</f>
        <v>22.523645455176094</v>
      </c>
      <c r="O15" s="255">
        <f>IF(A15="N/A"," ",IF(AND('Pricing Inputs'!$AQ$3&gt;=1,'Pricing Inputs'!$AQ$3&lt;=3),VLOOKUP(A15,ScaledPrice,9),0))</f>
        <v>0</v>
      </c>
      <c r="P15" s="320">
        <f ca="1">IF($A15="N/A"," ",IF('Pricing Inputs'!$AN$8=2,(I15-H15),IF('Pricing Inputs'!$AN$3=2,IF((I15-$H15)&gt;0,I15-$H15,0),(_xll.xSPRDOPT(I15,$E15,$BU15,0,$BP15,$BS15,$BT15,($A15-Inputs!$D$1)+15,1,0)))))</f>
        <v>6.8145942354003272E-2</v>
      </c>
      <c r="Q15" s="320">
        <f ca="1">IF($A15="N/A"," ",IF('Pricing Inputs'!$AN$8=2,(J15-$H15),IF('Pricing Inputs'!$AN$3=2,IF((J15-$H15)&gt;0,J15-$H15,0),(_xll.xSPRDOPT(J15,$E15,$BU15,0,$BP15,$BS15,$BT15,($A15-Inputs!$D$1)+15,1,0)))))</f>
        <v>0.12307384248993539</v>
      </c>
      <c r="R15" s="320">
        <f ca="1">IF($A15="N/A"," ",IF('Pricing Inputs'!$AN$8=2,(K15-$H15),IF('Pricing Inputs'!$AN$3=2,IF((K15-$H15)&gt;0,K15-$H15,0),(_xll.xSPRDOPT(K15,$E15,$BU15,0,$BP15,$BS15,$BT15,($A15-Inputs!$D$1)+15,1,0)))))</f>
        <v>2.1144960989729436E-3</v>
      </c>
      <c r="S15" s="320">
        <f ca="1">IF($A15="N/A"," ",IF('Pricing Inputs'!$AN$8=2,(L15-$H15),IF('Pricing Inputs'!$AN$3=2,IF((L15-$H15)&gt;0,L15-$H15,0),(_xll.xSPRDOPT(L15,$E15,$BU15,0,$BP15,$BS15,$BT15,($A15-Inputs!$D$1)+15,1,0)))))</f>
        <v>4.6886580972062691E-3</v>
      </c>
      <c r="T15" s="320">
        <f ca="1">IF($A15="N/A"," ",IF('Pricing Inputs'!$AN$8=2,(M15-$H15),IF('Pricing Inputs'!$AN$3=2,IF((M15-$H15)&gt;0,M15-$H15,0),(_xll.xSPRDOPT(M15,$E15,$BU15,0,$BP15,$BS15,$BT15,($A15-Inputs!$D$1)+15,1,0)))))</f>
        <v>9.7964453921332812E-5</v>
      </c>
      <c r="U15" s="320">
        <f ca="1">IF($A15="N/A"," ",IF('Pricing Inputs'!$AN$8=2,(N15-$H15),IF('Pricing Inputs'!$AN$3=2,IF((N15-$H15)&gt;0,N15-$H15,0),(_xll.xSPRDOPT(N15,$E15,$BU15,0,$BP15,$BS15,$BT15,($A15-Inputs!$D$1)+15,1,0)))))</f>
        <v>2.5315922649420629E-4</v>
      </c>
      <c r="V15" s="259">
        <f ca="1">IF($A15="N/A"," ",(IF('Pricing Inputs'!$AN$8=2,(O15-$H15),IF((O15-$H15)&lt;=0,0,(O15-$H15)))))</f>
        <v>0</v>
      </c>
      <c r="W15" s="306">
        <f ca="1">IF($A15="N/A"," ",IF(0&lt;&gt;P15,IF('Pricing Inputs'!$AN$3=2,8*VLOOKUP($A15,NumberofDaysTable,2),(_xll.xSPRDOPT(I15,$E15,$BU15,0,$BP15,$BS15,$BT15,$A15-Inputs!$D$1,1,1))*(8*VLOOKUP($A15,NumberofDaysTable,2))),0))</f>
        <v>4.7672735099420622</v>
      </c>
      <c r="X15" s="306">
        <f ca="1">IF($A15="N/A"," ",IF(Q15&lt;&gt;0,IF('Pricing Inputs'!$AN$3=2,8*VLOOKUP($A15,NumberofDaysTable,2),(_xll.xSPRDOPT(J15,$E15,$BU15,0,$BP15,$BS15,$BT15,$A15-Inputs!$D$1,1,1))*(8*VLOOKUP($A15,NumberofDaysTable,2))),0))</f>
        <v>7.7830939219124859</v>
      </c>
      <c r="Y15" s="306">
        <f ca="1">IF($A15="N/A"," ",IF(R15&lt;&gt;0,IF('Pricing Inputs'!$AN$3=2,8*VLOOKUP($A15,NumberofDaysTable,3),(_xll.xSPRDOPT(K15,$E15,$BU15,0,$BP15,$BS15,$BT15,$A15-Inputs!$D$1,1,1))*(8*VLOOKUP($A15,NumberofDaysTable,3))),0))</f>
        <v>5.7197077872917258E-2</v>
      </c>
      <c r="Z15" s="306">
        <f ca="1">IF($A15="N/A"," ",IF(S15&lt;&gt;0,IF('Pricing Inputs'!$AN$3=2,8*VLOOKUP($A15,NumberofDaysTable,3),(_xll.xSPRDOPT(L15,$E15,$BU15,0,$BP15,$BS15,$BT15,$A15-Inputs!$D$1,1,1))*(8*VLOOKUP($A15,NumberofDaysTable,3))),0))</f>
        <v>0.11677309081834487</v>
      </c>
      <c r="AA15" s="306">
        <f ca="1">IF($A15="N/A"," ",IF(T15&lt;&gt;0,IF('Pricing Inputs'!$AN$3=2,8*VLOOKUP($A15,NumberofDaysTable,4),(_xll.xSPRDOPT(M15,$E15,$BU15,0,$BP15,$BS15,$BT15,$A15-Inputs!$D$1,1,1))*(8*VLOOKUP($A15,NumberofDaysTable,4))),0))</f>
        <v>3.4343039300199002E-3</v>
      </c>
      <c r="AB15" s="306">
        <f ca="1">IF($A15="N/A"," ",IF(U15&lt;&gt;0,IF('Pricing Inputs'!$AN$3=2,8*VLOOKUP($A15,NumberofDaysTable,4),(_xll.xSPRDOPT(N15,$E15,$BU15,0,$BP15,$BS15,$BT15,$A15-Inputs!$D$1,1,1))*(8*VLOOKUP($A15,NumberofDaysTable,4))),0))</f>
        <v>8.2598272666129582E-3</v>
      </c>
      <c r="AC15" s="306">
        <f t="shared" ca="1" si="21"/>
        <v>0</v>
      </c>
      <c r="AD15" s="277">
        <f t="shared" ca="1" si="22"/>
        <v>45</v>
      </c>
      <c r="AE15" s="278">
        <f t="shared" ca="1" si="23"/>
        <v>41</v>
      </c>
      <c r="AF15" s="278">
        <f t="shared" ca="1" si="24"/>
        <v>63</v>
      </c>
      <c r="AG15" s="278">
        <f t="shared" ca="1" si="25"/>
        <v>62</v>
      </c>
      <c r="AH15" s="278">
        <f t="shared" ca="1" si="26"/>
        <v>68</v>
      </c>
      <c r="AI15" s="278">
        <f t="shared" ca="1" si="27"/>
        <v>67</v>
      </c>
      <c r="AJ15" s="279">
        <f t="shared" ca="1" si="28"/>
        <v>73</v>
      </c>
      <c r="AK15" s="316">
        <f t="shared" ca="1" si="1"/>
        <v>4.7672735099420622</v>
      </c>
      <c r="AL15" s="317">
        <f t="shared" ca="1" si="2"/>
        <v>7.7830939219124859</v>
      </c>
      <c r="AM15" s="317">
        <f t="shared" ca="1" si="3"/>
        <v>5.7197077872917258E-2</v>
      </c>
      <c r="AN15" s="317">
        <f t="shared" ca="1" si="4"/>
        <v>0.11677309081834487</v>
      </c>
      <c r="AO15" s="317">
        <f t="shared" ca="1" si="5"/>
        <v>3.4343039300199002E-3</v>
      </c>
      <c r="AP15" s="317">
        <f t="shared" ca="1" si="6"/>
        <v>8.2598272666129582E-3</v>
      </c>
      <c r="AQ15" s="317">
        <f t="shared" ca="1" si="7"/>
        <v>0</v>
      </c>
      <c r="AR15" s="279">
        <f ca="1">IF(($AP$2-AR14)&gt;=0,$AP$2-AR14,0)</f>
        <v>0</v>
      </c>
      <c r="AS15" s="325">
        <f t="shared" ca="1" si="8"/>
        <v>0</v>
      </c>
      <c r="AT15" s="326">
        <f t="shared" ca="1" si="9"/>
        <v>0</v>
      </c>
      <c r="AU15" s="326">
        <f t="shared" ca="1" si="10"/>
        <v>0</v>
      </c>
      <c r="AV15" s="326">
        <f t="shared" ca="1" si="11"/>
        <v>0</v>
      </c>
      <c r="AW15" s="326">
        <f t="shared" ca="1" si="12"/>
        <v>0</v>
      </c>
      <c r="AX15" s="326">
        <f t="shared" ca="1" si="13"/>
        <v>0</v>
      </c>
      <c r="AY15" s="326">
        <f t="shared" ca="1" si="14"/>
        <v>0</v>
      </c>
      <c r="AZ15" s="285">
        <f ca="1">AR14+AZ14</f>
        <v>2384.3958569664642</v>
      </c>
      <c r="BA15" s="267">
        <f ca="1">IF($A15="N/A"," ",(IF(MONTH(A15)&gt;=4,IF(MONTH(A15)&lt;=10,Inputs!$F$13,Inputs!$F$14),Inputs!$F$14))*$BW15)</f>
        <v>180</v>
      </c>
      <c r="BB15" s="268">
        <f t="shared" ca="1" si="29"/>
        <v>1962.6031397952943</v>
      </c>
      <c r="BC15" s="268">
        <f t="shared" ca="1" si="30"/>
        <v>3544.526663710139</v>
      </c>
      <c r="BD15" s="268">
        <f t="shared" ca="1" si="31"/>
        <v>15.224371912605193</v>
      </c>
      <c r="BE15" s="268">
        <f t="shared" ca="1" si="32"/>
        <v>33.758338299885139</v>
      </c>
      <c r="BF15" s="268">
        <f t="shared" ca="1" si="33"/>
        <v>0.84641288188031549</v>
      </c>
      <c r="BG15" s="268">
        <f t="shared" ca="1" si="34"/>
        <v>2.1872957169099423</v>
      </c>
      <c r="BH15" s="268">
        <f t="shared" ca="1" si="41"/>
        <v>0</v>
      </c>
      <c r="BI15" s="268">
        <f t="shared" ca="1" si="36"/>
        <v>5559.1462223167146</v>
      </c>
      <c r="BJ15" s="296">
        <f t="shared" ca="1" si="37"/>
        <v>101447.077714752</v>
      </c>
      <c r="BK15" s="296">
        <f t="shared" ca="1" si="38"/>
        <v>96862.106291324715</v>
      </c>
      <c r="BL15" s="296">
        <f t="shared" ca="1" si="39"/>
        <v>4584.9714234272797</v>
      </c>
      <c r="BM15" s="296">
        <f t="shared" ca="1" si="40"/>
        <v>0</v>
      </c>
      <c r="BN15" s="405">
        <f>IF(A15="N/A"," ",(VLOOKUP(A15,PowerVolTable,(IF('Pricing Inputs'!$AT$3=2,7,IF('Pricing Inputs'!$AT$3=1,6,8))),FALSE)))</f>
        <v>0.25074000000000002</v>
      </c>
      <c r="BO15" s="405">
        <f>IF(A15="N/A"," ",(VLOOKUP(A15,IntraPowerVol,(IF('Pricing Inputs'!$AT$3=2,3,IF('Pricing Inputs'!$AT$3=1,2,4))),FALSE)*VLOOKUP(MONTH($A15),Inputs!$A$28:$B$39,2)))</f>
        <v>1.4375</v>
      </c>
      <c r="BP15" s="406">
        <f t="shared" ca="1" si="15"/>
        <v>0.32948607476465042</v>
      </c>
      <c r="BQ15" s="405">
        <f ca="1">IF($A15="N/A"," ",(VLOOKUP($A15,GasVolTable,(IF('Pricing Inputs'!$AT$3=2,6,IF('Pricing Inputs'!$AT$3=1,7,5))),FALSE)))</f>
        <v>0.24249999999999999</v>
      </c>
      <c r="BR15" s="405">
        <f ca="1">IF($A15="N/A"," ",(VLOOKUP($A15,OmicronVol,(IF('Pricing Inputs'!$AT$3=2,3,IF('Pricing Inputs'!$AT$3=1,4,2))),FALSE)))</f>
        <v>1.25</v>
      </c>
      <c r="BS15" s="406">
        <f ca="1">IF($A15="N/A"," ",IF('Pricing Inputs'!$AN$3=1,(IF(DateToday&gt;$A15,$BR15,((($BQ15^2)*((($A15-1)-DateToday)/((EOMONTH($A15,0)+1)-DateToday-15)))+((($BR15)^2)*((15)/((EOMONTH($A15,0)+1)-DateToday-15))))^0.5)),0.0001))</f>
        <v>0.30506134410003855</v>
      </c>
      <c r="BT15" s="405">
        <f>IF($A15="N/A"," ",IF('Pricing Inputs'!$AN$3=1,(VLOOKUP($A15,CorrelationTable,2,FALSE)),0))</f>
        <v>0.9</v>
      </c>
      <c r="BU15" s="407">
        <f ca="1">IF($A15="N/A"," ",F15+G15+(D15*(VLOOKUP($A15,'Gas Curves'!$B$17:$P$310,14,FALSE))))</f>
        <v>2.6825000000000001</v>
      </c>
      <c r="BV15" s="405">
        <f>IF($A15="N/A"," ",IF('Pricing Inputs'!$AW$3=1,0,(VLOOKUP($A15,InterestRatesTable,2))))</f>
        <v>0</v>
      </c>
      <c r="BW15" s="408">
        <f t="shared" ca="1" si="16"/>
        <v>1</v>
      </c>
    </row>
    <row r="16" spans="1:75">
      <c r="A16" s="248">
        <f>IF(A15="N/A","N/A",IF(EDATE(A15,1)&gt;Inputs!$K$3,"N/A",EDATE(A15,1)))</f>
        <v>37257</v>
      </c>
      <c r="B16" s="262">
        <f t="shared" si="17"/>
        <v>2002</v>
      </c>
      <c r="C16" s="249">
        <f t="shared" ca="1" si="18"/>
        <v>4.4060000000000006</v>
      </c>
      <c r="D16" s="250">
        <f>IF(A16="N/A"," ",(VLOOKUP(MONTH($A16),Inputs!$A$14:$B$25,2))/1000)</f>
        <v>10.5</v>
      </c>
      <c r="E16" s="304">
        <f t="shared" ca="1" si="19"/>
        <v>46.263000000000005</v>
      </c>
      <c r="F16" s="251">
        <f>IF(A16="N/A"," ",Inputs!$F$6)</f>
        <v>2</v>
      </c>
      <c r="G16" s="251">
        <f ca="1">IF(A16="N/A"," ",Inputs!$F$9/IF(AND('Pricing Inputs'!$AQ$3&gt;=4,'Pricing Inputs'!$AQ$3&lt;=6),16,IF(AND('Pricing Inputs'!$AQ$3&gt;=7,'Pricing Inputs'!$AQ$3&lt;=9),8,24))/(BA16/BW16))</f>
        <v>0</v>
      </c>
      <c r="H16" s="252">
        <f t="shared" ca="1" si="20"/>
        <v>48.263000000000005</v>
      </c>
      <c r="I16" s="255">
        <f>VLOOKUP(A16,ScaledPrice,(IF(AND('Pricing Inputs'!$AQ$3&gt;=1,'Pricing Inputs'!$AQ$3&lt;=6),2,4)))</f>
        <v>35.858393457863251</v>
      </c>
      <c r="J16" s="255">
        <f>IF(A16="N/A"," ",IF(AND('Pricing Inputs'!$AQ$3&gt;=1,'Pricing Inputs'!$AQ$3&lt;=6),I16,(VLOOKUP(A16,ScaledPrice,2))*(2-(VLOOKUP(A16,ScaledPrice,3)))))</f>
        <v>38.141606542136749</v>
      </c>
      <c r="K16" s="255">
        <f>IF(A16="N/A"," ",IF(OR('Pricing Inputs'!$AQ$3=2,'Pricing Inputs'!$AQ$3=3,'Pricing Inputs'!$AQ$3=5,'Pricing Inputs'!$AQ$3=6,'Pricing Inputs'!$AQ$3=8,'Pricing Inputs'!$AQ$3=9),VLOOKUP(A16,ScaledPrice,IF(AND('Pricing Inputs'!$AQ$3&gt;=2,'Pricing Inputs'!$AQ$3&lt;=6),5,6)),0))</f>
        <v>27.764813300665278</v>
      </c>
      <c r="L16" s="255">
        <f>IF(A16="N/A"," ",IF(OR('Pricing Inputs'!$AQ$3=2,'Pricing Inputs'!$AQ$3=3,'Pricing Inputs'!$AQ$3=5,'Pricing Inputs'!$AQ$3=6,'Pricing Inputs'!$AQ$3=8,'Pricing Inputs'!$AQ$3=9),IF(AND('Pricing Inputs'!$AQ$3&gt;=2,'Pricing Inputs'!$AQ$3&lt;=6),K16,(VLOOKUP(A16,ScaledPrice,5))*(2-(VLOOKUP(A16,ScaledPrice,3)))),0))</f>
        <v>29.532683494989019</v>
      </c>
      <c r="M16" s="255">
        <f>IF(A16="N/A"," ",IF(OR('Pricing Inputs'!$AQ$3=3,'Pricing Inputs'!$AQ$3=6,'Pricing Inputs'!$AQ$3=9),(VLOOKUP(A16,ScaledPrice,IF(AND('Pricing Inputs'!$AQ$3&gt;=3,'Pricing Inputs'!$AQ$3&lt;=6),7,8))),0))</f>
        <v>26.31473064422131</v>
      </c>
      <c r="N16" s="255">
        <f>IF(A16="N/A"," ",IF(OR('Pricing Inputs'!$AQ$3=3,'Pricing Inputs'!$AQ$3=6,'Pricing Inputs'!$AQ$3=9),IF(AND('Pricing Inputs'!$AQ$3&gt;=3,'Pricing Inputs'!$AQ$3&lt;=6),M16,(VLOOKUP(A16,ScaledPrice,7))*(2-(VLOOKUP(A16,ScaledPrice,3)))),0))</f>
        <v>27.990269660954471</v>
      </c>
      <c r="O16" s="255">
        <f>IF(A16="N/A"," ",IF(AND('Pricing Inputs'!$AQ$3&gt;=1,'Pricing Inputs'!$AQ$3&lt;=3),VLOOKUP(A16,ScaledPrice,9),0))</f>
        <v>0</v>
      </c>
      <c r="P16" s="320">
        <f ca="1">IF($A16="N/A"," ",IF('Pricing Inputs'!$AN$8=2,(I16-H16),IF('Pricing Inputs'!$AN$3=2,IF((I16-$H16)&gt;0,I16-$H16,0),(_xll.xSPRDOPT(I16,$E16,$BU16,0,$BP16,$BS16,$BT16,($A16-Inputs!$D$1)+15,1,0)))))</f>
        <v>0.79172481769077607</v>
      </c>
      <c r="Q16" s="320">
        <f ca="1">IF($A16="N/A"," ",IF('Pricing Inputs'!$AN$8=2,(J16-$H16),IF('Pricing Inputs'!$AN$3=2,IF((J16-$H16)&gt;0,J16-$H16,0),(_xll.xSPRDOPT(J16,$E16,$BU16,0,$BP16,$BS16,$BT16,($A16-Inputs!$D$1)+15,1,0)))))</f>
        <v>1.242397753595561</v>
      </c>
      <c r="R16" s="320">
        <f ca="1">IF($A16="N/A"," ",IF('Pricing Inputs'!$AN$8=2,(K16-$H16),IF('Pricing Inputs'!$AN$3=2,IF((K16-$H16)&gt;0,K16-$H16,0),(_xll.xSPRDOPT(K16,$E16,$BU16,0,$BP16,$BS16,$BT16,($A16-Inputs!$D$1)+15,1,0)))))</f>
        <v>8.2242371062648825E-2</v>
      </c>
      <c r="S16" s="320">
        <f ca="1">IF($A16="N/A"," ",IF('Pricing Inputs'!$AN$8=2,(L16-$H16),IF('Pricing Inputs'!$AN$3=2,IF((L16-$H16)&gt;0,L16-$H16,0),(_xll.xSPRDOPT(L16,$E16,$BU16,0,$BP16,$BS16,$BT16,($A16-Inputs!$D$1)+15,1,0)))))</f>
        <v>0.15099590595992005</v>
      </c>
      <c r="T16" s="320">
        <f ca="1">IF($A16="N/A"," ",IF('Pricing Inputs'!$AN$8=2,(M16-$H16),IF('Pricing Inputs'!$AN$3=2,IF((M16-$H16)&gt;0,M16-$H16,0),(_xll.xSPRDOPT(M16,$E16,$BU16,0,$BP16,$BS16,$BT16,($A16-Inputs!$D$1)+15,1,0)))))</f>
        <v>4.6933895494576501E-2</v>
      </c>
      <c r="U16" s="320">
        <f ca="1">IF($A16="N/A"," ",IF('Pricing Inputs'!$AN$8=2,(N16-$H16),IF('Pricing Inputs'!$AN$3=2,IF((N16-$H16)&gt;0,N16-$H16,0),(_xll.xSPRDOPT(N16,$E16,$BU16,0,$BP16,$BS16,$BT16,($A16-Inputs!$D$1)+15,1,0)))))</f>
        <v>8.9261195634572091E-2</v>
      </c>
      <c r="V16" s="259">
        <f ca="1">IF($A16="N/A"," ",(IF('Pricing Inputs'!$AN$8=2,(O16-$H16),IF((O16-$H16)&lt;=0,0,(O16-$H16)))))</f>
        <v>0</v>
      </c>
      <c r="W16" s="306">
        <f ca="1">IF($A16="N/A"," ",IF(0&lt;&gt;P16,IF('Pricing Inputs'!$AN$3=2,8*VLOOKUP($A16,NumberofDaysTable,2),(_xll.xSPRDOPT(I16,$E16,$BU16,0,$BP16,$BS16,$BT16,$A16-Inputs!$D$1,1,1))*(8*VLOOKUP($A16,NumberofDaysTable,2))),0))</f>
        <v>28.875209548378525</v>
      </c>
      <c r="X16" s="306">
        <f ca="1">IF($A16="N/A"," ",IF(Q16&lt;&gt;0,IF('Pricing Inputs'!$AN$3=2,8*VLOOKUP($A16,NumberofDaysTable,2),(_xll.xSPRDOPT(J16,$E16,$BU16,0,$BP16,$BS16,$BT16,$A16-Inputs!$D$1,1,1))*(8*VLOOKUP($A16,NumberofDaysTable,2))),0))</f>
        <v>39.612751685782861</v>
      </c>
      <c r="Y16" s="306">
        <f ca="1">IF($A16="N/A"," ",IF(R16&lt;&gt;0,IF('Pricing Inputs'!$AN$3=2,8*VLOOKUP($A16,NumberofDaysTable,3),(_xll.xSPRDOPT(K16,$E16,$BU16,0,$BP16,$BS16,$BT16,$A16-Inputs!$D$1,1,1))*(8*VLOOKUP($A16,NumberofDaysTable,3))),0))</f>
        <v>0.91253908861135535</v>
      </c>
      <c r="Z16" s="306">
        <f ca="1">IF($A16="N/A"," ",IF(S16&lt;&gt;0,IF('Pricing Inputs'!$AN$3=2,8*VLOOKUP($A16,NumberofDaysTable,3),(_xll.xSPRDOPT(L16,$E16,$BU16,0,$BP16,$BS16,$BT16,$A16-Inputs!$D$1,1,1))*(8*VLOOKUP($A16,NumberofDaysTable,3))),0))</f>
        <v>1.4888644777909241</v>
      </c>
      <c r="AA16" s="306">
        <f ca="1">IF($A16="N/A"," ",IF(T16&lt;&gt;0,IF('Pricing Inputs'!$AN$3=2,8*VLOOKUP($A16,NumberofDaysTable,4),(_xll.xSPRDOPT(M16,$E16,$BU16,0,$BP16,$BS16,$BT16,$A16-Inputs!$D$1,1,1))*(8*VLOOKUP($A16,NumberofDaysTable,4))),0))</f>
        <v>0.57524868678503605</v>
      </c>
      <c r="AB16" s="306">
        <f ca="1">IF($A16="N/A"," ",IF(U16&lt;&gt;0,IF('Pricing Inputs'!$AN$3=2,8*VLOOKUP($A16,NumberofDaysTable,4),(_xll.xSPRDOPT(N16,$E16,$BU16,0,$BP16,$BS16,$BT16,$A16-Inputs!$D$1,1,1))*(8*VLOOKUP($A16,NumberofDaysTable,4))),0))</f>
        <v>0.9754307086738333</v>
      </c>
      <c r="AC16" s="306">
        <f t="shared" ca="1" si="21"/>
        <v>0</v>
      </c>
      <c r="AD16" s="271">
        <f t="shared" ref="AD16:AJ16" ca="1" si="42">IF($A16="N/A"," ",RANK(P16,$P$16:$V$27))</f>
        <v>32</v>
      </c>
      <c r="AE16" s="272">
        <f t="shared" ca="1" si="42"/>
        <v>28</v>
      </c>
      <c r="AF16" s="272">
        <f t="shared" ca="1" si="42"/>
        <v>54</v>
      </c>
      <c r="AG16" s="272">
        <f t="shared" ca="1" si="42"/>
        <v>49</v>
      </c>
      <c r="AH16" s="272">
        <f t="shared" ca="1" si="42"/>
        <v>58</v>
      </c>
      <c r="AI16" s="272">
        <f t="shared" ca="1" si="42"/>
        <v>53</v>
      </c>
      <c r="AJ16" s="273">
        <f t="shared" ca="1" si="42"/>
        <v>73</v>
      </c>
      <c r="AK16" s="312">
        <f t="shared" ref="AK16:AK79" ca="1" si="43">IF($A16="N/A"," ",IF(AD16&lt;=$AJ$2,W16,0))</f>
        <v>28.875209548378525</v>
      </c>
      <c r="AL16" s="313">
        <f t="shared" ref="AL16:AL79" ca="1" si="44">IF($A16="N/A"," ",IF(AE16&lt;=$AJ$2,X16,0))</f>
        <v>39.612751685782861</v>
      </c>
      <c r="AM16" s="313">
        <f t="shared" ref="AM16:AM79" ca="1" si="45">IF($A16="N/A"," ",IF(AF16&lt;=$AJ$2,Y16,0))</f>
        <v>0.91253908861135535</v>
      </c>
      <c r="AN16" s="313">
        <f t="shared" ref="AN16:AN79" ca="1" si="46">IF($A16="N/A"," ",IF(AG16&lt;=$AJ$2,Z16,0))</f>
        <v>1.4888644777909241</v>
      </c>
      <c r="AO16" s="313">
        <f t="shared" ref="AO16:AO79" ca="1" si="47">IF($A16="N/A"," ",IF(AH16&lt;=$AJ$2,AA16,0))</f>
        <v>0.57524868678503605</v>
      </c>
      <c r="AP16" s="313">
        <f t="shared" ref="AP16:AP79" ca="1" si="48">IF($A16="N/A"," ",IF(AI16&lt;=$AJ$2,AB16,0))</f>
        <v>0.9754307086738333</v>
      </c>
      <c r="AQ16" s="313">
        <f t="shared" ref="AQ16:AQ79" ca="1" si="49">IF($A16="N/A"," ",IF(AJ16&lt;=$AJ$2,AC16,0))</f>
        <v>0</v>
      </c>
      <c r="AR16" s="272"/>
      <c r="AS16" s="327">
        <f t="shared" ref="AS16:AS27" ca="1" si="50">IF($A16="N/A"," ",IF(AND(AD16=$AJ$2+1,AK16=0),MIN($AR$27,W16),0))</f>
        <v>0</v>
      </c>
      <c r="AT16" s="322">
        <f t="shared" ref="AT16:AT27" ca="1" si="51">IF($A16="N/A"," ",IF(AND(AE16=$AJ$2+1,AL16=0),MIN($AR$27,X16),0))</f>
        <v>0</v>
      </c>
      <c r="AU16" s="322">
        <f t="shared" ref="AU16:AU27" ca="1" si="52">IF($A16="N/A"," ",IF(AND(AF16=$AJ$2+1,AM16=0),MIN($AR$27,Y16),0))</f>
        <v>0</v>
      </c>
      <c r="AV16" s="322">
        <f t="shared" ref="AV16:AV27" ca="1" si="53">IF($A16="N/A"," ",IF(AND(AG16=$AJ$2+1,AN16=0),MIN($AR$27,Z16),0))</f>
        <v>0</v>
      </c>
      <c r="AW16" s="322">
        <f t="shared" ref="AW16:AW27" ca="1" si="54">IF($A16="N/A"," ",IF(AND(AH16=$AJ$2+1,AO16=0),MIN($AR$27,AA16),0))</f>
        <v>0</v>
      </c>
      <c r="AX16" s="322">
        <f t="shared" ref="AX16:AX27" ca="1" si="55">IF($A16="N/A"," ",IF(AND(AI16=$AJ$2+1,AP16=0),MIN($AR$27,AB16),0))</f>
        <v>0</v>
      </c>
      <c r="AY16" s="322">
        <f t="shared" ref="AY16:AY27" ca="1" si="56">IF($A16="N/A"," ",IF(AND(AJ16=$AJ$2+1,AQ16=0),MIN($AR$27,AC16),0))</f>
        <v>0</v>
      </c>
      <c r="AZ16" s="323"/>
      <c r="BA16" s="267">
        <f ca="1">IF($A16="N/A"," ",(IF(MONTH(A16)&gt;=4,IF(MONTH(A16)&lt;=10,Inputs!$F$13,Inputs!$F$14),Inputs!$F$14))*$BW16)</f>
        <v>180</v>
      </c>
      <c r="BB16" s="268">
        <f t="shared" ca="1" si="29"/>
        <v>25081.842224443786</v>
      </c>
      <c r="BC16" s="268">
        <f t="shared" ca="1" si="30"/>
        <v>39359.160833907372</v>
      </c>
      <c r="BD16" s="268">
        <f t="shared" ca="1" si="31"/>
        <v>473.71605732085726</v>
      </c>
      <c r="BE16" s="268">
        <f t="shared" ca="1" si="32"/>
        <v>869.7364183291395</v>
      </c>
      <c r="BF16" s="268">
        <f t="shared" ca="1" si="33"/>
        <v>337.92404756095078</v>
      </c>
      <c r="BG16" s="268">
        <f t="shared" ca="1" si="34"/>
        <v>642.68060856891907</v>
      </c>
      <c r="BH16" s="268">
        <f t="shared" ca="1" si="41"/>
        <v>0</v>
      </c>
      <c r="BI16" s="268">
        <f t="shared" ca="1" si="36"/>
        <v>66765.060190131029</v>
      </c>
      <c r="BJ16" s="296">
        <f t="shared" ca="1" si="37"/>
        <v>629311.29354587442</v>
      </c>
      <c r="BK16" s="296">
        <f t="shared" ca="1" si="38"/>
        <v>603232.87763530621</v>
      </c>
      <c r="BL16" s="296">
        <f t="shared" ca="1" si="39"/>
        <v>26078.41591056811</v>
      </c>
      <c r="BM16" s="296">
        <f t="shared" ca="1" si="40"/>
        <v>0</v>
      </c>
      <c r="BN16" s="405">
        <f>IF(A16="N/A"," ",(VLOOKUP(A16,PowerVolTable,(IF('Pricing Inputs'!$AT$3=2,7,IF('Pricing Inputs'!$AT$3=1,6,8))),FALSE)))</f>
        <v>0.26980000000000004</v>
      </c>
      <c r="BO16" s="405">
        <f>IF(A16="N/A"," ",(VLOOKUP(A16,IntraPowerVol,(IF('Pricing Inputs'!$AT$3=2,3,IF('Pricing Inputs'!$AT$3=1,2,4))),FALSE)*VLOOKUP(MONTH($A16),Inputs!$A$28:$B$39,2)))</f>
        <v>2.2999999999999998</v>
      </c>
      <c r="BP16" s="406">
        <f t="shared" ca="1" si="15"/>
        <v>0.43204017123721516</v>
      </c>
      <c r="BQ16" s="405">
        <f ca="1">IF($A16="N/A"," ",(VLOOKUP($A16,GasVolTable,(IF('Pricing Inputs'!$AT$3=2,6,IF('Pricing Inputs'!$AT$3=1,7,5))),FALSE)))</f>
        <v>0.245</v>
      </c>
      <c r="BR16" s="405">
        <f ca="1">IF($A16="N/A"," ",(VLOOKUP($A16,OmicronVol,(IF('Pricing Inputs'!$AT$3=2,3,IF('Pricing Inputs'!$AT$3=1,4,2))),FALSE)))</f>
        <v>1.45</v>
      </c>
      <c r="BS16" s="406">
        <f ca="1">IF($A16="N/A"," ",IF('Pricing Inputs'!$AN$3=1,(IF(DateToday&gt;$A16,$BR16,((($BQ16^2)*((($A16-1)-DateToday)/((EOMONTH($A16,0)+1)-DateToday-15)))+((($BR16)^2)*((15)/((EOMONTH($A16,0)+1)-DateToday-15))))^0.5)),0.0001))</f>
        <v>0.32328088726364701</v>
      </c>
      <c r="BT16" s="405">
        <f>IF($A16="N/A"," ",IF('Pricing Inputs'!$AN$3=1,(VLOOKUP($A16,CorrelationTable,2,FALSE)),0))</f>
        <v>0.9</v>
      </c>
      <c r="BU16" s="407">
        <f ca="1">IF($A16="N/A"," ",F16+G16+(D16*(VLOOKUP($A16,'Gas Curves'!$B$17:$P$310,14,FALSE))))</f>
        <v>2.6825000000000001</v>
      </c>
      <c r="BV16" s="405">
        <f>IF($A16="N/A"," ",IF('Pricing Inputs'!$AW$3=1,0,(VLOOKUP($A16,InterestRatesTable,2))))</f>
        <v>0</v>
      </c>
      <c r="BW16" s="408">
        <f t="shared" ca="1" si="16"/>
        <v>1</v>
      </c>
    </row>
    <row r="17" spans="1:75">
      <c r="A17" s="248">
        <f>IF(A16="N/A","N/A",IF(EDATE(A16,1)&gt;Inputs!$K$3,"N/A",EDATE(A16,1)))</f>
        <v>37288</v>
      </c>
      <c r="B17" s="262">
        <f t="shared" si="17"/>
        <v>2002</v>
      </c>
      <c r="C17" s="249">
        <f t="shared" ca="1" si="18"/>
        <v>4.24</v>
      </c>
      <c r="D17" s="250">
        <f>IF(A17="N/A"," ",(VLOOKUP(MONTH($A17),Inputs!$A$14:$B$25,2))/1000)</f>
        <v>10.5</v>
      </c>
      <c r="E17" s="304">
        <f t="shared" ca="1" si="19"/>
        <v>44.52</v>
      </c>
      <c r="F17" s="251">
        <f>IF(A17="N/A"," ",Inputs!$F$6)</f>
        <v>2</v>
      </c>
      <c r="G17" s="251">
        <f ca="1">IF(A17="N/A"," ",Inputs!$F$9/IF(AND('Pricing Inputs'!$AQ$3&gt;=4,'Pricing Inputs'!$AQ$3&lt;=6),16,IF(AND('Pricing Inputs'!$AQ$3&gt;=7,'Pricing Inputs'!$AQ$3&lt;=9),8,24))/(BA17/BW17))</f>
        <v>0</v>
      </c>
      <c r="H17" s="252">
        <f t="shared" ca="1" si="20"/>
        <v>46.52</v>
      </c>
      <c r="I17" s="255">
        <f>VLOOKUP(A17,ScaledPrice,(IF(AND('Pricing Inputs'!$AQ$3&gt;=1,'Pricing Inputs'!$AQ$3&lt;=6),2,4)))</f>
        <v>35.858393457863251</v>
      </c>
      <c r="J17" s="255">
        <f>IF(A17="N/A"," ",IF(AND('Pricing Inputs'!$AQ$3&gt;=1,'Pricing Inputs'!$AQ$3&lt;=6),I17,(VLOOKUP(A17,ScaledPrice,2))*(2-(VLOOKUP(A17,ScaledPrice,3)))))</f>
        <v>38.141606542136749</v>
      </c>
      <c r="K17" s="255">
        <f>IF(A17="N/A"," ",IF(OR('Pricing Inputs'!$AQ$3=2,'Pricing Inputs'!$AQ$3=3,'Pricing Inputs'!$AQ$3=5,'Pricing Inputs'!$AQ$3=6,'Pricing Inputs'!$AQ$3=8,'Pricing Inputs'!$AQ$3=9),VLOOKUP(A17,ScaledPrice,IF(AND('Pricing Inputs'!$AQ$3&gt;=2,'Pricing Inputs'!$AQ$3&lt;=6),5,6)),0))</f>
        <v>26.793246367729957</v>
      </c>
      <c r="L17" s="255">
        <f>IF(A17="N/A"," ",IF(OR('Pricing Inputs'!$AQ$3=2,'Pricing Inputs'!$AQ$3=3,'Pricing Inputs'!$AQ$3=5,'Pricing Inputs'!$AQ$3=6,'Pricing Inputs'!$AQ$3=8,'Pricing Inputs'!$AQ$3=9),IF(AND('Pricing Inputs'!$AQ$3&gt;=2,'Pricing Inputs'!$AQ$3&lt;=6),K17,(VLOOKUP(A17,ScaledPrice,5))*(2-(VLOOKUP(A17,ScaledPrice,3)))),0))</f>
        <v>28.499253937445822</v>
      </c>
      <c r="M17" s="255">
        <f>IF(A17="N/A"," ",IF(OR('Pricing Inputs'!$AQ$3=3,'Pricing Inputs'!$AQ$3=6,'Pricing Inputs'!$AQ$3=9),(VLOOKUP(A17,ScaledPrice,IF(AND('Pricing Inputs'!$AQ$3&gt;=3,'Pricing Inputs'!$AQ$3&lt;=6),7,8))),0))</f>
        <v>24.371592711653182</v>
      </c>
      <c r="N17" s="255">
        <f>IF(A17="N/A"," ",IF(OR('Pricing Inputs'!$AQ$3=3,'Pricing Inputs'!$AQ$3=6,'Pricing Inputs'!$AQ$3=9),IF(AND('Pricing Inputs'!$AQ$3&gt;=3,'Pricing Inputs'!$AQ$3&lt;=6),M17,(VLOOKUP(A17,ScaledPrice,7))*(2-(VLOOKUP(A17,ScaledPrice,3)))),0))</f>
        <v>25.92340622023158</v>
      </c>
      <c r="O17" s="255">
        <f>IF(A17="N/A"," ",IF(AND('Pricing Inputs'!$AQ$3&gt;=1,'Pricing Inputs'!$AQ$3&lt;=3),VLOOKUP(A17,ScaledPrice,9),0))</f>
        <v>0</v>
      </c>
      <c r="P17" s="320">
        <f ca="1">IF($A17="N/A"," ",IF('Pricing Inputs'!$AN$8=2,(I17-H17),IF('Pricing Inputs'!$AN$3=2,IF((I17-$H17)&gt;0,I17-$H17,0),(_xll.xSPRDOPT(I17,$E17,$BU17,0,$BP17,$BS17,$BT17,($A17-Inputs!$D$1)+15,1,0)))))</f>
        <v>0.97477522653197424</v>
      </c>
      <c r="Q17" s="320">
        <f ca="1">IF($A17="N/A"," ",IF('Pricing Inputs'!$AN$8=2,(J17-$H17),IF('Pricing Inputs'!$AN$3=2,IF((J17-$H17)&gt;0,J17-$H17,0),(_xll.xSPRDOPT(J17,$E17,$BU17,0,$BP17,$BS17,$BT17,($A17-Inputs!$D$1)+15,1,0)))))</f>
        <v>1.5056300620605614</v>
      </c>
      <c r="R17" s="320">
        <f ca="1">IF($A17="N/A"," ",IF('Pricing Inputs'!$AN$8=2,(K17-$H17),IF('Pricing Inputs'!$AN$3=2,IF((K17-$H17)&gt;0,K17-$H17,0),(_xll.xSPRDOPT(K17,$E17,$BU17,0,$BP17,$BS17,$BT17,($A17-Inputs!$D$1)+15,1,0)))))</f>
        <v>7.5467538896103539E-2</v>
      </c>
      <c r="S17" s="320">
        <f ca="1">IF($A17="N/A"," ",IF('Pricing Inputs'!$AN$8=2,(L17-$H17),IF('Pricing Inputs'!$AN$3=2,IF((L17-$H17)&gt;0,L17-$H17,0),(_xll.xSPRDOPT(L17,$E17,$BU17,0,$BP17,$BS17,$BT17,($A17-Inputs!$D$1)+15,1,0)))))</f>
        <v>0.1396207613623392</v>
      </c>
      <c r="T17" s="320">
        <f ca="1">IF($A17="N/A"," ",IF('Pricing Inputs'!$AN$8=2,(M17-$H17),IF('Pricing Inputs'!$AN$3=2,IF((M17-$H17)&gt;0,M17-$H17,0),(_xll.xSPRDOPT(M17,$E17,$BU17,0,$BP17,$BS17,$BT17,($A17-Inputs!$D$1)+15,1,0)))))</f>
        <v>2.707812939992095E-2</v>
      </c>
      <c r="U17" s="320">
        <f ca="1">IF($A17="N/A"," ",IF('Pricing Inputs'!$AN$8=2,(N17-$H17),IF('Pricing Inputs'!$AN$3=2,IF((N17-$H17)&gt;0,N17-$H17,0),(_xll.xSPRDOPT(N17,$E17,$BU17,0,$BP17,$BS17,$BT17,($A17-Inputs!$D$1)+15,1,0)))))</f>
        <v>5.3401653931736646E-2</v>
      </c>
      <c r="V17" s="259">
        <f ca="1">IF($A17="N/A"," ",(IF('Pricing Inputs'!$AN$8=2,(O17-$H17),IF((O17-$H17)&lt;=0,0,(O17-$H17)))))</f>
        <v>0</v>
      </c>
      <c r="W17" s="306">
        <f ca="1">IF($A17="N/A"," ",IF(0&lt;&gt;P17,IF('Pricing Inputs'!$AN$3=2,8*VLOOKUP($A17,NumberofDaysTable,2),(_xll.xSPRDOPT(I17,$E17,$BU17,0,$BP17,$BS17,$BT17,$A17-Inputs!$D$1,1,1))*(8*VLOOKUP($A17,NumberofDaysTable,2))),0))</f>
        <v>31.34634905156183</v>
      </c>
      <c r="X17" s="306">
        <f ca="1">IF($A17="N/A"," ",IF(Q17&lt;&gt;0,IF('Pricing Inputs'!$AN$3=2,8*VLOOKUP($A17,NumberofDaysTable,2),(_xll.xSPRDOPT(J17,$E17,$BU17,0,$BP17,$BS17,$BT17,$A17-Inputs!$D$1,1,1))*(8*VLOOKUP($A17,NumberofDaysTable,2))),0))</f>
        <v>42.197163476498872</v>
      </c>
      <c r="Y17" s="306">
        <f ca="1">IF($A17="N/A"," ",IF(R17&lt;&gt;0,IF('Pricing Inputs'!$AN$3=2,8*VLOOKUP($A17,NumberofDaysTable,3),(_xll.xSPRDOPT(K17,$E17,$BU17,0,$BP17,$BS17,$BT17,$A17-Inputs!$D$1,1,1))*(8*VLOOKUP($A17,NumberofDaysTable,3))),0))</f>
        <v>0.88035449017417011</v>
      </c>
      <c r="Z17" s="306">
        <f ca="1">IF($A17="N/A"," ",IF(S17&lt;&gt;0,IF('Pricing Inputs'!$AN$3=2,8*VLOOKUP($A17,NumberofDaysTable,3),(_xll.xSPRDOPT(L17,$E17,$BU17,0,$BP17,$BS17,$BT17,$A17-Inputs!$D$1,1,1))*(8*VLOOKUP($A17,NumberofDaysTable,3))),0))</f>
        <v>1.4463555871122489</v>
      </c>
      <c r="AA17" s="306">
        <f ca="1">IF($A17="N/A"," ",IF(T17&lt;&gt;0,IF('Pricing Inputs'!$AN$3=2,8*VLOOKUP($A17,NumberofDaysTable,4),(_xll.xSPRDOPT(M17,$E17,$BU17,0,$BP17,$BS17,$BT17,$A17-Inputs!$D$1,1,1))*(8*VLOOKUP($A17,NumberofDaysTable,4))),0))</f>
        <v>0.37624777785555813</v>
      </c>
      <c r="AB17" s="306">
        <f ca="1">IF($A17="N/A"," ",IF(U17&lt;&gt;0,IF('Pricing Inputs'!$AN$3=2,8*VLOOKUP($A17,NumberofDaysTable,4),(_xll.xSPRDOPT(N17,$E17,$BU17,0,$BP17,$BS17,$BT17,$A17-Inputs!$D$1,1,1))*(8*VLOOKUP($A17,NumberofDaysTable,4))),0))</f>
        <v>0.662744317786923</v>
      </c>
      <c r="AC17" s="306">
        <f t="shared" ca="1" si="21"/>
        <v>0</v>
      </c>
      <c r="AD17" s="274">
        <f t="shared" ref="AD17:AD27" ca="1" si="57">IF($A17="N/A"," ",RANK(P17,$P$16:$V$27))</f>
        <v>31</v>
      </c>
      <c r="AE17" s="275">
        <f t="shared" ref="AE17:AE27" ca="1" si="58">IF($A17="N/A"," ",RANK(Q17,$P$16:$V$27))</f>
        <v>26</v>
      </c>
      <c r="AF17" s="275">
        <f t="shared" ref="AF17:AF27" ca="1" si="59">IF($A17="N/A"," ",RANK(R17,$P$16:$V$27))</f>
        <v>55</v>
      </c>
      <c r="AG17" s="275">
        <f t="shared" ref="AG17:AG27" ca="1" si="60">IF($A17="N/A"," ",RANK(S17,$P$16:$V$27))</f>
        <v>51</v>
      </c>
      <c r="AH17" s="275">
        <f t="shared" ref="AH17:AH27" ca="1" si="61">IF($A17="N/A"," ",RANK(T17,$P$16:$V$27))</f>
        <v>61</v>
      </c>
      <c r="AI17" s="275">
        <f t="shared" ref="AI17:AI27" ca="1" si="62">IF($A17="N/A"," ",RANK(U17,$P$16:$V$27))</f>
        <v>57</v>
      </c>
      <c r="AJ17" s="276">
        <f t="shared" ref="AJ17:AJ27" ca="1" si="63">IF($A17="N/A"," ",RANK(V17,$P$16:$V$27))</f>
        <v>73</v>
      </c>
      <c r="AK17" s="314">
        <f t="shared" ca="1" si="43"/>
        <v>31.34634905156183</v>
      </c>
      <c r="AL17" s="315">
        <f t="shared" ca="1" si="44"/>
        <v>42.197163476498872</v>
      </c>
      <c r="AM17" s="315">
        <f t="shared" ca="1" si="45"/>
        <v>0.88035449017417011</v>
      </c>
      <c r="AN17" s="315">
        <f t="shared" ca="1" si="46"/>
        <v>1.4463555871122489</v>
      </c>
      <c r="AO17" s="315">
        <f t="shared" ca="1" si="47"/>
        <v>0.37624777785555813</v>
      </c>
      <c r="AP17" s="315">
        <f t="shared" ca="1" si="48"/>
        <v>0.662744317786923</v>
      </c>
      <c r="AQ17" s="315">
        <f t="shared" ca="1" si="49"/>
        <v>0</v>
      </c>
      <c r="AR17" s="275"/>
      <c r="AS17" s="321">
        <f t="shared" ca="1" si="50"/>
        <v>0</v>
      </c>
      <c r="AT17" s="324">
        <f t="shared" ca="1" si="51"/>
        <v>0</v>
      </c>
      <c r="AU17" s="324">
        <f t="shared" ca="1" si="52"/>
        <v>0</v>
      </c>
      <c r="AV17" s="324">
        <f t="shared" ca="1" si="53"/>
        <v>0</v>
      </c>
      <c r="AW17" s="324">
        <f t="shared" ca="1" si="54"/>
        <v>0</v>
      </c>
      <c r="AX17" s="324">
        <f t="shared" ca="1" si="55"/>
        <v>0</v>
      </c>
      <c r="AY17" s="324">
        <f t="shared" ca="1" si="56"/>
        <v>0</v>
      </c>
      <c r="AZ17" s="328"/>
      <c r="BA17" s="267">
        <f ca="1">IF($A17="N/A"," ",(IF(MONTH(A17)&gt;=4,IF(MONTH(A17)&lt;=10,Inputs!$F$13,Inputs!$F$14),Inputs!$F$14))*$BW17)</f>
        <v>180</v>
      </c>
      <c r="BB17" s="268">
        <f t="shared" ref="BB17:BB80" ca="1" si="64">IF($A17="N/A"," ",(IF(AK17&gt;0,($BA17*(8*(VLOOKUP($A17,NumberofDaysTable,2)))*P17),0)+IF(AS17&gt;0,($BA17*((AS17))*P17),0)))</f>
        <v>28073.526524120858</v>
      </c>
      <c r="BC17" s="268">
        <f t="shared" ref="BC17:BC80" ca="1" si="65">IF($A17="N/A"," ",(IF(AL17&gt;0,($BA17*(8*(VLOOKUP($A17,NumberofDaysTable,2)))*Q17),0)+IF(AT17&gt;0,($BA17*((AT17))*Q17),0)))</f>
        <v>43362.145787344169</v>
      </c>
      <c r="BD17" s="268">
        <f t="shared" ca="1" si="31"/>
        <v>434.69302404155638</v>
      </c>
      <c r="BE17" s="268">
        <f t="shared" ca="1" si="32"/>
        <v>804.21558544707375</v>
      </c>
      <c r="BF17" s="268">
        <f t="shared" ca="1" si="33"/>
        <v>155.97002534354468</v>
      </c>
      <c r="BG17" s="268">
        <f t="shared" ca="1" si="34"/>
        <v>307.59352664680307</v>
      </c>
      <c r="BH17" s="268">
        <f t="shared" ca="1" si="41"/>
        <v>0</v>
      </c>
      <c r="BI17" s="268">
        <f t="shared" ca="1" si="36"/>
        <v>73138.144472943997</v>
      </c>
      <c r="BJ17" s="296">
        <f t="shared" ca="1" si="37"/>
        <v>644007.00022020645</v>
      </c>
      <c r="BK17" s="296">
        <f t="shared" ca="1" si="38"/>
        <v>616319.68292785017</v>
      </c>
      <c r="BL17" s="296">
        <f t="shared" ca="1" si="39"/>
        <v>27687.317292356252</v>
      </c>
      <c r="BM17" s="296">
        <f t="shared" ca="1" si="40"/>
        <v>0</v>
      </c>
      <c r="BN17" s="405">
        <f>IF(A17="N/A"," ",(VLOOKUP(A17,PowerVolTable,(IF('Pricing Inputs'!$AT$3=2,7,IF('Pricing Inputs'!$AT$3=1,6,8))),FALSE)))</f>
        <v>0.26030000000000003</v>
      </c>
      <c r="BO17" s="405">
        <f>IF(A17="N/A"," ",(VLOOKUP(A17,IntraPowerVol,(IF('Pricing Inputs'!$AT$3=2,3,IF('Pricing Inputs'!$AT$3=1,2,4))),FALSE)*VLOOKUP(MONTH($A17),Inputs!$A$28:$B$39,2)))</f>
        <v>2.2999999999999998</v>
      </c>
      <c r="BP17" s="406">
        <f t="shared" ca="1" si="15"/>
        <v>0.42138105438806678</v>
      </c>
      <c r="BQ17" s="405">
        <f ca="1">IF($A17="N/A"," ",(VLOOKUP($A17,GasVolTable,(IF('Pricing Inputs'!$AT$3=2,6,IF('Pricing Inputs'!$AT$3=1,7,5))),FALSE)))</f>
        <v>0.24249999999999999</v>
      </c>
      <c r="BR17" s="405">
        <f ca="1">IF($A17="N/A"," ",(VLOOKUP($A17,OmicronVol,(IF('Pricing Inputs'!$AT$3=2,3,IF('Pricing Inputs'!$AT$3=1,4,2))),FALSE)))</f>
        <v>1.45</v>
      </c>
      <c r="BS17" s="406">
        <f ca="1">IF($A17="N/A"," ",IF('Pricing Inputs'!$AN$3=1,(IF(DateToday&gt;$A17,$BR17,((($BQ17^2)*((($A17-1)-DateToday)/((EOMONTH($A17,0)+1)-DateToday-15)))+((($BR17)^2)*((15)/((EOMONTH($A17,0)+1)-DateToday-15))))^0.5)),0.0001))</f>
        <v>0.31909771911083396</v>
      </c>
      <c r="BT17" s="405">
        <f>IF($A17="N/A"," ",IF('Pricing Inputs'!$AN$3=1,(VLOOKUP($A17,CorrelationTable,2,FALSE)),0))</f>
        <v>0.9</v>
      </c>
      <c r="BU17" s="407">
        <f ca="1">IF($A17="N/A"," ",F17+G17+(D17*(VLOOKUP($A17,'Gas Curves'!$B$17:$P$310,14,FALSE))))</f>
        <v>2.6825000000000001</v>
      </c>
      <c r="BV17" s="405">
        <f>IF($A17="N/A"," ",IF('Pricing Inputs'!$AW$3=1,0,(VLOOKUP($A17,InterestRatesTable,2))))</f>
        <v>0</v>
      </c>
      <c r="BW17" s="408">
        <f t="shared" ca="1" si="16"/>
        <v>1</v>
      </c>
    </row>
    <row r="18" spans="1:75">
      <c r="A18" s="248">
        <f>IF(A17="N/A","N/A",IF(EDATE(A17,1)&gt;Inputs!$K$3,"N/A",EDATE(A17,1)))</f>
        <v>37316</v>
      </c>
      <c r="B18" s="262">
        <f t="shared" si="17"/>
        <v>2002</v>
      </c>
      <c r="C18" s="249">
        <f t="shared" ca="1" si="18"/>
        <v>3.5939999999999999</v>
      </c>
      <c r="D18" s="250">
        <f>IF(A18="N/A"," ",(VLOOKUP(MONTH($A18),Inputs!$A$14:$B$25,2))/1000)</f>
        <v>10.5</v>
      </c>
      <c r="E18" s="304">
        <f t="shared" ca="1" si="19"/>
        <v>37.737000000000002</v>
      </c>
      <c r="F18" s="251">
        <f>IF(A18="N/A"," ",Inputs!$F$6)</f>
        <v>2</v>
      </c>
      <c r="G18" s="251">
        <f ca="1">IF(A18="N/A"," ",Inputs!$F$9/IF(AND('Pricing Inputs'!$AQ$3&gt;=4,'Pricing Inputs'!$AQ$3&lt;=6),16,IF(AND('Pricing Inputs'!$AQ$3&gt;=7,'Pricing Inputs'!$AQ$3&lt;=9),8,24))/(BA18/BW18))</f>
        <v>0</v>
      </c>
      <c r="H18" s="252">
        <f t="shared" ca="1" si="20"/>
        <v>39.737000000000002</v>
      </c>
      <c r="I18" s="255">
        <f>VLOOKUP(A18,ScaledPrice,(IF(AND('Pricing Inputs'!$AQ$3&gt;=1,'Pricing Inputs'!$AQ$3&lt;=6),2,4)))</f>
        <v>32.307362500000004</v>
      </c>
      <c r="J18" s="255">
        <f>IF(A18="N/A"," ",IF(AND('Pricing Inputs'!$AQ$3&gt;=1,'Pricing Inputs'!$AQ$3&lt;=6),I18,(VLOOKUP(A18,ScaledPrice,2))*(2-(VLOOKUP(A18,ScaledPrice,3)))))</f>
        <v>34.192637499999996</v>
      </c>
      <c r="K18" s="255">
        <f>IF(A18="N/A"," ",IF(OR('Pricing Inputs'!$AQ$3=2,'Pricing Inputs'!$AQ$3=3,'Pricing Inputs'!$AQ$3=5,'Pricing Inputs'!$AQ$3=6,'Pricing Inputs'!$AQ$3=8,'Pricing Inputs'!$AQ$3=9),VLOOKUP(A18,ScaledPrice,IF(AND('Pricing Inputs'!$AQ$3&gt;=2,'Pricing Inputs'!$AQ$3&lt;=6),5,6)),0))</f>
        <v>20.24408445201874</v>
      </c>
      <c r="L18" s="255">
        <f>IF(A18="N/A"," ",IF(OR('Pricing Inputs'!$AQ$3=2,'Pricing Inputs'!$AQ$3=3,'Pricing Inputs'!$AQ$3=5,'Pricing Inputs'!$AQ$3=6,'Pricing Inputs'!$AQ$3=8,'Pricing Inputs'!$AQ$3=9),IF(AND('Pricing Inputs'!$AQ$3&gt;=2,'Pricing Inputs'!$AQ$3&lt;=6),K18,(VLOOKUP(A18,ScaledPrice,5))*(2-(VLOOKUP(A18,ScaledPrice,3)))),0))</f>
        <v>21.425414754524226</v>
      </c>
      <c r="M18" s="255">
        <f>IF(A18="N/A"," ",IF(OR('Pricing Inputs'!$AQ$3=3,'Pricing Inputs'!$AQ$3=6,'Pricing Inputs'!$AQ$3=9),(VLOOKUP(A18,ScaledPrice,IF(AND('Pricing Inputs'!$AQ$3&gt;=3,'Pricing Inputs'!$AQ$3&lt;=6),7,8))),0))</f>
        <v>19.884330357513427</v>
      </c>
      <c r="N18" s="255">
        <f>IF(A18="N/A"," ",IF(OR('Pricing Inputs'!$AQ$3=3,'Pricing Inputs'!$AQ$3=6,'Pricing Inputs'!$AQ$3=9),IF(AND('Pricing Inputs'!$AQ$3&gt;=3,'Pricing Inputs'!$AQ$3&lt;=6),M18,(VLOOKUP(A18,ScaledPrice,7))*(2-(VLOOKUP(A18,ScaledPrice,3)))),0))</f>
        <v>21.044667445220945</v>
      </c>
      <c r="O18" s="255">
        <f>IF(A18="N/A"," ",IF(AND('Pricing Inputs'!$AQ$3&gt;=1,'Pricing Inputs'!$AQ$3&lt;=3),VLOOKUP(A18,ScaledPrice,9),0))</f>
        <v>0</v>
      </c>
      <c r="P18" s="320">
        <f ca="1">IF($A18="N/A"," ",IF('Pricing Inputs'!$AN$8=2,(I18-H18),IF('Pricing Inputs'!$AN$3=2,IF((I18-$H18)&gt;0,I18-$H18,0),(_xll.xSPRDOPT(I18,$E18,$BU18,0,$BP18,$BS18,$BT18,($A18-Inputs!$D$1)+15,1,0)))))</f>
        <v>0.59363274773925245</v>
      </c>
      <c r="Q18" s="320">
        <f ca="1">IF($A18="N/A"," ",IF('Pricing Inputs'!$AN$8=2,(J18-$H18),IF('Pricing Inputs'!$AN$3=2,IF((J18-$H18)&gt;0,J18-$H18,0),(_xll.xSPRDOPT(J18,$E18,$BU18,0,$BP18,$BS18,$BT18,($A18-Inputs!$D$1)+15,1,0)))))</f>
        <v>0.99429887601332756</v>
      </c>
      <c r="R18" s="320">
        <f ca="1">IF($A18="N/A"," ",IF('Pricing Inputs'!$AN$8=2,(K18-$H18),IF('Pricing Inputs'!$AN$3=2,IF((K18-$H18)&gt;0,K18-$H18,0),(_xll.xSPRDOPT(K18,$E18,$BU18,0,$BP18,$BS18,$BT18,($A18-Inputs!$D$1)+15,1,0)))))</f>
        <v>1.0100753827958027E-3</v>
      </c>
      <c r="S18" s="320">
        <f ca="1">IF($A18="N/A"," ",IF('Pricing Inputs'!$AN$8=2,(L18-$H18),IF('Pricing Inputs'!$AN$3=2,IF((L18-$H18)&gt;0,L18-$H18,0),(_xll.xSPRDOPT(L18,$E18,$BU18,0,$BP18,$BS18,$BT18,($A18-Inputs!$D$1)+15,1,0)))))</f>
        <v>2.7224461189692632E-3</v>
      </c>
      <c r="T18" s="320">
        <f ca="1">IF($A18="N/A"," ",IF('Pricing Inputs'!$AN$8=2,(M18-$H18),IF('Pricing Inputs'!$AN$3=2,IF((M18-$H18)&gt;0,M18-$H18,0),(_xll.xSPRDOPT(M18,$E18,$BU18,0,$BP18,$BS18,$BT18,($A18-Inputs!$D$1)+15,1,0)))))</f>
        <v>7.2857772373072368E-4</v>
      </c>
      <c r="U18" s="320">
        <f ca="1">IF($A18="N/A"," ",IF('Pricing Inputs'!$AN$8=2,(N18-$H18),IF('Pricing Inputs'!$AN$3=2,IF((N18-$H18)&gt;0,N18-$H18,0),(_xll.xSPRDOPT(N18,$E18,$BU18,0,$BP18,$BS18,$BT18,($A18-Inputs!$D$1)+15,1,0)))))</f>
        <v>2.0035080310476577E-3</v>
      </c>
      <c r="V18" s="259">
        <f ca="1">IF($A18="N/A"," ",(IF('Pricing Inputs'!$AN$8=2,(O18-$H18),IF((O18-$H18)&lt;=0,0,(O18-$H18)))))</f>
        <v>0</v>
      </c>
      <c r="W18" s="306">
        <f ca="1">IF($A18="N/A"," ",IF(0&lt;&gt;P18,IF('Pricing Inputs'!$AN$3=2,8*VLOOKUP($A18,NumberofDaysTable,2),(_xll.xSPRDOPT(I18,$E18,$BU18,0,$BP18,$BS18,$BT18,$A18-Inputs!$D$1,1,1))*(8*VLOOKUP($A18,NumberofDaysTable,2))),0))</f>
        <v>28.937839020617286</v>
      </c>
      <c r="X18" s="306">
        <f ca="1">IF($A18="N/A"," ",IF(Q18&lt;&gt;0,IF('Pricing Inputs'!$AN$3=2,8*VLOOKUP($A18,NumberofDaysTable,2),(_xll.xSPRDOPT(J18,$E18,$BU18,0,$BP18,$BS18,$BT18,$A18-Inputs!$D$1,1,1))*(8*VLOOKUP($A18,NumberofDaysTable,2))),0))</f>
        <v>41.806349994703929</v>
      </c>
      <c r="Y18" s="306">
        <f ca="1">IF($A18="N/A"," ",IF(R18&lt;&gt;0,IF('Pricing Inputs'!$AN$3=2,8*VLOOKUP($A18,NumberofDaysTable,3),(_xll.xSPRDOPT(K18,$E18,$BU18,0,$BP18,$BS18,$BT18,$A18-Inputs!$D$1,1,1))*(8*VLOOKUP($A18,NumberofDaysTable,3))),0))</f>
        <v>3.205922717328933E-2</v>
      </c>
      <c r="Z18" s="306">
        <f ca="1">IF($A18="N/A"," ",IF(S18&lt;&gt;0,IF('Pricing Inputs'!$AN$3=2,8*VLOOKUP($A18,NumberofDaysTable,3),(_xll.xSPRDOPT(L18,$E18,$BU18,0,$BP18,$BS18,$BT18,$A18-Inputs!$D$1,1,1))*(8*VLOOKUP($A18,NumberofDaysTable,3))),0))</f>
        <v>7.7896546276071774E-2</v>
      </c>
      <c r="AA18" s="306">
        <f ca="1">IF($A18="N/A"," ",IF(T18&lt;&gt;0,IF('Pricing Inputs'!$AN$3=2,8*VLOOKUP($A18,NumberofDaysTable,4),(_xll.xSPRDOPT(M18,$E18,$BU18,0,$BP18,$BS18,$BT18,$A18-Inputs!$D$1,1,1))*(8*VLOOKUP($A18,NumberofDaysTable,4))),0))</f>
        <v>2.3873674152520636E-2</v>
      </c>
      <c r="AB18" s="306">
        <f ca="1">IF($A18="N/A"," ",IF(U18&lt;&gt;0,IF('Pricing Inputs'!$AN$3=2,8*VLOOKUP($A18,NumberofDaysTable,4),(_xll.xSPRDOPT(N18,$E18,$BU18,0,$BP18,$BS18,$BT18,$A18-Inputs!$D$1,1,1))*(8*VLOOKUP($A18,NumberofDaysTable,4))),0))</f>
        <v>5.9265069117593119E-2</v>
      </c>
      <c r="AC18" s="306">
        <f t="shared" ca="1" si="21"/>
        <v>0</v>
      </c>
      <c r="AD18" s="274">
        <f t="shared" ca="1" si="57"/>
        <v>34</v>
      </c>
      <c r="AE18" s="275">
        <f t="shared" ca="1" si="58"/>
        <v>30</v>
      </c>
      <c r="AF18" s="275">
        <f t="shared" ca="1" si="59"/>
        <v>71</v>
      </c>
      <c r="AG18" s="275">
        <f t="shared" ca="1" si="60"/>
        <v>67</v>
      </c>
      <c r="AH18" s="275">
        <f t="shared" ca="1" si="61"/>
        <v>72</v>
      </c>
      <c r="AI18" s="275">
        <f t="shared" ca="1" si="62"/>
        <v>69</v>
      </c>
      <c r="AJ18" s="276">
        <f t="shared" ca="1" si="63"/>
        <v>73</v>
      </c>
      <c r="AK18" s="314">
        <f t="shared" ca="1" si="43"/>
        <v>28.937839020617286</v>
      </c>
      <c r="AL18" s="315">
        <f t="shared" ca="1" si="44"/>
        <v>41.806349994703929</v>
      </c>
      <c r="AM18" s="315">
        <f t="shared" ca="1" si="45"/>
        <v>3.205922717328933E-2</v>
      </c>
      <c r="AN18" s="315">
        <f t="shared" ca="1" si="46"/>
        <v>7.7896546276071774E-2</v>
      </c>
      <c r="AO18" s="315">
        <f t="shared" ca="1" si="47"/>
        <v>2.3873674152520636E-2</v>
      </c>
      <c r="AP18" s="315">
        <f t="shared" ca="1" si="48"/>
        <v>5.9265069117593119E-2</v>
      </c>
      <c r="AQ18" s="315">
        <f t="shared" ca="1" si="49"/>
        <v>0</v>
      </c>
      <c r="AR18" s="275"/>
      <c r="AS18" s="321">
        <f t="shared" ca="1" si="50"/>
        <v>0</v>
      </c>
      <c r="AT18" s="324">
        <f t="shared" ca="1" si="51"/>
        <v>0</v>
      </c>
      <c r="AU18" s="324">
        <f t="shared" ca="1" si="52"/>
        <v>0</v>
      </c>
      <c r="AV18" s="324">
        <f t="shared" ca="1" si="53"/>
        <v>0</v>
      </c>
      <c r="AW18" s="324">
        <f t="shared" ca="1" si="54"/>
        <v>0</v>
      </c>
      <c r="AX18" s="324">
        <f t="shared" ca="1" si="55"/>
        <v>0</v>
      </c>
      <c r="AY18" s="324">
        <f t="shared" ca="1" si="56"/>
        <v>0</v>
      </c>
      <c r="AZ18" s="328"/>
      <c r="BA18" s="267">
        <f ca="1">IF($A18="N/A"," ",(IF(MONTH(A18)&gt;=4,IF(MONTH(A18)&lt;=10,Inputs!$F$13,Inputs!$F$14),Inputs!$F$14))*$BW18)</f>
        <v>180</v>
      </c>
      <c r="BB18" s="268">
        <f t="shared" ca="1" si="64"/>
        <v>17951.454291634993</v>
      </c>
      <c r="BC18" s="268">
        <f t="shared" ca="1" si="65"/>
        <v>30067.598010643025</v>
      </c>
      <c r="BD18" s="268">
        <f t="shared" ca="1" si="31"/>
        <v>7.2725427561297797</v>
      </c>
      <c r="BE18" s="268">
        <f t="shared" ca="1" si="32"/>
        <v>19.601612056578695</v>
      </c>
      <c r="BF18" s="268">
        <f t="shared" ca="1" si="33"/>
        <v>5.2457596108612101</v>
      </c>
      <c r="BG18" s="268">
        <f t="shared" ca="1" si="34"/>
        <v>14.425257823543136</v>
      </c>
      <c r="BH18" s="268">
        <f t="shared" ca="1" si="41"/>
        <v>0</v>
      </c>
      <c r="BI18" s="268">
        <f t="shared" ca="1" si="36"/>
        <v>48065.59747452513</v>
      </c>
      <c r="BJ18" s="296">
        <f t="shared" ca="1" si="37"/>
        <v>507390.27042828611</v>
      </c>
      <c r="BK18" s="296">
        <f t="shared" ca="1" si="38"/>
        <v>481852.84835675143</v>
      </c>
      <c r="BL18" s="296">
        <f t="shared" ca="1" si="39"/>
        <v>25537.422071534646</v>
      </c>
      <c r="BM18" s="296">
        <f t="shared" ca="1" si="40"/>
        <v>0</v>
      </c>
      <c r="BN18" s="405">
        <f>IF(A18="N/A"," ",(VLOOKUP(A18,PowerVolTable,(IF('Pricing Inputs'!$AT$3=2,7,IF('Pricing Inputs'!$AT$3=1,6,8))),FALSE)))</f>
        <v>0.25372125000000001</v>
      </c>
      <c r="BO18" s="405">
        <f>IF(A18="N/A"," ",(VLOOKUP(A18,IntraPowerVol,(IF('Pricing Inputs'!$AT$3=2,3,IF('Pricing Inputs'!$AT$3=1,2,4))),FALSE)*VLOOKUP(MONTH($A18),Inputs!$A$28:$B$39,2)))</f>
        <v>1.4949999999999999</v>
      </c>
      <c r="BP18" s="406">
        <f t="shared" ca="1" si="15"/>
        <v>0.32849053008882451</v>
      </c>
      <c r="BQ18" s="405">
        <f ca="1">IF($A18="N/A"," ",(VLOOKUP($A18,GasVolTable,(IF('Pricing Inputs'!$AT$3=2,6,IF('Pricing Inputs'!$AT$3=1,7,5))),FALSE)))</f>
        <v>0.22750000000000001</v>
      </c>
      <c r="BR18" s="405">
        <f ca="1">IF($A18="N/A"," ",(VLOOKUP($A18,OmicronVol,(IF('Pricing Inputs'!$AT$3=2,3,IF('Pricing Inputs'!$AT$3=1,4,2))),FALSE)))</f>
        <v>1</v>
      </c>
      <c r="BS18" s="406">
        <f ca="1">IF($A18="N/A"," ",IF('Pricing Inputs'!$AN$3=1,(IF(DateToday&gt;$A18,$BR18,((($BQ18^2)*((($A18-1)-DateToday)/((EOMONTH($A18,0)+1)-DateToday-15)))+((($BR18)^2)*((15)/((EOMONTH($A18,0)+1)-DateToday-15))))^0.5)),0.0001))</f>
        <v>0.26591251021200246</v>
      </c>
      <c r="BT18" s="405">
        <f>IF($A18="N/A"," ",IF('Pricing Inputs'!$AN$3=1,(VLOOKUP($A18,CorrelationTable,2,FALSE)),0))</f>
        <v>0.9</v>
      </c>
      <c r="BU18" s="407">
        <f ca="1">IF($A18="N/A"," ",F18+G18+(D18*(VLOOKUP($A18,'Gas Curves'!$B$17:$P$310,14,FALSE))))</f>
        <v>2.6825000000000001</v>
      </c>
      <c r="BV18" s="405">
        <f>IF($A18="N/A"," ",IF('Pricing Inputs'!$AW$3=1,0,(VLOOKUP($A18,InterestRatesTable,2))))</f>
        <v>0</v>
      </c>
      <c r="BW18" s="408">
        <f t="shared" ca="1" si="16"/>
        <v>1</v>
      </c>
    </row>
    <row r="19" spans="1:75">
      <c r="A19" s="248">
        <f>IF(A18="N/A","N/A",IF(EDATE(A18,1)&gt;Inputs!$K$3,"N/A",EDATE(A18,1)))</f>
        <v>37347</v>
      </c>
      <c r="B19" s="262">
        <f t="shared" si="17"/>
        <v>2002</v>
      </c>
      <c r="C19" s="249">
        <f t="shared" ca="1" si="18"/>
        <v>2.5862499999999997</v>
      </c>
      <c r="D19" s="250">
        <f>IF(A19="N/A"," ",(VLOOKUP(MONTH($A19),Inputs!$A$14:$B$25,2))/1000)</f>
        <v>10.5</v>
      </c>
      <c r="E19" s="304">
        <f t="shared" ca="1" si="19"/>
        <v>27.155624999999997</v>
      </c>
      <c r="F19" s="251">
        <f>IF(A19="N/A"," ",Inputs!$F$6)</f>
        <v>2</v>
      </c>
      <c r="G19" s="251">
        <f ca="1">IF(A19="N/A"," ",Inputs!$F$9/IF(AND('Pricing Inputs'!$AQ$3&gt;=4,'Pricing Inputs'!$AQ$3&lt;=6),16,IF(AND('Pricing Inputs'!$AQ$3&gt;=7,'Pricing Inputs'!$AQ$3&lt;=9),8,24))/(BA19/BW19))</f>
        <v>0</v>
      </c>
      <c r="H19" s="252">
        <f t="shared" ca="1" si="20"/>
        <v>29.155624999999997</v>
      </c>
      <c r="I19" s="255">
        <f>VLOOKUP(A19,ScaledPrice,(IF(AND('Pricing Inputs'!$AQ$3&gt;=1,'Pricing Inputs'!$AQ$3&lt;=6),2,4)))</f>
        <v>29.599648318396589</v>
      </c>
      <c r="J19" s="255">
        <f>IF(A19="N/A"," ",IF(AND('Pricing Inputs'!$AQ$3&gt;=1,'Pricing Inputs'!$AQ$3&lt;=6),I19,(VLOOKUP(A19,ScaledPrice,2))*(2-(VLOOKUP(A19,ScaledPrice,3)))))</f>
        <v>34.400351681603411</v>
      </c>
      <c r="K19" s="255">
        <f>IF(A19="N/A"," ",IF(OR('Pricing Inputs'!$AQ$3=2,'Pricing Inputs'!$AQ$3=3,'Pricing Inputs'!$AQ$3=5,'Pricing Inputs'!$AQ$3=6,'Pricing Inputs'!$AQ$3=8,'Pricing Inputs'!$AQ$3=9),VLOOKUP(A19,ScaledPrice,IF(AND('Pricing Inputs'!$AQ$3&gt;=2,'Pricing Inputs'!$AQ$3&lt;=6),5,6)),0))</f>
        <v>19.903451303881074</v>
      </c>
      <c r="L19" s="255">
        <f>IF(A19="N/A"," ",IF(OR('Pricing Inputs'!$AQ$3=2,'Pricing Inputs'!$AQ$3=3,'Pricing Inputs'!$AQ$3=5,'Pricing Inputs'!$AQ$3=6,'Pricing Inputs'!$AQ$3=8,'Pricing Inputs'!$AQ$3=9),IF(AND('Pricing Inputs'!$AQ$3&gt;=2,'Pricing Inputs'!$AQ$3&lt;=6),K19,(VLOOKUP(A19,ScaledPrice,5))*(2-(VLOOKUP(A19,ScaledPrice,3)))),0))</f>
        <v>23.131549306470486</v>
      </c>
      <c r="M19" s="255">
        <f>IF(A19="N/A"," ",IF(OR('Pricing Inputs'!$AQ$3=3,'Pricing Inputs'!$AQ$3=6,'Pricing Inputs'!$AQ$3=9),(VLOOKUP(A19,ScaledPrice,IF(AND('Pricing Inputs'!$AQ$3&gt;=3,'Pricing Inputs'!$AQ$3&lt;=6),7,8))),0))</f>
        <v>18.717151769483362</v>
      </c>
      <c r="N19" s="255">
        <f>IF(A19="N/A"," ",IF(OR('Pricing Inputs'!$AQ$3=3,'Pricing Inputs'!$AQ$3=6,'Pricing Inputs'!$AQ$3=9),IF(AND('Pricing Inputs'!$AQ$3&gt;=3,'Pricing Inputs'!$AQ$3&lt;=6),M19,(VLOOKUP(A19,ScaledPrice,7))*(2-(VLOOKUP(A19,ScaledPrice,3)))),0))</f>
        <v>21.752846399461948</v>
      </c>
      <c r="O19" s="255">
        <f>IF(A19="N/A"," ",IF(AND('Pricing Inputs'!$AQ$3&gt;=1,'Pricing Inputs'!$AQ$3&lt;=3),VLOOKUP(A19,ScaledPrice,9),0))</f>
        <v>0</v>
      </c>
      <c r="P19" s="320">
        <f ca="1">IF($A19="N/A"," ",IF('Pricing Inputs'!$AN$8=2,(I19-H19),IF('Pricing Inputs'!$AN$3=2,IF((I19-$H19)&gt;0,I19-$H19,0),(_xll.xSPRDOPT(I19,$E19,$BU19,0,$BP19,$BS19,$BT19,($A19-Inputs!$D$1)+15,1,0)))))</f>
        <v>2.4075789688720461</v>
      </c>
      <c r="Q19" s="320">
        <f ca="1">IF($A19="N/A"," ",IF('Pricing Inputs'!$AN$8=2,(J19-$H19),IF('Pricing Inputs'!$AN$3=2,IF((J19-$H19)&gt;0,J19-$H19,0),(_xll.xSPRDOPT(J19,$E19,$BU19,0,$BP19,$BS19,$BT19,($A19-Inputs!$D$1)+15,1,0)))))</f>
        <v>5.5987487006017584</v>
      </c>
      <c r="R19" s="320">
        <f ca="1">IF($A19="N/A"," ",IF('Pricing Inputs'!$AN$8=2,(K19-$H19),IF('Pricing Inputs'!$AN$3=2,IF((K19-$H19)&gt;0,K19-$H19,0),(_xll.xSPRDOPT(K19,$E19,$BU19,0,$BP19,$BS19,$BT19,($A19-Inputs!$D$1)+15,1,0)))))</f>
        <v>5.5149993984085169E-2</v>
      </c>
      <c r="S19" s="320">
        <f ca="1">IF($A19="N/A"," ",IF('Pricing Inputs'!$AN$8=2,(L19-$H19),IF('Pricing Inputs'!$AN$3=2,IF((L19-$H19)&gt;0,L19-$H19,0),(_xll.xSPRDOPT(L19,$E19,$BU19,0,$BP19,$BS19,$BT19,($A19-Inputs!$D$1)+15,1,0)))))</f>
        <v>0.31262640499275579</v>
      </c>
      <c r="T19" s="320">
        <f ca="1">IF($A19="N/A"," ",IF('Pricing Inputs'!$AN$8=2,(M19-$H19),IF('Pricing Inputs'!$AN$3=2,IF((M19-$H19)&gt;0,M19-$H19,0),(_xll.xSPRDOPT(M19,$E19,$BU19,0,$BP19,$BS19,$BT19,($A19-Inputs!$D$1)+15,1,0)))))</f>
        <v>2.4070178298977458E-2</v>
      </c>
      <c r="U19" s="320">
        <f ca="1">IF($A19="N/A"," ",IF('Pricing Inputs'!$AN$8=2,(N19-$H19),IF('Pricing Inputs'!$AN$3=2,IF((N19-$H19)&gt;0,N19-$H19,0),(_xll.xSPRDOPT(N19,$E19,$BU19,0,$BP19,$BS19,$BT19,($A19-Inputs!$D$1)+15,1,0)))))</f>
        <v>0.16148362057816962</v>
      </c>
      <c r="V19" s="259">
        <f ca="1">IF($A19="N/A"," ",(IF('Pricing Inputs'!$AN$8=2,(O19-$H19),IF((O19-$H19)&lt;=0,0,(O19-$H19)))))</f>
        <v>0</v>
      </c>
      <c r="W19" s="306">
        <f ca="1">IF($A19="N/A"," ",IF(0&lt;&gt;P19,IF('Pricing Inputs'!$AN$3=2,8*VLOOKUP($A19,NumberofDaysTable,2),(_xll.xSPRDOPT(I19,$E19,$BU19,0,$BP19,$BS19,$BT19,$A19-Inputs!$D$1,1,1))*(8*VLOOKUP($A19,NumberofDaysTable,2))),0))</f>
        <v>93.049305240921782</v>
      </c>
      <c r="X19" s="306">
        <f ca="1">IF($A19="N/A"," ",IF(Q19&lt;&gt;0,IF('Pricing Inputs'!$AN$3=2,8*VLOOKUP($A19,NumberofDaysTable,2),(_xll.xSPRDOPT(J19,$E19,$BU19,0,$BP19,$BS19,$BT19,$A19-Inputs!$D$1,1,1))*(8*VLOOKUP($A19,NumberofDaysTable,2))),0))</f>
        <v>137.78260266062438</v>
      </c>
      <c r="Y19" s="306">
        <f ca="1">IF($A19="N/A"," ",IF(R19&lt;&gt;0,IF('Pricing Inputs'!$AN$3=2,8*VLOOKUP($A19,NumberofDaysTable,3),(_xll.xSPRDOPT(K19,$E19,$BU19,0,$BP19,$BS19,$BT19,$A19-Inputs!$D$1,1,1))*(8*VLOOKUP($A19,NumberofDaysTable,3))),0))</f>
        <v>1.0956760060569704</v>
      </c>
      <c r="Z19" s="306">
        <f ca="1">IF($A19="N/A"," ",IF(S19&lt;&gt;0,IF('Pricing Inputs'!$AN$3=2,8*VLOOKUP($A19,NumberofDaysTable,3),(_xll.xSPRDOPT(L19,$E19,$BU19,0,$BP19,$BS19,$BT19,$A19-Inputs!$D$1,1,1))*(8*VLOOKUP($A19,NumberofDaysTable,3))),0))</f>
        <v>4.3300583086015978</v>
      </c>
      <c r="AA19" s="306">
        <f ca="1">IF($A19="N/A"," ",IF(T19&lt;&gt;0,IF('Pricing Inputs'!$AN$3=2,8*VLOOKUP($A19,NumberofDaysTable,4),(_xll.xSPRDOPT(M19,$E19,$BU19,0,$BP19,$BS19,$BT19,$A19-Inputs!$D$1,1,1))*(8*VLOOKUP($A19,NumberofDaysTable,4))),0))</f>
        <v>0.54783230079707057</v>
      </c>
      <c r="AB19" s="306">
        <f ca="1">IF($A19="N/A"," ",IF(U19&lt;&gt;0,IF('Pricing Inputs'!$AN$3=2,8*VLOOKUP($A19,NumberofDaysTable,4),(_xll.xSPRDOPT(N19,$E19,$BU19,0,$BP19,$BS19,$BT19,$A19-Inputs!$D$1,1,1))*(8*VLOOKUP($A19,NumberofDaysTable,4))),0))</f>
        <v>2.6049962093001504</v>
      </c>
      <c r="AC19" s="306">
        <f t="shared" ca="1" si="21"/>
        <v>0</v>
      </c>
      <c r="AD19" s="274">
        <f t="shared" ca="1" si="57"/>
        <v>23</v>
      </c>
      <c r="AE19" s="275">
        <f t="shared" ca="1" si="58"/>
        <v>16</v>
      </c>
      <c r="AF19" s="275">
        <f t="shared" ca="1" si="59"/>
        <v>56</v>
      </c>
      <c r="AG19" s="275">
        <f t="shared" ca="1" si="60"/>
        <v>39</v>
      </c>
      <c r="AH19" s="275">
        <f t="shared" ca="1" si="61"/>
        <v>62</v>
      </c>
      <c r="AI19" s="275">
        <f t="shared" ca="1" si="62"/>
        <v>48</v>
      </c>
      <c r="AJ19" s="276">
        <f t="shared" ca="1" si="63"/>
        <v>73</v>
      </c>
      <c r="AK19" s="314">
        <f t="shared" ca="1" si="43"/>
        <v>93.049305240921782</v>
      </c>
      <c r="AL19" s="315">
        <f t="shared" ca="1" si="44"/>
        <v>137.78260266062438</v>
      </c>
      <c r="AM19" s="315">
        <f t="shared" ca="1" si="45"/>
        <v>1.0956760060569704</v>
      </c>
      <c r="AN19" s="315">
        <f t="shared" ca="1" si="46"/>
        <v>4.3300583086015978</v>
      </c>
      <c r="AO19" s="315">
        <f t="shared" ca="1" si="47"/>
        <v>0.54783230079707057</v>
      </c>
      <c r="AP19" s="315">
        <f t="shared" ca="1" si="48"/>
        <v>2.6049962093001504</v>
      </c>
      <c r="AQ19" s="315">
        <f t="shared" ca="1" si="49"/>
        <v>0</v>
      </c>
      <c r="AR19" s="275"/>
      <c r="AS19" s="321">
        <f t="shared" ca="1" si="50"/>
        <v>0</v>
      </c>
      <c r="AT19" s="324">
        <f t="shared" ca="1" si="51"/>
        <v>0</v>
      </c>
      <c r="AU19" s="324">
        <f t="shared" ca="1" si="52"/>
        <v>0</v>
      </c>
      <c r="AV19" s="324">
        <f t="shared" ca="1" si="53"/>
        <v>0</v>
      </c>
      <c r="AW19" s="324">
        <f t="shared" ca="1" si="54"/>
        <v>0</v>
      </c>
      <c r="AX19" s="324">
        <f t="shared" ca="1" si="55"/>
        <v>0</v>
      </c>
      <c r="AY19" s="324">
        <f t="shared" ca="1" si="56"/>
        <v>0</v>
      </c>
      <c r="AZ19" s="328"/>
      <c r="BA19" s="267">
        <f ca="1">IF($A19="N/A"," ",(IF(MONTH(A19)&gt;=4,IF(MONTH(A19)&lt;=10,Inputs!$F$13,Inputs!$F$14),Inputs!$F$14))*$BW19)</f>
        <v>180</v>
      </c>
      <c r="BB19" s="268">
        <f t="shared" ca="1" si="64"/>
        <v>76272.101733866424</v>
      </c>
      <c r="BC19" s="268">
        <f t="shared" ca="1" si="65"/>
        <v>177368.3588350637</v>
      </c>
      <c r="BD19" s="268">
        <f t="shared" ca="1" si="31"/>
        <v>317.66396534833058</v>
      </c>
      <c r="BE19" s="268">
        <f t="shared" ca="1" si="32"/>
        <v>1800.7280927582733</v>
      </c>
      <c r="BF19" s="268">
        <f t="shared" ca="1" si="33"/>
        <v>138.64422700211017</v>
      </c>
      <c r="BG19" s="268">
        <f t="shared" ca="1" si="34"/>
        <v>930.14565453025705</v>
      </c>
      <c r="BH19" s="268">
        <f t="shared" ca="1" si="41"/>
        <v>0</v>
      </c>
      <c r="BI19" s="268">
        <f t="shared" ca="1" si="36"/>
        <v>256827.64250856912</v>
      </c>
      <c r="BJ19" s="296">
        <f t="shared" ca="1" si="37"/>
        <v>1256429.1430025166</v>
      </c>
      <c r="BK19" s="296">
        <f t="shared" ca="1" si="38"/>
        <v>1170241.3735410478</v>
      </c>
      <c r="BL19" s="296">
        <f t="shared" ca="1" si="39"/>
        <v>86187.769461468706</v>
      </c>
      <c r="BM19" s="296">
        <f t="shared" ca="1" si="40"/>
        <v>0</v>
      </c>
      <c r="BN19" s="405">
        <f>IF(A19="N/A"," ",(VLOOKUP(A19,PowerVolTable,(IF('Pricing Inputs'!$AT$3=2,7,IF('Pricing Inputs'!$AT$3=1,6,8))),FALSE)))</f>
        <v>0.2261475</v>
      </c>
      <c r="BO19" s="405">
        <f>IF(A19="N/A"," ",(VLOOKUP(A19,IntraPowerVol,(IF('Pricing Inputs'!$AT$3=2,3,IF('Pricing Inputs'!$AT$3=1,2,4))),FALSE)*VLOOKUP(MONTH($A19),Inputs!$A$28:$B$39,2)))</f>
        <v>1.2649999999999999</v>
      </c>
      <c r="BP19" s="406">
        <f t="shared" ca="1" si="15"/>
        <v>0.28470851657496044</v>
      </c>
      <c r="BQ19" s="405">
        <f ca="1">IF($A19="N/A"," ",(VLOOKUP($A19,GasVolTable,(IF('Pricing Inputs'!$AT$3=2,6,IF('Pricing Inputs'!$AT$3=1,7,5))),FALSE)))</f>
        <v>0.1875</v>
      </c>
      <c r="BR19" s="405">
        <f ca="1">IF($A19="N/A"," ",(VLOOKUP($A19,OmicronVol,(IF('Pricing Inputs'!$AT$3=2,3,IF('Pricing Inputs'!$AT$3=1,4,2))),FALSE)))</f>
        <v>0.45</v>
      </c>
      <c r="BS19" s="406">
        <f ca="1">IF($A19="N/A"," ",IF('Pricing Inputs'!$AN$3=1,(IF(DateToday&gt;$A19,$BR19,((($BQ19^2)*((($A19-1)-DateToday)/((EOMONTH($A19,0)+1)-DateToday-15)))+((($BR19)^2)*((15)/((EOMONTH($A19,0)+1)-DateToday-15))))^0.5)),0.0001))</f>
        <v>0.19583104551397559</v>
      </c>
      <c r="BT19" s="405">
        <f>IF($A19="N/A"," ",IF('Pricing Inputs'!$AN$3=1,(VLOOKUP($A19,CorrelationTable,2,FALSE)),0))</f>
        <v>0.9</v>
      </c>
      <c r="BU19" s="407">
        <f ca="1">IF($A19="N/A"," ",F19+G19+(D19*(VLOOKUP($A19,'Gas Curves'!$B$17:$P$310,14,FALSE))))</f>
        <v>2.6825000000000001</v>
      </c>
      <c r="BV19" s="405">
        <f>IF($A19="N/A"," ",IF('Pricing Inputs'!$AW$3=1,0,(VLOOKUP($A19,InterestRatesTable,2))))</f>
        <v>0</v>
      </c>
      <c r="BW19" s="408">
        <f t="shared" ca="1" si="16"/>
        <v>1</v>
      </c>
    </row>
    <row r="20" spans="1:75">
      <c r="A20" s="248">
        <f>IF(A19="N/A","N/A",IF(EDATE(A19,1)&gt;Inputs!$K$3,"N/A",EDATE(A19,1)))</f>
        <v>37377</v>
      </c>
      <c r="B20" s="262">
        <f t="shared" si="17"/>
        <v>2002</v>
      </c>
      <c r="C20" s="249">
        <f t="shared" ca="1" si="18"/>
        <v>2.5615000000000001</v>
      </c>
      <c r="D20" s="250">
        <f>IF(A20="N/A"," ",(VLOOKUP(MONTH($A20),Inputs!$A$14:$B$25,2))/1000)</f>
        <v>10.5</v>
      </c>
      <c r="E20" s="304">
        <f t="shared" ca="1" si="19"/>
        <v>26.89575</v>
      </c>
      <c r="F20" s="251">
        <f>IF(A20="N/A"," ",Inputs!$F$6)</f>
        <v>2</v>
      </c>
      <c r="G20" s="251">
        <f ca="1">IF(A20="N/A"," ",Inputs!$F$9/IF(AND('Pricing Inputs'!$AQ$3&gt;=4,'Pricing Inputs'!$AQ$3&lt;=6),16,IF(AND('Pricing Inputs'!$AQ$3&gt;=7,'Pricing Inputs'!$AQ$3&lt;=9),8,24))/(BA20/BW20))</f>
        <v>0</v>
      </c>
      <c r="H20" s="252">
        <f t="shared" ca="1" si="20"/>
        <v>28.89575</v>
      </c>
      <c r="I20" s="255">
        <f>VLOOKUP(A20,ScaledPrice,(IF(AND('Pricing Inputs'!$AQ$3&gt;=1,'Pricing Inputs'!$AQ$3&lt;=6),2,4)))</f>
        <v>33.060085705227181</v>
      </c>
      <c r="J20" s="255">
        <f>IF(A20="N/A"," ",IF(AND('Pricing Inputs'!$AQ$3&gt;=1,'Pricing Inputs'!$AQ$3&lt;=6),I20,(VLOOKUP(A20,ScaledPrice,2))*(2-(VLOOKUP(A20,ScaledPrice,3)))))</f>
        <v>34.939914294772819</v>
      </c>
      <c r="K20" s="255">
        <f>IF(A20="N/A"," ",IF(OR('Pricing Inputs'!$AQ$3=2,'Pricing Inputs'!$AQ$3=3,'Pricing Inputs'!$AQ$3=5,'Pricing Inputs'!$AQ$3=6,'Pricing Inputs'!$AQ$3=8,'Pricing Inputs'!$AQ$3=9),VLOOKUP(A20,ScaledPrice,IF(AND('Pricing Inputs'!$AQ$3&gt;=2,'Pricing Inputs'!$AQ$3&lt;=6),5,6)),0))</f>
        <v>21.034479604135626</v>
      </c>
      <c r="L20" s="255">
        <f>IF(A20="N/A"," ",IF(OR('Pricing Inputs'!$AQ$3=2,'Pricing Inputs'!$AQ$3=3,'Pricing Inputs'!$AQ$3=5,'Pricing Inputs'!$AQ$3=6,'Pricing Inputs'!$AQ$3=8,'Pricing Inputs'!$AQ$3=9),IF(AND('Pricing Inputs'!$AQ$3&gt;=2,'Pricing Inputs'!$AQ$3&lt;=6),K20,(VLOOKUP(A20,ScaledPrice,5))*(2-(VLOOKUP(A20,ScaledPrice,3)))),0))</f>
        <v>22.230520548452262</v>
      </c>
      <c r="M20" s="255">
        <f>IF(A20="N/A"," ",IF(OR('Pricing Inputs'!$AQ$3=3,'Pricing Inputs'!$AQ$3=6,'Pricing Inputs'!$AQ$3=9),(VLOOKUP(A20,ScaledPrice,IF(AND('Pricing Inputs'!$AQ$3&gt;=3,'Pricing Inputs'!$AQ$3&lt;=6),7,8))),0))</f>
        <v>20.190960944182034</v>
      </c>
      <c r="N20" s="255">
        <f>IF(A20="N/A"," ",IF(OR('Pricing Inputs'!$AQ$3=3,'Pricing Inputs'!$AQ$3=6,'Pricing Inputs'!$AQ$3=9),IF(AND('Pricing Inputs'!$AQ$3&gt;=3,'Pricing Inputs'!$AQ$3&lt;=6),M20,(VLOOKUP(A20,ScaledPrice,7))*(2-(VLOOKUP(A20,ScaledPrice,3)))),0))</f>
        <v>21.339038598054291</v>
      </c>
      <c r="O20" s="255">
        <f>IF(A20="N/A"," ",IF(AND('Pricing Inputs'!$AQ$3&gt;=1,'Pricing Inputs'!$AQ$3&lt;=3),VLOOKUP(A20,ScaledPrice,9),0))</f>
        <v>0</v>
      </c>
      <c r="P20" s="320">
        <f ca="1">IF($A20="N/A"," ",IF('Pricing Inputs'!$AN$8=2,(I20-H20),IF('Pricing Inputs'!$AN$3=2,IF((I20-$H20)&gt;0,I20-$H20,0),(_xll.xSPRDOPT(I20,$E20,$BU20,0,$BP20,$BS20,$BT20,($A20-Inputs!$D$1)+15,1,0)))))</f>
        <v>5.1718762363581101</v>
      </c>
      <c r="Q20" s="320">
        <f ca="1">IF($A20="N/A"," ",IF('Pricing Inputs'!$AN$8=2,(J20-$H20),IF('Pricing Inputs'!$AN$3=2,IF((J20-$H20)&gt;0,J20-$H20,0),(_xll.xSPRDOPT(J20,$E20,$BU20,0,$BP20,$BS20,$BT20,($A20-Inputs!$D$1)+15,1,0)))))</f>
        <v>6.5869776112270291</v>
      </c>
      <c r="R20" s="320">
        <f ca="1">IF($A20="N/A"," ",IF('Pricing Inputs'!$AN$8=2,(K20-$H20),IF('Pricing Inputs'!$AN$3=2,IF((K20-$H20)&gt;0,K20-$H20,0),(_xll.xSPRDOPT(K20,$E20,$BU20,0,$BP20,$BS20,$BT20,($A20-Inputs!$D$1)+15,1,0)))))</f>
        <v>0.242913382167501</v>
      </c>
      <c r="S20" s="320">
        <f ca="1">IF($A20="N/A"," ",IF('Pricing Inputs'!$AN$8=2,(L20-$H20),IF('Pricing Inputs'!$AN$3=2,IF((L20-$H20)&gt;0,L20-$H20,0),(_xll.xSPRDOPT(L20,$E20,$BU20,0,$BP20,$BS20,$BT20,($A20-Inputs!$D$1)+15,1,0)))))</f>
        <v>0.39886909380101265</v>
      </c>
      <c r="T20" s="320">
        <f ca="1">IF($A20="N/A"," ",IF('Pricing Inputs'!$AN$8=2,(M20-$H20),IF('Pricing Inputs'!$AN$3=2,IF((M20-$H20)&gt;0,M20-$H20,0),(_xll.xSPRDOPT(M20,$E20,$BU20,0,$BP20,$BS20,$BT20,($A20-Inputs!$D$1)+15,1,0)))))</f>
        <v>0.16414649267158066</v>
      </c>
      <c r="U20" s="320">
        <f ca="1">IF($A20="N/A"," ",IF('Pricing Inputs'!$AN$8=2,(N20-$H20),IF('Pricing Inputs'!$AN$3=2,IF((N20-$H20)&gt;0,N20-$H20,0),(_xll.xSPRDOPT(N20,$E20,$BU20,0,$BP20,$BS20,$BT20,($A20-Inputs!$D$1)+15,1,0)))))</f>
        <v>0.27735388018431578</v>
      </c>
      <c r="V20" s="259">
        <f ca="1">IF($A20="N/A"," ",(IF('Pricing Inputs'!$AN$8=2,(O20-$H20),IF((O20-$H20)&lt;=0,0,(O20-$H20)))))</f>
        <v>0</v>
      </c>
      <c r="W20" s="306">
        <f ca="1">IF($A20="N/A"," ",IF(0&lt;&gt;P20,IF('Pricing Inputs'!$AN$3=2,8*VLOOKUP($A20,NumberofDaysTable,2),(_xll.xSPRDOPT(I20,$E20,$BU20,0,$BP20,$BS20,$BT20,$A20-Inputs!$D$1,1,1))*(8*VLOOKUP($A20,NumberofDaysTable,2))),0))</f>
        <v>126.35647752179744</v>
      </c>
      <c r="X20" s="306">
        <f ca="1">IF($A20="N/A"," ",IF(Q20&lt;&gt;0,IF('Pricing Inputs'!$AN$3=2,8*VLOOKUP($A20,NumberofDaysTable,2),(_xll.xSPRDOPT(J20,$E20,$BU20,0,$BP20,$BS20,$BT20,$A20-Inputs!$D$1,1,1))*(8*VLOOKUP($A20,NumberofDaysTable,2))),0))</f>
        <v>138.63411486579523</v>
      </c>
      <c r="Y20" s="306">
        <f ca="1">IF($A20="N/A"," ",IF(R20&lt;&gt;0,IF('Pricing Inputs'!$AN$3=2,8*VLOOKUP($A20,NumberofDaysTable,3),(_xll.xSPRDOPT(K20,$E20,$BU20,0,$BP20,$BS20,$BT20,$A20-Inputs!$D$1,1,1))*(8*VLOOKUP($A20,NumberofDaysTable,3))),0))</f>
        <v>3.3592866241744246</v>
      </c>
      <c r="Z20" s="306">
        <f ca="1">IF($A20="N/A"," ",IF(S20&lt;&gt;0,IF('Pricing Inputs'!$AN$3=2,8*VLOOKUP($A20,NumberofDaysTable,3),(_xll.xSPRDOPT(L20,$E20,$BU20,0,$BP20,$BS20,$BT20,$A20-Inputs!$D$1,1,1))*(8*VLOOKUP($A20,NumberofDaysTable,3))),0))</f>
        <v>4.8609651755500991</v>
      </c>
      <c r="AA20" s="306">
        <f ca="1">IF($A20="N/A"," ",IF(T20&lt;&gt;0,IF('Pricing Inputs'!$AN$3=2,8*VLOOKUP($A20,NumberofDaysTable,4),(_xll.xSPRDOPT(M20,$E20,$BU20,0,$BP20,$BS20,$BT20,$A20-Inputs!$D$1,1,1))*(8*VLOOKUP($A20,NumberofDaysTable,4))),0))</f>
        <v>2.4862927977589244</v>
      </c>
      <c r="AB20" s="306">
        <f ca="1">IF($A20="N/A"," ",IF(U20&lt;&gt;0,IF('Pricing Inputs'!$AN$3=2,8*VLOOKUP($A20,NumberofDaysTable,4),(_xll.xSPRDOPT(N20,$E20,$BU20,0,$BP20,$BS20,$BT20,$A20-Inputs!$D$1,1,1))*(8*VLOOKUP($A20,NumberofDaysTable,4))),0))</f>
        <v>3.7129921662549812</v>
      </c>
      <c r="AC20" s="306">
        <f t="shared" ca="1" si="21"/>
        <v>0</v>
      </c>
      <c r="AD20" s="274">
        <f t="shared" ca="1" si="57"/>
        <v>18</v>
      </c>
      <c r="AE20" s="275">
        <f t="shared" ca="1" si="58"/>
        <v>14</v>
      </c>
      <c r="AF20" s="275">
        <f t="shared" ca="1" si="59"/>
        <v>45</v>
      </c>
      <c r="AG20" s="275">
        <f t="shared" ca="1" si="60"/>
        <v>37</v>
      </c>
      <c r="AH20" s="275">
        <f t="shared" ca="1" si="61"/>
        <v>46</v>
      </c>
      <c r="AI20" s="275">
        <f t="shared" ca="1" si="62"/>
        <v>42</v>
      </c>
      <c r="AJ20" s="276">
        <f t="shared" ca="1" si="63"/>
        <v>73</v>
      </c>
      <c r="AK20" s="314">
        <f t="shared" ca="1" si="43"/>
        <v>126.35647752179744</v>
      </c>
      <c r="AL20" s="315">
        <f t="shared" ca="1" si="44"/>
        <v>138.63411486579523</v>
      </c>
      <c r="AM20" s="315">
        <f t="shared" ca="1" si="45"/>
        <v>3.3592866241744246</v>
      </c>
      <c r="AN20" s="315">
        <f t="shared" ca="1" si="46"/>
        <v>4.8609651755500991</v>
      </c>
      <c r="AO20" s="315">
        <f t="shared" ca="1" si="47"/>
        <v>2.4862927977589244</v>
      </c>
      <c r="AP20" s="315">
        <f t="shared" ca="1" si="48"/>
        <v>3.7129921662549812</v>
      </c>
      <c r="AQ20" s="315">
        <f t="shared" ca="1" si="49"/>
        <v>0</v>
      </c>
      <c r="AR20" s="275"/>
      <c r="AS20" s="321">
        <f t="shared" ca="1" si="50"/>
        <v>0</v>
      </c>
      <c r="AT20" s="324">
        <f t="shared" ca="1" si="51"/>
        <v>0</v>
      </c>
      <c r="AU20" s="324">
        <f t="shared" ca="1" si="52"/>
        <v>0</v>
      </c>
      <c r="AV20" s="324">
        <f t="shared" ca="1" si="53"/>
        <v>0</v>
      </c>
      <c r="AW20" s="324">
        <f t="shared" ca="1" si="54"/>
        <v>0</v>
      </c>
      <c r="AX20" s="324">
        <f t="shared" ca="1" si="55"/>
        <v>0</v>
      </c>
      <c r="AY20" s="324">
        <f t="shared" ca="1" si="56"/>
        <v>0</v>
      </c>
      <c r="AZ20" s="328"/>
      <c r="BA20" s="267">
        <f ca="1">IF($A20="N/A"," ",(IF(MONTH(A20)&gt;=4,IF(MONTH(A20)&lt;=10,Inputs!$F$13,Inputs!$F$14),Inputs!$F$14))*$BW20)</f>
        <v>180</v>
      </c>
      <c r="BB20" s="268">
        <f t="shared" ca="1" si="64"/>
        <v>163845.03916782493</v>
      </c>
      <c r="BC20" s="268">
        <f t="shared" ca="1" si="65"/>
        <v>208675.45072367229</v>
      </c>
      <c r="BD20" s="268">
        <f t="shared" ca="1" si="31"/>
        <v>1399.1810812848057</v>
      </c>
      <c r="BE20" s="268">
        <f t="shared" ca="1" si="32"/>
        <v>2297.4859802938327</v>
      </c>
      <c r="BF20" s="268">
        <f t="shared" ca="1" si="33"/>
        <v>1181.8547472353807</v>
      </c>
      <c r="BG20" s="268">
        <f t="shared" ca="1" si="34"/>
        <v>1996.9479373270735</v>
      </c>
      <c r="BH20" s="268">
        <f t="shared" ca="1" si="41"/>
        <v>0</v>
      </c>
      <c r="BI20" s="268">
        <f t="shared" ca="1" si="36"/>
        <v>379395.9596376383</v>
      </c>
      <c r="BJ20" s="296">
        <f t="shared" ca="1" si="37"/>
        <v>1453277.7430964238</v>
      </c>
      <c r="BK20" s="296">
        <f t="shared" ca="1" si="38"/>
        <v>1352690.0966019446</v>
      </c>
      <c r="BL20" s="296">
        <f t="shared" ca="1" si="39"/>
        <v>100587.64649447921</v>
      </c>
      <c r="BM20" s="296">
        <f t="shared" ca="1" si="40"/>
        <v>0</v>
      </c>
      <c r="BN20" s="405">
        <f>IF(A20="N/A"," ",(VLOOKUP(A20,PowerVolTable,(IF('Pricing Inputs'!$AT$3=2,7,IF('Pricing Inputs'!$AT$3=1,6,8))),FALSE)))</f>
        <v>0.26034750000000001</v>
      </c>
      <c r="BO20" s="405">
        <f>IF(A20="N/A"," ",(VLOOKUP(A20,IntraPowerVol,(IF('Pricing Inputs'!$AT$3=2,3,IF('Pricing Inputs'!$AT$3=1,2,4))),FALSE)*VLOOKUP(MONTH($A20),Inputs!$A$28:$B$39,2)))</f>
        <v>1.2649999999999999</v>
      </c>
      <c r="BP20" s="406">
        <f t="shared" ca="1" si="15"/>
        <v>0.31005170980051838</v>
      </c>
      <c r="BQ20" s="405">
        <f ca="1">IF($A20="N/A"," ",(VLOOKUP($A20,GasVolTable,(IF('Pricing Inputs'!$AT$3=2,6,IF('Pricing Inputs'!$AT$3=1,7,5))),FALSE)))</f>
        <v>0.185</v>
      </c>
      <c r="BR20" s="405">
        <f ca="1">IF($A20="N/A"," ",(VLOOKUP($A20,OmicronVol,(IF('Pricing Inputs'!$AT$3=2,3,IF('Pricing Inputs'!$AT$3=1,4,2))),FALSE)))</f>
        <v>0.5</v>
      </c>
      <c r="BS20" s="406">
        <f ca="1">IF($A20="N/A"," ",IF('Pricing Inputs'!$AN$3=1,(IF(DateToday&gt;$A20,$BR20,((($BQ20^2)*((($A20-1)-DateToday)/((EOMONTH($A20,0)+1)-DateToday-15)))+((($BR20)^2)*((15)/((EOMONTH($A20,0)+1)-DateToday-15))))^0.5)),0.0001))</f>
        <v>0.19533493853737355</v>
      </c>
      <c r="BT20" s="405">
        <f>IF($A20="N/A"," ",IF('Pricing Inputs'!$AN$3=1,(VLOOKUP($A20,CorrelationTable,2,FALSE)),0))</f>
        <v>0.9</v>
      </c>
      <c r="BU20" s="407">
        <f ca="1">IF($A20="N/A"," ",F20+G20+(D20*(VLOOKUP($A20,'Gas Curves'!$B$17:$P$310,14,FALSE))))</f>
        <v>2.6825000000000001</v>
      </c>
      <c r="BV20" s="405">
        <f>IF($A20="N/A"," ",IF('Pricing Inputs'!$AW$3=1,0,(VLOOKUP($A20,InterestRatesTable,2))))</f>
        <v>0</v>
      </c>
      <c r="BW20" s="408">
        <f t="shared" ca="1" si="16"/>
        <v>1</v>
      </c>
    </row>
    <row r="21" spans="1:75">
      <c r="A21" s="248">
        <f>IF(A20="N/A","N/A",IF(EDATE(A20,1)&gt;Inputs!$K$3,"N/A",EDATE(A20,1)))</f>
        <v>37408</v>
      </c>
      <c r="B21" s="262">
        <f t="shared" si="17"/>
        <v>2002</v>
      </c>
      <c r="C21" s="249">
        <f t="shared" ca="1" si="18"/>
        <v>2.5674999999999999</v>
      </c>
      <c r="D21" s="250">
        <f>IF(A21="N/A"," ",(VLOOKUP(MONTH($A21),Inputs!$A$14:$B$25,2))/1000)</f>
        <v>10.5</v>
      </c>
      <c r="E21" s="304">
        <f t="shared" ca="1" si="19"/>
        <v>26.958749999999998</v>
      </c>
      <c r="F21" s="251">
        <f>IF(A21="N/A"," ",Inputs!$F$6)</f>
        <v>2</v>
      </c>
      <c r="G21" s="251">
        <f ca="1">IF(A21="N/A"," ",Inputs!$F$9/IF(AND('Pricing Inputs'!$AQ$3&gt;=4,'Pricing Inputs'!$AQ$3&lt;=6),16,IF(AND('Pricing Inputs'!$AQ$3&gt;=7,'Pricing Inputs'!$AQ$3&lt;=9),8,24))/(BA21/BW21))</f>
        <v>0</v>
      </c>
      <c r="H21" s="252">
        <f t="shared" ca="1" si="20"/>
        <v>28.958749999999998</v>
      </c>
      <c r="I21" s="255">
        <f>VLOOKUP(A21,ScaledPrice,(IF(AND('Pricing Inputs'!$AQ$3&gt;=1,'Pricing Inputs'!$AQ$3&lt;=6),2,4)))</f>
        <v>56.729564232688837</v>
      </c>
      <c r="J21" s="255">
        <f>IF(A21="N/A"," ",IF(AND('Pricing Inputs'!$AQ$3&gt;=1,'Pricing Inputs'!$AQ$3&lt;=6),I21,(VLOOKUP(A21,ScaledPrice,2))*(2-(VLOOKUP(A21,ScaledPrice,3)))))</f>
        <v>42.770435767311163</v>
      </c>
      <c r="K21" s="255">
        <f>IF(A21="N/A"," ",IF(OR('Pricing Inputs'!$AQ$3=2,'Pricing Inputs'!$AQ$3=3,'Pricing Inputs'!$AQ$3=5,'Pricing Inputs'!$AQ$3=6,'Pricing Inputs'!$AQ$3=8,'Pricing Inputs'!$AQ$3=9),VLOOKUP(A21,ScaledPrice,IF(AND('Pricing Inputs'!$AQ$3&gt;=2,'Pricing Inputs'!$AQ$3&lt;=6),5,6)),0))</f>
        <v>29.714603831252756</v>
      </c>
      <c r="L21" s="255">
        <f>IF(A21="N/A"," ",IF(OR('Pricing Inputs'!$AQ$3=2,'Pricing Inputs'!$AQ$3=3,'Pricing Inputs'!$AQ$3=5,'Pricing Inputs'!$AQ$3=6,'Pricing Inputs'!$AQ$3=8,'Pricing Inputs'!$AQ$3=9),IF(AND('Pricing Inputs'!$AQ$3&gt;=2,'Pricing Inputs'!$AQ$3&lt;=6),K21,(VLOOKUP(A21,ScaledPrice,5))*(2-(VLOOKUP(A21,ScaledPrice,3)))),0))</f>
        <v>22.402896473923025</v>
      </c>
      <c r="M21" s="255">
        <f>IF(A21="N/A"," ",IF(OR('Pricing Inputs'!$AQ$3=3,'Pricing Inputs'!$AQ$3=6,'Pricing Inputs'!$AQ$3=9),(VLOOKUP(A21,ScaledPrice,IF(AND('Pricing Inputs'!$AQ$3&gt;=3,'Pricing Inputs'!$AQ$3&lt;=6),7,8))),0))</f>
        <v>22.284170513539454</v>
      </c>
      <c r="N21" s="255">
        <f>IF(A21="N/A"," ",IF(OR('Pricing Inputs'!$AQ$3=3,'Pricing Inputs'!$AQ$3=6,'Pricing Inputs'!$AQ$3=9),IF(AND('Pricing Inputs'!$AQ$3&gt;=3,'Pricing Inputs'!$AQ$3&lt;=6),M21,(VLOOKUP(A21,ScaledPrice,7))*(2-(VLOOKUP(A21,ScaledPrice,3)))),0))</f>
        <v>16.800828570933202</v>
      </c>
      <c r="O21" s="255">
        <f>IF(A21="N/A"," ",IF(AND('Pricing Inputs'!$AQ$3&gt;=1,'Pricing Inputs'!$AQ$3&lt;=3),VLOOKUP(A21,ScaledPrice,9),0))</f>
        <v>0</v>
      </c>
      <c r="P21" s="320">
        <f ca="1">IF($A21="N/A"," ",IF('Pricing Inputs'!$AN$8=2,(I21-H21),IF('Pricing Inputs'!$AN$3=2,IF((I21-$H21)&gt;0,I21-$H21,0),(_xll.xSPRDOPT(I21,$E21,$BU21,0,$BP21,$BS21,$BT21,($A21-Inputs!$D$1)+15,1,0)))))</f>
        <v>27.710069646418898</v>
      </c>
      <c r="Q21" s="320">
        <f ca="1">IF($A21="N/A"," ",IF('Pricing Inputs'!$AN$8=2,(J21-$H21),IF('Pricing Inputs'!$AN$3=2,IF((J21-$H21)&gt;0,J21-$H21,0),(_xll.xSPRDOPT(J21,$E21,$BU21,0,$BP21,$BS21,$BT21,($A21-Inputs!$D$1)+15,1,0)))))</f>
        <v>14.993208833637295</v>
      </c>
      <c r="R21" s="320">
        <f ca="1">IF($A21="N/A"," ",IF('Pricing Inputs'!$AN$8=2,(K21-$H21),IF('Pricing Inputs'!$AN$3=2,IF((K21-$H21)&gt;0,K21-$H21,0),(_xll.xSPRDOPT(K21,$E21,$BU21,0,$BP21,$BS21,$BT21,($A21-Inputs!$D$1)+15,1,0)))))</f>
        <v>5.3191350518408695</v>
      </c>
      <c r="S21" s="320">
        <f ca="1">IF($A21="N/A"," ",IF('Pricing Inputs'!$AN$8=2,(L21-$H21),IF('Pricing Inputs'!$AN$3=2,IF((L21-$H21)&gt;0,L21-$H21,0),(_xll.xSPRDOPT(L21,$E21,$BU21,0,$BP21,$BS21,$BT21,($A21-Inputs!$D$1)+15,1,0)))))</f>
        <v>1.8501955895877662</v>
      </c>
      <c r="T21" s="320">
        <f ca="1">IF($A21="N/A"," ",IF('Pricing Inputs'!$AN$8=2,(M21-$H21),IF('Pricing Inputs'!$AN$3=2,IF((M21-$H21)&gt;0,M21-$H21,0),(_xll.xSPRDOPT(M21,$E21,$BU21,0,$BP21,$BS21,$BT21,($A21-Inputs!$D$1)+15,1,0)))))</f>
        <v>1.8093493416793258</v>
      </c>
      <c r="U21" s="320">
        <f ca="1">IF($A21="N/A"," ",IF('Pricing Inputs'!$AN$8=2,(N21-$H21),IF('Pricing Inputs'!$AN$3=2,IF((N21-$H21)&gt;0,N21-$H21,0),(_xll.xSPRDOPT(N21,$E21,$BU21,0,$BP21,$BS21,$BT21,($A21-Inputs!$D$1)+15,1,0)))))</f>
        <v>0.47800833206258631</v>
      </c>
      <c r="V21" s="259">
        <f ca="1">IF($A21="N/A"," ",(IF('Pricing Inputs'!$AN$8=2,(O21-$H21),IF((O21-$H21)&lt;=0,0,(O21-$H21)))))</f>
        <v>0</v>
      </c>
      <c r="W21" s="306">
        <f ca="1">IF($A21="N/A"," ",IF(0&lt;&gt;P21,IF('Pricing Inputs'!$AN$3=2,8*VLOOKUP($A21,NumberofDaysTable,2),(_xll.xSPRDOPT(I21,$E21,$BU21,0,$BP21,$BS21,$BT21,$A21-Inputs!$D$1,1,1))*(8*VLOOKUP($A21,NumberofDaysTable,2))),0))</f>
        <v>152.49445341235148</v>
      </c>
      <c r="X21" s="306">
        <f ca="1">IF($A21="N/A"," ",IF(Q21&lt;&gt;0,IF('Pricing Inputs'!$AN$3=2,8*VLOOKUP($A21,NumberofDaysTable,2),(_xll.xSPRDOPT(J21,$E21,$BU21,0,$BP21,$BS21,$BT21,$A21-Inputs!$D$1,1,1))*(8*VLOOKUP($A21,NumberofDaysTable,2))),0))</f>
        <v>136.42499550427351</v>
      </c>
      <c r="Y21" s="306">
        <f ca="1">IF($A21="N/A"," ",IF(R21&lt;&gt;0,IF('Pricing Inputs'!$AN$3=2,8*VLOOKUP($A21,NumberofDaysTable,3),(_xll.xSPRDOPT(K21,$E21,$BU21,0,$BP21,$BS21,$BT21,$A21-Inputs!$D$1,1,1))*(8*VLOOKUP($A21,NumberofDaysTable,3))),0))</f>
        <v>23.681657212399045</v>
      </c>
      <c r="Z21" s="306">
        <f ca="1">IF($A21="N/A"," ",IF(S21&lt;&gt;0,IF('Pricing Inputs'!$AN$3=2,8*VLOOKUP($A21,NumberofDaysTable,3),(_xll.xSPRDOPT(L21,$E21,$BU21,0,$BP21,$BS21,$BT21,$A21-Inputs!$D$1,1,1))*(8*VLOOKUP($A21,NumberofDaysTable,3))),0))</f>
        <v>13.735395975881605</v>
      </c>
      <c r="AA21" s="306">
        <f ca="1">IF($A21="N/A"," ",IF(T21&lt;&gt;0,IF('Pricing Inputs'!$AN$3=2,8*VLOOKUP($A21,NumberofDaysTable,4),(_xll.xSPRDOPT(M21,$E21,$BU21,0,$BP21,$BS21,$BT21,$A21-Inputs!$D$1,1,1))*(8*VLOOKUP($A21,NumberofDaysTable,4))),0))</f>
        <v>13.55934665402506</v>
      </c>
      <c r="AB21" s="306">
        <f ca="1">IF($A21="N/A"," ",IF(U21&lt;&gt;0,IF('Pricing Inputs'!$AN$3=2,8*VLOOKUP($A21,NumberofDaysTable,4),(_xll.xSPRDOPT(N21,$E21,$BU21,0,$BP21,$BS21,$BT21,$A21-Inputs!$D$1,1,1))*(8*VLOOKUP($A21,NumberofDaysTable,4))),0))</f>
        <v>5.8343132285905526</v>
      </c>
      <c r="AC21" s="306">
        <f t="shared" ca="1" si="21"/>
        <v>0</v>
      </c>
      <c r="AD21" s="274">
        <f t="shared" ca="1" si="57"/>
        <v>5</v>
      </c>
      <c r="AE21" s="275">
        <f t="shared" ca="1" si="58"/>
        <v>8</v>
      </c>
      <c r="AF21" s="275">
        <f t="shared" ca="1" si="59"/>
        <v>17</v>
      </c>
      <c r="AG21" s="275">
        <f t="shared" ca="1" si="60"/>
        <v>24</v>
      </c>
      <c r="AH21" s="275">
        <f t="shared" ca="1" si="61"/>
        <v>25</v>
      </c>
      <c r="AI21" s="275">
        <f t="shared" ca="1" si="62"/>
        <v>36</v>
      </c>
      <c r="AJ21" s="276">
        <f t="shared" ca="1" si="63"/>
        <v>73</v>
      </c>
      <c r="AK21" s="314">
        <f t="shared" ca="1" si="43"/>
        <v>152.49445341235148</v>
      </c>
      <c r="AL21" s="315">
        <f t="shared" ca="1" si="44"/>
        <v>136.42499550427351</v>
      </c>
      <c r="AM21" s="315">
        <f t="shared" ca="1" si="45"/>
        <v>23.681657212399045</v>
      </c>
      <c r="AN21" s="315">
        <f t="shared" ca="1" si="46"/>
        <v>13.735395975881605</v>
      </c>
      <c r="AO21" s="315">
        <f t="shared" ca="1" si="47"/>
        <v>13.55934665402506</v>
      </c>
      <c r="AP21" s="315">
        <f t="shared" ca="1" si="48"/>
        <v>5.8343132285905526</v>
      </c>
      <c r="AQ21" s="315">
        <f t="shared" ca="1" si="49"/>
        <v>0</v>
      </c>
      <c r="AR21" s="275"/>
      <c r="AS21" s="321">
        <f t="shared" ca="1" si="50"/>
        <v>0</v>
      </c>
      <c r="AT21" s="324">
        <f t="shared" ca="1" si="51"/>
        <v>0</v>
      </c>
      <c r="AU21" s="324">
        <f t="shared" ca="1" si="52"/>
        <v>0</v>
      </c>
      <c r="AV21" s="324">
        <f t="shared" ca="1" si="53"/>
        <v>0</v>
      </c>
      <c r="AW21" s="324">
        <f t="shared" ca="1" si="54"/>
        <v>0</v>
      </c>
      <c r="AX21" s="324">
        <f t="shared" ca="1" si="55"/>
        <v>0</v>
      </c>
      <c r="AY21" s="324">
        <f t="shared" ca="1" si="56"/>
        <v>0</v>
      </c>
      <c r="AZ21" s="328"/>
      <c r="BA21" s="267">
        <f ca="1">IF($A21="N/A"," ",(IF(MONTH(A21)&gt;=4,IF(MONTH(A21)&lt;=10,Inputs!$F$13,Inputs!$F$14),Inputs!$F$14))*$BW21)</f>
        <v>180</v>
      </c>
      <c r="BB21" s="268">
        <f t="shared" ca="1" si="64"/>
        <v>798050.0058168642</v>
      </c>
      <c r="BC21" s="268">
        <f t="shared" ca="1" si="65"/>
        <v>431804.41440875409</v>
      </c>
      <c r="BD21" s="268">
        <f t="shared" ca="1" si="31"/>
        <v>38297.772373254258</v>
      </c>
      <c r="BE21" s="268">
        <f t="shared" ca="1" si="32"/>
        <v>13321.408245031917</v>
      </c>
      <c r="BF21" s="268">
        <f t="shared" ca="1" si="33"/>
        <v>13027.315260091145</v>
      </c>
      <c r="BG21" s="268">
        <f t="shared" ca="1" si="34"/>
        <v>3441.6599908506214</v>
      </c>
      <c r="BH21" s="268">
        <f t="shared" ca="1" si="41"/>
        <v>0</v>
      </c>
      <c r="BI21" s="268">
        <f t="shared" ca="1" si="36"/>
        <v>1297942.5760948462</v>
      </c>
      <c r="BJ21" s="296">
        <f t="shared" ca="1" si="37"/>
        <v>1802144.3991221034</v>
      </c>
      <c r="BK21" s="296">
        <f t="shared" ca="1" si="38"/>
        <v>1677681.5408065957</v>
      </c>
      <c r="BL21" s="296">
        <f t="shared" ca="1" si="39"/>
        <v>124462.85831550765</v>
      </c>
      <c r="BM21" s="296">
        <f t="shared" ca="1" si="40"/>
        <v>0</v>
      </c>
      <c r="BN21" s="405">
        <f>IF(A21="N/A"," ",(VLOOKUP(A21,PowerVolTable,(IF('Pricing Inputs'!$AT$3=2,7,IF('Pricing Inputs'!$AT$3=1,6,8))),FALSE)))</f>
        <v>0.32639625</v>
      </c>
      <c r="BO21" s="405">
        <f>IF(A21="N/A"," ",(VLOOKUP(A21,IntraPowerVol,(IF('Pricing Inputs'!$AT$3=2,3,IF('Pricing Inputs'!$AT$3=1,2,4))),FALSE)*VLOOKUP(MONTH($A21),Inputs!$A$28:$B$39,2)))</f>
        <v>2.2999999999999998</v>
      </c>
      <c r="BP21" s="406">
        <f t="shared" ca="1" si="15"/>
        <v>0.44655553062040215</v>
      </c>
      <c r="BQ21" s="405">
        <f ca="1">IF($A21="N/A"," ",(VLOOKUP($A21,GasVolTable,(IF('Pricing Inputs'!$AT$3=2,6,IF('Pricing Inputs'!$AT$3=1,7,5))),FALSE)))</f>
        <v>0.184</v>
      </c>
      <c r="BR21" s="405">
        <f ca="1">IF($A21="N/A"," ",(VLOOKUP($A21,OmicronVol,(IF('Pricing Inputs'!$AT$3=2,3,IF('Pricing Inputs'!$AT$3=1,4,2))),FALSE)))</f>
        <v>0.5</v>
      </c>
      <c r="BS21" s="406">
        <f ca="1">IF($A21="N/A"," ",IF('Pricing Inputs'!$AN$3=1,(IF(DateToday&gt;$A21,$BR21,((($BQ21^2)*((($A21-1)-DateToday)/((EOMONTH($A21,0)+1)-DateToday-15)))+((($BR21)^2)*((15)/((EOMONTH($A21,0)+1)-DateToday-15))))^0.5)),0.0001))</f>
        <v>0.1941486137229064</v>
      </c>
      <c r="BT21" s="405">
        <f>IF($A21="N/A"," ",IF('Pricing Inputs'!$AN$3=1,(VLOOKUP($A21,CorrelationTable,2,FALSE)),0))</f>
        <v>0.9</v>
      </c>
      <c r="BU21" s="407">
        <f ca="1">IF($A21="N/A"," ",F21+G21+(D21*(VLOOKUP($A21,'Gas Curves'!$B$17:$P$310,14,FALSE))))</f>
        <v>2.6825000000000001</v>
      </c>
      <c r="BV21" s="405">
        <f>IF($A21="N/A"," ",IF('Pricing Inputs'!$AW$3=1,0,(VLOOKUP($A21,InterestRatesTable,2))))</f>
        <v>0</v>
      </c>
      <c r="BW21" s="408">
        <f t="shared" ca="1" si="16"/>
        <v>1</v>
      </c>
    </row>
    <row r="22" spans="1:75">
      <c r="A22" s="248">
        <f>IF(A21="N/A","N/A",IF(EDATE(A21,1)&gt;Inputs!$K$3,"N/A",EDATE(A21,1)))</f>
        <v>37438</v>
      </c>
      <c r="B22" s="262">
        <f t="shared" si="17"/>
        <v>2002</v>
      </c>
      <c r="C22" s="249">
        <f t="shared" ca="1" si="18"/>
        <v>2.578125</v>
      </c>
      <c r="D22" s="250">
        <f>IF(A22="N/A"," ",(VLOOKUP(MONTH($A22),Inputs!$A$14:$B$25,2))/1000)</f>
        <v>10.5</v>
      </c>
      <c r="E22" s="304">
        <f t="shared" ca="1" si="19"/>
        <v>27.0703125</v>
      </c>
      <c r="F22" s="251">
        <f>IF(A22="N/A"," ",Inputs!$F$6)</f>
        <v>2</v>
      </c>
      <c r="G22" s="251">
        <f ca="1">IF(A22="N/A"," ",Inputs!$F$9/IF(AND('Pricing Inputs'!$AQ$3&gt;=4,'Pricing Inputs'!$AQ$3&lt;=6),16,IF(AND('Pricing Inputs'!$AQ$3&gt;=7,'Pricing Inputs'!$AQ$3&lt;=9),8,24))/(BA22/BW22))</f>
        <v>0</v>
      </c>
      <c r="H22" s="252">
        <f t="shared" ca="1" si="20"/>
        <v>29.0703125</v>
      </c>
      <c r="I22" s="255">
        <f>VLOOKUP(A22,ScaledPrice,(IF(AND('Pricing Inputs'!$AQ$3&gt;=1,'Pricing Inputs'!$AQ$3&lt;=6),2,4)))</f>
        <v>86.395706305865986</v>
      </c>
      <c r="J22" s="255">
        <f>IF(A22="N/A"," ",IF(AND('Pricing Inputs'!$AQ$3&gt;=1,'Pricing Inputs'!$AQ$3&lt;=6),I22,(VLOOKUP(A22,ScaledPrice,2))*(2-(VLOOKUP(A22,ScaledPrice,3)))))</f>
        <v>58.604293694134007</v>
      </c>
      <c r="K22" s="255">
        <f>IF(A22="N/A"," ",IF(OR('Pricing Inputs'!$AQ$3=2,'Pricing Inputs'!$AQ$3=3,'Pricing Inputs'!$AQ$3=5,'Pricing Inputs'!$AQ$3=6,'Pricing Inputs'!$AQ$3=8,'Pricing Inputs'!$AQ$3=9),VLOOKUP(A22,ScaledPrice,IF(AND('Pricing Inputs'!$AQ$3&gt;=2,'Pricing Inputs'!$AQ$3&lt;=6),5,6)),0))</f>
        <v>47.382086038693771</v>
      </c>
      <c r="L22" s="255">
        <f>IF(A22="N/A"," ",IF(OR('Pricing Inputs'!$AQ$3=2,'Pricing Inputs'!$AQ$3=3,'Pricing Inputs'!$AQ$3=5,'Pricing Inputs'!$AQ$3=6,'Pricing Inputs'!$AQ$3=8,'Pricing Inputs'!$AQ$3=9),IF(AND('Pricing Inputs'!$AQ$3&gt;=2,'Pricing Inputs'!$AQ$3&lt;=6),K22,(VLOOKUP(A22,ScaledPrice,5))*(2-(VLOOKUP(A22,ScaledPrice,3)))),0))</f>
        <v>32.140413045778885</v>
      </c>
      <c r="M22" s="255">
        <f>IF(A22="N/A"," ",IF(OR('Pricing Inputs'!$AQ$3=3,'Pricing Inputs'!$AQ$3=6,'Pricing Inputs'!$AQ$3=9),(VLOOKUP(A22,ScaledPrice,IF(AND('Pricing Inputs'!$AQ$3&gt;=3,'Pricing Inputs'!$AQ$3&lt;=6),7,8))),0))</f>
        <v>34.853218952283179</v>
      </c>
      <c r="N22" s="255">
        <f>IF(A22="N/A"," ",IF(OR('Pricing Inputs'!$AQ$3=3,'Pricing Inputs'!$AQ$3=6,'Pricing Inputs'!$AQ$3=9),IF(AND('Pricing Inputs'!$AQ$3&gt;=3,'Pricing Inputs'!$AQ$3&lt;=6),M22,(VLOOKUP(A22,ScaledPrice,7))*(2-(VLOOKUP(A22,ScaledPrice,3)))),0))</f>
        <v>23.641779979601587</v>
      </c>
      <c r="O22" s="255">
        <f>IF(A22="N/A"," ",IF(AND('Pricing Inputs'!$AQ$3&gt;=1,'Pricing Inputs'!$AQ$3&lt;=3),VLOOKUP(A22,ScaledPrice,9),0))</f>
        <v>0</v>
      </c>
      <c r="P22" s="320">
        <f ca="1">IF($A22="N/A"," ",IF('Pricing Inputs'!$AN$8=2,(I22-H22),IF('Pricing Inputs'!$AN$3=2,IF((I22-$H22)&gt;0,I22-$H22,0),(_xll.xSPRDOPT(I22,$E22,$BU22,0,$BP22,$BS22,$BT22,($A22-Inputs!$D$1)+15,1,0)))))</f>
        <v>57.493852130104528</v>
      </c>
      <c r="Q22" s="320">
        <f ca="1">IF($A22="N/A"," ",IF('Pricing Inputs'!$AN$8=2,(J22-$H22),IF('Pricing Inputs'!$AN$3=2,IF((J22-$H22)&gt;0,J22-$H22,0),(_xll.xSPRDOPT(J22,$E22,$BU22,0,$BP22,$BS22,$BT22,($A22-Inputs!$D$1)+15,1,0)))))</f>
        <v>31.169361212151085</v>
      </c>
      <c r="R22" s="320">
        <f ca="1">IF($A22="N/A"," ",IF('Pricing Inputs'!$AN$8=2,(K22-$H22),IF('Pricing Inputs'!$AN$3=2,IF((K22-$H22)&gt;0,K22-$H22,0),(_xll.xSPRDOPT(K22,$E22,$BU22,0,$BP22,$BS22,$BT22,($A22-Inputs!$D$1)+15,1,0)))))</f>
        <v>21.274827311799061</v>
      </c>
      <c r="S22" s="320">
        <f ca="1">IF($A22="N/A"," ",IF('Pricing Inputs'!$AN$8=2,(L22-$H22),IF('Pricing Inputs'!$AN$3=2,IF((L22-$H22)&gt;0,L22-$H22,0),(_xll.xSPRDOPT(L22,$E22,$BU22,0,$BP22,$BS22,$BT22,($A22-Inputs!$D$1)+15,1,0)))))</f>
        <v>9.4847491176345446</v>
      </c>
      <c r="T22" s="320">
        <f ca="1">IF($A22="N/A"," ",IF('Pricing Inputs'!$AN$8=2,(M22-$H22),IF('Pricing Inputs'!$AN$3=2,IF((M22-$H22)&gt;0,M22-$H22,0),(_xll.xSPRDOPT(M22,$E22,$BU22,0,$BP22,$BS22,$BT22,($A22-Inputs!$D$1)+15,1,0)))))</f>
        <v>11.376801493801016</v>
      </c>
      <c r="U22" s="320">
        <f ca="1">IF($A22="N/A"," ",IF('Pricing Inputs'!$AN$8=2,(N22-$H22),IF('Pricing Inputs'!$AN$3=2,IF((N22-$H22)&gt;0,N22-$H22,0),(_xll.xSPRDOPT(N22,$E22,$BU22,0,$BP22,$BS22,$BT22,($A22-Inputs!$D$1)+15,1,0)))))</f>
        <v>4.4283271218068014</v>
      </c>
      <c r="V22" s="259">
        <f ca="1">IF($A22="N/A"," ",(IF('Pricing Inputs'!$AN$8=2,(O22-$H22),IF((O22-$H22)&lt;=0,0,(O22-$H22)))))</f>
        <v>0</v>
      </c>
      <c r="W22" s="306">
        <f ca="1">IF($A22="N/A"," ",IF(0&lt;&gt;P22,IF('Pricing Inputs'!$AN$3=2,8*VLOOKUP($A22,NumberofDaysTable,2),(_xll.xSPRDOPT(I22,$E22,$BU22,0,$BP22,$BS22,$BT22,$A22-Inputs!$D$1,1,1))*(8*VLOOKUP($A22,NumberofDaysTable,2))),0))</f>
        <v>171.11942359706293</v>
      </c>
      <c r="X22" s="306">
        <f ca="1">IF($A22="N/A"," ",IF(Q22&lt;&gt;0,IF('Pricing Inputs'!$AN$3=2,8*VLOOKUP($A22,NumberofDaysTable,2),(_xll.xSPRDOPT(J22,$E22,$BU22,0,$BP22,$BS22,$BT22,$A22-Inputs!$D$1,1,1))*(8*VLOOKUP($A22,NumberofDaysTable,2))),0))</f>
        <v>160.25254280162704</v>
      </c>
      <c r="Y22" s="306">
        <f ca="1">IF($A22="N/A"," ",IF(R22&lt;&gt;0,IF('Pricing Inputs'!$AN$3=2,8*VLOOKUP($A22,NumberofDaysTable,3),(_xll.xSPRDOPT(K22,$E22,$BU22,0,$BP22,$BS22,$BT22,$A22-Inputs!$D$1,1,1))*(8*VLOOKUP($A22,NumberofDaysTable,3))),0))</f>
        <v>27.15228238023812</v>
      </c>
      <c r="Z22" s="306">
        <f ca="1">IF($A22="N/A"," ",IF(S22&lt;&gt;0,IF('Pricing Inputs'!$AN$3=2,8*VLOOKUP($A22,NumberofDaysTable,3),(_xll.xSPRDOPT(L22,$E22,$BU22,0,$BP22,$BS22,$BT22,$A22-Inputs!$D$1,1,1))*(8*VLOOKUP($A22,NumberofDaysTable,3))),0))</f>
        <v>21.614183379224421</v>
      </c>
      <c r="AA22" s="306">
        <f ca="1">IF($A22="N/A"," ",IF(T22&lt;&gt;0,IF('Pricing Inputs'!$AN$3=2,8*VLOOKUP($A22,NumberofDaysTable,4),(_xll.xSPRDOPT(M22,$E22,$BU22,0,$BP22,$BS22,$BT22,$A22-Inputs!$D$1,1,1))*(8*VLOOKUP($A22,NumberofDaysTable,4))),0))</f>
        <v>22.957915823788223</v>
      </c>
      <c r="AB22" s="306">
        <f ca="1">IF($A22="N/A"," ",IF(U22&lt;&gt;0,IF('Pricing Inputs'!$AN$3=2,8*VLOOKUP($A22,NumberofDaysTable,4),(_xll.xSPRDOPT(N22,$E22,$BU22,0,$BP22,$BS22,$BT22,$A22-Inputs!$D$1,1,1))*(8*VLOOKUP($A22,NumberofDaysTable,4))),0))</f>
        <v>15.980205377393151</v>
      </c>
      <c r="AC22" s="306">
        <f t="shared" ca="1" si="21"/>
        <v>0</v>
      </c>
      <c r="AD22" s="274">
        <f t="shared" ca="1" si="57"/>
        <v>1</v>
      </c>
      <c r="AE22" s="275">
        <f t="shared" ca="1" si="58"/>
        <v>4</v>
      </c>
      <c r="AF22" s="275">
        <f t="shared" ca="1" si="59"/>
        <v>6</v>
      </c>
      <c r="AG22" s="275">
        <f t="shared" ca="1" si="60"/>
        <v>12</v>
      </c>
      <c r="AH22" s="275">
        <f t="shared" ca="1" si="61"/>
        <v>10</v>
      </c>
      <c r="AI22" s="275">
        <f t="shared" ca="1" si="62"/>
        <v>19</v>
      </c>
      <c r="AJ22" s="276">
        <f t="shared" ca="1" si="63"/>
        <v>73</v>
      </c>
      <c r="AK22" s="314">
        <f t="shared" ca="1" si="43"/>
        <v>171.11942359706293</v>
      </c>
      <c r="AL22" s="315">
        <f t="shared" ca="1" si="44"/>
        <v>160.25254280162704</v>
      </c>
      <c r="AM22" s="315">
        <f t="shared" ca="1" si="45"/>
        <v>27.15228238023812</v>
      </c>
      <c r="AN22" s="315">
        <f t="shared" ca="1" si="46"/>
        <v>21.614183379224421</v>
      </c>
      <c r="AO22" s="315">
        <f t="shared" ca="1" si="47"/>
        <v>22.957915823788223</v>
      </c>
      <c r="AP22" s="315">
        <f t="shared" ca="1" si="48"/>
        <v>15.980205377393151</v>
      </c>
      <c r="AQ22" s="315">
        <f t="shared" ca="1" si="49"/>
        <v>0</v>
      </c>
      <c r="AR22" s="275"/>
      <c r="AS22" s="321">
        <f t="shared" ca="1" si="50"/>
        <v>0</v>
      </c>
      <c r="AT22" s="324">
        <f t="shared" ca="1" si="51"/>
        <v>0</v>
      </c>
      <c r="AU22" s="324">
        <f t="shared" ca="1" si="52"/>
        <v>0</v>
      </c>
      <c r="AV22" s="324">
        <f t="shared" ca="1" si="53"/>
        <v>0</v>
      </c>
      <c r="AW22" s="324">
        <f t="shared" ca="1" si="54"/>
        <v>0</v>
      </c>
      <c r="AX22" s="324">
        <f t="shared" ca="1" si="55"/>
        <v>0</v>
      </c>
      <c r="AY22" s="324">
        <f t="shared" ca="1" si="56"/>
        <v>0</v>
      </c>
      <c r="AZ22" s="328"/>
      <c r="BA22" s="267">
        <f ca="1">IF($A22="N/A"," ",(IF(MONTH(A22)&gt;=4,IF(MONTH(A22)&lt;=10,Inputs!$F$13,Inputs!$F$14),Inputs!$F$14))*$BW22)</f>
        <v>180</v>
      </c>
      <c r="BB22" s="268">
        <f t="shared" ca="1" si="64"/>
        <v>1821405.2354817116</v>
      </c>
      <c r="BC22" s="268">
        <f t="shared" ca="1" si="65"/>
        <v>987445.36320094636</v>
      </c>
      <c r="BD22" s="268">
        <f t="shared" ca="1" si="31"/>
        <v>122543.0053159626</v>
      </c>
      <c r="BE22" s="268">
        <f t="shared" ca="1" si="32"/>
        <v>54632.154917574975</v>
      </c>
      <c r="BF22" s="268">
        <f t="shared" ca="1" si="33"/>
        <v>81912.970755367322</v>
      </c>
      <c r="BG22" s="268">
        <f t="shared" ca="1" si="34"/>
        <v>31883.955277008969</v>
      </c>
      <c r="BH22" s="268">
        <f t="shared" ca="1" si="41"/>
        <v>0</v>
      </c>
      <c r="BI22" s="268">
        <f t="shared" ca="1" si="36"/>
        <v>3099822.684948572</v>
      </c>
      <c r="BJ22" s="296">
        <f t="shared" ca="1" si="37"/>
        <v>2192883.5461641769</v>
      </c>
      <c r="BK22" s="296">
        <f t="shared" ca="1" si="38"/>
        <v>2042015.9869548166</v>
      </c>
      <c r="BL22" s="296">
        <f t="shared" ca="1" si="39"/>
        <v>150867.55920936022</v>
      </c>
      <c r="BM22" s="296">
        <f t="shared" ca="1" si="40"/>
        <v>0</v>
      </c>
      <c r="BN22" s="405">
        <f>IF(A22="N/A"," ",(VLOOKUP(A22,PowerVolTable,(IF('Pricing Inputs'!$AT$3=2,7,IF('Pricing Inputs'!$AT$3=1,6,8))),FALSE)))</f>
        <v>0.38624625000000001</v>
      </c>
      <c r="BO22" s="405">
        <f>IF(A22="N/A"," ",(VLOOKUP(A22,IntraPowerVol,(IF('Pricing Inputs'!$AT$3=2,3,IF('Pricing Inputs'!$AT$3=1,2,4))),FALSE)*VLOOKUP(MONTH($A22),Inputs!$A$28:$B$39,2)))</f>
        <v>3.4499999999999997</v>
      </c>
      <c r="BP22" s="406">
        <f t="shared" ca="1" si="15"/>
        <v>0.59345307501208155</v>
      </c>
      <c r="BQ22" s="405">
        <f ca="1">IF($A22="N/A"," ",(VLOOKUP($A22,GasVolTable,(IF('Pricing Inputs'!$AT$3=2,6,IF('Pricing Inputs'!$AT$3=1,7,5))),FALSE)))</f>
        <v>0.183</v>
      </c>
      <c r="BR22" s="405">
        <f ca="1">IF($A22="N/A"," ",(VLOOKUP($A22,OmicronVol,(IF('Pricing Inputs'!$AT$3=2,3,IF('Pricing Inputs'!$AT$3=1,4,2))),FALSE)))</f>
        <v>0.5</v>
      </c>
      <c r="BS22" s="406">
        <f ca="1">IF($A22="N/A"," ",IF('Pricing Inputs'!$AN$3=1,(IF(DateToday&gt;$A22,$BR22,((($BQ22^2)*((($A22-1)-DateToday)/((EOMONTH($A22,0)+1)-DateToday-15)))+((($BR22)^2)*((15)/((EOMONTH($A22,0)+1)-DateToday-15))))^0.5)),0.0001))</f>
        <v>0.19276309931298416</v>
      </c>
      <c r="BT22" s="405">
        <f>IF($A22="N/A"," ",IF('Pricing Inputs'!$AN$3=1,(VLOOKUP($A22,CorrelationTable,2,FALSE)),0))</f>
        <v>0.9</v>
      </c>
      <c r="BU22" s="407">
        <f ca="1">IF($A22="N/A"," ",F22+G22+(D22*(VLOOKUP($A22,'Gas Curves'!$B$17:$P$310,14,FALSE))))</f>
        <v>2.6825000000000001</v>
      </c>
      <c r="BV22" s="405">
        <f>IF($A22="N/A"," ",IF('Pricing Inputs'!$AW$3=1,0,(VLOOKUP($A22,InterestRatesTable,2))))</f>
        <v>0</v>
      </c>
      <c r="BW22" s="408">
        <f t="shared" ca="1" si="16"/>
        <v>1</v>
      </c>
    </row>
    <row r="23" spans="1:75">
      <c r="A23" s="248">
        <f>IF(A22="N/A","N/A",IF(EDATE(A22,1)&gt;Inputs!$K$3,"N/A",EDATE(A22,1)))</f>
        <v>37469</v>
      </c>
      <c r="B23" s="262">
        <f t="shared" si="17"/>
        <v>2002</v>
      </c>
      <c r="C23" s="249">
        <f t="shared" ca="1" si="18"/>
        <v>2.5851250000000001</v>
      </c>
      <c r="D23" s="250">
        <f>IF(A23="N/A"," ",(VLOOKUP(MONTH($A23),Inputs!$A$14:$B$25,2))/1000)</f>
        <v>10.5</v>
      </c>
      <c r="E23" s="304">
        <f t="shared" ca="1" si="19"/>
        <v>27.143812500000003</v>
      </c>
      <c r="F23" s="251">
        <f>IF(A23="N/A"," ",Inputs!$F$6)</f>
        <v>2</v>
      </c>
      <c r="G23" s="251">
        <f ca="1">IF(A23="N/A"," ",Inputs!$F$9/IF(AND('Pricing Inputs'!$AQ$3&gt;=4,'Pricing Inputs'!$AQ$3&lt;=6),16,IF(AND('Pricing Inputs'!$AQ$3&gt;=7,'Pricing Inputs'!$AQ$3&lt;=9),8,24))/(BA23/BW23))</f>
        <v>0</v>
      </c>
      <c r="H23" s="252">
        <f t="shared" ca="1" si="20"/>
        <v>29.143812500000003</v>
      </c>
      <c r="I23" s="255">
        <f>VLOOKUP(A23,ScaledPrice,(IF(AND('Pricing Inputs'!$AQ$3&gt;=1,'Pricing Inputs'!$AQ$3&lt;=6),2,4)))</f>
        <v>75.407168489044608</v>
      </c>
      <c r="J23" s="255">
        <f>IF(A23="N/A"," ",IF(AND('Pricing Inputs'!$AQ$3&gt;=1,'Pricing Inputs'!$AQ$3&lt;=6),I23,(VLOOKUP(A23,ScaledPrice,2))*(2-(VLOOKUP(A23,ScaledPrice,3)))))</f>
        <v>60.592831510955385</v>
      </c>
      <c r="K23" s="255">
        <f>IF(A23="N/A"," ",IF(OR('Pricing Inputs'!$AQ$3=2,'Pricing Inputs'!$AQ$3=3,'Pricing Inputs'!$AQ$3=5,'Pricing Inputs'!$AQ$3=6,'Pricing Inputs'!$AQ$3=8,'Pricing Inputs'!$AQ$3=9),VLOOKUP(A23,ScaledPrice,IF(AND('Pricing Inputs'!$AQ$3&gt;=2,'Pricing Inputs'!$AQ$3&lt;=6),5,6)),0))</f>
        <v>46.599965717552244</v>
      </c>
      <c r="L23" s="255">
        <f>IF(A23="N/A"," ",IF(OR('Pricing Inputs'!$AQ$3=2,'Pricing Inputs'!$AQ$3=3,'Pricing Inputs'!$AQ$3=5,'Pricing Inputs'!$AQ$3=6,'Pricing Inputs'!$AQ$3=8,'Pricing Inputs'!$AQ$3=9),IF(AND('Pricing Inputs'!$AQ$3&gt;=2,'Pricing Inputs'!$AQ$3&lt;=6),K23,(VLOOKUP(A23,ScaledPrice,5))*(2-(VLOOKUP(A23,ScaledPrice,3)))),0))</f>
        <v>37.445032451393068</v>
      </c>
      <c r="M23" s="255">
        <f>IF(A23="N/A"," ",IF(OR('Pricing Inputs'!$AQ$3=3,'Pricing Inputs'!$AQ$3=6,'Pricing Inputs'!$AQ$3=9),(VLOOKUP(A23,ScaledPrice,IF(AND('Pricing Inputs'!$AQ$3&gt;=3,'Pricing Inputs'!$AQ$3&lt;=6),7,8))),0))</f>
        <v>34.09402144823369</v>
      </c>
      <c r="N23" s="255">
        <f>IF(A23="N/A"," ",IF(OR('Pricing Inputs'!$AQ$3=3,'Pricing Inputs'!$AQ$3=6,'Pricing Inputs'!$AQ$3=9),IF(AND('Pricing Inputs'!$AQ$3&gt;=3,'Pricing Inputs'!$AQ$3&lt;=6),M23,(VLOOKUP(A23,ScaledPrice,7))*(2-(VLOOKUP(A23,ScaledPrice,3)))),0))</f>
        <v>27.395980230233107</v>
      </c>
      <c r="O23" s="255">
        <f>IF(A23="N/A"," ",IF(AND('Pricing Inputs'!$AQ$3&gt;=1,'Pricing Inputs'!$AQ$3&lt;=3),VLOOKUP(A23,ScaledPrice,9),0))</f>
        <v>0</v>
      </c>
      <c r="P23" s="320">
        <f ca="1">IF($A23="N/A"," ",IF('Pricing Inputs'!$AN$8=2,(I23-H23),IF('Pricing Inputs'!$AN$3=2,IF((I23-$H23)&gt;0,I23-$H23,0),(_xll.xSPRDOPT(I23,$E23,$BU23,0,$BP23,$BS23,$BT23,($A23-Inputs!$D$1)+15,1,0)))))</f>
        <v>46.783886178108709</v>
      </c>
      <c r="Q23" s="320">
        <f ca="1">IF($A23="N/A"," ",IF('Pricing Inputs'!$AN$8=2,(J23-$H23),IF('Pricing Inputs'!$AN$3=2,IF((J23-$H23)&gt;0,J23-$H23,0),(_xll.xSPRDOPT(J23,$E23,$BU23,0,$BP23,$BS23,$BT23,($A23-Inputs!$D$1)+15,1,0)))))</f>
        <v>32.863807639692268</v>
      </c>
      <c r="R23" s="320">
        <f ca="1">IF($A23="N/A"," ",IF('Pricing Inputs'!$AN$8=2,(K23-$H23),IF('Pricing Inputs'!$AN$3=2,IF((K23-$H23)&gt;0,K23-$H23,0),(_xll.xSPRDOPT(K23,$E23,$BU23,0,$BP23,$BS23,$BT23,($A23-Inputs!$D$1)+15,1,0)))))</f>
        <v>20.486462894440844</v>
      </c>
      <c r="S23" s="320">
        <f ca="1">IF($A23="N/A"," ",IF('Pricing Inputs'!$AN$8=2,(L23-$H23),IF('Pricing Inputs'!$AN$3=2,IF((L23-$H23)&gt;0,L23-$H23,0),(_xll.xSPRDOPT(L23,$E23,$BU23,0,$BP23,$BS23,$BT23,($A23-Inputs!$D$1)+15,1,0)))))</f>
        <v>13.159623813210656</v>
      </c>
      <c r="T23" s="320">
        <f ca="1">IF($A23="N/A"," ",IF('Pricing Inputs'!$AN$8=2,(M23-$H23),IF('Pricing Inputs'!$AN$3=2,IF((M23-$H23)&gt;0,M23-$H23,0),(_xll.xSPRDOPT(M23,$E23,$BU23,0,$BP23,$BS23,$BT23,($A23-Inputs!$D$1)+15,1,0)))))</f>
        <v>10.717444874066233</v>
      </c>
      <c r="U23" s="320">
        <f ca="1">IF($A23="N/A"," ",IF('Pricing Inputs'!$AN$8=2,(N23-$H23),IF('Pricing Inputs'!$AN$3=2,IF((N23-$H23)&gt;0,N23-$H23,0),(_xll.xSPRDOPT(N23,$E23,$BU23,0,$BP23,$BS23,$BT23,($A23-Inputs!$D$1)+15,1,0)))))</f>
        <v>6.3759096085647569</v>
      </c>
      <c r="V23" s="259">
        <f ca="1">IF($A23="N/A"," ",(IF('Pricing Inputs'!$AN$8=2,(O23-$H23),IF((O23-$H23)&lt;=0,0,(O23-$H23)))))</f>
        <v>0</v>
      </c>
      <c r="W23" s="306">
        <f ca="1">IF($A23="N/A"," ",IF(0&lt;&gt;P23,IF('Pricing Inputs'!$AN$3=2,8*VLOOKUP($A23,NumberofDaysTable,2),(_xll.xSPRDOPT(I23,$E23,$BU23,0,$BP23,$BS23,$BT23,$A23-Inputs!$D$1,1,1))*(8*VLOOKUP($A23,NumberofDaysTable,2))),0))</f>
        <v>168.52200842080057</v>
      </c>
      <c r="X23" s="306">
        <f ca="1">IF($A23="N/A"," ",IF(Q23&lt;&gt;0,IF('Pricing Inputs'!$AN$3=2,8*VLOOKUP($A23,NumberofDaysTable,2),(_xll.xSPRDOPT(J23,$E23,$BU23,0,$BP23,$BS23,$BT23,$A23-Inputs!$D$1,1,1))*(8*VLOOKUP($A23,NumberofDaysTable,2))),0))</f>
        <v>161.71223841942134</v>
      </c>
      <c r="Y23" s="306">
        <f ca="1">IF($A23="N/A"," ",IF(R23&lt;&gt;0,IF('Pricing Inputs'!$AN$3=2,8*VLOOKUP($A23,NumberofDaysTable,3),(_xll.xSPRDOPT(K23,$E23,$BU23,0,$BP23,$BS23,$BT23,$A23-Inputs!$D$1,1,1))*(8*VLOOKUP($A23,NumberofDaysTable,3))),0))</f>
        <v>33.70632175836397</v>
      </c>
      <c r="Z23" s="306">
        <f ca="1">IF($A23="N/A"," ",IF(S23&lt;&gt;0,IF('Pricing Inputs'!$AN$3=2,8*VLOOKUP($A23,NumberofDaysTable,3),(_xll.xSPRDOPT(L23,$E23,$BU23,0,$BP23,$BS23,$BT23,$A23-Inputs!$D$1,1,1))*(8*VLOOKUP($A23,NumberofDaysTable,3))),0))</f>
        <v>30.04727936826685</v>
      </c>
      <c r="AA23" s="306">
        <f ca="1">IF($A23="N/A"," ",IF(T23&lt;&gt;0,IF('Pricing Inputs'!$AN$3=2,8*VLOOKUP($A23,NumberofDaysTable,4),(_xll.xSPRDOPT(M23,$E23,$BU23,0,$BP23,$BS23,$BT23,$A23-Inputs!$D$1,1,1))*(8*VLOOKUP($A23,NumberofDaysTable,4))),0))</f>
        <v>22.547600186894158</v>
      </c>
      <c r="AB23" s="306">
        <f ca="1">IF($A23="N/A"," ",IF(U23&lt;&gt;0,IF('Pricing Inputs'!$AN$3=2,8*VLOOKUP($A23,NumberofDaysTable,4),(_xll.xSPRDOPT(N23,$E23,$BU23,0,$BP23,$BS23,$BT23,$A23-Inputs!$D$1,1,1))*(8*VLOOKUP($A23,NumberofDaysTable,4))),0))</f>
        <v>18.653658144245995</v>
      </c>
      <c r="AC23" s="306">
        <f t="shared" ca="1" si="21"/>
        <v>0</v>
      </c>
      <c r="AD23" s="274">
        <f t="shared" ca="1" si="57"/>
        <v>2</v>
      </c>
      <c r="AE23" s="275">
        <f t="shared" ca="1" si="58"/>
        <v>3</v>
      </c>
      <c r="AF23" s="275">
        <f t="shared" ca="1" si="59"/>
        <v>7</v>
      </c>
      <c r="AG23" s="275">
        <f t="shared" ca="1" si="60"/>
        <v>9</v>
      </c>
      <c r="AH23" s="275">
        <f t="shared" ca="1" si="61"/>
        <v>11</v>
      </c>
      <c r="AI23" s="275">
        <f t="shared" ca="1" si="62"/>
        <v>15</v>
      </c>
      <c r="AJ23" s="276">
        <f t="shared" ca="1" si="63"/>
        <v>73</v>
      </c>
      <c r="AK23" s="314">
        <f t="shared" ca="1" si="43"/>
        <v>168.52200842080057</v>
      </c>
      <c r="AL23" s="315">
        <f t="shared" ca="1" si="44"/>
        <v>161.71223841942134</v>
      </c>
      <c r="AM23" s="315">
        <f t="shared" ca="1" si="45"/>
        <v>33.70632175836397</v>
      </c>
      <c r="AN23" s="315">
        <f t="shared" ca="1" si="46"/>
        <v>30.04727936826685</v>
      </c>
      <c r="AO23" s="315">
        <f t="shared" ca="1" si="47"/>
        <v>22.547600186894158</v>
      </c>
      <c r="AP23" s="315">
        <f t="shared" ca="1" si="48"/>
        <v>18.653658144245995</v>
      </c>
      <c r="AQ23" s="315">
        <f t="shared" ca="1" si="49"/>
        <v>0</v>
      </c>
      <c r="AR23" s="275"/>
      <c r="AS23" s="321">
        <f t="shared" ca="1" si="50"/>
        <v>0</v>
      </c>
      <c r="AT23" s="324">
        <f t="shared" ca="1" si="51"/>
        <v>0</v>
      </c>
      <c r="AU23" s="324">
        <f t="shared" ca="1" si="52"/>
        <v>0</v>
      </c>
      <c r="AV23" s="324">
        <f t="shared" ca="1" si="53"/>
        <v>0</v>
      </c>
      <c r="AW23" s="324">
        <f t="shared" ca="1" si="54"/>
        <v>0</v>
      </c>
      <c r="AX23" s="324">
        <f t="shared" ca="1" si="55"/>
        <v>0</v>
      </c>
      <c r="AY23" s="324">
        <f t="shared" ca="1" si="56"/>
        <v>0</v>
      </c>
      <c r="AZ23" s="328"/>
      <c r="BA23" s="267">
        <f ca="1">IF($A23="N/A"," ",(IF(MONTH(A23)&gt;=4,IF(MONTH(A23)&lt;=10,Inputs!$F$13,Inputs!$F$14),Inputs!$F$14))*$BW23)</f>
        <v>180</v>
      </c>
      <c r="BB23" s="268">
        <f t="shared" ca="1" si="64"/>
        <v>1482113.5141224838</v>
      </c>
      <c r="BC23" s="268">
        <f t="shared" ca="1" si="65"/>
        <v>1041125.426025451</v>
      </c>
      <c r="BD23" s="268">
        <f t="shared" ca="1" si="31"/>
        <v>147502.53283997407</v>
      </c>
      <c r="BE23" s="268">
        <f t="shared" ca="1" si="32"/>
        <v>94749.29145511672</v>
      </c>
      <c r="BF23" s="268">
        <f t="shared" ca="1" si="33"/>
        <v>61732.482474621502</v>
      </c>
      <c r="BG23" s="268">
        <f t="shared" ca="1" si="34"/>
        <v>36725.239345333001</v>
      </c>
      <c r="BH23" s="268">
        <f t="shared" ca="1" si="41"/>
        <v>0</v>
      </c>
      <c r="BI23" s="268">
        <f t="shared" ca="1" si="36"/>
        <v>2863948.4862629799</v>
      </c>
      <c r="BJ23" s="296">
        <f t="shared" ca="1" si="37"/>
        <v>2282952.5488784295</v>
      </c>
      <c r="BK23" s="296">
        <f t="shared" ca="1" si="38"/>
        <v>2126284.4706111518</v>
      </c>
      <c r="BL23" s="296">
        <f t="shared" ca="1" si="39"/>
        <v>156668.07826727742</v>
      </c>
      <c r="BM23" s="296">
        <f t="shared" ca="1" si="40"/>
        <v>0</v>
      </c>
      <c r="BN23" s="405">
        <f>IF(A23="N/A"," ",(VLOOKUP(A23,PowerVolTable,(IF('Pricing Inputs'!$AT$3=2,7,IF('Pricing Inputs'!$AT$3=1,6,8))),FALSE)))</f>
        <v>0.38004749999999998</v>
      </c>
      <c r="BO23" s="405">
        <f>IF(A23="N/A"," ",(VLOOKUP(A23,IntraPowerVol,(IF('Pricing Inputs'!$AT$3=2,3,IF('Pricing Inputs'!$AT$3=1,2,4))),FALSE)*VLOOKUP(MONTH($A23),Inputs!$A$28:$B$39,2)))</f>
        <v>3.4499999999999997</v>
      </c>
      <c r="BP23" s="406">
        <f t="shared" ca="1" si="15"/>
        <v>0.58353971900908208</v>
      </c>
      <c r="BQ23" s="405">
        <f ca="1">IF($A23="N/A"," ",(VLOOKUP($A23,GasVolTable,(IF('Pricing Inputs'!$AT$3=2,6,IF('Pricing Inputs'!$AT$3=1,7,5))),FALSE)))</f>
        <v>0.182</v>
      </c>
      <c r="BR23" s="405">
        <f ca="1">IF($A23="N/A"," ",(VLOOKUP($A23,OmicronVol,(IF('Pricing Inputs'!$AT$3=2,3,IF('Pricing Inputs'!$AT$3=1,4,2))),FALSE)))</f>
        <v>0.6</v>
      </c>
      <c r="BS23" s="406">
        <f ca="1">IF($A23="N/A"," ",IF('Pricing Inputs'!$AN$3=1,(IF(DateToday&gt;$A23,$BR23,((($BQ23^2)*((($A23-1)-DateToday)/((EOMONTH($A23,0)+1)-DateToday-15)))+((($BR23)^2)*((15)/((EOMONTH($A23,0)+1)-DateToday-15))))^0.5)),0.0001))</f>
        <v>0.19624039845719071</v>
      </c>
      <c r="BT23" s="405">
        <f>IF($A23="N/A"," ",IF('Pricing Inputs'!$AN$3=1,(VLOOKUP($A23,CorrelationTable,2,FALSE)),0))</f>
        <v>0.9</v>
      </c>
      <c r="BU23" s="407">
        <f ca="1">IF($A23="N/A"," ",F23+G23+(D23*(VLOOKUP($A23,'Gas Curves'!$B$17:$P$310,14,FALSE))))</f>
        <v>2.6825000000000001</v>
      </c>
      <c r="BV23" s="405">
        <f>IF($A23="N/A"," ",IF('Pricing Inputs'!$AW$3=1,0,(VLOOKUP($A23,InterestRatesTable,2))))</f>
        <v>0</v>
      </c>
      <c r="BW23" s="408">
        <f t="shared" ca="1" si="16"/>
        <v>1</v>
      </c>
    </row>
    <row r="24" spans="1:75">
      <c r="A24" s="248">
        <f>IF(A23="N/A","N/A",IF(EDATE(A23,1)&gt;Inputs!$K$3,"N/A",EDATE(A23,1)))</f>
        <v>37500</v>
      </c>
      <c r="B24" s="262">
        <f t="shared" si="17"/>
        <v>2002</v>
      </c>
      <c r="C24" s="249">
        <f t="shared" ca="1" si="18"/>
        <v>2.5915000000000004</v>
      </c>
      <c r="D24" s="250">
        <f>IF(A24="N/A"," ",(VLOOKUP(MONTH($A24),Inputs!$A$14:$B$25,2))/1000)</f>
        <v>10.5</v>
      </c>
      <c r="E24" s="304">
        <f t="shared" ca="1" si="19"/>
        <v>27.210750000000004</v>
      </c>
      <c r="F24" s="251">
        <f>IF(A24="N/A"," ",Inputs!$F$6)</f>
        <v>2</v>
      </c>
      <c r="G24" s="251">
        <f ca="1">IF(A24="N/A"," ",Inputs!$F$9/IF(AND('Pricing Inputs'!$AQ$3&gt;=4,'Pricing Inputs'!$AQ$3&lt;=6),16,IF(AND('Pricing Inputs'!$AQ$3&gt;=7,'Pricing Inputs'!$AQ$3&lt;=9),8,24))/(BA24/BW24))</f>
        <v>0</v>
      </c>
      <c r="H24" s="252">
        <f t="shared" ca="1" si="20"/>
        <v>29.210750000000004</v>
      </c>
      <c r="I24" s="255">
        <f>VLOOKUP(A24,ScaledPrice,(IF(AND('Pricing Inputs'!$AQ$3&gt;=1,'Pricing Inputs'!$AQ$3&lt;=6),2,4)))</f>
        <v>36.185615146576851</v>
      </c>
      <c r="J24" s="255">
        <f>IF(A24="N/A"," ",IF(AND('Pricing Inputs'!$AQ$3&gt;=1,'Pricing Inputs'!$AQ$3&lt;=6),I24,(VLOOKUP(A24,ScaledPrice,2))*(2-(VLOOKUP(A24,ScaledPrice,3)))))</f>
        <v>29.814384853423153</v>
      </c>
      <c r="K24" s="255">
        <f>IF(A24="N/A"," ",IF(OR('Pricing Inputs'!$AQ$3=2,'Pricing Inputs'!$AQ$3=3,'Pricing Inputs'!$AQ$3=5,'Pricing Inputs'!$AQ$3=6,'Pricing Inputs'!$AQ$3=8,'Pricing Inputs'!$AQ$3=9),VLOOKUP(A24,ScaledPrice,IF(AND('Pricing Inputs'!$AQ$3&gt;=2,'Pricing Inputs'!$AQ$3&lt;=6),5,6)),0))</f>
        <v>25.116105592853511</v>
      </c>
      <c r="L24" s="255">
        <f>IF(A24="N/A"," ",IF(OR('Pricing Inputs'!$AQ$3=2,'Pricing Inputs'!$AQ$3=3,'Pricing Inputs'!$AQ$3=5,'Pricing Inputs'!$AQ$3=6,'Pricing Inputs'!$AQ$3=8,'Pricing Inputs'!$AQ$3=9),IF(AND('Pricing Inputs'!$AQ$3&gt;=2,'Pricing Inputs'!$AQ$3&lt;=6),K24,(VLOOKUP(A24,ScaledPrice,5))*(2-(VLOOKUP(A24,ScaledPrice,3)))),0))</f>
        <v>20.693892728679689</v>
      </c>
      <c r="M24" s="255">
        <f>IF(A24="N/A"," ",IF(OR('Pricing Inputs'!$AQ$3=3,'Pricing Inputs'!$AQ$3=6,'Pricing Inputs'!$AQ$3=9),(VLOOKUP(A24,ScaledPrice,IF(AND('Pricing Inputs'!$AQ$3&gt;=3,'Pricing Inputs'!$AQ$3&lt;=6),7,8))),0))</f>
        <v>25.658890740299945</v>
      </c>
      <c r="N24" s="255">
        <f>IF(A24="N/A"," ",IF(OR('Pricing Inputs'!$AQ$3=3,'Pricing Inputs'!$AQ$3=6,'Pricing Inputs'!$AQ$3=9),IF(AND('Pricing Inputs'!$AQ$3&gt;=3,'Pricing Inputs'!$AQ$3&lt;=6),M24,(VLOOKUP(A24,ScaledPrice,7))*(2-(VLOOKUP(A24,ScaledPrice,3)))),0))</f>
        <v>21.141109259700052</v>
      </c>
      <c r="O24" s="255">
        <f>IF(A24="N/A"," ",IF(AND('Pricing Inputs'!$AQ$3&gt;=1,'Pricing Inputs'!$AQ$3&lt;=3),VLOOKUP(A24,ScaledPrice,9),0))</f>
        <v>0</v>
      </c>
      <c r="P24" s="320">
        <f ca="1">IF($A24="N/A"," ",IF('Pricing Inputs'!$AN$8=2,(I24-H24),IF('Pricing Inputs'!$AN$3=2,IF((I24-$H24)&gt;0,I24-$H24,0),(_xll.xSPRDOPT(I24,$E24,$BU24,0,$BP24,$BS24,$BT24,($A24-Inputs!$D$1)+15,1,0)))))</f>
        <v>7.5316524702530128</v>
      </c>
      <c r="Q24" s="320">
        <f ca="1">IF($A24="N/A"," ",IF('Pricing Inputs'!$AN$8=2,(J24-$H24),IF('Pricing Inputs'!$AN$3=2,IF((J24-$H24)&gt;0,J24-$H24,0),(_xll.xSPRDOPT(J24,$E24,$BU24,0,$BP24,$BS24,$BT24,($A24-Inputs!$D$1)+15,1,0)))))</f>
        <v>3.1461707000112962</v>
      </c>
      <c r="R24" s="320">
        <f ca="1">IF($A24="N/A"," ",IF('Pricing Inputs'!$AN$8=2,(K24-$H24),IF('Pricing Inputs'!$AN$3=2,IF((K24-$H24)&gt;0,K24-$H24,0),(_xll.xSPRDOPT(K24,$E24,$BU24,0,$BP24,$BS24,$BT24,($A24-Inputs!$D$1)+15,1,0)))))</f>
        <v>1.1307240984378735</v>
      </c>
      <c r="S24" s="320">
        <f ca="1">IF($A24="N/A"," ",IF('Pricing Inputs'!$AN$8=2,(L24-$H24),IF('Pricing Inputs'!$AN$3=2,IF((L24-$H24)&gt;0,L24-$H24,0),(_xll.xSPRDOPT(L24,$E24,$BU24,0,$BP24,$BS24,$BT24,($A24-Inputs!$D$1)+15,1,0)))))</f>
        <v>0.25244622745152523</v>
      </c>
      <c r="T24" s="320">
        <f ca="1">IF($A24="N/A"," ",IF('Pricing Inputs'!$AN$8=2,(M24-$H24),IF('Pricing Inputs'!$AN$3=2,IF((M24-$H24)&gt;0,M24-$H24,0),(_xll.xSPRDOPT(M24,$E24,$BU24,0,$BP24,$BS24,$BT24,($A24-Inputs!$D$1)+15,1,0)))))</f>
        <v>1.3035292048092642</v>
      </c>
      <c r="U24" s="320">
        <f ca="1">IF($A24="N/A"," ",IF('Pricing Inputs'!$AN$8=2,(N24-$H24),IF('Pricing Inputs'!$AN$3=2,IF((N24-$H24)&gt;0,N24-$H24,0),(_xll.xSPRDOPT(N24,$E24,$BU24,0,$BP24,$BS24,$BT24,($A24-Inputs!$D$1)+15,1,0)))))</f>
        <v>0.3037806206157514</v>
      </c>
      <c r="V24" s="259">
        <f ca="1">IF($A24="N/A"," ",(IF('Pricing Inputs'!$AN$8=2,(O24-$H24),IF((O24-$H24)&lt;=0,0,(O24-$H24)))))</f>
        <v>0</v>
      </c>
      <c r="W24" s="306">
        <f ca="1">IF($A24="N/A"," ",IF(0&lt;&gt;P24,IF('Pricing Inputs'!$AN$3=2,8*VLOOKUP($A24,NumberofDaysTable,2),(_xll.xSPRDOPT(I24,$E24,$BU24,0,$BP24,$BS24,$BT24,$A24-Inputs!$D$1,1,1))*(8*VLOOKUP($A24,NumberofDaysTable,2))),0))</f>
        <v>128.56563138730542</v>
      </c>
      <c r="X24" s="306">
        <f ca="1">IF($A24="N/A"," ",IF(Q24&lt;&gt;0,IF('Pricing Inputs'!$AN$3=2,8*VLOOKUP($A24,NumberofDaysTable,2),(_xll.xSPRDOPT(J24,$E24,$BU24,0,$BP24,$BS24,$BT24,$A24-Inputs!$D$1,1,1))*(8*VLOOKUP($A24,NumberofDaysTable,2))),0))</f>
        <v>88.163105154599208</v>
      </c>
      <c r="Y24" s="306">
        <f ca="1">IF($A24="N/A"," ",IF(R24&lt;&gt;0,IF('Pricing Inputs'!$AN$3=2,8*VLOOKUP($A24,NumberofDaysTable,3),(_xll.xSPRDOPT(K24,$E24,$BU24,0,$BP24,$BS24,$BT24,$A24-Inputs!$D$1,1,1))*(8*VLOOKUP($A24,NumberofDaysTable,3))),0))</f>
        <v>9.6588421983186272</v>
      </c>
      <c r="Z24" s="306">
        <f ca="1">IF($A24="N/A"," ",IF(S24&lt;&gt;0,IF('Pricing Inputs'!$AN$3=2,8*VLOOKUP($A24,NumberofDaysTable,3),(_xll.xSPRDOPT(L24,$E24,$BU24,0,$BP24,$BS24,$BT24,$A24-Inputs!$D$1,1,1))*(8*VLOOKUP($A24,NumberofDaysTable,3))),0))</f>
        <v>3.3533834674150946</v>
      </c>
      <c r="AA24" s="306">
        <f ca="1">IF($A24="N/A"," ",IF(T24&lt;&gt;0,IF('Pricing Inputs'!$AN$3=2,8*VLOOKUP($A24,NumberofDaysTable,4),(_xll.xSPRDOPT(M24,$E24,$BU24,0,$BP24,$BS24,$BT24,$A24-Inputs!$D$1,1,1))*(8*VLOOKUP($A24,NumberofDaysTable,4))),0))</f>
        <v>13.224929570320201</v>
      </c>
      <c r="AB24" s="306">
        <f ca="1">IF($A24="N/A"," ",IF(U24&lt;&gt;0,IF('Pricing Inputs'!$AN$3=2,8*VLOOKUP($A24,NumberofDaysTable,4),(_xll.xSPRDOPT(N24,$E24,$BU24,0,$BP24,$BS24,$BT24,$A24-Inputs!$D$1,1,1))*(8*VLOOKUP($A24,NumberofDaysTable,4))),0))</f>
        <v>4.8136638806992789</v>
      </c>
      <c r="AC24" s="306">
        <f t="shared" ca="1" si="21"/>
        <v>0</v>
      </c>
      <c r="AD24" s="274">
        <f t="shared" ca="1" si="57"/>
        <v>13</v>
      </c>
      <c r="AE24" s="275">
        <f t="shared" ca="1" si="58"/>
        <v>21</v>
      </c>
      <c r="AF24" s="275">
        <f t="shared" ca="1" si="59"/>
        <v>29</v>
      </c>
      <c r="AG24" s="275">
        <f t="shared" ca="1" si="60"/>
        <v>44</v>
      </c>
      <c r="AH24" s="275">
        <f t="shared" ca="1" si="61"/>
        <v>27</v>
      </c>
      <c r="AI24" s="275">
        <f t="shared" ca="1" si="62"/>
        <v>40</v>
      </c>
      <c r="AJ24" s="276">
        <f t="shared" ca="1" si="63"/>
        <v>73</v>
      </c>
      <c r="AK24" s="314">
        <f t="shared" ca="1" si="43"/>
        <v>128.56563138730542</v>
      </c>
      <c r="AL24" s="315">
        <f t="shared" ca="1" si="44"/>
        <v>88.163105154599208</v>
      </c>
      <c r="AM24" s="315">
        <f t="shared" ca="1" si="45"/>
        <v>9.6588421983186272</v>
      </c>
      <c r="AN24" s="315">
        <f t="shared" ca="1" si="46"/>
        <v>3.3533834674150946</v>
      </c>
      <c r="AO24" s="315">
        <f t="shared" ca="1" si="47"/>
        <v>13.224929570320201</v>
      </c>
      <c r="AP24" s="315">
        <f t="shared" ca="1" si="48"/>
        <v>4.8136638806992789</v>
      </c>
      <c r="AQ24" s="315">
        <f t="shared" ca="1" si="49"/>
        <v>0</v>
      </c>
      <c r="AR24" s="275"/>
      <c r="AS24" s="321">
        <f t="shared" ca="1" si="50"/>
        <v>0</v>
      </c>
      <c r="AT24" s="324">
        <f t="shared" ca="1" si="51"/>
        <v>0</v>
      </c>
      <c r="AU24" s="324">
        <f t="shared" ca="1" si="52"/>
        <v>0</v>
      </c>
      <c r="AV24" s="324">
        <f t="shared" ca="1" si="53"/>
        <v>0</v>
      </c>
      <c r="AW24" s="324">
        <f t="shared" ca="1" si="54"/>
        <v>0</v>
      </c>
      <c r="AX24" s="324">
        <f t="shared" ca="1" si="55"/>
        <v>0</v>
      </c>
      <c r="AY24" s="324">
        <f t="shared" ca="1" si="56"/>
        <v>0</v>
      </c>
      <c r="AZ24" s="328"/>
      <c r="BA24" s="267">
        <f ca="1">IF($A24="N/A"," ",(IF(MONTH(A24)&gt;=4,IF(MONTH(A24)&lt;=10,Inputs!$F$13,Inputs!$F$14),Inputs!$F$14))*$BW24)</f>
        <v>180</v>
      </c>
      <c r="BB24" s="268">
        <f t="shared" ca="1" si="64"/>
        <v>216911.59114328676</v>
      </c>
      <c r="BC24" s="268">
        <f t="shared" ca="1" si="65"/>
        <v>90609.716160325333</v>
      </c>
      <c r="BD24" s="268">
        <f t="shared" ca="1" si="31"/>
        <v>6512.9708070021516</v>
      </c>
      <c r="BE24" s="268">
        <f t="shared" ca="1" si="32"/>
        <v>1454.0902701207854</v>
      </c>
      <c r="BF24" s="268">
        <f t="shared" ca="1" si="33"/>
        <v>11262.492329552042</v>
      </c>
      <c r="BG24" s="268">
        <f t="shared" ca="1" si="34"/>
        <v>2624.6645621200919</v>
      </c>
      <c r="BH24" s="268">
        <f t="shared" ca="1" si="41"/>
        <v>0</v>
      </c>
      <c r="BI24" s="268">
        <f t="shared" ca="1" si="36"/>
        <v>329375.52527240722</v>
      </c>
      <c r="BJ24" s="296">
        <f t="shared" ca="1" si="37"/>
        <v>1302808.7979821051</v>
      </c>
      <c r="BK24" s="296">
        <f t="shared" ca="1" si="38"/>
        <v>1213608.1579449885</v>
      </c>
      <c r="BL24" s="296">
        <f t="shared" ca="1" si="39"/>
        <v>89200.640037116813</v>
      </c>
      <c r="BM24" s="296">
        <f t="shared" ca="1" si="40"/>
        <v>0</v>
      </c>
      <c r="BN24" s="405">
        <f>IF(A24="N/A"," ",(VLOOKUP(A24,PowerVolTable,(IF('Pricing Inputs'!$AT$3=2,7,IF('Pricing Inputs'!$AT$3=1,6,8))),FALSE)))</f>
        <v>0.25179750000000001</v>
      </c>
      <c r="BO24" s="405">
        <f>IF(A24="N/A"," ",(VLOOKUP(A24,IntraPowerVol,(IF('Pricing Inputs'!$AT$3=2,3,IF('Pricing Inputs'!$AT$3=1,2,4))),FALSE)*VLOOKUP(MONTH($A24),Inputs!$A$28:$B$39,2)))</f>
        <v>1.4375</v>
      </c>
      <c r="BP24" s="406">
        <f t="shared" ca="1" si="15"/>
        <v>0.3093700155079131</v>
      </c>
      <c r="BQ24" s="405">
        <f ca="1">IF($A24="N/A"," ",(VLOOKUP($A24,GasVolTable,(IF('Pricing Inputs'!$AT$3=2,6,IF('Pricing Inputs'!$AT$3=1,7,5))),FALSE)))</f>
        <v>0.18100000000000002</v>
      </c>
      <c r="BR24" s="405">
        <f ca="1">IF($A24="N/A"," ",(VLOOKUP($A24,OmicronVol,(IF('Pricing Inputs'!$AT$3=2,3,IF('Pricing Inputs'!$AT$3=1,4,2))),FALSE)))</f>
        <v>0.6</v>
      </c>
      <c r="BS24" s="406">
        <f ca="1">IF($A24="N/A"," ",IF('Pricing Inputs'!$AN$3=1,(IF(DateToday&gt;$A24,$BR24,((($BQ24^2)*((($A24-1)-DateToday)/((EOMONTH($A24,0)+1)-DateToday-15)))+((($BR24)^2)*((15)/((EOMONTH($A24,0)+1)-DateToday-15))))^0.5)),0.0001))</f>
        <v>0.19497466678944517</v>
      </c>
      <c r="BT24" s="405">
        <f>IF($A24="N/A"," ",IF('Pricing Inputs'!$AN$3=1,(VLOOKUP($A24,CorrelationTable,2,FALSE)),0))</f>
        <v>0.9</v>
      </c>
      <c r="BU24" s="407">
        <f ca="1">IF($A24="N/A"," ",F24+G24+(D24*(VLOOKUP($A24,'Gas Curves'!$B$17:$P$310,14,FALSE))))</f>
        <v>2.6825000000000001</v>
      </c>
      <c r="BV24" s="405">
        <f>IF($A24="N/A"," ",IF('Pricing Inputs'!$AW$3=1,0,(VLOOKUP($A24,InterestRatesTable,2))))</f>
        <v>0</v>
      </c>
      <c r="BW24" s="408">
        <f t="shared" ca="1" si="16"/>
        <v>1</v>
      </c>
    </row>
    <row r="25" spans="1:75">
      <c r="A25" s="248">
        <f>IF(A24="N/A","N/A",IF(EDATE(A24,1)&gt;Inputs!$K$3,"N/A",EDATE(A24,1)))</f>
        <v>37530</v>
      </c>
      <c r="B25" s="262">
        <f t="shared" si="17"/>
        <v>2002</v>
      </c>
      <c r="C25" s="249">
        <f t="shared" ca="1" si="18"/>
        <v>2.6175000000000002</v>
      </c>
      <c r="D25" s="250">
        <f>IF(A25="N/A"," ",(VLOOKUP(MONTH($A25),Inputs!$A$14:$B$25,2))/1000)</f>
        <v>10.5</v>
      </c>
      <c r="E25" s="304">
        <f t="shared" ca="1" si="19"/>
        <v>27.483750000000001</v>
      </c>
      <c r="F25" s="251">
        <f>IF(A25="N/A"," ",Inputs!$F$6)</f>
        <v>2</v>
      </c>
      <c r="G25" s="251">
        <f ca="1">IF(A25="N/A"," ",Inputs!$F$9/IF(AND('Pricing Inputs'!$AQ$3&gt;=4,'Pricing Inputs'!$AQ$3&lt;=6),16,IF(AND('Pricing Inputs'!$AQ$3&gt;=7,'Pricing Inputs'!$AQ$3&lt;=9),8,24))/(BA25/BW25))</f>
        <v>0</v>
      </c>
      <c r="H25" s="252">
        <f t="shared" ca="1" si="20"/>
        <v>29.483750000000001</v>
      </c>
      <c r="I25" s="255">
        <f>VLOOKUP(A25,ScaledPrice,(IF(AND('Pricing Inputs'!$AQ$3&gt;=1,'Pricing Inputs'!$AQ$3&lt;=6),2,4)))</f>
        <v>30.347943750000002</v>
      </c>
      <c r="J25" s="255">
        <f>IF(A25="N/A"," ",IF(AND('Pricing Inputs'!$AQ$3&gt;=1,'Pricing Inputs'!$AQ$3&lt;=6),I25,(VLOOKUP(A25,ScaledPrice,2))*(2-(VLOOKUP(A25,ScaledPrice,3)))))</f>
        <v>31.152056249999998</v>
      </c>
      <c r="K25" s="255">
        <f>IF(A25="N/A"," ",IF(OR('Pricing Inputs'!$AQ$3=2,'Pricing Inputs'!$AQ$3=3,'Pricing Inputs'!$AQ$3=5,'Pricing Inputs'!$AQ$3=6,'Pricing Inputs'!$AQ$3=8,'Pricing Inputs'!$AQ$3=9),VLOOKUP(A25,ScaledPrice,IF(AND('Pricing Inputs'!$AQ$3&gt;=2,'Pricing Inputs'!$AQ$3&lt;=6),5,6)),0))</f>
        <v>22.699768567914962</v>
      </c>
      <c r="L25" s="255">
        <f>IF(A25="N/A"," ",IF(OR('Pricing Inputs'!$AQ$3=2,'Pricing Inputs'!$AQ$3=3,'Pricing Inputs'!$AQ$3=5,'Pricing Inputs'!$AQ$3=6,'Pricing Inputs'!$AQ$3=8,'Pricing Inputs'!$AQ$3=9),IF(AND('Pricing Inputs'!$AQ$3&gt;=2,'Pricing Inputs'!$AQ$3&lt;=6),K25,(VLOOKUP(A25,ScaledPrice,5))*(2-(VLOOKUP(A25,ScaledPrice,3)))),0))</f>
        <v>23.301231645708082</v>
      </c>
      <c r="M25" s="255">
        <f>IF(A25="N/A"," ",IF(OR('Pricing Inputs'!$AQ$3=3,'Pricing Inputs'!$AQ$3=6,'Pricing Inputs'!$AQ$3=9),(VLOOKUP(A25,ScaledPrice,IF(AND('Pricing Inputs'!$AQ$3&gt;=3,'Pricing Inputs'!$AQ$3&lt;=6),7,8))),0))</f>
        <v>20.726411759347915</v>
      </c>
      <c r="N25" s="255">
        <f>IF(A25="N/A"," ",IF(OR('Pricing Inputs'!$AQ$3=3,'Pricing Inputs'!$AQ$3=6,'Pricing Inputs'!$AQ$3=9),IF(AND('Pricing Inputs'!$AQ$3&gt;=3,'Pricing Inputs'!$AQ$3&lt;=6),M25,(VLOOKUP(A25,ScaledPrice,7))*(2-(VLOOKUP(A25,ScaledPrice,3)))),0))</f>
        <v>21.275587904958723</v>
      </c>
      <c r="O25" s="255">
        <f>IF(A25="N/A"," ",IF(AND('Pricing Inputs'!$AQ$3&gt;=1,'Pricing Inputs'!$AQ$3&lt;=3),VLOOKUP(A25,ScaledPrice,9),0))</f>
        <v>0</v>
      </c>
      <c r="P25" s="320">
        <f ca="1">IF($A25="N/A"," ",IF('Pricing Inputs'!$AN$8=2,(I25-H25),IF('Pricing Inputs'!$AN$3=2,IF((I25-$H25)&gt;0,I25-$H25,0),(_xll.xSPRDOPT(I25,$E25,$BU25,0,$BP25,$BS25,$BT25,($A25-Inputs!$D$1)+15,1,0)))))</f>
        <v>2.8195214407702238</v>
      </c>
      <c r="Q25" s="320">
        <f ca="1">IF($A25="N/A"," ",IF('Pricing Inputs'!$AN$8=2,(J25-$H25),IF('Pricing Inputs'!$AN$3=2,IF((J25-$H25)&gt;0,J25-$H25,0),(_xll.xSPRDOPT(J25,$E25,$BU25,0,$BP25,$BS25,$BT25,($A25-Inputs!$D$1)+15,1,0)))))</f>
        <v>3.2860070116234743</v>
      </c>
      <c r="R25" s="320">
        <f ca="1">IF($A25="N/A"," ",IF('Pricing Inputs'!$AN$8=2,(K25-$H25),IF('Pricing Inputs'!$AN$3=2,IF((K25-$H25)&gt;0,K25-$H25,0),(_xll.xSPRDOPT(K25,$E25,$BU25,0,$BP25,$BS25,$BT25,($A25-Inputs!$D$1)+15,1,0)))))</f>
        <v>0.28920625420058965</v>
      </c>
      <c r="S25" s="320">
        <f ca="1">IF($A25="N/A"," ",IF('Pricing Inputs'!$AN$8=2,(L25-$H25),IF('Pricing Inputs'!$AN$3=2,IF((L25-$H25)&gt;0,L25-$H25,0),(_xll.xSPRDOPT(L25,$E25,$BU25,0,$BP25,$BS25,$BT25,($A25-Inputs!$D$1)+15,1,0)))))</f>
        <v>0.37254828025399223</v>
      </c>
      <c r="T25" s="320">
        <f ca="1">IF($A25="N/A"," ",IF('Pricing Inputs'!$AN$8=2,(M25-$H25),IF('Pricing Inputs'!$AN$3=2,IF((M25-$H25)&gt;0,M25-$H25,0),(_xll.xSPRDOPT(M25,$E25,$BU25,0,$BP25,$BS25,$BT25,($A25-Inputs!$D$1)+15,1,0)))))</f>
        <v>0.11039879510467908</v>
      </c>
      <c r="U25" s="320">
        <f ca="1">IF($A25="N/A"," ",IF('Pricing Inputs'!$AN$8=2,(N25-$H25),IF('Pricing Inputs'!$AN$3=2,IF((N25-$H25)&gt;0,N25-$H25,0),(_xll.xSPRDOPT(N25,$E25,$BU25,0,$BP25,$BS25,$BT25,($A25-Inputs!$D$1)+15,1,0)))))</f>
        <v>0.14758425984475934</v>
      </c>
      <c r="V25" s="259">
        <f ca="1">IF($A25="N/A"," ",(IF('Pricing Inputs'!$AN$8=2,(O25-$H25),IF((O25-$H25)&lt;=0,0,(O25-$H25)))))</f>
        <v>0</v>
      </c>
      <c r="W25" s="306">
        <f ca="1">IF($A25="N/A"," ",IF(0&lt;&gt;P25,IF('Pricing Inputs'!$AN$3=2,8*VLOOKUP($A25,NumberofDaysTable,2),(_xll.xSPRDOPT(I25,$E25,$BU25,0,$BP25,$BS25,$BT25,$A25-Inputs!$D$1,1,1))*(8*VLOOKUP($A25,NumberofDaysTable,2))),0))</f>
        <v>102.50352295470741</v>
      </c>
      <c r="X25" s="306">
        <f ca="1">IF($A25="N/A"," ",IF(Q25&lt;&gt;0,IF('Pricing Inputs'!$AN$3=2,8*VLOOKUP($A25,NumberofDaysTable,2),(_xll.xSPRDOPT(J25,$E25,$BU25,0,$BP25,$BS25,$BT25,$A25-Inputs!$D$1,1,1))*(8*VLOOKUP($A25,NumberofDaysTable,2))),0))</f>
        <v>110.87464230016926</v>
      </c>
      <c r="Y25" s="306">
        <f ca="1">IF($A25="N/A"," ",IF(R25&lt;&gt;0,IF('Pricing Inputs'!$AN$3=2,8*VLOOKUP($A25,NumberofDaysTable,3),(_xll.xSPRDOPT(K25,$E25,$BU25,0,$BP25,$BS25,$BT25,$A25-Inputs!$D$1,1,1))*(8*VLOOKUP($A25,NumberofDaysTable,3))),0))</f>
        <v>3.9567742834847781</v>
      </c>
      <c r="Z25" s="306">
        <f ca="1">IF($A25="N/A"," ",IF(S25&lt;&gt;0,IF('Pricing Inputs'!$AN$3=2,8*VLOOKUP($A25,NumberofDaysTable,3),(_xll.xSPRDOPT(L25,$E25,$BU25,0,$BP25,$BS25,$BT25,$A25-Inputs!$D$1,1,1))*(8*VLOOKUP($A25,NumberofDaysTable,3))),0))</f>
        <v>4.7787486124973597</v>
      </c>
      <c r="AA25" s="306">
        <f ca="1">IF($A25="N/A"," ",IF(T25&lt;&gt;0,IF('Pricing Inputs'!$AN$3=2,8*VLOOKUP($A25,NumberofDaysTable,4),(_xll.xSPRDOPT(M25,$E25,$BU25,0,$BP25,$BS25,$BT25,$A25-Inputs!$D$1,1,1))*(8*VLOOKUP($A25,NumberofDaysTable,4))),0))</f>
        <v>1.8745269758507666</v>
      </c>
      <c r="AB25" s="306">
        <f ca="1">IF($A25="N/A"," ",IF(U25&lt;&gt;0,IF('Pricing Inputs'!$AN$3=2,8*VLOOKUP($A25,NumberofDaysTable,4),(_xll.xSPRDOPT(N25,$E25,$BU25,0,$BP25,$BS25,$BT25,$A25-Inputs!$D$1,1,1))*(8*VLOOKUP($A25,NumberofDaysTable,4))),0))</f>
        <v>2.3581129503466149</v>
      </c>
      <c r="AC25" s="306">
        <f t="shared" ca="1" si="21"/>
        <v>0</v>
      </c>
      <c r="AD25" s="274">
        <f t="shared" ca="1" si="57"/>
        <v>22</v>
      </c>
      <c r="AE25" s="275">
        <f t="shared" ca="1" si="58"/>
        <v>20</v>
      </c>
      <c r="AF25" s="275">
        <f t="shared" ca="1" si="59"/>
        <v>41</v>
      </c>
      <c r="AG25" s="275">
        <f t="shared" ca="1" si="60"/>
        <v>38</v>
      </c>
      <c r="AH25" s="275">
        <f t="shared" ca="1" si="61"/>
        <v>52</v>
      </c>
      <c r="AI25" s="275">
        <f t="shared" ca="1" si="62"/>
        <v>50</v>
      </c>
      <c r="AJ25" s="276">
        <f t="shared" ca="1" si="63"/>
        <v>73</v>
      </c>
      <c r="AK25" s="314">
        <f t="shared" ca="1" si="43"/>
        <v>102.50352295470741</v>
      </c>
      <c r="AL25" s="315">
        <f t="shared" ca="1" si="44"/>
        <v>110.87464230016926</v>
      </c>
      <c r="AM25" s="315">
        <f t="shared" ca="1" si="45"/>
        <v>3.9567742834847781</v>
      </c>
      <c r="AN25" s="315">
        <f t="shared" ca="1" si="46"/>
        <v>4.7787486124973597</v>
      </c>
      <c r="AO25" s="315">
        <f t="shared" ca="1" si="47"/>
        <v>1.8745269758507666</v>
      </c>
      <c r="AP25" s="315">
        <f t="shared" ca="1" si="48"/>
        <v>2.3581129503466149</v>
      </c>
      <c r="AQ25" s="315">
        <f t="shared" ca="1" si="49"/>
        <v>0</v>
      </c>
      <c r="AR25" s="287" t="s">
        <v>1292</v>
      </c>
      <c r="AS25" s="321">
        <f t="shared" ca="1" si="50"/>
        <v>0</v>
      </c>
      <c r="AT25" s="324">
        <f t="shared" ca="1" si="51"/>
        <v>0</v>
      </c>
      <c r="AU25" s="324">
        <f t="shared" ca="1" si="52"/>
        <v>0</v>
      </c>
      <c r="AV25" s="324">
        <f t="shared" ca="1" si="53"/>
        <v>0</v>
      </c>
      <c r="AW25" s="324">
        <f t="shared" ca="1" si="54"/>
        <v>0</v>
      </c>
      <c r="AX25" s="324">
        <f t="shared" ca="1" si="55"/>
        <v>0</v>
      </c>
      <c r="AY25" s="324">
        <f t="shared" ca="1" si="56"/>
        <v>0</v>
      </c>
      <c r="AZ25" s="283" t="s">
        <v>1304</v>
      </c>
      <c r="BA25" s="267">
        <f ca="1">IF($A25="N/A"," ",(IF(MONTH(A25)&gt;=4,IF(MONTH(A25)&lt;=10,Inputs!$F$13,Inputs!$F$14),Inputs!$F$14))*$BW25)</f>
        <v>180</v>
      </c>
      <c r="BB25" s="268">
        <f t="shared" ca="1" si="64"/>
        <v>93382.550118309809</v>
      </c>
      <c r="BC25" s="268">
        <f t="shared" ca="1" si="65"/>
        <v>108832.55222496946</v>
      </c>
      <c r="BD25" s="268">
        <f t="shared" ca="1" si="31"/>
        <v>1665.8280241953964</v>
      </c>
      <c r="BE25" s="268">
        <f t="shared" ca="1" si="32"/>
        <v>2145.8780942629951</v>
      </c>
      <c r="BF25" s="268">
        <f t="shared" ca="1" si="33"/>
        <v>635.8970598029515</v>
      </c>
      <c r="BG25" s="268">
        <f t="shared" ca="1" si="34"/>
        <v>850.0853367058138</v>
      </c>
      <c r="BH25" s="268">
        <f t="shared" ca="1" si="41"/>
        <v>0</v>
      </c>
      <c r="BI25" s="268">
        <f t="shared" ca="1" si="36"/>
        <v>207512.79085824644</v>
      </c>
      <c r="BJ25" s="296">
        <f t="shared" ca="1" si="37"/>
        <v>1201236.9390795429</v>
      </c>
      <c r="BK25" s="296">
        <f t="shared" ca="1" si="38"/>
        <v>1119752.2609718025</v>
      </c>
      <c r="BL25" s="296">
        <f t="shared" ca="1" si="39"/>
        <v>81484.678107740227</v>
      </c>
      <c r="BM25" s="296">
        <f t="shared" ca="1" si="40"/>
        <v>0</v>
      </c>
      <c r="BN25" s="405">
        <f>IF(A25="N/A"," ",(VLOOKUP(A25,PowerVolTable,(IF('Pricing Inputs'!$AT$3=2,7,IF('Pricing Inputs'!$AT$3=1,6,8))),FALSE)))</f>
        <v>0.229995</v>
      </c>
      <c r="BO25" s="405">
        <f>IF(A25="N/A"," ",(VLOOKUP(A25,IntraPowerVol,(IF('Pricing Inputs'!$AT$3=2,3,IF('Pricing Inputs'!$AT$3=1,2,4))),FALSE)*VLOOKUP(MONTH($A25),Inputs!$A$28:$B$39,2)))</f>
        <v>1.2649999999999999</v>
      </c>
      <c r="BP25" s="406">
        <f t="shared" ca="1" si="15"/>
        <v>0.27746996459978368</v>
      </c>
      <c r="BQ25" s="405">
        <f ca="1">IF($A25="N/A"," ",(VLOOKUP($A25,GasVolTable,(IF('Pricing Inputs'!$AT$3=2,6,IF('Pricing Inputs'!$AT$3=1,7,5))),FALSE)))</f>
        <v>0.18100000000000002</v>
      </c>
      <c r="BR25" s="405">
        <f ca="1">IF($A25="N/A"," ",(VLOOKUP($A25,OmicronVol,(IF('Pricing Inputs'!$AT$3=2,3,IF('Pricing Inputs'!$AT$3=1,4,2))),FALSE)))</f>
        <v>0.65</v>
      </c>
      <c r="BS25" s="406">
        <f ca="1">IF($A25="N/A"," ",IF('Pricing Inputs'!$AN$3=1,(IF(DateToday&gt;$A25,$BR25,((($BQ25^2)*((($A25-1)-DateToday)/((EOMONTH($A25,0)+1)-DateToday-15)))+((($BR25)^2)*((15)/((EOMONTH($A25,0)+1)-DateToday-15))))^0.5)),0.0001))</f>
        <v>0.19694846697657048</v>
      </c>
      <c r="BT25" s="405">
        <f>IF($A25="N/A"," ",IF('Pricing Inputs'!$AN$3=1,(VLOOKUP($A25,CorrelationTable,2,FALSE)),0))</f>
        <v>0.9</v>
      </c>
      <c r="BU25" s="407">
        <f ca="1">IF($A25="N/A"," ",F25+G25+(D25*(VLOOKUP($A25,'Gas Curves'!$B$17:$P$310,14,FALSE))))</f>
        <v>2.6825000000000001</v>
      </c>
      <c r="BV25" s="405">
        <f>IF($A25="N/A"," ",IF('Pricing Inputs'!$AW$3=1,0,(VLOOKUP($A25,InterestRatesTable,2))))</f>
        <v>0</v>
      </c>
      <c r="BW25" s="408">
        <f t="shared" ca="1" si="16"/>
        <v>1</v>
      </c>
    </row>
    <row r="26" spans="1:75">
      <c r="A26" s="248">
        <f>IF(A25="N/A","N/A",IF(EDATE(A25,1)&gt;Inputs!$K$3,"N/A",EDATE(A25,1)))</f>
        <v>37561</v>
      </c>
      <c r="B26" s="262">
        <f t="shared" si="17"/>
        <v>2002</v>
      </c>
      <c r="C26" s="249">
        <f t="shared" ca="1" si="18"/>
        <v>3.5199999999999996</v>
      </c>
      <c r="D26" s="250">
        <f>IF(A26="N/A"," ",(VLOOKUP(MONTH($A26),Inputs!$A$14:$B$25,2))/1000)</f>
        <v>10.5</v>
      </c>
      <c r="E26" s="304">
        <f t="shared" ca="1" si="19"/>
        <v>36.959999999999994</v>
      </c>
      <c r="F26" s="251">
        <f>IF(A26="N/A"," ",Inputs!$F$6)</f>
        <v>2</v>
      </c>
      <c r="G26" s="251">
        <f ca="1">IF(A26="N/A"," ",Inputs!$F$9/IF(AND('Pricing Inputs'!$AQ$3&gt;=4,'Pricing Inputs'!$AQ$3&lt;=6),16,IF(AND('Pricing Inputs'!$AQ$3&gt;=7,'Pricing Inputs'!$AQ$3&lt;=9),8,24))/(BA26/BW26))</f>
        <v>0</v>
      </c>
      <c r="H26" s="252">
        <f t="shared" ca="1" si="20"/>
        <v>38.959999999999994</v>
      </c>
      <c r="I26" s="255">
        <f>VLOOKUP(A26,ScaledPrice,(IF(AND('Pricing Inputs'!$AQ$3&gt;=1,'Pricing Inputs'!$AQ$3&lt;=6),2,4)))</f>
        <v>30.789628125</v>
      </c>
      <c r="J26" s="255">
        <f>IF(A26="N/A"," ",IF(AND('Pricing Inputs'!$AQ$3&gt;=1,'Pricing Inputs'!$AQ$3&lt;=6),I26,(VLOOKUP(A26,ScaledPrice,2))*(2-(VLOOKUP(A26,ScaledPrice,3)))))</f>
        <v>31.460371875</v>
      </c>
      <c r="K26" s="255">
        <f>IF(A26="N/A"," ",IF(OR('Pricing Inputs'!$AQ$3=2,'Pricing Inputs'!$AQ$3=3,'Pricing Inputs'!$AQ$3=5,'Pricing Inputs'!$AQ$3=6,'Pricing Inputs'!$AQ$3=8,'Pricing Inputs'!$AQ$3=9),VLOOKUP(A26,ScaledPrice,IF(AND('Pricing Inputs'!$AQ$3&gt;=2,'Pricing Inputs'!$AQ$3&lt;=6),5,6)),0))</f>
        <v>23.746100388565061</v>
      </c>
      <c r="L26" s="255">
        <f>IF(A26="N/A"," ",IF(OR('Pricing Inputs'!$AQ$3=2,'Pricing Inputs'!$AQ$3=3,'Pricing Inputs'!$AQ$3=5,'Pricing Inputs'!$AQ$3=6,'Pricing Inputs'!$AQ$3=8,'Pricing Inputs'!$AQ$3=9),IF(AND('Pricing Inputs'!$AQ$3&gt;=2,'Pricing Inputs'!$AQ$3&lt;=6),K26,(VLOOKUP(A26,ScaledPrice,5))*(2-(VLOOKUP(A26,ScaledPrice,3)))),0))</f>
        <v>24.263402785263061</v>
      </c>
      <c r="M26" s="255">
        <f>IF(A26="N/A"," ",IF(OR('Pricing Inputs'!$AQ$3=3,'Pricing Inputs'!$AQ$3=6,'Pricing Inputs'!$AQ$3=9),(VLOOKUP(A26,ScaledPrice,IF(AND('Pricing Inputs'!$AQ$3&gt;=3,'Pricing Inputs'!$AQ$3&lt;=6),7,8))),0))</f>
        <v>21.767401331367491</v>
      </c>
      <c r="N26" s="255">
        <f>IF(A26="N/A"," ",IF(OR('Pricing Inputs'!$AQ$3=3,'Pricing Inputs'!$AQ$3=6,'Pricing Inputs'!$AQ$3=9),IF(AND('Pricing Inputs'!$AQ$3&gt;=3,'Pricing Inputs'!$AQ$3&lt;=6),M26,(VLOOKUP(A26,ScaledPrice,7))*(2-(VLOOKUP(A26,ScaledPrice,3)))),0))</f>
        <v>22.241598302421568</v>
      </c>
      <c r="O26" s="255">
        <f>IF(A26="N/A"," ",IF(AND('Pricing Inputs'!$AQ$3&gt;=1,'Pricing Inputs'!$AQ$3&lt;=3),VLOOKUP(A26,ScaledPrice,9),0))</f>
        <v>0</v>
      </c>
      <c r="P26" s="320">
        <f ca="1">IF($A26="N/A"," ",IF('Pricing Inputs'!$AN$8=2,(I26-H26),IF('Pricing Inputs'!$AN$3=2,IF((I26-$H26)&gt;0,I26-$H26,0),(_xll.xSPRDOPT(I26,$E26,$BU26,0,$BP26,$BS26,$BT26,($A26-Inputs!$D$1)+15,1,0)))))</f>
        <v>0.53652858515424717</v>
      </c>
      <c r="Q26" s="320">
        <f ca="1">IF($A26="N/A"," ",IF('Pricing Inputs'!$AN$8=2,(J26-$H26),IF('Pricing Inputs'!$AN$3=2,IF((J26-$H26)&gt;0,J26-$H26,0),(_xll.xSPRDOPT(J26,$E26,$BU26,0,$BP26,$BS26,$BT26,($A26-Inputs!$D$1)+15,1,0)))))</f>
        <v>0.65247319758802558</v>
      </c>
      <c r="R26" s="320">
        <f ca="1">IF($A26="N/A"," ",IF('Pricing Inputs'!$AN$8=2,(K26-$H26),IF('Pricing Inputs'!$AN$3=2,IF((K26-$H26)&gt;0,K26-$H26,0),(_xll.xSPRDOPT(K26,$E26,$BU26,0,$BP26,$BS26,$BT26,($A26-Inputs!$D$1)+15,1,0)))))</f>
        <v>2.9193927416736813E-2</v>
      </c>
      <c r="S26" s="320">
        <f ca="1">IF($A26="N/A"," ",IF('Pricing Inputs'!$AN$8=2,(L26-$H26),IF('Pricing Inputs'!$AN$3=2,IF((L26-$H26)&gt;0,L26-$H26,0),(_xll.xSPRDOPT(L26,$E26,$BU26,0,$BP26,$BS26,$BT26,($A26-Inputs!$D$1)+15,1,0)))))</f>
        <v>3.8716486325247899E-2</v>
      </c>
      <c r="T26" s="320">
        <f ca="1">IF($A26="N/A"," ",IF('Pricing Inputs'!$AN$8=2,(M26-$H26),IF('Pricing Inputs'!$AN$3=2,IF((M26-$H26)&gt;0,M26-$H26,0),(_xll.xSPRDOPT(M26,$E26,$BU26,0,$BP26,$BS26,$BT26,($A26-Inputs!$D$1)+15,1,0)))))</f>
        <v>8.629799801954054E-3</v>
      </c>
      <c r="U26" s="320">
        <f ca="1">IF($A26="N/A"," ",IF('Pricing Inputs'!$AN$8=2,(N26-$H26),IF('Pricing Inputs'!$AN$3=2,IF((N26-$H26)&gt;0,N26-$H26,0),(_xll.xSPRDOPT(N26,$E26,$BU26,0,$BP26,$BS26,$BT26,($A26-Inputs!$D$1)+15,1,0)))))</f>
        <v>1.1810963536824584E-2</v>
      </c>
      <c r="V26" s="259">
        <f ca="1">IF($A26="N/A"," ",(IF('Pricing Inputs'!$AN$8=2,(O26-$H26),IF((O26-$H26)&lt;=0,0,(O26-$H26)))))</f>
        <v>0</v>
      </c>
      <c r="W26" s="306">
        <f ca="1">IF($A26="N/A"," ",IF(0&lt;&gt;P26,IF('Pricing Inputs'!$AN$3=2,8*VLOOKUP($A26,NumberofDaysTable,2),(_xll.xSPRDOPT(I26,$E26,$BU26,0,$BP26,$BS26,$BT26,$A26-Inputs!$D$1,1,1))*(8*VLOOKUP($A26,NumberofDaysTable,2))),0))</f>
        <v>25.376465435612971</v>
      </c>
      <c r="X26" s="306">
        <f ca="1">IF($A26="N/A"," ",IF(Q26&lt;&gt;0,IF('Pricing Inputs'!$AN$3=2,8*VLOOKUP($A26,NumberofDaysTable,2),(_xll.xSPRDOPT(J26,$E26,$BU26,0,$BP26,$BS26,$BT26,$A26-Inputs!$D$1,1,1))*(8*VLOOKUP($A26,NumberofDaysTable,2))),0))</f>
        <v>29.249127169747492</v>
      </c>
      <c r="Y26" s="306">
        <f ca="1">IF($A26="N/A"," ",IF(R26&lt;&gt;0,IF('Pricing Inputs'!$AN$3=2,8*VLOOKUP($A26,NumberofDaysTable,3),(_xll.xSPRDOPT(K26,$E26,$BU26,0,$BP26,$BS26,$BT26,$A26-Inputs!$D$1,1,1))*(8*VLOOKUP($A26,NumberofDaysTable,3))),0))</f>
        <v>0.62394504383563099</v>
      </c>
      <c r="Z26" s="306">
        <f ca="1">IF($A26="N/A"," ",IF(S26&lt;&gt;0,IF('Pricing Inputs'!$AN$3=2,8*VLOOKUP($A26,NumberofDaysTable,3),(_xll.xSPRDOPT(L26,$E26,$BU26,0,$BP26,$BS26,$BT26,$A26-Inputs!$D$1,1,1))*(8*VLOOKUP($A26,NumberofDaysTable,3))),0))</f>
        <v>0.79072046731848189</v>
      </c>
      <c r="AA26" s="306">
        <f ca="1">IF($A26="N/A"," ",IF(T26&lt;&gt;0,IF('Pricing Inputs'!$AN$3=2,8*VLOOKUP($A26,NumberofDaysTable,4),(_xll.xSPRDOPT(M26,$E26,$BU26,0,$BP26,$BS26,$BT26,$A26-Inputs!$D$1,1,1))*(8*VLOOKUP($A26,NumberofDaysTable,4))),0))</f>
        <v>0.17614402628439998</v>
      </c>
      <c r="AB26" s="306">
        <f ca="1">IF($A26="N/A"," ",IF(U26&lt;&gt;0,IF('Pricing Inputs'!$AN$3=2,8*VLOOKUP($A26,NumberofDaysTable,4),(_xll.xSPRDOPT(N26,$E26,$BU26,0,$BP26,$BS26,$BT26,$A26-Inputs!$D$1,1,1))*(8*VLOOKUP($A26,NumberofDaysTable,4))),0))</f>
        <v>0.23093759182598159</v>
      </c>
      <c r="AC26" s="306">
        <f t="shared" ca="1" si="21"/>
        <v>0</v>
      </c>
      <c r="AD26" s="274">
        <f t="shared" ca="1" si="57"/>
        <v>35</v>
      </c>
      <c r="AE26" s="275">
        <f t="shared" ca="1" si="58"/>
        <v>33</v>
      </c>
      <c r="AF26" s="275">
        <f t="shared" ca="1" si="59"/>
        <v>60</v>
      </c>
      <c r="AG26" s="275">
        <f t="shared" ca="1" si="60"/>
        <v>59</v>
      </c>
      <c r="AH26" s="275">
        <f t="shared" ca="1" si="61"/>
        <v>66</v>
      </c>
      <c r="AI26" s="275">
        <f t="shared" ca="1" si="62"/>
        <v>65</v>
      </c>
      <c r="AJ26" s="276">
        <f t="shared" ca="1" si="63"/>
        <v>73</v>
      </c>
      <c r="AK26" s="314">
        <f t="shared" ca="1" si="43"/>
        <v>25.376465435612971</v>
      </c>
      <c r="AL26" s="315">
        <f t="shared" ca="1" si="44"/>
        <v>29.249127169747492</v>
      </c>
      <c r="AM26" s="315">
        <f t="shared" ca="1" si="45"/>
        <v>0.62394504383563099</v>
      </c>
      <c r="AN26" s="315">
        <f t="shared" ca="1" si="46"/>
        <v>0.79072046731848189</v>
      </c>
      <c r="AO26" s="315">
        <f t="shared" ca="1" si="47"/>
        <v>0.17614402628439998</v>
      </c>
      <c r="AP26" s="315">
        <f t="shared" ca="1" si="48"/>
        <v>0.23093759182598159</v>
      </c>
      <c r="AQ26" s="315">
        <f t="shared" ca="1" si="49"/>
        <v>0</v>
      </c>
      <c r="AR26" s="275">
        <f ca="1">SUM(AK16:AQ27)</f>
        <v>2494.4871206089588</v>
      </c>
      <c r="AS26" s="321">
        <f t="shared" ca="1" si="50"/>
        <v>0</v>
      </c>
      <c r="AT26" s="324">
        <f t="shared" ca="1" si="51"/>
        <v>0</v>
      </c>
      <c r="AU26" s="324">
        <f t="shared" ca="1" si="52"/>
        <v>0</v>
      </c>
      <c r="AV26" s="324">
        <f t="shared" ca="1" si="53"/>
        <v>0</v>
      </c>
      <c r="AW26" s="324">
        <f t="shared" ca="1" si="54"/>
        <v>0</v>
      </c>
      <c r="AX26" s="324">
        <f t="shared" ca="1" si="55"/>
        <v>0</v>
      </c>
      <c r="AY26" s="324">
        <f t="shared" ca="1" si="56"/>
        <v>0</v>
      </c>
      <c r="AZ26" s="276">
        <f ca="1">SUM(AS16:AY27)</f>
        <v>0</v>
      </c>
      <c r="BA26" s="267">
        <f ca="1">IF($A26="N/A"," ",(IF(MONTH(A26)&gt;=4,IF(MONTH(A26)&lt;=10,Inputs!$F$13,Inputs!$F$14),Inputs!$F$14))*$BW26)</f>
        <v>180</v>
      </c>
      <c r="BB26" s="268">
        <f t="shared" ca="1" si="64"/>
        <v>15452.023252442319</v>
      </c>
      <c r="BC26" s="268">
        <f t="shared" ca="1" si="65"/>
        <v>18791.228090535136</v>
      </c>
      <c r="BD26" s="268">
        <f t="shared" ca="1" si="31"/>
        <v>210.19627740050507</v>
      </c>
      <c r="BE26" s="268">
        <f t="shared" ca="1" si="32"/>
        <v>278.75870154178489</v>
      </c>
      <c r="BF26" s="268">
        <f t="shared" ca="1" si="33"/>
        <v>62.134558574069189</v>
      </c>
      <c r="BG26" s="268">
        <f t="shared" ca="1" si="34"/>
        <v>85.038937465136996</v>
      </c>
      <c r="BH26" s="268">
        <f t="shared" ca="1" si="41"/>
        <v>0</v>
      </c>
      <c r="BI26" s="268">
        <f t="shared" ca="1" si="36"/>
        <v>34879.379817958958</v>
      </c>
      <c r="BJ26" s="296">
        <f t="shared" ca="1" si="37"/>
        <v>395853.90409097786</v>
      </c>
      <c r="BK26" s="296">
        <f t="shared" ca="1" si="38"/>
        <v>375532.86178651289</v>
      </c>
      <c r="BL26" s="296">
        <f t="shared" ca="1" si="39"/>
        <v>20321.042304464987</v>
      </c>
      <c r="BM26" s="296">
        <f t="shared" ca="1" si="40"/>
        <v>0</v>
      </c>
      <c r="BN26" s="405">
        <f>IF(A26="N/A"," ",(VLOOKUP(A26,PowerVolTable,(IF('Pricing Inputs'!$AT$3=2,7,IF('Pricing Inputs'!$AT$3=1,6,8))),FALSE)))</f>
        <v>0.229995</v>
      </c>
      <c r="BO26" s="405">
        <f>IF(A26="N/A"," ",(VLOOKUP(A26,IntraPowerVol,(IF('Pricing Inputs'!$AT$3=2,3,IF('Pricing Inputs'!$AT$3=1,2,4))),FALSE)*VLOOKUP(MONTH($A26),Inputs!$A$28:$B$39,2)))</f>
        <v>1.4375</v>
      </c>
      <c r="BP26" s="406">
        <f t="shared" ca="1" si="15"/>
        <v>0.28876074231734705</v>
      </c>
      <c r="BQ26" s="405">
        <f ca="1">IF($A26="N/A"," ",(VLOOKUP($A26,GasVolTable,(IF('Pricing Inputs'!$AT$3=2,6,IF('Pricing Inputs'!$AT$3=1,7,5))),FALSE)))</f>
        <v>0.182</v>
      </c>
      <c r="BR26" s="405">
        <f ca="1">IF($A26="N/A"," ",(VLOOKUP($A26,OmicronVol,(IF('Pricing Inputs'!$AT$3=2,3,IF('Pricing Inputs'!$AT$3=1,4,2))),FALSE)))</f>
        <v>0.95</v>
      </c>
      <c r="BS26" s="406">
        <f ca="1">IF($A26="N/A"," ",IF('Pricing Inputs'!$AN$3=1,(IF(DateToday&gt;$A26,$BR26,((($BQ26^2)*((($A26-1)-DateToday)/((EOMONTH($A26,0)+1)-DateToday-15)))+((($BR26)^2)*((15)/((EOMONTH($A26,0)+1)-DateToday-15))))^0.5)),0.0001))</f>
        <v>0.2151190137830708</v>
      </c>
      <c r="BT26" s="405">
        <f>IF($A26="N/A"," ",IF('Pricing Inputs'!$AN$3=1,(VLOOKUP($A26,CorrelationTable,2,FALSE)),0))</f>
        <v>0.9</v>
      </c>
      <c r="BU26" s="407">
        <f ca="1">IF($A26="N/A"," ",F26+G26+(D26*(VLOOKUP($A26,'Gas Curves'!$B$17:$P$310,14,FALSE))))</f>
        <v>2.6825000000000001</v>
      </c>
      <c r="BV26" s="405">
        <f>IF($A26="N/A"," ",IF('Pricing Inputs'!$AW$3=1,0,(VLOOKUP($A26,InterestRatesTable,2))))</f>
        <v>0</v>
      </c>
      <c r="BW26" s="408">
        <f t="shared" ca="1" si="16"/>
        <v>1</v>
      </c>
    </row>
    <row r="27" spans="1:75">
      <c r="A27" s="248">
        <f>IF(A26="N/A","N/A",IF(EDATE(A26,1)&gt;Inputs!$K$3,"N/A",EDATE(A26,1)))</f>
        <v>37591</v>
      </c>
      <c r="B27" s="262">
        <f t="shared" si="17"/>
        <v>2002</v>
      </c>
      <c r="C27" s="249">
        <f t="shared" ca="1" si="18"/>
        <v>3.944</v>
      </c>
      <c r="D27" s="250">
        <f>IF(A27="N/A"," ",(VLOOKUP(MONTH($A27),Inputs!$A$14:$B$25,2))/1000)</f>
        <v>10.5</v>
      </c>
      <c r="E27" s="304">
        <f t="shared" ca="1" si="19"/>
        <v>41.411999999999999</v>
      </c>
      <c r="F27" s="251">
        <f>IF(A27="N/A"," ",Inputs!$F$6)</f>
        <v>2</v>
      </c>
      <c r="G27" s="251">
        <f ca="1">IF(A27="N/A"," ",Inputs!$F$9/IF(AND('Pricing Inputs'!$AQ$3&gt;=4,'Pricing Inputs'!$AQ$3&lt;=6),16,IF(AND('Pricing Inputs'!$AQ$3&gt;=7,'Pricing Inputs'!$AQ$3&lt;=9),8,24))/(BA27/BW27))</f>
        <v>0</v>
      </c>
      <c r="H27" s="252">
        <f t="shared" ca="1" si="20"/>
        <v>43.411999999999999</v>
      </c>
      <c r="I27" s="255">
        <f>VLOOKUP(A27,ScaledPrice,(IF(AND('Pricing Inputs'!$AQ$3&gt;=1,'Pricing Inputs'!$AQ$3&lt;=6),2,4)))</f>
        <v>30.334102799563663</v>
      </c>
      <c r="J27" s="255">
        <f>IF(A27="N/A"," ",IF(AND('Pricing Inputs'!$AQ$3&gt;=1,'Pricing Inputs'!$AQ$3&lt;=6),I27,(VLOOKUP(A27,ScaledPrice,2))*(2-(VLOOKUP(A27,ScaledPrice,3)))))</f>
        <v>31.665897200436333</v>
      </c>
      <c r="K27" s="255">
        <f>IF(A27="N/A"," ",IF(OR('Pricing Inputs'!$AQ$3=2,'Pricing Inputs'!$AQ$3=3,'Pricing Inputs'!$AQ$3=5,'Pricing Inputs'!$AQ$3=6,'Pricing Inputs'!$AQ$3=8,'Pricing Inputs'!$AQ$3=9),VLOOKUP(A27,ScaledPrice,IF(AND('Pricing Inputs'!$AQ$3&gt;=2,'Pricing Inputs'!$AQ$3&lt;=6),5,6)),0))</f>
        <v>24.908210908465065</v>
      </c>
      <c r="L27" s="255">
        <f>IF(A27="N/A"," ",IF(OR('Pricing Inputs'!$AQ$3=2,'Pricing Inputs'!$AQ$3=3,'Pricing Inputs'!$AQ$3=5,'Pricing Inputs'!$AQ$3=6,'Pricing Inputs'!$AQ$3=8,'Pricing Inputs'!$AQ$3=9),IF(AND('Pricing Inputs'!$AQ$3&gt;=2,'Pricing Inputs'!$AQ$3&lt;=6),K27,(VLOOKUP(A27,ScaledPrice,5))*(2-(VLOOKUP(A27,ScaledPrice,3)))),0))</f>
        <v>26.001785887189229</v>
      </c>
      <c r="M27" s="255">
        <f>IF(A27="N/A"," ",IF(OR('Pricing Inputs'!$AQ$3=3,'Pricing Inputs'!$AQ$3=6,'Pricing Inputs'!$AQ$3=9),(VLOOKUP(A27,ScaledPrice,IF(AND('Pricing Inputs'!$AQ$3&gt;=3,'Pricing Inputs'!$AQ$3&lt;=6),7,8))),0))</f>
        <v>21.478501074430277</v>
      </c>
      <c r="N27" s="255">
        <f>IF(A27="N/A"," ",IF(OR('Pricing Inputs'!$AQ$3=3,'Pricing Inputs'!$AQ$3=6,'Pricing Inputs'!$AQ$3=9),IF(AND('Pricing Inputs'!$AQ$3&gt;=3,'Pricing Inputs'!$AQ$3&lt;=6),M27,(VLOOKUP(A27,ScaledPrice,7))*(2-(VLOOKUP(A27,ScaledPrice,3)))),0))</f>
        <v>22.421497399690814</v>
      </c>
      <c r="O27" s="255">
        <f>IF(A27="N/A"," ",IF(AND('Pricing Inputs'!$AQ$3&gt;=1,'Pricing Inputs'!$AQ$3&lt;=3),VLOOKUP(A27,ScaledPrice,9),0))</f>
        <v>0</v>
      </c>
      <c r="P27" s="320">
        <f ca="1">IF($A27="N/A"," ",IF('Pricing Inputs'!$AN$8=2,(I27-H27),IF('Pricing Inputs'!$AN$3=2,IF((I27-$H27)&gt;0,I27-$H27,0),(_xll.xSPRDOPT(I27,$E27,$BU27,0,$BP27,$BS27,$BT27,($A27-Inputs!$D$1)+15,1,0)))))</f>
        <v>0.16177749727079482</v>
      </c>
      <c r="Q27" s="320">
        <f ca="1">IF($A27="N/A"," ",IF('Pricing Inputs'!$AN$8=2,(J27-$H27),IF('Pricing Inputs'!$AN$3=2,IF((J27-$H27)&gt;0,J27-$H27,0),(_xll.xSPRDOPT(J27,$E27,$BU27,0,$BP27,$BS27,$BT27,($A27-Inputs!$D$1)+15,1,0)))))</f>
        <v>0.2588919713026443</v>
      </c>
      <c r="R27" s="320">
        <f ca="1">IF($A27="N/A"," ",IF('Pricing Inputs'!$AN$8=2,(K27-$H27),IF('Pricing Inputs'!$AN$3=2,IF((K27-$H27)&gt;0,K27-$H27,0),(_xll.xSPRDOPT(K27,$E27,$BU27,0,$BP27,$BS27,$BT27,($A27-Inputs!$D$1)+15,1,0)))))</f>
        <v>1.2716230594026238E-2</v>
      </c>
      <c r="S27" s="320">
        <f ca="1">IF($A27="N/A"," ",IF('Pricing Inputs'!$AN$8=2,(L27-$H27),IF('Pricing Inputs'!$AN$3=2,IF((L27-$H27)&gt;0,L27-$H27,0),(_xll.xSPRDOPT(L27,$E27,$BU27,0,$BP27,$BS27,$BT27,($A27-Inputs!$D$1)+15,1,0)))))</f>
        <v>2.3409670734426617E-2</v>
      </c>
      <c r="T27" s="320">
        <f ca="1">IF($A27="N/A"," ",IF('Pricing Inputs'!$AN$8=2,(M27-$H27),IF('Pricing Inputs'!$AN$3=2,IF((M27-$H27)&gt;0,M27-$H27,0),(_xll.xSPRDOPT(M27,$E27,$BU27,0,$BP27,$BS27,$BT27,($A27-Inputs!$D$1)+15,1,0)))))</f>
        <v>1.2098290514282759E-3</v>
      </c>
      <c r="U27" s="320">
        <f ca="1">IF($A27="N/A"," ",IF('Pricing Inputs'!$AN$8=2,(N27-$H27),IF('Pricing Inputs'!$AN$3=2,IF((N27-$H27)&gt;0,N27-$H27,0),(_xll.xSPRDOPT(N27,$E27,$BU27,0,$BP27,$BS27,$BT27,($A27-Inputs!$D$1)+15,1,0)))))</f>
        <v>2.4917277730915938E-3</v>
      </c>
      <c r="V27" s="259">
        <f ca="1">IF($A27="N/A"," ",(IF('Pricing Inputs'!$AN$8=2,(O27-$H27),IF((O27-$H27)&lt;=0,0,(O27-$H27)))))</f>
        <v>0</v>
      </c>
      <c r="W27" s="306">
        <f ca="1">IF($A27="N/A"," ",IF(0&lt;&gt;P27,IF('Pricing Inputs'!$AN$3=2,8*VLOOKUP($A27,NumberofDaysTable,2),(_xll.xSPRDOPT(I27,$E27,$BU27,0,$BP27,$BS27,$BT27,$A27-Inputs!$D$1,1,1))*(8*VLOOKUP($A27,NumberofDaysTable,2))),0))</f>
        <v>9.8461501589590235</v>
      </c>
      <c r="X27" s="306">
        <f ca="1">IF($A27="N/A"," ",IF(Q27&lt;&gt;0,IF('Pricing Inputs'!$AN$3=2,8*VLOOKUP($A27,NumberofDaysTable,2),(_xll.xSPRDOPT(J27,$E27,$BU27,0,$BP27,$BS27,$BT27,$A27-Inputs!$D$1,1,1))*(8*VLOOKUP($A27,NumberofDaysTable,2))),0))</f>
        <v>14.256022916783476</v>
      </c>
      <c r="Y27" s="306">
        <f ca="1">IF($A27="N/A"," ",IF(R27&lt;&gt;0,IF('Pricing Inputs'!$AN$3=2,8*VLOOKUP($A27,NumberofDaysTable,3),(_xll.xSPRDOPT(K27,$E27,$BU27,0,$BP27,$BS27,$BT27,$A27-Inputs!$D$1,1,1))*(8*VLOOKUP($A27,NumberofDaysTable,3))),0))</f>
        <v>0.22536479609247023</v>
      </c>
      <c r="Z27" s="306">
        <f ca="1">IF($A27="N/A"," ",IF(S27&lt;&gt;0,IF('Pricing Inputs'!$AN$3=2,8*VLOOKUP($A27,NumberofDaysTable,3),(_xll.xSPRDOPT(L27,$E27,$BU27,0,$BP27,$BS27,$BT27,$A27-Inputs!$D$1,1,1))*(8*VLOOKUP($A27,NumberofDaysTable,3))),0))</f>
        <v>0.37995687666295364</v>
      </c>
      <c r="AA27" s="306">
        <f ca="1">IF($A27="N/A"," ",IF(T27&lt;&gt;0,IF('Pricing Inputs'!$AN$3=2,8*VLOOKUP($A27,NumberofDaysTable,4),(_xll.xSPRDOPT(M27,$E27,$BU27,0,$BP27,$BS27,$BT27,$A27-Inputs!$D$1,1,1))*(8*VLOOKUP($A27,NumberofDaysTable,4))),0))</f>
        <v>3.5655593955546606E-2</v>
      </c>
      <c r="AB27" s="306">
        <f ca="1">IF($A27="N/A"," ",IF(U27&lt;&gt;0,IF('Pricing Inputs'!$AN$3=2,8*VLOOKUP($A27,NumberofDaysTable,4),(_xll.xSPRDOPT(N27,$E27,$BU27,0,$BP27,$BS27,$BT27,$A27-Inputs!$D$1,1,1))*(8*VLOOKUP($A27,NumberofDaysTable,4))),0))</f>
        <v>6.7782844632329045E-2</v>
      </c>
      <c r="AC27" s="306">
        <f t="shared" ca="1" si="21"/>
        <v>0</v>
      </c>
      <c r="AD27" s="277">
        <f t="shared" ca="1" si="57"/>
        <v>47</v>
      </c>
      <c r="AE27" s="278">
        <f t="shared" ca="1" si="58"/>
        <v>43</v>
      </c>
      <c r="AF27" s="278">
        <f t="shared" ca="1" si="59"/>
        <v>64</v>
      </c>
      <c r="AG27" s="278">
        <f t="shared" ca="1" si="60"/>
        <v>63</v>
      </c>
      <c r="AH27" s="278">
        <f t="shared" ca="1" si="61"/>
        <v>70</v>
      </c>
      <c r="AI27" s="278">
        <f t="shared" ca="1" si="62"/>
        <v>68</v>
      </c>
      <c r="AJ27" s="279">
        <f t="shared" ca="1" si="63"/>
        <v>73</v>
      </c>
      <c r="AK27" s="316">
        <f t="shared" ca="1" si="43"/>
        <v>9.8461501589590235</v>
      </c>
      <c r="AL27" s="317">
        <f t="shared" ca="1" si="44"/>
        <v>14.256022916783476</v>
      </c>
      <c r="AM27" s="317">
        <f t="shared" ca="1" si="45"/>
        <v>0.22536479609247023</v>
      </c>
      <c r="AN27" s="317">
        <f t="shared" ca="1" si="46"/>
        <v>0.37995687666295364</v>
      </c>
      <c r="AO27" s="317">
        <f t="shared" ca="1" si="47"/>
        <v>3.5655593955546606E-2</v>
      </c>
      <c r="AP27" s="317">
        <f t="shared" ca="1" si="48"/>
        <v>6.7782844632329045E-2</v>
      </c>
      <c r="AQ27" s="317">
        <f t="shared" ca="1" si="49"/>
        <v>0</v>
      </c>
      <c r="AR27" s="279">
        <f ca="1">IF(($AP$2-AR26)&gt;=0,$AP$2-AR26,0)</f>
        <v>0</v>
      </c>
      <c r="AS27" s="325">
        <f t="shared" ca="1" si="50"/>
        <v>0</v>
      </c>
      <c r="AT27" s="326">
        <f t="shared" ca="1" si="51"/>
        <v>0</v>
      </c>
      <c r="AU27" s="326">
        <f t="shared" ca="1" si="52"/>
        <v>0</v>
      </c>
      <c r="AV27" s="326">
        <f t="shared" ca="1" si="53"/>
        <v>0</v>
      </c>
      <c r="AW27" s="326">
        <f t="shared" ca="1" si="54"/>
        <v>0</v>
      </c>
      <c r="AX27" s="326">
        <f t="shared" ca="1" si="55"/>
        <v>0</v>
      </c>
      <c r="AY27" s="326">
        <f t="shared" ca="1" si="56"/>
        <v>0</v>
      </c>
      <c r="AZ27" s="285">
        <f ca="1">AR26+AZ26</f>
        <v>2494.4871206089588</v>
      </c>
      <c r="BA27" s="267">
        <f ca="1">IF($A27="N/A"," ",(IF(MONTH(A27)&gt;=4,IF(MONTH(A27)&lt;=10,Inputs!$F$13,Inputs!$F$14),Inputs!$F$14))*$BW27)</f>
        <v>180</v>
      </c>
      <c r="BB27" s="268">
        <f t="shared" ca="1" si="64"/>
        <v>4892.1515174688357</v>
      </c>
      <c r="BC27" s="268">
        <f t="shared" ca="1" si="65"/>
        <v>7828.8932121919634</v>
      </c>
      <c r="BD27" s="268">
        <f t="shared" ca="1" si="31"/>
        <v>73.245488221591131</v>
      </c>
      <c r="BE27" s="268">
        <f t="shared" ca="1" si="32"/>
        <v>134.83970343029731</v>
      </c>
      <c r="BF27" s="268">
        <f t="shared" ca="1" si="33"/>
        <v>10.452923004340303</v>
      </c>
      <c r="BG27" s="268">
        <f t="shared" ca="1" si="34"/>
        <v>21.528527959511369</v>
      </c>
      <c r="BH27" s="268">
        <f t="shared" ca="1" si="41"/>
        <v>0</v>
      </c>
      <c r="BI27" s="268">
        <f t="shared" ca="1" si="36"/>
        <v>12961.111372276542</v>
      </c>
      <c r="BJ27" s="296">
        <f t="shared" ca="1" si="37"/>
        <v>193876.60167319834</v>
      </c>
      <c r="BK27" s="296">
        <f t="shared" ca="1" si="38"/>
        <v>184944.66572584747</v>
      </c>
      <c r="BL27" s="296">
        <f t="shared" ca="1" si="39"/>
        <v>8931.9359473508866</v>
      </c>
      <c r="BM27" s="296">
        <f t="shared" ca="1" si="40"/>
        <v>0</v>
      </c>
      <c r="BN27" s="405">
        <f>IF(A27="N/A"," ",(VLOOKUP(A27,PowerVolTable,(IF('Pricing Inputs'!$AT$3=2,7,IF('Pricing Inputs'!$AT$3=1,6,8))),FALSE)))</f>
        <v>0.238203</v>
      </c>
      <c r="BO27" s="405">
        <f>IF(A27="N/A"," ",(VLOOKUP(A27,IntraPowerVol,(IF('Pricing Inputs'!$AT$3=2,3,IF('Pricing Inputs'!$AT$3=1,2,4))),FALSE)*VLOOKUP(MONTH($A27),Inputs!$A$28:$B$39,2)))</f>
        <v>1.4375</v>
      </c>
      <c r="BP27" s="406">
        <f t="shared" ca="1" si="15"/>
        <v>0.29356995519761958</v>
      </c>
      <c r="BQ27" s="405">
        <f ca="1">IF($A27="N/A"," ",(VLOOKUP($A27,GasVolTable,(IF('Pricing Inputs'!$AT$3=2,6,IF('Pricing Inputs'!$AT$3=1,7,5))),FALSE)))</f>
        <v>0.183</v>
      </c>
      <c r="BR27" s="405">
        <f ca="1">IF($A27="N/A"," ",(VLOOKUP($A27,OmicronVol,(IF('Pricing Inputs'!$AT$3=2,3,IF('Pricing Inputs'!$AT$3=1,4,2))),FALSE)))</f>
        <v>1.25</v>
      </c>
      <c r="BS27" s="406">
        <f ca="1">IF($A27="N/A"," ",IF('Pricing Inputs'!$AN$3=1,(IF(DateToday&gt;$A27,$BR27,((($BQ27^2)*((($A27-1)-DateToday)/((EOMONTH($A27,0)+1)-DateToday-15)))+((($BR27)^2)*((15)/((EOMONTH($A27,0)+1)-DateToday-15))))^0.5)),0.0001))</f>
        <v>0.23645039897718631</v>
      </c>
      <c r="BT27" s="405">
        <f>IF($A27="N/A"," ",IF('Pricing Inputs'!$AN$3=1,(VLOOKUP($A27,CorrelationTable,2,FALSE)),0))</f>
        <v>0.9</v>
      </c>
      <c r="BU27" s="407">
        <f ca="1">IF($A27="N/A"," ",F27+G27+(D27*(VLOOKUP($A27,'Gas Curves'!$B$17:$P$310,14,FALSE))))</f>
        <v>2.6825000000000001</v>
      </c>
      <c r="BV27" s="405">
        <f>IF($A27="N/A"," ",IF('Pricing Inputs'!$AW$3=1,0,(VLOOKUP($A27,InterestRatesTable,2))))</f>
        <v>0</v>
      </c>
      <c r="BW27" s="408">
        <f t="shared" ca="1" si="16"/>
        <v>1</v>
      </c>
    </row>
    <row r="28" spans="1:75">
      <c r="A28" s="248">
        <f>IF(A27="N/A","N/A",IF(EDATE(A27,1)&gt;Inputs!$K$3,"N/A",EDATE(A27,1)))</f>
        <v>37622</v>
      </c>
      <c r="B28" s="262">
        <f t="shared" si="17"/>
        <v>2003</v>
      </c>
      <c r="C28" s="249">
        <f t="shared" ca="1" si="18"/>
        <v>4.4249999999999998</v>
      </c>
      <c r="D28" s="250">
        <f>IF(A28="N/A"," ",(VLOOKUP(MONTH($A28),Inputs!$A$14:$B$25,2))/1000)</f>
        <v>10.5</v>
      </c>
      <c r="E28" s="304">
        <f t="shared" ca="1" si="19"/>
        <v>46.462499999999999</v>
      </c>
      <c r="F28" s="251">
        <f>IF(A28="N/A"," ",Inputs!$F$6)</f>
        <v>2</v>
      </c>
      <c r="G28" s="251">
        <f ca="1">IF(A28="N/A"," ",Inputs!$F$9/IF(AND('Pricing Inputs'!$AQ$3&gt;=4,'Pricing Inputs'!$AQ$3&lt;=6),16,IF(AND('Pricing Inputs'!$AQ$3&gt;=7,'Pricing Inputs'!$AQ$3&lt;=9),8,24))/(BA28/BW28))</f>
        <v>0</v>
      </c>
      <c r="H28" s="252">
        <f t="shared" ca="1" si="20"/>
        <v>48.462499999999999</v>
      </c>
      <c r="I28" s="255">
        <f>VLOOKUP(A28,ScaledPrice,(IF(AND('Pricing Inputs'!$AQ$3&gt;=1,'Pricing Inputs'!$AQ$3&lt;=6),2,4)))</f>
        <v>35.51919243866724</v>
      </c>
      <c r="J28" s="255">
        <f>IF(A28="N/A"," ",IF(AND('Pricing Inputs'!$AQ$3&gt;=1,'Pricing Inputs'!$AQ$3&lt;=6),I28,(VLOOKUP(A28,ScaledPrice,2))*(2-(VLOOKUP(A28,ScaledPrice,3)))))</f>
        <v>37.780807561332757</v>
      </c>
      <c r="K28" s="255">
        <f>IF(A28="N/A"," ",IF(OR('Pricing Inputs'!$AQ$3=2,'Pricing Inputs'!$AQ$3=3,'Pricing Inputs'!$AQ$3=5,'Pricing Inputs'!$AQ$3=6,'Pricing Inputs'!$AQ$3=8,'Pricing Inputs'!$AQ$3=9),VLOOKUP(A28,ScaledPrice,IF(AND('Pricing Inputs'!$AQ$3&gt;=2,'Pricing Inputs'!$AQ$3&lt;=6),5,6)),0))</f>
        <v>27.764813300665278</v>
      </c>
      <c r="L28" s="255">
        <f>IF(A28="N/A"," ",IF(OR('Pricing Inputs'!$AQ$3=2,'Pricing Inputs'!$AQ$3=3,'Pricing Inputs'!$AQ$3=5,'Pricing Inputs'!$AQ$3=6,'Pricing Inputs'!$AQ$3=8,'Pricing Inputs'!$AQ$3=9),IF(AND('Pricing Inputs'!$AQ$3&gt;=2,'Pricing Inputs'!$AQ$3&lt;=6),K28,(VLOOKUP(A28,ScaledPrice,5))*(2-(VLOOKUP(A28,ScaledPrice,3)))),0))</f>
        <v>29.532683494989019</v>
      </c>
      <c r="M28" s="255">
        <f>IF(A28="N/A"," ",IF(OR('Pricing Inputs'!$AQ$3=3,'Pricing Inputs'!$AQ$3=6,'Pricing Inputs'!$AQ$3=9),(VLOOKUP(A28,ScaledPrice,IF(AND('Pricing Inputs'!$AQ$3&gt;=3,'Pricing Inputs'!$AQ$3&lt;=6),7,8))),0))</f>
        <v>26.31473064422131</v>
      </c>
      <c r="N28" s="255">
        <f>IF(A28="N/A"," ",IF(OR('Pricing Inputs'!$AQ$3=3,'Pricing Inputs'!$AQ$3=6,'Pricing Inputs'!$AQ$3=9),IF(AND('Pricing Inputs'!$AQ$3&gt;=3,'Pricing Inputs'!$AQ$3&lt;=6),M28,(VLOOKUP(A28,ScaledPrice,7))*(2-(VLOOKUP(A28,ScaledPrice,3)))),0))</f>
        <v>27.990269660954471</v>
      </c>
      <c r="O28" s="255">
        <f>IF(A28="N/A"," ",IF(AND('Pricing Inputs'!$AQ$3&gt;=1,'Pricing Inputs'!$AQ$3&lt;=3),VLOOKUP(A28,ScaledPrice,9),0))</f>
        <v>0</v>
      </c>
      <c r="P28" s="320">
        <f ca="1">IF($A28="N/A"," ",IF('Pricing Inputs'!$AN$8=2,(I28-H28),IF('Pricing Inputs'!$AN$3=2,IF((I28-$H28)&gt;0,I28-$H28,0),(_xll.xSPRDOPT(I28,$E28,$BU28,0,$BP28,$BS28,$BT28,($A28-Inputs!$D$1)+15,1,0)))))</f>
        <v>1.0730261055678467</v>
      </c>
      <c r="Q28" s="320">
        <f ca="1">IF($A28="N/A"," ",IF('Pricing Inputs'!$AN$8=2,(J28-$H28),IF('Pricing Inputs'!$AN$3=2,IF((J28-$H28)&gt;0,J28-$H28,0),(_xll.xSPRDOPT(J28,$E28,$BU28,0,$BP28,$BS28,$BT28,($A28-Inputs!$D$1)+15,1,0)))))</f>
        <v>1.5835694160437341</v>
      </c>
      <c r="R28" s="320">
        <f ca="1">IF($A28="N/A"," ",IF('Pricing Inputs'!$AN$8=2,(K28-$H28),IF('Pricing Inputs'!$AN$3=2,IF((K28-$H28)&gt;0,K28-$H28,0),(_xll.xSPRDOPT(K28,$E28,$BU28,0,$BP28,$BS28,$BT28,($A28-Inputs!$D$1)+15,1,0)))))</f>
        <v>0.17122555780400256</v>
      </c>
      <c r="S28" s="320">
        <f ca="1">IF($A28="N/A"," ",IF('Pricing Inputs'!$AN$8=2,(L28-$H28),IF('Pricing Inputs'!$AN$3=2,IF((L28-$H28)&gt;0,L28-$H28,0),(_xll.xSPRDOPT(L28,$E28,$BU28,0,$BP28,$BS28,$BT28,($A28-Inputs!$D$1)+15,1,0)))))</f>
        <v>0.28345210472940818</v>
      </c>
      <c r="T28" s="320">
        <f ca="1">IF($A28="N/A"," ",IF('Pricing Inputs'!$AN$8=2,(M28-$H28),IF('Pricing Inputs'!$AN$3=2,IF((M28-$H28)&gt;0,M28-$H28,0),(_xll.xSPRDOPT(M28,$E28,$BU28,0,$BP28,$BS28,$BT28,($A28-Inputs!$D$1)+15,1,0)))))</f>
        <v>0.1077694439882597</v>
      </c>
      <c r="U28" s="320">
        <f ca="1">IF($A28="N/A"," ",IF('Pricing Inputs'!$AN$8=2,(N28-$H28),IF('Pricing Inputs'!$AN$3=2,IF((N28-$H28)&gt;0,N28-$H28,0),(_xll.xSPRDOPT(N28,$E28,$BU28,0,$BP28,$BS28,$BT28,($A28-Inputs!$D$1)+15,1,0)))))</f>
        <v>0.18323312039637868</v>
      </c>
      <c r="V28" s="259">
        <f ca="1">IF($A28="N/A"," ",(IF('Pricing Inputs'!$AN$8=2,(O28-$H28),IF((O28-$H28)&lt;=0,0,(O28-$H28)))))</f>
        <v>0</v>
      </c>
      <c r="W28" s="306">
        <f ca="1">IF($A28="N/A"," ",IF(0&lt;&gt;P28,IF('Pricing Inputs'!$AN$3=2,8*VLOOKUP($A28,NumberofDaysTable,2),(_xll.xSPRDOPT(I28,$E28,$BU28,0,$BP28,$BS28,$BT28,$A28-Inputs!$D$1,1,1))*(8*VLOOKUP($A28,NumberofDaysTable,2))),0))</f>
        <v>34.278970516028586</v>
      </c>
      <c r="X28" s="306">
        <f ca="1">IF($A28="N/A"," ",IF(Q28&lt;&gt;0,IF('Pricing Inputs'!$AN$3=2,8*VLOOKUP($A28,NumberofDaysTable,2),(_xll.xSPRDOPT(J28,$E28,$BU28,0,$BP28,$BS28,$BT28,$A28-Inputs!$D$1,1,1))*(8*VLOOKUP($A28,NumberofDaysTable,2))),0))</f>
        <v>44.511049803307912</v>
      </c>
      <c r="Y28" s="306">
        <f ca="1">IF($A28="N/A"," ",IF(R28&lt;&gt;0,IF('Pricing Inputs'!$AN$3=2,8*VLOOKUP($A28,NumberofDaysTable,3),(_xll.xSPRDOPT(K28,$E28,$BU28,0,$BP28,$BS28,$BT28,$A28-Inputs!$D$1,1,1))*(8*VLOOKUP($A28,NumberofDaysTable,3))),0))</f>
        <v>1.6130270031527725</v>
      </c>
      <c r="Z28" s="306">
        <f ca="1">IF($A28="N/A"," ",IF(S28&lt;&gt;0,IF('Pricing Inputs'!$AN$3=2,8*VLOOKUP($A28,NumberofDaysTable,3),(_xll.xSPRDOPT(L28,$E28,$BU28,0,$BP28,$BS28,$BT28,$A28-Inputs!$D$1,1,1))*(8*VLOOKUP($A28,NumberofDaysTable,3))),0))</f>
        <v>2.3751784786119723</v>
      </c>
      <c r="AA28" s="306">
        <f ca="1">IF($A28="N/A"," ",IF(T28&lt;&gt;0,IF('Pricing Inputs'!$AN$3=2,8*VLOOKUP($A28,NumberofDaysTable,4),(_xll.xSPRDOPT(M28,$E28,$BU28,0,$BP28,$BS28,$BT28,$A28-Inputs!$D$1,1,1))*(8*VLOOKUP($A28,NumberofDaysTable,4))),0))</f>
        <v>1.1215400059626182</v>
      </c>
      <c r="AB28" s="306">
        <f ca="1">IF($A28="N/A"," ",IF(U28&lt;&gt;0,IF('Pricing Inputs'!$AN$3=2,8*VLOOKUP($A28,NumberofDaysTable,4),(_xll.xSPRDOPT(N28,$E28,$BU28,0,$BP28,$BS28,$BT28,$A28-Inputs!$D$1,1,1))*(8*VLOOKUP($A28,NumberofDaysTable,4))),0))</f>
        <v>1.7001248152641231</v>
      </c>
      <c r="AC28" s="306">
        <f t="shared" ca="1" si="21"/>
        <v>0</v>
      </c>
      <c r="AD28" s="271">
        <f t="shared" ref="AD28:AJ28" ca="1" si="66">IF($A28="N/A"," ",RANK(P28,$P$28:$V$39))</f>
        <v>32</v>
      </c>
      <c r="AE28" s="272">
        <f t="shared" ca="1" si="66"/>
        <v>28</v>
      </c>
      <c r="AF28" s="272">
        <f t="shared" ca="1" si="66"/>
        <v>53</v>
      </c>
      <c r="AG28" s="272">
        <f t="shared" ca="1" si="66"/>
        <v>46</v>
      </c>
      <c r="AH28" s="272">
        <f t="shared" ca="1" si="66"/>
        <v>57</v>
      </c>
      <c r="AI28" s="272">
        <f t="shared" ca="1" si="66"/>
        <v>51</v>
      </c>
      <c r="AJ28" s="273">
        <f t="shared" ca="1" si="66"/>
        <v>73</v>
      </c>
      <c r="AK28" s="312">
        <f t="shared" ca="1" si="43"/>
        <v>34.278970516028586</v>
      </c>
      <c r="AL28" s="313">
        <f t="shared" ca="1" si="44"/>
        <v>44.511049803307912</v>
      </c>
      <c r="AM28" s="313">
        <f t="shared" ca="1" si="45"/>
        <v>1.6130270031527725</v>
      </c>
      <c r="AN28" s="313">
        <f t="shared" ca="1" si="46"/>
        <v>2.3751784786119723</v>
      </c>
      <c r="AO28" s="313">
        <f t="shared" ca="1" si="47"/>
        <v>1.1215400059626182</v>
      </c>
      <c r="AP28" s="313">
        <f t="shared" ca="1" si="48"/>
        <v>1.7001248152641231</v>
      </c>
      <c r="AQ28" s="313">
        <f t="shared" ca="1" si="49"/>
        <v>0</v>
      </c>
      <c r="AR28" s="273"/>
      <c r="AS28" s="327">
        <f t="shared" ref="AS28:AS39" ca="1" si="67">IF($A28="N/A"," ",IF(AND(AD28=$AJ$2+1,AK28=0),MIN($AR$39,W28),0))</f>
        <v>0</v>
      </c>
      <c r="AT28" s="322">
        <f t="shared" ref="AT28:AT39" ca="1" si="68">IF($A28="N/A"," ",IF(AND(AE28=$AJ$2+1,AL28=0),MIN($AR$39,X28),0))</f>
        <v>0</v>
      </c>
      <c r="AU28" s="322">
        <f t="shared" ref="AU28:AU39" ca="1" si="69">IF($A28="N/A"," ",IF(AND(AF28=$AJ$2+1,AM28=0),MIN($AR$39,Y28),0))</f>
        <v>0</v>
      </c>
      <c r="AV28" s="322">
        <f t="shared" ref="AV28:AV39" ca="1" si="70">IF($A28="N/A"," ",IF(AND(AG28=$AJ$2+1,AN28=0),MIN($AR$39,Z28),0))</f>
        <v>0</v>
      </c>
      <c r="AW28" s="322">
        <f t="shared" ref="AW28:AW39" ca="1" si="71">IF($A28="N/A"," ",IF(AND(AH28=$AJ$2+1,AO28=0),MIN($AR$39,AA28),0))</f>
        <v>0</v>
      </c>
      <c r="AX28" s="322">
        <f t="shared" ref="AX28:AX39" ca="1" si="72">IF($A28="N/A"," ",IF(AND(AI28=$AJ$2+1,AP28=0),MIN($AR$39,AB28),0))</f>
        <v>0</v>
      </c>
      <c r="AY28" s="322">
        <f t="shared" ref="AY28:AY39" ca="1" si="73">IF($A28="N/A"," ",IF(AND(AJ28=$AJ$2+1,AQ28=0),MIN($AR$39,AC28),0))</f>
        <v>0</v>
      </c>
      <c r="AZ28" s="273"/>
      <c r="BA28" s="267">
        <f ca="1">IF($A28="N/A"," ",(IF(MONTH(A28)&gt;=4,IF(MONTH(A28)&lt;=10,Inputs!$F$13,Inputs!$F$14),Inputs!$F$14))*$BW28)</f>
        <v>180</v>
      </c>
      <c r="BB28" s="268">
        <f t="shared" ca="1" si="64"/>
        <v>33993.467024389385</v>
      </c>
      <c r="BC28" s="268">
        <f t="shared" ca="1" si="65"/>
        <v>50167.479100265497</v>
      </c>
      <c r="BD28" s="268">
        <f t="shared" ca="1" si="31"/>
        <v>986.25921295105479</v>
      </c>
      <c r="BE28" s="268">
        <f t="shared" ca="1" si="32"/>
        <v>1632.684123241391</v>
      </c>
      <c r="BF28" s="268">
        <f t="shared" ca="1" si="33"/>
        <v>775.93999671546987</v>
      </c>
      <c r="BG28" s="268">
        <f t="shared" ca="1" si="34"/>
        <v>1319.2784668539266</v>
      </c>
      <c r="BH28" s="268">
        <f t="shared" ca="1" si="41"/>
        <v>0</v>
      </c>
      <c r="BI28" s="268">
        <f t="shared" ca="1" si="36"/>
        <v>88875.107924416719</v>
      </c>
      <c r="BJ28" s="296">
        <f t="shared" ca="1" si="37"/>
        <v>746709.24587122235</v>
      </c>
      <c r="BK28" s="296">
        <f t="shared" ca="1" si="38"/>
        <v>715893.28524718422</v>
      </c>
      <c r="BL28" s="296">
        <f t="shared" ca="1" si="39"/>
        <v>30815.960624038067</v>
      </c>
      <c r="BM28" s="296">
        <f t="shared" ca="1" si="40"/>
        <v>0</v>
      </c>
      <c r="BN28" s="405">
        <f>IF(A28="N/A"," ",(VLOOKUP(A28,PowerVolTable,(IF('Pricing Inputs'!$AT$3=2,7,IF('Pricing Inputs'!$AT$3=1,6,8))),FALSE)))</f>
        <v>0.25631000000000004</v>
      </c>
      <c r="BO28" s="405">
        <f>IF(A28="N/A"," ",(VLOOKUP(A28,IntraPowerVol,(IF('Pricing Inputs'!$AT$3=2,3,IF('Pricing Inputs'!$AT$3=1,2,4))),FALSE)*VLOOKUP(MONTH($A28),Inputs!$A$28:$B$39,2)))</f>
        <v>2.2999999999999998</v>
      </c>
      <c r="BP28" s="406">
        <f t="shared" ca="1" si="15"/>
        <v>0.37434171825241103</v>
      </c>
      <c r="BQ28" s="405">
        <f ca="1">IF($A28="N/A"," ",(VLOOKUP($A28,GasVolTable,(IF('Pricing Inputs'!$AT$3=2,6,IF('Pricing Inputs'!$AT$3=1,7,5))),FALSE)))</f>
        <v>0.188</v>
      </c>
      <c r="BR28" s="405">
        <f ca="1">IF($A28="N/A"," ",(VLOOKUP($A28,OmicronVol,(IF('Pricing Inputs'!$AT$3=2,3,IF('Pricing Inputs'!$AT$3=1,4,2))),FALSE)))</f>
        <v>1.45</v>
      </c>
      <c r="BS28" s="406">
        <f ca="1">IF($A28="N/A"," ",IF('Pricing Inputs'!$AN$3=1,(IF(DateToday&gt;$A28,$BR28,((($BQ28^2)*((($A28-1)-DateToday)/((EOMONTH($A28,0)+1)-DateToday-15)))+((($BR28)^2)*((15)/((EOMONTH($A28,0)+1)-DateToday-15))))^0.5)),0.0001))</f>
        <v>0.25451806289284268</v>
      </c>
      <c r="BT28" s="405">
        <f>IF($A28="N/A"," ",IF('Pricing Inputs'!$AN$3=1,(VLOOKUP($A28,CorrelationTable,2,FALSE)),0))</f>
        <v>0.9</v>
      </c>
      <c r="BU28" s="407">
        <f ca="1">IF($A28="N/A"," ",F28+G28+(D28*(VLOOKUP($A28,'Gas Curves'!$B$17:$P$310,14,FALSE))))</f>
        <v>2.6825000000000001</v>
      </c>
      <c r="BV28" s="405">
        <f>IF($A28="N/A"," ",IF('Pricing Inputs'!$AW$3=1,0,(VLOOKUP($A28,InterestRatesTable,2))))</f>
        <v>0</v>
      </c>
      <c r="BW28" s="408">
        <f t="shared" ca="1" si="16"/>
        <v>1</v>
      </c>
    </row>
    <row r="29" spans="1:75">
      <c r="A29" s="248">
        <f>IF(A28="N/A","N/A",IF(EDATE(A28,1)&gt;Inputs!$K$3,"N/A",EDATE(A28,1)))</f>
        <v>37653</v>
      </c>
      <c r="B29" s="262">
        <f t="shared" si="17"/>
        <v>2003</v>
      </c>
      <c r="C29" s="249">
        <f t="shared" ca="1" si="18"/>
        <v>4.2070000000000007</v>
      </c>
      <c r="D29" s="250">
        <f>IF(A29="N/A"," ",(VLOOKUP(MONTH($A29),Inputs!$A$14:$B$25,2))/1000)</f>
        <v>10.5</v>
      </c>
      <c r="E29" s="304">
        <f t="shared" ca="1" si="19"/>
        <v>44.173500000000004</v>
      </c>
      <c r="F29" s="251">
        <f>IF(A29="N/A"," ",Inputs!$F$6)</f>
        <v>2</v>
      </c>
      <c r="G29" s="251">
        <f ca="1">IF(A29="N/A"," ",Inputs!$F$9/IF(AND('Pricing Inputs'!$AQ$3&gt;=4,'Pricing Inputs'!$AQ$3&lt;=6),16,IF(AND('Pricing Inputs'!$AQ$3&gt;=7,'Pricing Inputs'!$AQ$3&lt;=9),8,24))/(BA29/BW29))</f>
        <v>0</v>
      </c>
      <c r="H29" s="252">
        <f t="shared" ca="1" si="20"/>
        <v>46.173500000000004</v>
      </c>
      <c r="I29" s="255">
        <f>VLOOKUP(A29,ScaledPrice,(IF(AND('Pricing Inputs'!$AQ$3&gt;=1,'Pricing Inputs'!$AQ$3&lt;=6),2,4)))</f>
        <v>35.51919243866724</v>
      </c>
      <c r="J29" s="255">
        <f>IF(A29="N/A"," ",IF(AND('Pricing Inputs'!$AQ$3&gt;=1,'Pricing Inputs'!$AQ$3&lt;=6),I29,(VLOOKUP(A29,ScaledPrice,2))*(2-(VLOOKUP(A29,ScaledPrice,3)))))</f>
        <v>37.780807561332757</v>
      </c>
      <c r="K29" s="255">
        <f>IF(A29="N/A"," ",IF(OR('Pricing Inputs'!$AQ$3=2,'Pricing Inputs'!$AQ$3=3,'Pricing Inputs'!$AQ$3=5,'Pricing Inputs'!$AQ$3=6,'Pricing Inputs'!$AQ$3=8,'Pricing Inputs'!$AQ$3=9),VLOOKUP(A29,ScaledPrice,IF(AND('Pricing Inputs'!$AQ$3&gt;=2,'Pricing Inputs'!$AQ$3&lt;=6),5,6)),0))</f>
        <v>26.793246367729957</v>
      </c>
      <c r="L29" s="255">
        <f>IF(A29="N/A"," ",IF(OR('Pricing Inputs'!$AQ$3=2,'Pricing Inputs'!$AQ$3=3,'Pricing Inputs'!$AQ$3=5,'Pricing Inputs'!$AQ$3=6,'Pricing Inputs'!$AQ$3=8,'Pricing Inputs'!$AQ$3=9),IF(AND('Pricing Inputs'!$AQ$3&gt;=2,'Pricing Inputs'!$AQ$3&lt;=6),K29,(VLOOKUP(A29,ScaledPrice,5))*(2-(VLOOKUP(A29,ScaledPrice,3)))),0))</f>
        <v>28.499253937445822</v>
      </c>
      <c r="M29" s="255">
        <f>IF(A29="N/A"," ",IF(OR('Pricing Inputs'!$AQ$3=3,'Pricing Inputs'!$AQ$3=6,'Pricing Inputs'!$AQ$3=9),(VLOOKUP(A29,ScaledPrice,IF(AND('Pricing Inputs'!$AQ$3&gt;=3,'Pricing Inputs'!$AQ$3&lt;=6),7,8))),0))</f>
        <v>24.371592711653182</v>
      </c>
      <c r="N29" s="255">
        <f>IF(A29="N/A"," ",IF(OR('Pricing Inputs'!$AQ$3=3,'Pricing Inputs'!$AQ$3=6,'Pricing Inputs'!$AQ$3=9),IF(AND('Pricing Inputs'!$AQ$3&gt;=3,'Pricing Inputs'!$AQ$3&lt;=6),M29,(VLOOKUP(A29,ScaledPrice,7))*(2-(VLOOKUP(A29,ScaledPrice,3)))),0))</f>
        <v>25.92340622023158</v>
      </c>
      <c r="O29" s="255">
        <f>IF(A29="N/A"," ",IF(AND('Pricing Inputs'!$AQ$3&gt;=1,'Pricing Inputs'!$AQ$3&lt;=3),VLOOKUP(A29,ScaledPrice,9),0))</f>
        <v>0</v>
      </c>
      <c r="P29" s="320">
        <f ca="1">IF($A29="N/A"," ",IF('Pricing Inputs'!$AN$8=2,(I29-H29),IF('Pricing Inputs'!$AN$3=2,IF((I29-$H29)&gt;0,I29-$H29,0),(_xll.xSPRDOPT(I29,$E29,$BU29,0,$BP29,$BS29,$BT29,($A29-Inputs!$D$1)+15,1,0)))))</f>
        <v>1.3326785510169075</v>
      </c>
      <c r="Q29" s="320">
        <f ca="1">IF($A29="N/A"," ",IF('Pricing Inputs'!$AN$8=2,(J29-$H29),IF('Pricing Inputs'!$AN$3=2,IF((J29-$H29)&gt;0,J29-$H29,0),(_xll.xSPRDOPT(J29,$E29,$BU29,0,$BP29,$BS29,$BT29,($A29-Inputs!$D$1)+15,1,0)))))</f>
        <v>1.9398416812979185</v>
      </c>
      <c r="R29" s="320">
        <f ca="1">IF($A29="N/A"," ",IF('Pricing Inputs'!$AN$8=2,(K29-$H29),IF('Pricing Inputs'!$AN$3=2,IF((K29-$H29)&gt;0,K29-$H29,0),(_xll.xSPRDOPT(K29,$E29,$BU29,0,$BP29,$BS29,$BT29,($A29-Inputs!$D$1)+15,1,0)))))</f>
        <v>0.16645186532452355</v>
      </c>
      <c r="S29" s="320">
        <f ca="1">IF($A29="N/A"," ",IF('Pricing Inputs'!$AN$8=2,(L29-$H29),IF('Pricing Inputs'!$AN$3=2,IF((L29-$H29)&gt;0,L29-$H29,0),(_xll.xSPRDOPT(L29,$E29,$BU29,0,$BP29,$BS29,$BT29,($A29-Inputs!$D$1)+15,1,0)))))</f>
        <v>0.2770021582729601</v>
      </c>
      <c r="T29" s="320">
        <f ca="1">IF($A29="N/A"," ",IF('Pricing Inputs'!$AN$8=2,(M29-$H29),IF('Pricing Inputs'!$AN$3=2,IF((M29-$H29)&gt;0,M29-$H29,0),(_xll.xSPRDOPT(M29,$E29,$BU29,0,$BP29,$BS29,$BT29,($A29-Inputs!$D$1)+15,1,0)))))</f>
        <v>7.1605108347465737E-2</v>
      </c>
      <c r="U29" s="320">
        <f ca="1">IF($A29="N/A"," ",IF('Pricing Inputs'!$AN$8=2,(N29-$H29),IF('Pricing Inputs'!$AN$3=2,IF((N29-$H29)&gt;0,N29-$H29,0),(_xll.xSPRDOPT(N29,$E29,$BU29,0,$BP29,$BS29,$BT29,($A29-Inputs!$D$1)+15,1,0)))))</f>
        <v>0.12513998363190251</v>
      </c>
      <c r="V29" s="259">
        <f ca="1">IF($A29="N/A"," ",(IF('Pricing Inputs'!$AN$8=2,(O29-$H29),IF((O29-$H29)&lt;=0,0,(O29-$H29)))))</f>
        <v>0</v>
      </c>
      <c r="W29" s="306">
        <f ca="1">IF($A29="N/A"," ",IF(0&lt;&gt;P29,IF('Pricing Inputs'!$AN$3=2,8*VLOOKUP($A29,NumberofDaysTable,2),(_xll.xSPRDOPT(I29,$E29,$BU29,0,$BP29,$BS29,$BT29,$A29-Inputs!$D$1,1,1))*(8*VLOOKUP($A29,NumberofDaysTable,2))),0))</f>
        <v>37.476224363608999</v>
      </c>
      <c r="X29" s="306">
        <f ca="1">IF($A29="N/A"," ",IF(Q29&lt;&gt;0,IF('Pricing Inputs'!$AN$3=2,8*VLOOKUP($A29,NumberofDaysTable,2),(_xll.xSPRDOPT(J29,$E29,$BU29,0,$BP29,$BS29,$BT29,$A29-Inputs!$D$1,1,1))*(8*VLOOKUP($A29,NumberofDaysTable,2))),0))</f>
        <v>47.847367739197857</v>
      </c>
      <c r="Y29" s="306">
        <f ca="1">IF($A29="N/A"," ",IF(R29&lt;&gt;0,IF('Pricing Inputs'!$AN$3=2,8*VLOOKUP($A29,NumberofDaysTable,3),(_xll.xSPRDOPT(K29,$E29,$BU29,0,$BP29,$BS29,$BT29,$A29-Inputs!$D$1,1,1))*(8*VLOOKUP($A29,NumberofDaysTable,3))),0))</f>
        <v>1.6446699474740061</v>
      </c>
      <c r="Z29" s="306">
        <f ca="1">IF($A29="N/A"," ",IF(S29&lt;&gt;0,IF('Pricing Inputs'!$AN$3=2,8*VLOOKUP($A29,NumberofDaysTable,3),(_xll.xSPRDOPT(L29,$E29,$BU29,0,$BP29,$BS29,$BT29,$A29-Inputs!$D$1,1,1))*(8*VLOOKUP($A29,NumberofDaysTable,3))),0))</f>
        <v>2.4314638003546665</v>
      </c>
      <c r="AA29" s="306">
        <f ca="1">IF($A29="N/A"," ",IF(T29&lt;&gt;0,IF('Pricing Inputs'!$AN$3=2,8*VLOOKUP($A29,NumberofDaysTable,4),(_xll.xSPRDOPT(M29,$E29,$BU29,0,$BP29,$BS29,$BT29,$A29-Inputs!$D$1,1,1))*(8*VLOOKUP($A29,NumberofDaysTable,4))),0))</f>
        <v>0.84392293784797845</v>
      </c>
      <c r="AB29" s="306">
        <f ca="1">IF($A29="N/A"," ",IF(U29&lt;&gt;0,IF('Pricing Inputs'!$AN$3=2,8*VLOOKUP($A29,NumberofDaysTable,4),(_xll.xSPRDOPT(N29,$E29,$BU29,0,$BP29,$BS29,$BT29,$A29-Inputs!$D$1,1,1))*(8*VLOOKUP($A29,NumberofDaysTable,4))),0))</f>
        <v>1.3157621842128639</v>
      </c>
      <c r="AC29" s="306">
        <f t="shared" ca="1" si="21"/>
        <v>0</v>
      </c>
      <c r="AD29" s="274">
        <f t="shared" ref="AD29:AD39" ca="1" si="74">IF($A29="N/A"," ",RANK(P29,$P$28:$V$39))</f>
        <v>31</v>
      </c>
      <c r="AE29" s="275">
        <f t="shared" ref="AE29:AE39" ca="1" si="75">IF($A29="N/A"," ",RANK(Q29,$P$28:$V$39))</f>
        <v>26</v>
      </c>
      <c r="AF29" s="275">
        <f t="shared" ref="AF29:AF39" ca="1" si="76">IF($A29="N/A"," ",RANK(R29,$P$28:$V$39))</f>
        <v>54</v>
      </c>
      <c r="AG29" s="275">
        <f t="shared" ref="AG29:AG39" ca="1" si="77">IF($A29="N/A"," ",RANK(S29,$P$28:$V$39))</f>
        <v>47</v>
      </c>
      <c r="AH29" s="275">
        <f t="shared" ref="AH29:AH39" ca="1" si="78">IF($A29="N/A"," ",RANK(T29,$P$28:$V$39))</f>
        <v>59</v>
      </c>
      <c r="AI29" s="275">
        <f t="shared" ref="AI29:AI39" ca="1" si="79">IF($A29="N/A"," ",RANK(U29,$P$28:$V$39))</f>
        <v>56</v>
      </c>
      <c r="AJ29" s="276">
        <f t="shared" ref="AJ29:AJ39" ca="1" si="80">IF($A29="N/A"," ",RANK(V29,$P$28:$V$39))</f>
        <v>73</v>
      </c>
      <c r="AK29" s="314">
        <f t="shared" ca="1" si="43"/>
        <v>37.476224363608999</v>
      </c>
      <c r="AL29" s="315">
        <f t="shared" ca="1" si="44"/>
        <v>47.847367739197857</v>
      </c>
      <c r="AM29" s="315">
        <f t="shared" ca="1" si="45"/>
        <v>1.6446699474740061</v>
      </c>
      <c r="AN29" s="315">
        <f t="shared" ca="1" si="46"/>
        <v>2.4314638003546665</v>
      </c>
      <c r="AO29" s="315">
        <f t="shared" ca="1" si="47"/>
        <v>0.84392293784797845</v>
      </c>
      <c r="AP29" s="315">
        <f t="shared" ca="1" si="48"/>
        <v>1.3157621842128639</v>
      </c>
      <c r="AQ29" s="315">
        <f t="shared" ca="1" si="49"/>
        <v>0</v>
      </c>
      <c r="AR29" s="276"/>
      <c r="AS29" s="321">
        <f t="shared" ca="1" si="67"/>
        <v>0</v>
      </c>
      <c r="AT29" s="324">
        <f t="shared" ca="1" si="68"/>
        <v>0</v>
      </c>
      <c r="AU29" s="324">
        <f t="shared" ca="1" si="69"/>
        <v>0</v>
      </c>
      <c r="AV29" s="324">
        <f t="shared" ca="1" si="70"/>
        <v>0</v>
      </c>
      <c r="AW29" s="324">
        <f t="shared" ca="1" si="71"/>
        <v>0</v>
      </c>
      <c r="AX29" s="324">
        <f t="shared" ca="1" si="72"/>
        <v>0</v>
      </c>
      <c r="AY29" s="324">
        <f t="shared" ca="1" si="73"/>
        <v>0</v>
      </c>
      <c r="AZ29" s="276"/>
      <c r="BA29" s="267">
        <f ca="1">IF($A29="N/A"," ",(IF(MONTH(A29)&gt;=4,IF(MONTH(A29)&lt;=10,Inputs!$F$13,Inputs!$F$14),Inputs!$F$14))*$BW29)</f>
        <v>180</v>
      </c>
      <c r="BB29" s="268">
        <f t="shared" ca="1" si="64"/>
        <v>38381.142269286938</v>
      </c>
      <c r="BC29" s="268">
        <f t="shared" ca="1" si="65"/>
        <v>55867.440421380052</v>
      </c>
      <c r="BD29" s="268">
        <f t="shared" ca="1" si="31"/>
        <v>958.76274426925568</v>
      </c>
      <c r="BE29" s="268">
        <f t="shared" ca="1" si="32"/>
        <v>1595.5324316522501</v>
      </c>
      <c r="BF29" s="268">
        <f t="shared" ca="1" si="33"/>
        <v>412.44542408140262</v>
      </c>
      <c r="BG29" s="268">
        <f t="shared" ca="1" si="34"/>
        <v>720.80630571975848</v>
      </c>
      <c r="BH29" s="268">
        <f t="shared" ca="1" si="41"/>
        <v>0</v>
      </c>
      <c r="BI29" s="268">
        <f t="shared" ca="1" si="36"/>
        <v>97936.129596389655</v>
      </c>
      <c r="BJ29" s="296">
        <f t="shared" ca="1" si="37"/>
        <v>760971.32325860322</v>
      </c>
      <c r="BK29" s="296">
        <f t="shared" ca="1" si="38"/>
        <v>728009.93530843256</v>
      </c>
      <c r="BL29" s="296">
        <f t="shared" ca="1" si="39"/>
        <v>32961.387950170691</v>
      </c>
      <c r="BM29" s="296">
        <f t="shared" ca="1" si="40"/>
        <v>0</v>
      </c>
      <c r="BN29" s="405">
        <f>IF(A29="N/A"," ",(VLOOKUP(A29,PowerVolTable,(IF('Pricing Inputs'!$AT$3=2,7,IF('Pricing Inputs'!$AT$3=1,6,8))),FALSE)))</f>
        <v>0.247285</v>
      </c>
      <c r="BO29" s="405">
        <f>IF(A29="N/A"," ",(VLOOKUP(A29,IntraPowerVol,(IF('Pricing Inputs'!$AT$3=2,3,IF('Pricing Inputs'!$AT$3=1,2,4))),FALSE)*VLOOKUP(MONTH($A29),Inputs!$A$28:$B$39,2)))</f>
        <v>2.2999999999999998</v>
      </c>
      <c r="BP29" s="406">
        <f t="shared" ca="1" si="15"/>
        <v>0.36591907325152367</v>
      </c>
      <c r="BQ29" s="405">
        <f ca="1">IF($A29="N/A"," ",(VLOOKUP($A29,GasVolTable,(IF('Pricing Inputs'!$AT$3=2,6,IF('Pricing Inputs'!$AT$3=1,7,5))),FALSE)))</f>
        <v>0.1865</v>
      </c>
      <c r="BR29" s="405">
        <f ca="1">IF($A29="N/A"," ",(VLOOKUP($A29,OmicronVol,(IF('Pricing Inputs'!$AT$3=2,3,IF('Pricing Inputs'!$AT$3=1,4,2))),FALSE)))</f>
        <v>1.45</v>
      </c>
      <c r="BS29" s="406">
        <f ca="1">IF($A29="N/A"," ",IF('Pricing Inputs'!$AN$3=1,(IF(DateToday&gt;$A29,$BR29,((($BQ29^2)*((($A29-1)-DateToday)/((EOMONTH($A29,0)+1)-DateToday-15)))+((($BR29)^2)*((15)/((EOMONTH($A29,0)+1)-DateToday-15))))^0.5)),0.0001))</f>
        <v>0.25210990338096956</v>
      </c>
      <c r="BT29" s="405">
        <f>IF($A29="N/A"," ",IF('Pricing Inputs'!$AN$3=1,(VLOOKUP($A29,CorrelationTable,2,FALSE)),0))</f>
        <v>0.9</v>
      </c>
      <c r="BU29" s="407">
        <f ca="1">IF($A29="N/A"," ",F29+G29+(D29*(VLOOKUP($A29,'Gas Curves'!$B$17:$P$310,14,FALSE))))</f>
        <v>2.6825000000000001</v>
      </c>
      <c r="BV29" s="405">
        <f>IF($A29="N/A"," ",IF('Pricing Inputs'!$AW$3=1,0,(VLOOKUP($A29,InterestRatesTable,2))))</f>
        <v>0</v>
      </c>
      <c r="BW29" s="408">
        <f t="shared" ca="1" si="16"/>
        <v>1</v>
      </c>
    </row>
    <row r="30" spans="1:75">
      <c r="A30" s="248">
        <f>IF(A29="N/A","N/A",IF(EDATE(A29,1)&gt;Inputs!$K$3,"N/A",EDATE(A29,1)))</f>
        <v>37681</v>
      </c>
      <c r="B30" s="262">
        <f t="shared" si="17"/>
        <v>2003</v>
      </c>
      <c r="C30" s="249">
        <f t="shared" ca="1" si="18"/>
        <v>3.5870000000000002</v>
      </c>
      <c r="D30" s="250">
        <f>IF(A30="N/A"," ",(VLOOKUP(MONTH($A30),Inputs!$A$14:$B$25,2))/1000)</f>
        <v>10.5</v>
      </c>
      <c r="E30" s="304">
        <f t="shared" ca="1" si="19"/>
        <v>37.663499999999999</v>
      </c>
      <c r="F30" s="251">
        <f>IF(A30="N/A"," ",Inputs!$F$6)</f>
        <v>2</v>
      </c>
      <c r="G30" s="251">
        <f ca="1">IF(A30="N/A"," ",Inputs!$F$9/IF(AND('Pricing Inputs'!$AQ$3&gt;=4,'Pricing Inputs'!$AQ$3&lt;=6),16,IF(AND('Pricing Inputs'!$AQ$3&gt;=7,'Pricing Inputs'!$AQ$3&lt;=9),8,24))/(BA30/BW30))</f>
        <v>0</v>
      </c>
      <c r="H30" s="252">
        <f t="shared" ca="1" si="20"/>
        <v>39.663499999999999</v>
      </c>
      <c r="I30" s="255">
        <f>VLOOKUP(A30,ScaledPrice,(IF(AND('Pricing Inputs'!$AQ$3&gt;=1,'Pricing Inputs'!$AQ$3&lt;=6),2,4)))</f>
        <v>31.967285000000004</v>
      </c>
      <c r="J30" s="255">
        <f>IF(A30="N/A"," ",IF(AND('Pricing Inputs'!$AQ$3&gt;=1,'Pricing Inputs'!$AQ$3&lt;=6),I30,(VLOOKUP(A30,ScaledPrice,2))*(2-(VLOOKUP(A30,ScaledPrice,3)))))</f>
        <v>33.832714999999993</v>
      </c>
      <c r="K30" s="255">
        <f>IF(A30="N/A"," ",IF(OR('Pricing Inputs'!$AQ$3=2,'Pricing Inputs'!$AQ$3=3,'Pricing Inputs'!$AQ$3=5,'Pricing Inputs'!$AQ$3=6,'Pricing Inputs'!$AQ$3=8,'Pricing Inputs'!$AQ$3=9),VLOOKUP(A30,ScaledPrice,IF(AND('Pricing Inputs'!$AQ$3&gt;=2,'Pricing Inputs'!$AQ$3&lt;=6),5,6)),0))</f>
        <v>20.24408445201874</v>
      </c>
      <c r="L30" s="255">
        <f>IF(A30="N/A"," ",IF(OR('Pricing Inputs'!$AQ$3=2,'Pricing Inputs'!$AQ$3=3,'Pricing Inputs'!$AQ$3=5,'Pricing Inputs'!$AQ$3=6,'Pricing Inputs'!$AQ$3=8,'Pricing Inputs'!$AQ$3=9),IF(AND('Pricing Inputs'!$AQ$3&gt;=2,'Pricing Inputs'!$AQ$3&lt;=6),K30,(VLOOKUP(A30,ScaledPrice,5))*(2-(VLOOKUP(A30,ScaledPrice,3)))),0))</f>
        <v>21.425414754524226</v>
      </c>
      <c r="M30" s="255">
        <f>IF(A30="N/A"," ",IF(OR('Pricing Inputs'!$AQ$3=3,'Pricing Inputs'!$AQ$3=6,'Pricing Inputs'!$AQ$3=9),(VLOOKUP(A30,ScaledPrice,IF(AND('Pricing Inputs'!$AQ$3&gt;=3,'Pricing Inputs'!$AQ$3&lt;=6),7,8))),0))</f>
        <v>19.884330357513427</v>
      </c>
      <c r="N30" s="255">
        <f>IF(A30="N/A"," ",IF(OR('Pricing Inputs'!$AQ$3=3,'Pricing Inputs'!$AQ$3=6,'Pricing Inputs'!$AQ$3=9),IF(AND('Pricing Inputs'!$AQ$3&gt;=3,'Pricing Inputs'!$AQ$3&lt;=6),M30,(VLOOKUP(A30,ScaledPrice,7))*(2-(VLOOKUP(A30,ScaledPrice,3)))),0))</f>
        <v>21.044667445220945</v>
      </c>
      <c r="O30" s="255">
        <f>IF(A30="N/A"," ",IF(AND('Pricing Inputs'!$AQ$3&gt;=1,'Pricing Inputs'!$AQ$3&lt;=3),VLOOKUP(A30,ScaledPrice,9),0))</f>
        <v>0</v>
      </c>
      <c r="P30" s="320">
        <f ca="1">IF($A30="N/A"," ",IF('Pricing Inputs'!$AN$8=2,(I30-H30),IF('Pricing Inputs'!$AN$3=2,IF((I30-$H30)&gt;0,I30-$H30,0),(_xll.xSPRDOPT(I30,$E30,$BU30,0,$BP30,$BS30,$BT30,($A30-Inputs!$D$1)+15,1,0)))))</f>
        <v>0.88913534745004774</v>
      </c>
      <c r="Q30" s="320">
        <f ca="1">IF($A30="N/A"," ",IF('Pricing Inputs'!$AN$8=2,(J30-$H30),IF('Pricing Inputs'!$AN$3=2,IF((J30-$H30)&gt;0,J30-$H30,0),(_xll.xSPRDOPT(J30,$E30,$BU30,0,$BP30,$BS30,$BT30,($A30-Inputs!$D$1)+15,1,0)))))</f>
        <v>1.3581984401014271</v>
      </c>
      <c r="R30" s="320">
        <f ca="1">IF($A30="N/A"," ",IF('Pricing Inputs'!$AN$8=2,(K30-$H30),IF('Pricing Inputs'!$AN$3=2,IF((K30-$H30)&gt;0,K30-$H30,0),(_xll.xSPRDOPT(K30,$E30,$BU30,0,$BP30,$BS30,$BT30,($A30-Inputs!$D$1)+15,1,0)))))</f>
        <v>7.0485841575776698E-3</v>
      </c>
      <c r="S30" s="320">
        <f ca="1">IF($A30="N/A"," ",IF('Pricing Inputs'!$AN$8=2,(L30-$H30),IF('Pricing Inputs'!$AN$3=2,IF((L30-$H30)&gt;0,L30-$H30,0),(_xll.xSPRDOPT(L30,$E30,$BU30,0,$BP30,$BS30,$BT30,($A30-Inputs!$D$1)+15,1,0)))))</f>
        <v>1.4908765582388524E-2</v>
      </c>
      <c r="T30" s="320">
        <f ca="1">IF($A30="N/A"," ",IF('Pricing Inputs'!$AN$8=2,(M30-$H30),IF('Pricing Inputs'!$AN$3=2,IF((M30-$H30)&gt;0,M30-$H30,0),(_xll.xSPRDOPT(M30,$E30,$BU30,0,$BP30,$BS30,$BT30,($A30-Inputs!$D$1)+15,1,0)))))</f>
        <v>5.5107586688218314E-3</v>
      </c>
      <c r="U30" s="320">
        <f ca="1">IF($A30="N/A"," ",IF('Pricing Inputs'!$AN$8=2,(N30-$H30),IF('Pricing Inputs'!$AN$3=2,IF((N30-$H30)&gt;0,N30-$H30,0),(_xll.xSPRDOPT(N30,$E30,$BU30,0,$BP30,$BS30,$BT30,($A30-Inputs!$D$1)+15,1,0)))))</f>
        <v>1.1821402924084087E-2</v>
      </c>
      <c r="V30" s="259">
        <f ca="1">IF($A30="N/A"," ",(IF('Pricing Inputs'!$AN$8=2,(O30-$H30),IF((O30-$H30)&lt;=0,0,(O30-$H30)))))</f>
        <v>0</v>
      </c>
      <c r="W30" s="306">
        <f ca="1">IF($A30="N/A"," ",IF(0&lt;&gt;P30,IF('Pricing Inputs'!$AN$3=2,8*VLOOKUP($A30,NumberofDaysTable,2),(_xll.xSPRDOPT(I30,$E30,$BU30,0,$BP30,$BS30,$BT30,$A30-Inputs!$D$1,1,1))*(8*VLOOKUP($A30,NumberofDaysTable,2))),0))</f>
        <v>36.016290344932102</v>
      </c>
      <c r="X30" s="306">
        <f ca="1">IF($A30="N/A"," ",IF(Q30&lt;&gt;0,IF('Pricing Inputs'!$AN$3=2,8*VLOOKUP($A30,NumberofDaysTable,2),(_xll.xSPRDOPT(J30,$E30,$BU30,0,$BP30,$BS30,$BT30,$A30-Inputs!$D$1,1,1))*(8*VLOOKUP($A30,NumberofDaysTable,2))),0))</f>
        <v>47.983180945741886</v>
      </c>
      <c r="Y30" s="306">
        <f ca="1">IF($A30="N/A"," ",IF(R30&lt;&gt;0,IF('Pricing Inputs'!$AN$3=2,8*VLOOKUP($A30,NumberofDaysTable,3),(_xll.xSPRDOPT(K30,$E30,$BU30,0,$BP30,$BS30,$BT30,$A30-Inputs!$D$1,1,1))*(8*VLOOKUP($A30,NumberofDaysTable,3))),0))</f>
        <v>0.17897188221645782</v>
      </c>
      <c r="Z30" s="306">
        <f ca="1">IF($A30="N/A"," ",IF(S30&lt;&gt;0,IF('Pricing Inputs'!$AN$3=2,8*VLOOKUP($A30,NumberofDaysTable,3),(_xll.xSPRDOPT(L30,$E30,$BU30,0,$BP30,$BS30,$BT30,$A30-Inputs!$D$1,1,1))*(8*VLOOKUP($A30,NumberofDaysTable,3))),0))</f>
        <v>0.33983311304803693</v>
      </c>
      <c r="AA30" s="306">
        <f ca="1">IF($A30="N/A"," ",IF(T30&lt;&gt;0,IF('Pricing Inputs'!$AN$3=2,8*VLOOKUP($A30,NumberofDaysTable,4),(_xll.xSPRDOPT(M30,$E30,$BU30,0,$BP30,$BS30,$BT30,$A30-Inputs!$D$1,1,1))*(8*VLOOKUP($A30,NumberofDaysTable,4))),0))</f>
        <v>0.14468606997239805</v>
      </c>
      <c r="AB30" s="306">
        <f ca="1">IF($A30="N/A"," ",IF(U30&lt;&gt;0,IF('Pricing Inputs'!$AN$3=2,8*VLOOKUP($A30,NumberofDaysTable,4),(_xll.xSPRDOPT(N30,$E30,$BU30,0,$BP30,$BS30,$BT30,$A30-Inputs!$D$1,1,1))*(8*VLOOKUP($A30,NumberofDaysTable,4))),0))</f>
        <v>0.27890509251464018</v>
      </c>
      <c r="AC30" s="306">
        <f t="shared" ca="1" si="21"/>
        <v>0</v>
      </c>
      <c r="AD30" s="274">
        <f t="shared" ca="1" si="74"/>
        <v>33</v>
      </c>
      <c r="AE30" s="275">
        <f t="shared" ca="1" si="75"/>
        <v>30</v>
      </c>
      <c r="AF30" s="275">
        <f t="shared" ca="1" si="76"/>
        <v>69</v>
      </c>
      <c r="AG30" s="275">
        <f t="shared" ca="1" si="77"/>
        <v>66</v>
      </c>
      <c r="AH30" s="275">
        <f t="shared" ca="1" si="78"/>
        <v>70</v>
      </c>
      <c r="AI30" s="275">
        <f t="shared" ca="1" si="79"/>
        <v>68</v>
      </c>
      <c r="AJ30" s="276">
        <f t="shared" ca="1" si="80"/>
        <v>73</v>
      </c>
      <c r="AK30" s="314">
        <f t="shared" ca="1" si="43"/>
        <v>36.016290344932102</v>
      </c>
      <c r="AL30" s="315">
        <f t="shared" ca="1" si="44"/>
        <v>47.983180945741886</v>
      </c>
      <c r="AM30" s="315">
        <f t="shared" ca="1" si="45"/>
        <v>0.17897188221645782</v>
      </c>
      <c r="AN30" s="315">
        <f t="shared" ca="1" si="46"/>
        <v>0.33983311304803693</v>
      </c>
      <c r="AO30" s="315">
        <f t="shared" ca="1" si="47"/>
        <v>0.14468606997239805</v>
      </c>
      <c r="AP30" s="315">
        <f t="shared" ca="1" si="48"/>
        <v>0.27890509251464018</v>
      </c>
      <c r="AQ30" s="315">
        <f t="shared" ca="1" si="49"/>
        <v>0</v>
      </c>
      <c r="AR30" s="276"/>
      <c r="AS30" s="321">
        <f t="shared" ca="1" si="67"/>
        <v>0</v>
      </c>
      <c r="AT30" s="324">
        <f t="shared" ca="1" si="68"/>
        <v>0</v>
      </c>
      <c r="AU30" s="324">
        <f t="shared" ca="1" si="69"/>
        <v>0</v>
      </c>
      <c r="AV30" s="324">
        <f t="shared" ca="1" si="70"/>
        <v>0</v>
      </c>
      <c r="AW30" s="324">
        <f t="shared" ca="1" si="71"/>
        <v>0</v>
      </c>
      <c r="AX30" s="324">
        <f t="shared" ca="1" si="72"/>
        <v>0</v>
      </c>
      <c r="AY30" s="324">
        <f t="shared" ca="1" si="73"/>
        <v>0</v>
      </c>
      <c r="AZ30" s="276"/>
      <c r="BA30" s="267">
        <f ca="1">IF($A30="N/A"," ",(IF(MONTH(A30)&gt;=4,IF(MONTH(A30)&lt;=10,Inputs!$F$13,Inputs!$F$14),Inputs!$F$14))*$BW30)</f>
        <v>180</v>
      </c>
      <c r="BB30" s="268">
        <f t="shared" ca="1" si="64"/>
        <v>26887.452906889444</v>
      </c>
      <c r="BC30" s="268">
        <f t="shared" ca="1" si="65"/>
        <v>41071.920828667156</v>
      </c>
      <c r="BD30" s="268">
        <f t="shared" ca="1" si="31"/>
        <v>50.74980593455922</v>
      </c>
      <c r="BE30" s="268">
        <f t="shared" ca="1" si="32"/>
        <v>107.34311219319737</v>
      </c>
      <c r="BF30" s="268">
        <f t="shared" ca="1" si="33"/>
        <v>39.677462415517184</v>
      </c>
      <c r="BG30" s="268">
        <f t="shared" ca="1" si="34"/>
        <v>85.11410105340542</v>
      </c>
      <c r="BH30" s="268">
        <f t="shared" ca="1" si="41"/>
        <v>0</v>
      </c>
      <c r="BI30" s="268">
        <f t="shared" ca="1" si="36"/>
        <v>68242.25821715327</v>
      </c>
      <c r="BJ30" s="296">
        <f t="shared" ca="1" si="37"/>
        <v>606436.51671731262</v>
      </c>
      <c r="BK30" s="296">
        <f t="shared" ca="1" si="38"/>
        <v>575857.44443587936</v>
      </c>
      <c r="BL30" s="296">
        <f t="shared" ca="1" si="39"/>
        <v>30579.072281433186</v>
      </c>
      <c r="BM30" s="296">
        <f t="shared" ca="1" si="40"/>
        <v>0</v>
      </c>
      <c r="BN30" s="405">
        <f>IF(A30="N/A"," ",(VLOOKUP(A30,PowerVolTable,(IF('Pricing Inputs'!$AT$3=2,7,IF('Pricing Inputs'!$AT$3=1,6,8))),FALSE)))</f>
        <v>0.2410351875</v>
      </c>
      <c r="BO30" s="405">
        <f>IF(A30="N/A"," ",(VLOOKUP(A30,IntraPowerVol,(IF('Pricing Inputs'!$AT$3=2,3,IF('Pricing Inputs'!$AT$3=1,2,4))),FALSE)*VLOOKUP(MONTH($A30),Inputs!$A$28:$B$39,2)))</f>
        <v>1.4949999999999999</v>
      </c>
      <c r="BP30" s="406">
        <f t="shared" ca="1" si="15"/>
        <v>0.29565387457704334</v>
      </c>
      <c r="BQ30" s="405">
        <f ca="1">IF($A30="N/A"," ",(VLOOKUP($A30,GasVolTable,(IF('Pricing Inputs'!$AT$3=2,6,IF('Pricing Inputs'!$AT$3=1,7,5))),FALSE)))</f>
        <v>0.17650000000000002</v>
      </c>
      <c r="BR30" s="405">
        <f ca="1">IF($A30="N/A"," ",(VLOOKUP($A30,OmicronVol,(IF('Pricing Inputs'!$AT$3=2,3,IF('Pricing Inputs'!$AT$3=1,4,2))),FALSE)))</f>
        <v>1</v>
      </c>
      <c r="BS30" s="406">
        <f ca="1">IF($A30="N/A"," ",IF('Pricing Inputs'!$AN$3=1,(IF(DateToday&gt;$A30,$BR30,((($BQ30^2)*((($A30-1)-DateToday)/((EOMONTH($A30,0)+1)-DateToday-15)))+((($BR30)^2)*((15)/((EOMONTH($A30,0)+1)-DateToday-15))))^0.5)),0.0001))</f>
        <v>0.21021098206797376</v>
      </c>
      <c r="BT30" s="405">
        <f>IF($A30="N/A"," ",IF('Pricing Inputs'!$AN$3=1,(VLOOKUP($A30,CorrelationTable,2,FALSE)),0))</f>
        <v>0.9</v>
      </c>
      <c r="BU30" s="407">
        <f ca="1">IF($A30="N/A"," ",F30+G30+(D30*(VLOOKUP($A30,'Gas Curves'!$B$17:$P$310,14,FALSE))))</f>
        <v>2.6825000000000001</v>
      </c>
      <c r="BV30" s="405">
        <f>IF($A30="N/A"," ",IF('Pricing Inputs'!$AW$3=1,0,(VLOOKUP($A30,InterestRatesTable,2))))</f>
        <v>0</v>
      </c>
      <c r="BW30" s="408">
        <f t="shared" ca="1" si="16"/>
        <v>1</v>
      </c>
    </row>
    <row r="31" spans="1:75">
      <c r="A31" s="248">
        <f>IF(A30="N/A","N/A",IF(EDATE(A30,1)&gt;Inputs!$K$3,"N/A",EDATE(A30,1)))</f>
        <v>37712</v>
      </c>
      <c r="B31" s="262">
        <f t="shared" si="17"/>
        <v>2003</v>
      </c>
      <c r="C31" s="249">
        <f t="shared" ca="1" si="18"/>
        <v>2.6187499999999999</v>
      </c>
      <c r="D31" s="250">
        <f>IF(A31="N/A"," ",(VLOOKUP(MONTH($A31),Inputs!$A$14:$B$25,2))/1000)</f>
        <v>10.5</v>
      </c>
      <c r="E31" s="304">
        <f t="shared" ca="1" si="19"/>
        <v>27.496874999999999</v>
      </c>
      <c r="F31" s="251">
        <f>IF(A31="N/A"," ",Inputs!$F$6)</f>
        <v>2</v>
      </c>
      <c r="G31" s="251">
        <f ca="1">IF(A31="N/A"," ",Inputs!$F$9/IF(AND('Pricing Inputs'!$AQ$3&gt;=4,'Pricing Inputs'!$AQ$3&lt;=6),16,IF(AND('Pricing Inputs'!$AQ$3&gt;=7,'Pricing Inputs'!$AQ$3&lt;=9),8,24))/(BA31/BW31))</f>
        <v>0</v>
      </c>
      <c r="H31" s="252">
        <f t="shared" ca="1" si="20"/>
        <v>29.496874999999999</v>
      </c>
      <c r="I31" s="255">
        <f>VLOOKUP(A31,ScaledPrice,(IF(AND('Pricing Inputs'!$AQ$3&gt;=1,'Pricing Inputs'!$AQ$3&lt;=6),2,4)))</f>
        <v>29.275902164914125</v>
      </c>
      <c r="J31" s="255">
        <f>IF(A31="N/A"," ",IF(AND('Pricing Inputs'!$AQ$3&gt;=1,'Pricing Inputs'!$AQ$3&lt;=6),I31,(VLOOKUP(A31,ScaledPrice,2))*(2-(VLOOKUP(A31,ScaledPrice,3)))))</f>
        <v>34.024097835085875</v>
      </c>
      <c r="K31" s="255">
        <f>IF(A31="N/A"," ",IF(OR('Pricing Inputs'!$AQ$3=2,'Pricing Inputs'!$AQ$3=3,'Pricing Inputs'!$AQ$3=5,'Pricing Inputs'!$AQ$3=6,'Pricing Inputs'!$AQ$3=8,'Pricing Inputs'!$AQ$3=9),VLOOKUP(A31,ScaledPrice,IF(AND('Pricing Inputs'!$AQ$3&gt;=2,'Pricing Inputs'!$AQ$3&lt;=6),5,6)),0))</f>
        <v>19.903451303881074</v>
      </c>
      <c r="L31" s="255">
        <f>IF(A31="N/A"," ",IF(OR('Pricing Inputs'!$AQ$3=2,'Pricing Inputs'!$AQ$3=3,'Pricing Inputs'!$AQ$3=5,'Pricing Inputs'!$AQ$3=6,'Pricing Inputs'!$AQ$3=8,'Pricing Inputs'!$AQ$3=9),IF(AND('Pricing Inputs'!$AQ$3&gt;=2,'Pricing Inputs'!$AQ$3&lt;=6),K31,(VLOOKUP(A31,ScaledPrice,5))*(2-(VLOOKUP(A31,ScaledPrice,3)))),0))</f>
        <v>23.131549306470486</v>
      </c>
      <c r="M31" s="255">
        <f>IF(A31="N/A"," ",IF(OR('Pricing Inputs'!$AQ$3=3,'Pricing Inputs'!$AQ$3=6,'Pricing Inputs'!$AQ$3=9),(VLOOKUP(A31,ScaledPrice,IF(AND('Pricing Inputs'!$AQ$3&gt;=3,'Pricing Inputs'!$AQ$3&lt;=6),7,8))),0))</f>
        <v>18.717151769483362</v>
      </c>
      <c r="N31" s="255">
        <f>IF(A31="N/A"," ",IF(OR('Pricing Inputs'!$AQ$3=3,'Pricing Inputs'!$AQ$3=6,'Pricing Inputs'!$AQ$3=9),IF(AND('Pricing Inputs'!$AQ$3&gt;=3,'Pricing Inputs'!$AQ$3&lt;=6),M31,(VLOOKUP(A31,ScaledPrice,7))*(2-(VLOOKUP(A31,ScaledPrice,3)))),0))</f>
        <v>21.752846399461948</v>
      </c>
      <c r="O31" s="255">
        <f>IF(A31="N/A"," ",IF(AND('Pricing Inputs'!$AQ$3&gt;=1,'Pricing Inputs'!$AQ$3&lt;=3),VLOOKUP(A31,ScaledPrice,9),0))</f>
        <v>0</v>
      </c>
      <c r="P31" s="320">
        <f ca="1">IF($A31="N/A"," ",IF('Pricing Inputs'!$AN$8=2,(I31-H31),IF('Pricing Inputs'!$AN$3=2,IF((I31-$H31)&gt;0,I31-$H31,0),(_xll.xSPRDOPT(I31,$E31,$BU31,0,$BP31,$BS31,$BT31,($A31-Inputs!$D$1)+15,1,0)))))</f>
        <v>2.3148112067356146</v>
      </c>
      <c r="Q31" s="320">
        <f ca="1">IF($A31="N/A"," ",IF('Pricing Inputs'!$AN$8=2,(J31-$H31),IF('Pricing Inputs'!$AN$3=2,IF((J31-$H31)&gt;0,J31-$H31,0),(_xll.xSPRDOPT(J31,$E31,$BU31,0,$BP31,$BS31,$BT31,($A31-Inputs!$D$1)+15,1,0)))))</f>
        <v>5.2779014457367932</v>
      </c>
      <c r="R31" s="320">
        <f ca="1">IF($A31="N/A"," ",IF('Pricing Inputs'!$AN$8=2,(K31-$H31),IF('Pricing Inputs'!$AN$3=2,IF((K31-$H31)&gt;0,K31-$H31,0),(_xll.xSPRDOPT(K31,$E31,$BU31,0,$BP31,$BS31,$BT31,($A31-Inputs!$D$1)+15,1,0)))))</f>
        <v>7.8523849206692212E-2</v>
      </c>
      <c r="S31" s="320">
        <f ca="1">IF($A31="N/A"," ",IF('Pricing Inputs'!$AN$8=2,(L31-$H31),IF('Pricing Inputs'!$AN$3=2,IF((L31-$H31)&gt;0,L31-$H31,0),(_xll.xSPRDOPT(L31,$E31,$BU31,0,$BP31,$BS31,$BT31,($A31-Inputs!$D$1)+15,1,0)))))</f>
        <v>0.37528824696509155</v>
      </c>
      <c r="T31" s="320">
        <f ca="1">IF($A31="N/A"," ",IF('Pricing Inputs'!$AN$8=2,(M31-$H31),IF('Pricing Inputs'!$AN$3=2,IF((M31-$H31)&gt;0,M31-$H31,0),(_xll.xSPRDOPT(M31,$E31,$BU31,0,$BP31,$BS31,$BT31,($A31-Inputs!$D$1)+15,1,0)))))</f>
        <v>3.7465814839318615E-2</v>
      </c>
      <c r="U31" s="320">
        <f ca="1">IF($A31="N/A"," ",IF('Pricing Inputs'!$AN$8=2,(N31-$H31),IF('Pricing Inputs'!$AN$3=2,IF((N31-$H31)&gt;0,N31-$H31,0),(_xll.xSPRDOPT(N31,$E31,$BU31,0,$BP31,$BS31,$BT31,($A31-Inputs!$D$1)+15,1,0)))))</f>
        <v>0.2062389767658937</v>
      </c>
      <c r="V31" s="259">
        <f ca="1">IF($A31="N/A"," ",(IF('Pricing Inputs'!$AN$8=2,(O31-$H31),IF((O31-$H31)&lt;=0,0,(O31-$H31)))))</f>
        <v>0</v>
      </c>
      <c r="W31" s="306">
        <f ca="1">IF($A31="N/A"," ",IF(0&lt;&gt;P31,IF('Pricing Inputs'!$AN$3=2,8*VLOOKUP($A31,NumberofDaysTable,2),(_xll.xSPRDOPT(I31,$E31,$BU31,0,$BP31,$BS31,$BT31,$A31-Inputs!$D$1,1,1))*(8*VLOOKUP($A31,NumberofDaysTable,2))),0))</f>
        <v>87.137351040542498</v>
      </c>
      <c r="X31" s="306">
        <f ca="1">IF($A31="N/A"," ",IF(Q31&lt;&gt;0,IF('Pricing Inputs'!$AN$3=2,8*VLOOKUP($A31,NumberofDaysTable,2),(_xll.xSPRDOPT(J31,$E31,$BU31,0,$BP31,$BS31,$BT31,$A31-Inputs!$D$1,1,1))*(8*VLOOKUP($A31,NumberofDaysTable,2))),0))</f>
        <v>130.02352230102562</v>
      </c>
      <c r="Y31" s="306">
        <f ca="1">IF($A31="N/A"," ",IF(R31&lt;&gt;0,IF('Pricing Inputs'!$AN$3=2,8*VLOOKUP($A31,NumberofDaysTable,3),(_xll.xSPRDOPT(K31,$E31,$BU31,0,$BP31,$BS31,$BT31,$A31-Inputs!$D$1,1,1))*(8*VLOOKUP($A31,NumberofDaysTable,3))),0))</f>
        <v>1.4198983749770144</v>
      </c>
      <c r="Z31" s="306">
        <f ca="1">IF($A31="N/A"," ",IF(S31&lt;&gt;0,IF('Pricing Inputs'!$AN$3=2,8*VLOOKUP($A31,NumberofDaysTable,3),(_xll.xSPRDOPT(L31,$E31,$BU31,0,$BP31,$BS31,$BT31,$A31-Inputs!$D$1,1,1))*(8*VLOOKUP($A31,NumberofDaysTable,3))),0))</f>
        <v>4.7635020137523583</v>
      </c>
      <c r="AA31" s="306">
        <f ca="1">IF($A31="N/A"," ",IF(T31&lt;&gt;0,IF('Pricing Inputs'!$AN$3=2,8*VLOOKUP($A31,NumberofDaysTable,4),(_xll.xSPRDOPT(M31,$E31,$BU31,0,$BP31,$BS31,$BT31,$A31-Inputs!$D$1,1,1))*(8*VLOOKUP($A31,NumberofDaysTable,4))),0))</f>
        <v>0.77586894047708466</v>
      </c>
      <c r="AB31" s="306">
        <f ca="1">IF($A31="N/A"," ",IF(U31&lt;&gt;0,IF('Pricing Inputs'!$AN$3=2,8*VLOOKUP($A31,NumberofDaysTable,4),(_xll.xSPRDOPT(N31,$E31,$BU31,0,$BP31,$BS31,$BT31,$A31-Inputs!$D$1,1,1))*(8*VLOOKUP($A31,NumberofDaysTable,4))),0))</f>
        <v>3.0370854505654794</v>
      </c>
      <c r="AC31" s="306">
        <f t="shared" ca="1" si="21"/>
        <v>0</v>
      </c>
      <c r="AD31" s="274">
        <f t="shared" ca="1" si="74"/>
        <v>23</v>
      </c>
      <c r="AE31" s="275">
        <f t="shared" ca="1" si="75"/>
        <v>17</v>
      </c>
      <c r="AF31" s="275">
        <f t="shared" ca="1" si="76"/>
        <v>58</v>
      </c>
      <c r="AG31" s="275">
        <f t="shared" ca="1" si="77"/>
        <v>41</v>
      </c>
      <c r="AH31" s="275">
        <f t="shared" ca="1" si="78"/>
        <v>62</v>
      </c>
      <c r="AI31" s="275">
        <f t="shared" ca="1" si="79"/>
        <v>49</v>
      </c>
      <c r="AJ31" s="276">
        <f t="shared" ca="1" si="80"/>
        <v>73</v>
      </c>
      <c r="AK31" s="314">
        <f t="shared" ca="1" si="43"/>
        <v>87.137351040542498</v>
      </c>
      <c r="AL31" s="315">
        <f t="shared" ca="1" si="44"/>
        <v>130.02352230102562</v>
      </c>
      <c r="AM31" s="315">
        <f t="shared" ca="1" si="45"/>
        <v>1.4198983749770144</v>
      </c>
      <c r="AN31" s="315">
        <f t="shared" ca="1" si="46"/>
        <v>4.7635020137523583</v>
      </c>
      <c r="AO31" s="315">
        <f t="shared" ca="1" si="47"/>
        <v>0.77586894047708466</v>
      </c>
      <c r="AP31" s="315">
        <f t="shared" ca="1" si="48"/>
        <v>3.0370854505654794</v>
      </c>
      <c r="AQ31" s="315">
        <f t="shared" ca="1" si="49"/>
        <v>0</v>
      </c>
      <c r="AR31" s="276"/>
      <c r="AS31" s="321">
        <f t="shared" ca="1" si="67"/>
        <v>0</v>
      </c>
      <c r="AT31" s="324">
        <f t="shared" ca="1" si="68"/>
        <v>0</v>
      </c>
      <c r="AU31" s="324">
        <f t="shared" ca="1" si="69"/>
        <v>0</v>
      </c>
      <c r="AV31" s="324">
        <f t="shared" ca="1" si="70"/>
        <v>0</v>
      </c>
      <c r="AW31" s="324">
        <f t="shared" ca="1" si="71"/>
        <v>0</v>
      </c>
      <c r="AX31" s="324">
        <f t="shared" ca="1" si="72"/>
        <v>0</v>
      </c>
      <c r="AY31" s="324">
        <f t="shared" ca="1" si="73"/>
        <v>0</v>
      </c>
      <c r="AZ31" s="276"/>
      <c r="BA31" s="267">
        <f ca="1">IF($A31="N/A"," ",(IF(MONTH(A31)&gt;=4,IF(MONTH(A31)&lt;=10,Inputs!$F$13,Inputs!$F$14),Inputs!$F$14))*$BW31)</f>
        <v>180</v>
      </c>
      <c r="BB31" s="268">
        <f t="shared" ca="1" si="64"/>
        <v>73333.219029384272</v>
      </c>
      <c r="BC31" s="268">
        <f t="shared" ca="1" si="65"/>
        <v>167203.91780094162</v>
      </c>
      <c r="BD31" s="268">
        <f t="shared" ca="1" si="31"/>
        <v>452.29737143054712</v>
      </c>
      <c r="BE31" s="268">
        <f t="shared" ca="1" si="32"/>
        <v>2161.6603025189274</v>
      </c>
      <c r="BF31" s="268">
        <f t="shared" ca="1" si="33"/>
        <v>215.80309347447522</v>
      </c>
      <c r="BG31" s="268">
        <f t="shared" ca="1" si="34"/>
        <v>1187.9365061715478</v>
      </c>
      <c r="BH31" s="268">
        <f t="shared" ca="1" si="41"/>
        <v>0</v>
      </c>
      <c r="BI31" s="268">
        <f t="shared" ca="1" si="36"/>
        <v>244554.83410392137</v>
      </c>
      <c r="BJ31" s="296">
        <f t="shared" ca="1" si="37"/>
        <v>1206077.1053834974</v>
      </c>
      <c r="BK31" s="296">
        <f t="shared" ca="1" si="38"/>
        <v>1124300.503259815</v>
      </c>
      <c r="BL31" s="296">
        <f t="shared" ca="1" si="39"/>
        <v>81776.602123682416</v>
      </c>
      <c r="BM31" s="296">
        <f t="shared" ca="1" si="40"/>
        <v>0</v>
      </c>
      <c r="BN31" s="405">
        <f>IF(A31="N/A"," ",(VLOOKUP(A31,PowerVolTable,(IF('Pricing Inputs'!$AT$3=2,7,IF('Pricing Inputs'!$AT$3=1,6,8))),FALSE)))</f>
        <v>0.21484012499999999</v>
      </c>
      <c r="BO31" s="405">
        <f>IF(A31="N/A"," ",(VLOOKUP(A31,IntraPowerVol,(IF('Pricing Inputs'!$AT$3=2,3,IF('Pricing Inputs'!$AT$3=1,2,4))),FALSE)*VLOOKUP(MONTH($A31),Inputs!$A$28:$B$39,2)))</f>
        <v>1.2649999999999999</v>
      </c>
      <c r="BP31" s="406">
        <f t="shared" ca="1" si="15"/>
        <v>0.25800012400455602</v>
      </c>
      <c r="BQ31" s="405">
        <f ca="1">IF($A31="N/A"," ",(VLOOKUP($A31,GasVolTable,(IF('Pricing Inputs'!$AT$3=2,6,IF('Pricing Inputs'!$AT$3=1,7,5))),FALSE)))</f>
        <v>0.17400000000000002</v>
      </c>
      <c r="BR31" s="405">
        <f ca="1">IF($A31="N/A"," ",(VLOOKUP($A31,OmicronVol,(IF('Pricing Inputs'!$AT$3=2,3,IF('Pricing Inputs'!$AT$3=1,4,2))),FALSE)))</f>
        <v>0.45</v>
      </c>
      <c r="BS31" s="406">
        <f ca="1">IF($A31="N/A"," ",IF('Pricing Inputs'!$AN$3=1,(IF(DateToday&gt;$A31,$BR31,((($BQ31^2)*((($A31-1)-DateToday)/((EOMONTH($A31,0)+1)-DateToday-15)))+((($BR31)^2)*((15)/((EOMONTH($A31,0)+1)-DateToday-15))))^0.5)),0.0001))</f>
        <v>0.1803206792589831</v>
      </c>
      <c r="BT31" s="405">
        <f>IF($A31="N/A"," ",IF('Pricing Inputs'!$AN$3=1,(VLOOKUP($A31,CorrelationTable,2,FALSE)),0))</f>
        <v>0.9</v>
      </c>
      <c r="BU31" s="407">
        <f ca="1">IF($A31="N/A"," ",F31+G31+(D31*(VLOOKUP($A31,'Gas Curves'!$B$17:$P$310,14,FALSE))))</f>
        <v>2.6825000000000001</v>
      </c>
      <c r="BV31" s="405">
        <f>IF($A31="N/A"," ",IF('Pricing Inputs'!$AW$3=1,0,(VLOOKUP($A31,InterestRatesTable,2))))</f>
        <v>0</v>
      </c>
      <c r="BW31" s="408">
        <f t="shared" ca="1" si="16"/>
        <v>1</v>
      </c>
    </row>
    <row r="32" spans="1:75">
      <c r="A32" s="248">
        <f>IF(A31="N/A","N/A",IF(EDATE(A31,1)&gt;Inputs!$K$3,"N/A",EDATE(A31,1)))</f>
        <v>37742</v>
      </c>
      <c r="B32" s="262">
        <f t="shared" si="17"/>
        <v>2003</v>
      </c>
      <c r="C32" s="249">
        <f t="shared" ca="1" si="18"/>
        <v>2.5940000000000003</v>
      </c>
      <c r="D32" s="250">
        <f>IF(A32="N/A"," ",(VLOOKUP(MONTH($A32),Inputs!$A$14:$B$25,2))/1000)</f>
        <v>10.5</v>
      </c>
      <c r="E32" s="304">
        <f t="shared" ca="1" si="19"/>
        <v>27.237000000000002</v>
      </c>
      <c r="F32" s="251">
        <f>IF(A32="N/A"," ",Inputs!$F$6)</f>
        <v>2</v>
      </c>
      <c r="G32" s="251">
        <f ca="1">IF(A32="N/A"," ",Inputs!$F$9/IF(AND('Pricing Inputs'!$AQ$3&gt;=4,'Pricing Inputs'!$AQ$3&lt;=6),16,IF(AND('Pricing Inputs'!$AQ$3&gt;=7,'Pricing Inputs'!$AQ$3&lt;=9),8,24))/(BA32/BW32))</f>
        <v>0</v>
      </c>
      <c r="H32" s="252">
        <f t="shared" ca="1" si="20"/>
        <v>29.237000000000002</v>
      </c>
      <c r="I32" s="255">
        <f>VLOOKUP(A32,ScaledPrice,(IF(AND('Pricing Inputs'!$AQ$3&gt;=1,'Pricing Inputs'!$AQ$3&lt;=6),2,4)))</f>
        <v>32.71976129355572</v>
      </c>
      <c r="J32" s="255">
        <f>IF(A32="N/A"," ",IF(AND('Pricing Inputs'!$AQ$3&gt;=1,'Pricing Inputs'!$AQ$3&lt;=6),I32,(VLOOKUP(A32,ScaledPrice,2))*(2-(VLOOKUP(A32,ScaledPrice,3)))))</f>
        <v>34.580238706444277</v>
      </c>
      <c r="K32" s="255">
        <f>IF(A32="N/A"," ",IF(OR('Pricing Inputs'!$AQ$3=2,'Pricing Inputs'!$AQ$3=3,'Pricing Inputs'!$AQ$3=5,'Pricing Inputs'!$AQ$3=6,'Pricing Inputs'!$AQ$3=8,'Pricing Inputs'!$AQ$3=9),VLOOKUP(A32,ScaledPrice,IF(AND('Pricing Inputs'!$AQ$3&gt;=2,'Pricing Inputs'!$AQ$3&lt;=6),5,6)),0))</f>
        <v>21.034479604135626</v>
      </c>
      <c r="L32" s="255">
        <f>IF(A32="N/A"," ",IF(OR('Pricing Inputs'!$AQ$3=2,'Pricing Inputs'!$AQ$3=3,'Pricing Inputs'!$AQ$3=5,'Pricing Inputs'!$AQ$3=6,'Pricing Inputs'!$AQ$3=8,'Pricing Inputs'!$AQ$3=9),IF(AND('Pricing Inputs'!$AQ$3&gt;=2,'Pricing Inputs'!$AQ$3&lt;=6),K32,(VLOOKUP(A32,ScaledPrice,5))*(2-(VLOOKUP(A32,ScaledPrice,3)))),0))</f>
        <v>22.230520548452262</v>
      </c>
      <c r="M32" s="255">
        <f>IF(A32="N/A"," ",IF(OR('Pricing Inputs'!$AQ$3=3,'Pricing Inputs'!$AQ$3=6,'Pricing Inputs'!$AQ$3=9),(VLOOKUP(A32,ScaledPrice,IF(AND('Pricing Inputs'!$AQ$3&gt;=3,'Pricing Inputs'!$AQ$3&lt;=6),7,8))),0))</f>
        <v>20.190960944182034</v>
      </c>
      <c r="N32" s="255">
        <f>IF(A32="N/A"," ",IF(OR('Pricing Inputs'!$AQ$3=3,'Pricing Inputs'!$AQ$3=6,'Pricing Inputs'!$AQ$3=9),IF(AND('Pricing Inputs'!$AQ$3&gt;=3,'Pricing Inputs'!$AQ$3&lt;=6),M32,(VLOOKUP(A32,ScaledPrice,7))*(2-(VLOOKUP(A32,ScaledPrice,3)))),0))</f>
        <v>21.339038598054291</v>
      </c>
      <c r="O32" s="255">
        <f>IF(A32="N/A"," ",IF(AND('Pricing Inputs'!$AQ$3&gt;=1,'Pricing Inputs'!$AQ$3&lt;=3),VLOOKUP(A32,ScaledPrice,9),0))</f>
        <v>0</v>
      </c>
      <c r="P32" s="320">
        <f ca="1">IF($A32="N/A"," ",IF('Pricing Inputs'!$AN$8=2,(I32-H32),IF('Pricing Inputs'!$AN$3=2,IF((I32-$H32)&gt;0,I32-$H32,0),(_xll.xSPRDOPT(I32,$E32,$BU32,0,$BP32,$BS32,$BT32,($A32-Inputs!$D$1)+15,1,0)))))</f>
        <v>5.0264050002500911</v>
      </c>
      <c r="Q32" s="320">
        <f ca="1">IF($A32="N/A"," ",IF('Pricing Inputs'!$AN$8=2,(J32-$H32),IF('Pricing Inputs'!$AN$3=2,IF((J32-$H32)&gt;0,J32-$H32,0),(_xll.xSPRDOPT(J32,$E32,$BU32,0,$BP32,$BS32,$BT32,($A32-Inputs!$D$1)+15,1,0)))))</f>
        <v>6.3558756499475857</v>
      </c>
      <c r="R32" s="320">
        <f ca="1">IF($A32="N/A"," ",IF('Pricing Inputs'!$AN$8=2,(K32-$H32),IF('Pricing Inputs'!$AN$3=2,IF((K32-$H32)&gt;0,K32-$H32,0),(_xll.xSPRDOPT(K32,$E32,$BU32,0,$BP32,$BS32,$BT32,($A32-Inputs!$D$1)+15,1,0)))))</f>
        <v>0.32344693826966292</v>
      </c>
      <c r="S32" s="320">
        <f ca="1">IF($A32="N/A"," ",IF('Pricing Inputs'!$AN$8=2,(L32-$H32),IF('Pricing Inputs'!$AN$3=2,IF((L32-$H32)&gt;0,L32-$H32,0),(_xll.xSPRDOPT(L32,$E32,$BU32,0,$BP32,$BS32,$BT32,($A32-Inputs!$D$1)+15,1,0)))))</f>
        <v>0.50276927172260499</v>
      </c>
      <c r="T32" s="320">
        <f ca="1">IF($A32="N/A"," ",IF('Pricing Inputs'!$AN$8=2,(M32-$H32),IF('Pricing Inputs'!$AN$3=2,IF((M32-$H32)&gt;0,M32-$H32,0),(_xll.xSPRDOPT(M32,$E32,$BU32,0,$BP32,$BS32,$BT32,($A32-Inputs!$D$1)+15,1,0)))))</f>
        <v>0.22867870736584608</v>
      </c>
      <c r="U32" s="320">
        <f ca="1">IF($A32="N/A"," ",IF('Pricing Inputs'!$AN$8=2,(N32-$H32),IF('Pricing Inputs'!$AN$3=2,IF((N32-$H32)&gt;0,N32-$H32,0),(_xll.xSPRDOPT(N32,$E32,$BU32,0,$BP32,$BS32,$BT32,($A32-Inputs!$D$1)+15,1,0)))))</f>
        <v>0.36383002884051108</v>
      </c>
      <c r="V32" s="259">
        <f ca="1">IF($A32="N/A"," ",(IF('Pricing Inputs'!$AN$8=2,(O32-$H32),IF((O32-$H32)&lt;=0,0,(O32-$H32)))))</f>
        <v>0</v>
      </c>
      <c r="W32" s="306">
        <f ca="1">IF($A32="N/A"," ",IF(0&lt;&gt;P32,IF('Pricing Inputs'!$AN$3=2,8*VLOOKUP($A32,NumberofDaysTable,2),(_xll.xSPRDOPT(I32,$E32,$BU32,0,$BP32,$BS32,$BT32,$A32-Inputs!$D$1,1,1))*(8*VLOOKUP($A32,NumberofDaysTable,2))),0))</f>
        <v>114.27401348698058</v>
      </c>
      <c r="X32" s="306">
        <f ca="1">IF($A32="N/A"," ",IF(Q32&lt;&gt;0,IF('Pricing Inputs'!$AN$3=2,8*VLOOKUP($A32,NumberofDaysTable,2),(_xll.xSPRDOPT(J32,$E32,$BU32,0,$BP32,$BS32,$BT32,$A32-Inputs!$D$1,1,1))*(8*VLOOKUP($A32,NumberofDaysTable,2))),0))</f>
        <v>125.70507780046744</v>
      </c>
      <c r="Y32" s="306">
        <f ca="1">IF($A32="N/A"," ",IF(R32&lt;&gt;0,IF('Pricing Inputs'!$AN$3=2,8*VLOOKUP($A32,NumberofDaysTable,3),(_xll.xSPRDOPT(K32,$E32,$BU32,0,$BP32,$BS32,$BT32,$A32-Inputs!$D$1,1,1))*(8*VLOOKUP($A32,NumberofDaysTable,3))),0))</f>
        <v>5.0033693821290148</v>
      </c>
      <c r="Z32" s="306">
        <f ca="1">IF($A32="N/A"," ",IF(S32&lt;&gt;0,IF('Pricing Inputs'!$AN$3=2,8*VLOOKUP($A32,NumberofDaysTable,3),(_xll.xSPRDOPT(L32,$E32,$BU32,0,$BP32,$BS32,$BT32,$A32-Inputs!$D$1,1,1))*(8*VLOOKUP($A32,NumberofDaysTable,3))),0))</f>
        <v>6.882104875956216</v>
      </c>
      <c r="AA32" s="306">
        <f ca="1">IF($A32="N/A"," ",IF(T32&lt;&gt;0,IF('Pricing Inputs'!$AN$3=2,8*VLOOKUP($A32,NumberofDaysTable,4),(_xll.xSPRDOPT(M32,$E32,$BU32,0,$BP32,$BS32,$BT32,$A32-Inputs!$D$1,1,1))*(8*VLOOKUP($A32,NumberofDaysTable,4))),0))</f>
        <v>3.0920155701795129</v>
      </c>
      <c r="AB32" s="306">
        <f ca="1">IF($A32="N/A"," ",IF(U32&lt;&gt;0,IF('Pricing Inputs'!$AN$3=2,8*VLOOKUP($A32,NumberofDaysTable,4),(_xll.xSPRDOPT(N32,$E32,$BU32,0,$BP32,$BS32,$BT32,$A32-Inputs!$D$1,1,1))*(8*VLOOKUP($A32,NumberofDaysTable,4))),0))</f>
        <v>4.3628313455058674</v>
      </c>
      <c r="AC32" s="306">
        <f t="shared" ca="1" si="21"/>
        <v>0</v>
      </c>
      <c r="AD32" s="274">
        <f t="shared" ca="1" si="74"/>
        <v>18</v>
      </c>
      <c r="AE32" s="275">
        <f t="shared" ca="1" si="75"/>
        <v>14</v>
      </c>
      <c r="AF32" s="275">
        <f t="shared" ca="1" si="76"/>
        <v>44</v>
      </c>
      <c r="AG32" s="275">
        <f t="shared" ca="1" si="77"/>
        <v>38</v>
      </c>
      <c r="AH32" s="275">
        <f t="shared" ca="1" si="78"/>
        <v>48</v>
      </c>
      <c r="AI32" s="275">
        <f t="shared" ca="1" si="79"/>
        <v>42</v>
      </c>
      <c r="AJ32" s="276">
        <f t="shared" ca="1" si="80"/>
        <v>73</v>
      </c>
      <c r="AK32" s="314">
        <f t="shared" ca="1" si="43"/>
        <v>114.27401348698058</v>
      </c>
      <c r="AL32" s="315">
        <f t="shared" ca="1" si="44"/>
        <v>125.70507780046744</v>
      </c>
      <c r="AM32" s="315">
        <f t="shared" ca="1" si="45"/>
        <v>5.0033693821290148</v>
      </c>
      <c r="AN32" s="315">
        <f t="shared" ca="1" si="46"/>
        <v>6.882104875956216</v>
      </c>
      <c r="AO32" s="315">
        <f t="shared" ca="1" si="47"/>
        <v>3.0920155701795129</v>
      </c>
      <c r="AP32" s="315">
        <f t="shared" ca="1" si="48"/>
        <v>4.3628313455058674</v>
      </c>
      <c r="AQ32" s="315">
        <f t="shared" ca="1" si="49"/>
        <v>0</v>
      </c>
      <c r="AR32" s="276"/>
      <c r="AS32" s="321">
        <f t="shared" ca="1" si="67"/>
        <v>0</v>
      </c>
      <c r="AT32" s="324">
        <f t="shared" ca="1" si="68"/>
        <v>0</v>
      </c>
      <c r="AU32" s="324">
        <f t="shared" ca="1" si="69"/>
        <v>0</v>
      </c>
      <c r="AV32" s="324">
        <f t="shared" ca="1" si="70"/>
        <v>0</v>
      </c>
      <c r="AW32" s="324">
        <f t="shared" ca="1" si="71"/>
        <v>0</v>
      </c>
      <c r="AX32" s="324">
        <f t="shared" ca="1" si="72"/>
        <v>0</v>
      </c>
      <c r="AY32" s="324">
        <f t="shared" ca="1" si="73"/>
        <v>0</v>
      </c>
      <c r="AZ32" s="276"/>
      <c r="BA32" s="267">
        <f ca="1">IF($A32="N/A"," ",(IF(MONTH(A32)&gt;=4,IF(MONTH(A32)&lt;=10,Inputs!$F$13,Inputs!$F$14),Inputs!$F$14))*$BW32)</f>
        <v>180</v>
      </c>
      <c r="BB32" s="268">
        <f t="shared" ca="1" si="64"/>
        <v>151998.48720756275</v>
      </c>
      <c r="BC32" s="268">
        <f t="shared" ca="1" si="65"/>
        <v>192201.679654415</v>
      </c>
      <c r="BD32" s="268">
        <f t="shared" ca="1" si="31"/>
        <v>2328.8179555415732</v>
      </c>
      <c r="BE32" s="268">
        <f t="shared" ca="1" si="32"/>
        <v>3619.9387564027561</v>
      </c>
      <c r="BF32" s="268">
        <f t="shared" ca="1" si="33"/>
        <v>1646.4866930340918</v>
      </c>
      <c r="BG32" s="268">
        <f t="shared" ca="1" si="34"/>
        <v>2619.5762076516799</v>
      </c>
      <c r="BH32" s="268">
        <f t="shared" ca="1" si="41"/>
        <v>0</v>
      </c>
      <c r="BI32" s="268">
        <f t="shared" ca="1" si="36"/>
        <v>354414.9864746079</v>
      </c>
      <c r="BJ32" s="296">
        <f t="shared" ca="1" si="37"/>
        <v>1364709.8991831569</v>
      </c>
      <c r="BK32" s="296">
        <f t="shared" ca="1" si="38"/>
        <v>1271354.9106971181</v>
      </c>
      <c r="BL32" s="296">
        <f t="shared" ca="1" si="39"/>
        <v>93354.98848603871</v>
      </c>
      <c r="BM32" s="296">
        <f t="shared" ca="1" si="40"/>
        <v>0</v>
      </c>
      <c r="BN32" s="405">
        <f>IF(A32="N/A"," ",(VLOOKUP(A32,PowerVolTable,(IF('Pricing Inputs'!$AT$3=2,7,IF('Pricing Inputs'!$AT$3=1,6,8))),FALSE)))</f>
        <v>0.24733012499999998</v>
      </c>
      <c r="BO32" s="405">
        <f>IF(A32="N/A"," ",(VLOOKUP(A32,IntraPowerVol,(IF('Pricing Inputs'!$AT$3=2,3,IF('Pricing Inputs'!$AT$3=1,2,4))),FALSE)*VLOOKUP(MONTH($A32),Inputs!$A$28:$B$39,2)))</f>
        <v>1.2649999999999999</v>
      </c>
      <c r="BP32" s="406">
        <f t="shared" ca="1" si="15"/>
        <v>0.28422228690491735</v>
      </c>
      <c r="BQ32" s="405">
        <f ca="1">IF($A32="N/A"," ",(VLOOKUP($A32,GasVolTable,(IF('Pricing Inputs'!$AT$3=2,6,IF('Pricing Inputs'!$AT$3=1,7,5))),FALSE)))</f>
        <v>0.17150000000000001</v>
      </c>
      <c r="BR32" s="405">
        <f ca="1">IF($A32="N/A"," ",(VLOOKUP($A32,OmicronVol,(IF('Pricing Inputs'!$AT$3=2,3,IF('Pricing Inputs'!$AT$3=1,4,2))),FALSE)))</f>
        <v>0.5</v>
      </c>
      <c r="BS32" s="406">
        <f ca="1">IF($A32="N/A"," ",IF('Pricing Inputs'!$AN$3=1,(IF(DateToday&gt;$A32,$BR32,((($BQ32^2)*((($A32-1)-DateToday)/((EOMONTH($A32,0)+1)-DateToday-15)))+((($BR32)^2)*((15)/((EOMONTH($A32,0)+1)-DateToday-15))))^0.5)),0.0001))</f>
        <v>0.17940916529248976</v>
      </c>
      <c r="BT32" s="405">
        <f>IF($A32="N/A"," ",IF('Pricing Inputs'!$AN$3=1,(VLOOKUP($A32,CorrelationTable,2,FALSE)),0))</f>
        <v>0.9</v>
      </c>
      <c r="BU32" s="407">
        <f ca="1">IF($A32="N/A"," ",F32+G32+(D32*(VLOOKUP($A32,'Gas Curves'!$B$17:$P$310,14,FALSE))))</f>
        <v>2.6825000000000001</v>
      </c>
      <c r="BV32" s="405">
        <f>IF($A32="N/A"," ",IF('Pricing Inputs'!$AW$3=1,0,(VLOOKUP($A32,InterestRatesTable,2))))</f>
        <v>0</v>
      </c>
      <c r="BW32" s="408">
        <f t="shared" ca="1" si="16"/>
        <v>1</v>
      </c>
    </row>
    <row r="33" spans="1:75">
      <c r="A33" s="248">
        <f>IF(A32="N/A","N/A",IF(EDATE(A32,1)&gt;Inputs!$K$3,"N/A",EDATE(A32,1)))</f>
        <v>37773</v>
      </c>
      <c r="B33" s="262">
        <f t="shared" si="17"/>
        <v>2003</v>
      </c>
      <c r="C33" s="249">
        <f t="shared" ca="1" si="18"/>
        <v>2.6</v>
      </c>
      <c r="D33" s="250">
        <f>IF(A33="N/A"," ",(VLOOKUP(MONTH($A33),Inputs!$A$14:$B$25,2))/1000)</f>
        <v>10.5</v>
      </c>
      <c r="E33" s="304">
        <f t="shared" ca="1" si="19"/>
        <v>27.3</v>
      </c>
      <c r="F33" s="251">
        <f>IF(A33="N/A"," ",Inputs!$F$6)</f>
        <v>2</v>
      </c>
      <c r="G33" s="251">
        <f ca="1">IF(A33="N/A"," ",Inputs!$F$9/IF(AND('Pricing Inputs'!$AQ$3&gt;=4,'Pricing Inputs'!$AQ$3&lt;=6),16,IF(AND('Pricing Inputs'!$AQ$3&gt;=7,'Pricing Inputs'!$AQ$3&lt;=9),8,24))/(BA33/BW33))</f>
        <v>0</v>
      </c>
      <c r="H33" s="252">
        <f t="shared" ca="1" si="20"/>
        <v>29.3</v>
      </c>
      <c r="I33" s="255">
        <f>VLOOKUP(A33,ScaledPrice,(IF(AND('Pricing Inputs'!$AQ$3&gt;=1,'Pricing Inputs'!$AQ$3&lt;=6),2,4)))</f>
        <v>55.874344671392016</v>
      </c>
      <c r="J33" s="255">
        <f>IF(A33="N/A"," ",IF(AND('Pricing Inputs'!$AQ$3&gt;=1,'Pricing Inputs'!$AQ$3&lt;=6),I33,(VLOOKUP(A33,ScaledPrice,2))*(2-(VLOOKUP(A33,ScaledPrice,3)))))</f>
        <v>42.125655328607984</v>
      </c>
      <c r="K33" s="255">
        <f>IF(A33="N/A"," ",IF(OR('Pricing Inputs'!$AQ$3=2,'Pricing Inputs'!$AQ$3=3,'Pricing Inputs'!$AQ$3=5,'Pricing Inputs'!$AQ$3=6,'Pricing Inputs'!$AQ$3=8,'Pricing Inputs'!$AQ$3=9),VLOOKUP(A33,ScaledPrice,IF(AND('Pricing Inputs'!$AQ$3&gt;=2,'Pricing Inputs'!$AQ$3&lt;=6),5,6)),0))</f>
        <v>29.714603831252756</v>
      </c>
      <c r="L33" s="255">
        <f>IF(A33="N/A"," ",IF(OR('Pricing Inputs'!$AQ$3=2,'Pricing Inputs'!$AQ$3=3,'Pricing Inputs'!$AQ$3=5,'Pricing Inputs'!$AQ$3=6,'Pricing Inputs'!$AQ$3=8,'Pricing Inputs'!$AQ$3=9),IF(AND('Pricing Inputs'!$AQ$3&gt;=2,'Pricing Inputs'!$AQ$3&lt;=6),K33,(VLOOKUP(A33,ScaledPrice,5))*(2-(VLOOKUP(A33,ScaledPrice,3)))),0))</f>
        <v>22.402896473923025</v>
      </c>
      <c r="M33" s="255">
        <f>IF(A33="N/A"," ",IF(OR('Pricing Inputs'!$AQ$3=3,'Pricing Inputs'!$AQ$3=6,'Pricing Inputs'!$AQ$3=9),(VLOOKUP(A33,ScaledPrice,IF(AND('Pricing Inputs'!$AQ$3&gt;=3,'Pricing Inputs'!$AQ$3&lt;=6),7,8))),0))</f>
        <v>22.284170513539454</v>
      </c>
      <c r="N33" s="255">
        <f>IF(A33="N/A"," ",IF(OR('Pricing Inputs'!$AQ$3=3,'Pricing Inputs'!$AQ$3=6,'Pricing Inputs'!$AQ$3=9),IF(AND('Pricing Inputs'!$AQ$3&gt;=3,'Pricing Inputs'!$AQ$3&lt;=6),M33,(VLOOKUP(A33,ScaledPrice,7))*(2-(VLOOKUP(A33,ScaledPrice,3)))),0))</f>
        <v>16.800828570933202</v>
      </c>
      <c r="O33" s="255">
        <f>IF(A33="N/A"," ",IF(AND('Pricing Inputs'!$AQ$3&gt;=1,'Pricing Inputs'!$AQ$3&lt;=3),VLOOKUP(A33,ScaledPrice,9),0))</f>
        <v>0</v>
      </c>
      <c r="P33" s="320">
        <f ca="1">IF($A33="N/A"," ",IF('Pricing Inputs'!$AN$8=2,(I33-H33),IF('Pricing Inputs'!$AN$3=2,IF((I33-$H33)&gt;0,I33-$H33,0),(_xll.xSPRDOPT(I33,$E33,$BU33,0,$BP33,$BS33,$BT33,($A33-Inputs!$D$1)+15,1,0)))))</f>
        <v>26.783750977319055</v>
      </c>
      <c r="Q33" s="320">
        <f ca="1">IF($A33="N/A"," ",IF('Pricing Inputs'!$AN$8=2,(J33-$H33),IF('Pricing Inputs'!$AN$3=2,IF((J33-$H33)&gt;0,J33-$H33,0),(_xll.xSPRDOPT(J33,$E33,$BU33,0,$BP33,$BS33,$BT33,($A33-Inputs!$D$1)+15,1,0)))))</f>
        <v>14.504582683946637</v>
      </c>
      <c r="R33" s="320">
        <f ca="1">IF($A33="N/A"," ",IF('Pricing Inputs'!$AN$8=2,(K33-$H33),IF('Pricing Inputs'!$AN$3=2,IF((K33-$H33)&gt;0,K33-$H33,0),(_xll.xSPRDOPT(K33,$E33,$BU33,0,$BP33,$BS33,$BT33,($A33-Inputs!$D$1)+15,1,0)))))</f>
        <v>5.505252876799033</v>
      </c>
      <c r="S33" s="320">
        <f ca="1">IF($A33="N/A"," ",IF('Pricing Inputs'!$AN$8=2,(L33-$H33),IF('Pricing Inputs'!$AN$3=2,IF((L33-$H33)&gt;0,L33-$H33,0),(_xll.xSPRDOPT(L33,$E33,$BU33,0,$BP33,$BS33,$BT33,($A33-Inputs!$D$1)+15,1,0)))))</f>
        <v>2.0145176845437156</v>
      </c>
      <c r="T33" s="320">
        <f ca="1">IF($A33="N/A"," ",IF('Pricing Inputs'!$AN$8=2,(M33-$H33),IF('Pricing Inputs'!$AN$3=2,IF((M33-$H33)&gt;0,M33-$H33,0),(_xll.xSPRDOPT(M33,$E33,$BU33,0,$BP33,$BS33,$BT33,($A33-Inputs!$D$1)+15,1,0)))))</f>
        <v>1.9724714839759252</v>
      </c>
      <c r="U33" s="320">
        <f ca="1">IF($A33="N/A"," ",IF('Pricing Inputs'!$AN$8=2,(N33-$H33),IF('Pricing Inputs'!$AN$3=2,IF((N33-$H33)&gt;0,N33-$H33,0),(_xll.xSPRDOPT(N33,$E33,$BU33,0,$BP33,$BS33,$BT33,($A33-Inputs!$D$1)+15,1,0)))))</f>
        <v>0.56583762422356476</v>
      </c>
      <c r="V33" s="259">
        <f ca="1">IF($A33="N/A"," ",(IF('Pricing Inputs'!$AN$8=2,(O33-$H33),IF((O33-$H33)&lt;=0,0,(O33-$H33)))))</f>
        <v>0</v>
      </c>
      <c r="W33" s="306">
        <f ca="1">IF($A33="N/A"," ",IF(0&lt;&gt;P33,IF('Pricing Inputs'!$AN$3=2,8*VLOOKUP($A33,NumberofDaysTable,2),(_xll.xSPRDOPT(I33,$E33,$BU33,0,$BP33,$BS33,$BT33,$A33-Inputs!$D$1,1,1))*(8*VLOOKUP($A33,NumberofDaysTable,2))),0))</f>
        <v>157.74963073451411</v>
      </c>
      <c r="X33" s="306">
        <f ca="1">IF($A33="N/A"," ",IF(Q33&lt;&gt;0,IF('Pricing Inputs'!$AN$3=2,8*VLOOKUP($A33,NumberofDaysTable,2),(_xll.xSPRDOPT(J33,$E33,$BU33,0,$BP33,$BS33,$BT33,$A33-Inputs!$D$1,1,1))*(8*VLOOKUP($A33,NumberofDaysTable,2))),0))</f>
        <v>139.55683964937219</v>
      </c>
      <c r="Y33" s="306">
        <f ca="1">IF($A33="N/A"," ",IF(R33&lt;&gt;0,IF('Pricing Inputs'!$AN$3=2,8*VLOOKUP($A33,NumberofDaysTable,3),(_xll.xSPRDOPT(K33,$E33,$BU33,0,$BP33,$BS33,$BT33,$A33-Inputs!$D$1,1,1))*(8*VLOOKUP($A33,NumberofDaysTable,3))),0))</f>
        <v>18.828485602985975</v>
      </c>
      <c r="Z33" s="306">
        <f ca="1">IF($A33="N/A"," ",IF(S33&lt;&gt;0,IF('Pricing Inputs'!$AN$3=2,8*VLOOKUP($A33,NumberofDaysTable,3),(_xll.xSPRDOPT(L33,$E33,$BU33,0,$BP33,$BS33,$BT33,$A33-Inputs!$D$1,1,1))*(8*VLOOKUP($A33,NumberofDaysTable,3))),0))</f>
        <v>11.335416240183255</v>
      </c>
      <c r="AA33" s="306">
        <f ca="1">IF($A33="N/A"," ",IF(T33&lt;&gt;0,IF('Pricing Inputs'!$AN$3=2,8*VLOOKUP($A33,NumberofDaysTable,4),(_xll.xSPRDOPT(M33,$E33,$BU33,0,$BP33,$BS33,$BT33,$A33-Inputs!$D$1,1,1))*(8*VLOOKUP($A33,NumberofDaysTable,4))),0))</f>
        <v>14.001976334966578</v>
      </c>
      <c r="AB33" s="306">
        <f ca="1">IF($A33="N/A"," ",IF(U33&lt;&gt;0,IF('Pricing Inputs'!$AN$3=2,8*VLOOKUP($A33,NumberofDaysTable,4),(_xll.xSPRDOPT(N33,$E33,$BU33,0,$BP33,$BS33,$BT33,$A33-Inputs!$D$1,1,1))*(8*VLOOKUP($A33,NumberofDaysTable,4))),0))</f>
        <v>6.4875816199648648</v>
      </c>
      <c r="AC33" s="306">
        <f t="shared" ca="1" si="21"/>
        <v>0</v>
      </c>
      <c r="AD33" s="274">
        <f t="shared" ca="1" si="74"/>
        <v>5</v>
      </c>
      <c r="AE33" s="275">
        <f t="shared" ca="1" si="75"/>
        <v>8</v>
      </c>
      <c r="AF33" s="275">
        <f t="shared" ca="1" si="76"/>
        <v>16</v>
      </c>
      <c r="AG33" s="275">
        <f t="shared" ca="1" si="77"/>
        <v>24</v>
      </c>
      <c r="AH33" s="275">
        <f t="shared" ca="1" si="78"/>
        <v>25</v>
      </c>
      <c r="AI33" s="275">
        <f t="shared" ca="1" si="79"/>
        <v>35</v>
      </c>
      <c r="AJ33" s="276">
        <f t="shared" ca="1" si="80"/>
        <v>73</v>
      </c>
      <c r="AK33" s="314">
        <f t="shared" ca="1" si="43"/>
        <v>157.74963073451411</v>
      </c>
      <c r="AL33" s="315">
        <f t="shared" ca="1" si="44"/>
        <v>139.55683964937219</v>
      </c>
      <c r="AM33" s="315">
        <f t="shared" ca="1" si="45"/>
        <v>18.828485602985975</v>
      </c>
      <c r="AN33" s="315">
        <f t="shared" ca="1" si="46"/>
        <v>11.335416240183255</v>
      </c>
      <c r="AO33" s="315">
        <f t="shared" ca="1" si="47"/>
        <v>14.001976334966578</v>
      </c>
      <c r="AP33" s="315">
        <f t="shared" ca="1" si="48"/>
        <v>6.4875816199648648</v>
      </c>
      <c r="AQ33" s="315">
        <f t="shared" ca="1" si="49"/>
        <v>0</v>
      </c>
      <c r="AR33" s="276"/>
      <c r="AS33" s="321">
        <f t="shared" ca="1" si="67"/>
        <v>0</v>
      </c>
      <c r="AT33" s="324">
        <f t="shared" ca="1" si="68"/>
        <v>0</v>
      </c>
      <c r="AU33" s="324">
        <f t="shared" ca="1" si="69"/>
        <v>0</v>
      </c>
      <c r="AV33" s="324">
        <f t="shared" ca="1" si="70"/>
        <v>0</v>
      </c>
      <c r="AW33" s="324">
        <f t="shared" ca="1" si="71"/>
        <v>0</v>
      </c>
      <c r="AX33" s="324">
        <f t="shared" ca="1" si="72"/>
        <v>0</v>
      </c>
      <c r="AY33" s="324">
        <f t="shared" ca="1" si="73"/>
        <v>0</v>
      </c>
      <c r="AZ33" s="276"/>
      <c r="BA33" s="267">
        <f ca="1">IF($A33="N/A"," ",(IF(MONTH(A33)&gt;=4,IF(MONTH(A33)&lt;=10,Inputs!$F$13,Inputs!$F$14),Inputs!$F$14))*$BW33)</f>
        <v>180</v>
      </c>
      <c r="BB33" s="268">
        <f t="shared" ca="1" si="64"/>
        <v>809940.62955412827</v>
      </c>
      <c r="BC33" s="268">
        <f t="shared" ca="1" si="65"/>
        <v>438618.58036254632</v>
      </c>
      <c r="BD33" s="268">
        <f t="shared" ca="1" si="31"/>
        <v>31710.256570362431</v>
      </c>
      <c r="BE33" s="268">
        <f t="shared" ca="1" si="32"/>
        <v>11603.621862971802</v>
      </c>
      <c r="BF33" s="268">
        <f t="shared" ca="1" si="33"/>
        <v>14201.794684626662</v>
      </c>
      <c r="BG33" s="268">
        <f t="shared" ca="1" si="34"/>
        <v>4074.0308944096664</v>
      </c>
      <c r="BH33" s="268">
        <f t="shared" ca="1" si="41"/>
        <v>0</v>
      </c>
      <c r="BI33" s="268">
        <f t="shared" ca="1" si="36"/>
        <v>1310148.913929045</v>
      </c>
      <c r="BJ33" s="296">
        <f t="shared" ca="1" si="37"/>
        <v>1835140.6717797993</v>
      </c>
      <c r="BK33" s="296">
        <f t="shared" ca="1" si="38"/>
        <v>1709875.0969142842</v>
      </c>
      <c r="BL33" s="296">
        <f t="shared" ca="1" si="39"/>
        <v>125265.57486551531</v>
      </c>
      <c r="BM33" s="296">
        <f t="shared" ca="1" si="40"/>
        <v>0</v>
      </c>
      <c r="BN33" s="405">
        <f>IF(A33="N/A"," ",(VLOOKUP(A33,PowerVolTable,(IF('Pricing Inputs'!$AT$3=2,7,IF('Pricing Inputs'!$AT$3=1,6,8))),FALSE)))</f>
        <v>0.31007643749999997</v>
      </c>
      <c r="BO33" s="405">
        <f>IF(A33="N/A"," ",(VLOOKUP(A33,IntraPowerVol,(IF('Pricing Inputs'!$AT$3=2,3,IF('Pricing Inputs'!$AT$3=1,2,4))),FALSE)*VLOOKUP(MONTH($A33),Inputs!$A$28:$B$39,2)))</f>
        <v>2.2999999999999998</v>
      </c>
      <c r="BP33" s="406">
        <f t="shared" ca="1" si="15"/>
        <v>0.40116884341665815</v>
      </c>
      <c r="BQ33" s="405">
        <f ca="1">IF($A33="N/A"," ",(VLOOKUP($A33,GasVolTable,(IF('Pricing Inputs'!$AT$3=2,6,IF('Pricing Inputs'!$AT$3=1,7,5))),FALSE)))</f>
        <v>0.17150000000000001</v>
      </c>
      <c r="BR33" s="405">
        <f ca="1">IF($A33="N/A"," ",(VLOOKUP($A33,OmicronVol,(IF('Pricing Inputs'!$AT$3=2,3,IF('Pricing Inputs'!$AT$3=1,4,2))),FALSE)))</f>
        <v>0.5</v>
      </c>
      <c r="BS33" s="406">
        <f ca="1">IF($A33="N/A"," ",IF('Pricing Inputs'!$AN$3=1,(IF(DateToday&gt;$A33,$BR33,((($BQ33^2)*((($A33-1)-DateToday)/((EOMONTH($A33,0)+1)-DateToday-15)))+((($BR33)^2)*((15)/((EOMONTH($A33,0)+1)-DateToday-15))))^0.5)),0.0001))</f>
        <v>0.1792841632688198</v>
      </c>
      <c r="BT33" s="405">
        <f>IF($A33="N/A"," ",IF('Pricing Inputs'!$AN$3=1,(VLOOKUP($A33,CorrelationTable,2,FALSE)),0))</f>
        <v>0.9</v>
      </c>
      <c r="BU33" s="407">
        <f ca="1">IF($A33="N/A"," ",F33+G33+(D33*(VLOOKUP($A33,'Gas Curves'!$B$17:$P$310,14,FALSE))))</f>
        <v>2.6825000000000001</v>
      </c>
      <c r="BV33" s="405">
        <f>IF($A33="N/A"," ",IF('Pricing Inputs'!$AW$3=1,0,(VLOOKUP($A33,InterestRatesTable,2))))</f>
        <v>0</v>
      </c>
      <c r="BW33" s="408">
        <f t="shared" ca="1" si="16"/>
        <v>1</v>
      </c>
    </row>
    <row r="34" spans="1:75">
      <c r="A34" s="248">
        <f>IF(A33="N/A","N/A",IF(EDATE(A33,1)&gt;Inputs!$K$3,"N/A",EDATE(A33,1)))</f>
        <v>37803</v>
      </c>
      <c r="B34" s="262">
        <f t="shared" si="17"/>
        <v>2003</v>
      </c>
      <c r="C34" s="249">
        <f t="shared" ca="1" si="18"/>
        <v>2.6106250000000002</v>
      </c>
      <c r="D34" s="250">
        <f>IF(A34="N/A"," ",(VLOOKUP(MONTH($A34),Inputs!$A$14:$B$25,2))/1000)</f>
        <v>10.5</v>
      </c>
      <c r="E34" s="304">
        <f t="shared" ca="1" si="19"/>
        <v>27.411562500000002</v>
      </c>
      <c r="F34" s="251">
        <f>IF(A34="N/A"," ",Inputs!$F$6)</f>
        <v>2</v>
      </c>
      <c r="G34" s="251">
        <f ca="1">IF(A34="N/A"," ",Inputs!$F$9/IF(AND('Pricing Inputs'!$AQ$3&gt;=4,'Pricing Inputs'!$AQ$3&lt;=6),16,IF(AND('Pricing Inputs'!$AQ$3&gt;=7,'Pricing Inputs'!$AQ$3&lt;=9),8,24))/(BA34/BW34))</f>
        <v>0</v>
      </c>
      <c r="H34" s="252">
        <f t="shared" ca="1" si="20"/>
        <v>29.411562500000002</v>
      </c>
      <c r="I34" s="255">
        <f>VLOOKUP(A34,ScaledPrice,(IF(AND('Pricing Inputs'!$AQ$3&gt;=1,'Pricing Inputs'!$AQ$3&lt;=6),2,4)))</f>
        <v>84.012376476738652</v>
      </c>
      <c r="J34" s="255">
        <f>IF(A34="N/A"," ",IF(AND('Pricing Inputs'!$AQ$3&gt;=1,'Pricing Inputs'!$AQ$3&lt;=6),I34,(VLOOKUP(A34,ScaledPrice,2))*(2-(VLOOKUP(A34,ScaledPrice,3)))))</f>
        <v>56.987623523261348</v>
      </c>
      <c r="K34" s="255">
        <f>IF(A34="N/A"," ",IF(OR('Pricing Inputs'!$AQ$3=2,'Pricing Inputs'!$AQ$3=3,'Pricing Inputs'!$AQ$3=5,'Pricing Inputs'!$AQ$3=6,'Pricing Inputs'!$AQ$3=8,'Pricing Inputs'!$AQ$3=9),VLOOKUP(A34,ScaledPrice,IF(AND('Pricing Inputs'!$AQ$3&gt;=2,'Pricing Inputs'!$AQ$3&lt;=6),5,6)),0))</f>
        <v>46.786253581411934</v>
      </c>
      <c r="L34" s="255">
        <f>IF(A34="N/A"," ",IF(OR('Pricing Inputs'!$AQ$3=2,'Pricing Inputs'!$AQ$3=3,'Pricing Inputs'!$AQ$3=5,'Pricing Inputs'!$AQ$3=6,'Pricing Inputs'!$AQ$3=8,'Pricing Inputs'!$AQ$3=9),IF(AND('Pricing Inputs'!$AQ$3&gt;=2,'Pricing Inputs'!$AQ$3&lt;=6),K34,(VLOOKUP(A34,ScaledPrice,5))*(2-(VLOOKUP(A34,ScaledPrice,3)))),0))</f>
        <v>31.736245503060719</v>
      </c>
      <c r="M34" s="255">
        <f>IF(A34="N/A"," ",IF(OR('Pricing Inputs'!$AQ$3=3,'Pricing Inputs'!$AQ$3=6,'Pricing Inputs'!$AQ$3=9),(VLOOKUP(A34,ScaledPrice,IF(AND('Pricing Inputs'!$AQ$3&gt;=3,'Pricing Inputs'!$AQ$3&lt;=6),7,8))),0))</f>
        <v>34.257386495001349</v>
      </c>
      <c r="N34" s="255">
        <f>IF(A34="N/A"," ",IF(OR('Pricing Inputs'!$AQ$3=3,'Pricing Inputs'!$AQ$3=6,'Pricing Inputs'!$AQ$3=9),IF(AND('Pricing Inputs'!$AQ$3&gt;=3,'Pricing Inputs'!$AQ$3&lt;=6),M34,(VLOOKUP(A34,ScaledPrice,7))*(2-(VLOOKUP(A34,ScaledPrice,3)))),0))</f>
        <v>23.23761243688342</v>
      </c>
      <c r="O34" s="255">
        <f>IF(A34="N/A"," ",IF(AND('Pricing Inputs'!$AQ$3&gt;=1,'Pricing Inputs'!$AQ$3&lt;=3),VLOOKUP(A34,ScaledPrice,9),0))</f>
        <v>0</v>
      </c>
      <c r="P34" s="320">
        <f ca="1">IF($A34="N/A"," ",IF('Pricing Inputs'!$AN$8=2,(I34-H34),IF('Pricing Inputs'!$AN$3=2,IF((I34-$H34)&gt;0,I34-$H34,0),(_xll.xSPRDOPT(I34,$E34,$BU34,0,$BP34,$BS34,$BT34,($A34-Inputs!$D$1)+15,1,0)))))</f>
        <v>55.069755272745155</v>
      </c>
      <c r="Q34" s="320">
        <f ca="1">IF($A34="N/A"," ",IF('Pricing Inputs'!$AN$8=2,(J34-$H34),IF('Pricing Inputs'!$AN$3=2,IF((J34-$H34)&gt;0,J34-$H34,0),(_xll.xSPRDOPT(J34,$E34,$BU34,0,$BP34,$BS34,$BT34,($A34-Inputs!$D$1)+15,1,0)))))</f>
        <v>29.753994003716215</v>
      </c>
      <c r="R34" s="320">
        <f ca="1">IF($A34="N/A"," ",IF('Pricing Inputs'!$AN$8=2,(K34-$H34),IF('Pricing Inputs'!$AN$3=2,IF((K34-$H34)&gt;0,K34-$H34,0),(_xll.xSPRDOPT(K34,$E34,$BU34,0,$BP34,$BS34,$BT34,($A34-Inputs!$D$1)+15,1,0)))))</f>
        <v>20.89278980168104</v>
      </c>
      <c r="S34" s="320">
        <f ca="1">IF($A34="N/A"," ",IF('Pricing Inputs'!$AN$8=2,(L34-$H34),IF('Pricing Inputs'!$AN$3=2,IF((L34-$H34)&gt;0,L34-$H34,0),(_xll.xSPRDOPT(L34,$E34,$BU34,0,$BP34,$BS34,$BT34,($A34-Inputs!$D$1)+15,1,0)))))</f>
        <v>9.4102712525213601</v>
      </c>
      <c r="T34" s="320">
        <f ca="1">IF($A34="N/A"," ",IF('Pricing Inputs'!$AN$8=2,(M34-$H34),IF('Pricing Inputs'!$AN$3=2,IF((M34-$H34)&gt;0,M34-$H34,0),(_xll.xSPRDOPT(M34,$E34,$BU34,0,$BP34,$BS34,$BT34,($A34-Inputs!$D$1)+15,1,0)))))</f>
        <v>11.142600516500634</v>
      </c>
      <c r="U34" s="320">
        <f ca="1">IF($A34="N/A"," ",IF('Pricing Inputs'!$AN$8=2,(N34-$H34),IF('Pricing Inputs'!$AN$3=2,IF((N34-$H34)&gt;0,N34-$H34,0),(_xll.xSPRDOPT(N34,$E34,$BU34,0,$BP34,$BS34,$BT34,($A34-Inputs!$D$1)+15,1,0)))))</f>
        <v>4.4124139537354887</v>
      </c>
      <c r="V34" s="259">
        <f ca="1">IF($A34="N/A"," ",(IF('Pricing Inputs'!$AN$8=2,(O34-$H34),IF((O34-$H34)&lt;=0,0,(O34-$H34)))))</f>
        <v>0</v>
      </c>
      <c r="W34" s="306">
        <f ca="1">IF($A34="N/A"," ",IF(0&lt;&gt;P34,IF('Pricing Inputs'!$AN$3=2,8*VLOOKUP($A34,NumberofDaysTable,2),(_xll.xSPRDOPT(I34,$E34,$BU34,0,$BP34,$BS34,$BT34,$A34-Inputs!$D$1,1,1))*(8*VLOOKUP($A34,NumberofDaysTable,2))),0))</f>
        <v>169.77723736661537</v>
      </c>
      <c r="X34" s="306">
        <f ca="1">IF($A34="N/A"," ",IF(Q34&lt;&gt;0,IF('Pricing Inputs'!$AN$3=2,8*VLOOKUP($A34,NumberofDaysTable,2),(_xll.xSPRDOPT(J34,$E34,$BU34,0,$BP34,$BS34,$BT34,$A34-Inputs!$D$1,1,1))*(8*VLOOKUP($A34,NumberofDaysTable,2))),0))</f>
        <v>157.74911351423975</v>
      </c>
      <c r="Y34" s="306">
        <f ca="1">IF($A34="N/A"," ",IF(R34&lt;&gt;0,IF('Pricing Inputs'!$AN$3=2,8*VLOOKUP($A34,NumberofDaysTable,3),(_xll.xSPRDOPT(K34,$E34,$BU34,0,$BP34,$BS34,$BT34,$A34-Inputs!$D$1,1,1))*(8*VLOOKUP($A34,NumberofDaysTable,3))),0))</f>
        <v>26.782210266638124</v>
      </c>
      <c r="Z34" s="306">
        <f ca="1">IF($A34="N/A"," ",IF(S34&lt;&gt;0,IF('Pricing Inputs'!$AN$3=2,8*VLOOKUP($A34,NumberofDaysTable,3),(_xll.xSPRDOPT(L34,$E34,$BU34,0,$BP34,$BS34,$BT34,$A34-Inputs!$D$1,1,1))*(8*VLOOKUP($A34,NumberofDaysTable,3))),0))</f>
        <v>21.343044930144377</v>
      </c>
      <c r="AA34" s="306">
        <f ca="1">IF($A34="N/A"," ",IF(T34&lt;&gt;0,IF('Pricing Inputs'!$AN$3=2,8*VLOOKUP($A34,NumberofDaysTable,4),(_xll.xSPRDOPT(M34,$E34,$BU34,0,$BP34,$BS34,$BT34,$A34-Inputs!$D$1,1,1))*(8*VLOOKUP($A34,NumberofDaysTable,4))),0))</f>
        <v>22.574507378855085</v>
      </c>
      <c r="AB34" s="306">
        <f ca="1">IF($A34="N/A"," ",IF(U34&lt;&gt;0,IF('Pricing Inputs'!$AN$3=2,8*VLOOKUP($A34,NumberofDaysTable,4),(_xll.xSPRDOPT(N34,$E34,$BU34,0,$BP34,$BS34,$BT34,$A34-Inputs!$D$1,1,1))*(8*VLOOKUP($A34,NumberofDaysTable,4))),0))</f>
        <v>15.845985191784713</v>
      </c>
      <c r="AC34" s="306">
        <f t="shared" ca="1" si="21"/>
        <v>0</v>
      </c>
      <c r="AD34" s="274">
        <f t="shared" ca="1" si="74"/>
        <v>1</v>
      </c>
      <c r="AE34" s="275">
        <f t="shared" ca="1" si="75"/>
        <v>4</v>
      </c>
      <c r="AF34" s="275">
        <f t="shared" ca="1" si="76"/>
        <v>6</v>
      </c>
      <c r="AG34" s="275">
        <f t="shared" ca="1" si="77"/>
        <v>12</v>
      </c>
      <c r="AH34" s="275">
        <f t="shared" ca="1" si="78"/>
        <v>10</v>
      </c>
      <c r="AI34" s="275">
        <f t="shared" ca="1" si="79"/>
        <v>19</v>
      </c>
      <c r="AJ34" s="276">
        <f t="shared" ca="1" si="80"/>
        <v>73</v>
      </c>
      <c r="AK34" s="314">
        <f t="shared" ca="1" si="43"/>
        <v>169.77723736661537</v>
      </c>
      <c r="AL34" s="315">
        <f t="shared" ca="1" si="44"/>
        <v>157.74911351423975</v>
      </c>
      <c r="AM34" s="315">
        <f t="shared" ca="1" si="45"/>
        <v>26.782210266638124</v>
      </c>
      <c r="AN34" s="315">
        <f t="shared" ca="1" si="46"/>
        <v>21.343044930144377</v>
      </c>
      <c r="AO34" s="315">
        <f t="shared" ca="1" si="47"/>
        <v>22.574507378855085</v>
      </c>
      <c r="AP34" s="315">
        <f t="shared" ca="1" si="48"/>
        <v>15.845985191784713</v>
      </c>
      <c r="AQ34" s="315">
        <f t="shared" ca="1" si="49"/>
        <v>0</v>
      </c>
      <c r="AR34" s="276"/>
      <c r="AS34" s="321">
        <f t="shared" ca="1" si="67"/>
        <v>0</v>
      </c>
      <c r="AT34" s="324">
        <f t="shared" ca="1" si="68"/>
        <v>0</v>
      </c>
      <c r="AU34" s="324">
        <f t="shared" ca="1" si="69"/>
        <v>0</v>
      </c>
      <c r="AV34" s="324">
        <f t="shared" ca="1" si="70"/>
        <v>0</v>
      </c>
      <c r="AW34" s="324">
        <f t="shared" ca="1" si="71"/>
        <v>0</v>
      </c>
      <c r="AX34" s="324">
        <f t="shared" ca="1" si="72"/>
        <v>0</v>
      </c>
      <c r="AY34" s="324">
        <f t="shared" ca="1" si="73"/>
        <v>0</v>
      </c>
      <c r="AZ34" s="276"/>
      <c r="BA34" s="267">
        <f ca="1">IF($A34="N/A"," ",(IF(MONTH(A34)&gt;=4,IF(MONTH(A34)&lt;=10,Inputs!$F$13,Inputs!$F$14),Inputs!$F$14))*$BW34)</f>
        <v>180</v>
      </c>
      <c r="BB34" s="268">
        <f t="shared" ca="1" si="64"/>
        <v>1744609.8470405666</v>
      </c>
      <c r="BC34" s="268">
        <f t="shared" ca="1" si="65"/>
        <v>942606.53003772965</v>
      </c>
      <c r="BD34" s="268">
        <f t="shared" ca="1" si="31"/>
        <v>120342.46925768279</v>
      </c>
      <c r="BE34" s="268">
        <f t="shared" ca="1" si="32"/>
        <v>54203.162414523031</v>
      </c>
      <c r="BF34" s="268">
        <f t="shared" ca="1" si="33"/>
        <v>80226.723718804569</v>
      </c>
      <c r="BG34" s="268">
        <f t="shared" ca="1" si="34"/>
        <v>31769.38046689552</v>
      </c>
      <c r="BH34" s="268">
        <f t="shared" ca="1" si="41"/>
        <v>0</v>
      </c>
      <c r="BI34" s="268">
        <f t="shared" ca="1" si="36"/>
        <v>2973758.1129362024</v>
      </c>
      <c r="BJ34" s="296">
        <f t="shared" ca="1" si="37"/>
        <v>2192131.3336019963</v>
      </c>
      <c r="BK34" s="296">
        <f t="shared" ca="1" si="38"/>
        <v>2043065.3780886163</v>
      </c>
      <c r="BL34" s="296">
        <f t="shared" ca="1" si="39"/>
        <v>149065.95551337989</v>
      </c>
      <c r="BM34" s="296">
        <f t="shared" ca="1" si="40"/>
        <v>0</v>
      </c>
      <c r="BN34" s="405">
        <f>IF(A34="N/A"," ",(VLOOKUP(A34,PowerVolTable,(IF('Pricing Inputs'!$AT$3=2,7,IF('Pricing Inputs'!$AT$3=1,6,8))),FALSE)))</f>
        <v>0.36693393749999997</v>
      </c>
      <c r="BO34" s="405">
        <f>IF(A34="N/A"," ",(VLOOKUP(A34,IntraPowerVol,(IF('Pricing Inputs'!$AT$3=2,3,IF('Pricing Inputs'!$AT$3=1,2,4))),FALSE)*VLOOKUP(MONTH($A34),Inputs!$A$28:$B$39,2)))</f>
        <v>3.4499999999999997</v>
      </c>
      <c r="BP34" s="406">
        <f t="shared" ca="1" si="15"/>
        <v>0.52697196528388979</v>
      </c>
      <c r="BQ34" s="405">
        <f ca="1">IF($A34="N/A"," ",(VLOOKUP($A34,GasVolTable,(IF('Pricing Inputs'!$AT$3=2,6,IF('Pricing Inputs'!$AT$3=1,7,5))),FALSE)))</f>
        <v>0.17150000000000001</v>
      </c>
      <c r="BR34" s="405">
        <f ca="1">IF($A34="N/A"," ",(VLOOKUP($A34,OmicronVol,(IF('Pricing Inputs'!$AT$3=2,3,IF('Pricing Inputs'!$AT$3=1,4,2))),FALSE)))</f>
        <v>0.5</v>
      </c>
      <c r="BS34" s="406">
        <f ca="1">IF($A34="N/A"," ",IF('Pricing Inputs'!$AN$3=1,(IF(DateToday&gt;$A34,$BR34,((($BQ34^2)*((($A34-1)-DateToday)/((EOMONTH($A34,0)+1)-DateToday-15)))+((($BR34)^2)*((15)/((EOMONTH($A34,0)+1)-DateToday-15))))^0.5)),0.0001))</f>
        <v>0.17902578115053275</v>
      </c>
      <c r="BT34" s="405">
        <f>IF($A34="N/A"," ",IF('Pricing Inputs'!$AN$3=1,(VLOOKUP($A34,CorrelationTable,2,FALSE)),0))</f>
        <v>0.9</v>
      </c>
      <c r="BU34" s="407">
        <f ca="1">IF($A34="N/A"," ",F34+G34+(D34*(VLOOKUP($A34,'Gas Curves'!$B$17:$P$310,14,FALSE))))</f>
        <v>2.6825000000000001</v>
      </c>
      <c r="BV34" s="405">
        <f>IF($A34="N/A"," ",IF('Pricing Inputs'!$AW$3=1,0,(VLOOKUP($A34,InterestRatesTable,2))))</f>
        <v>0</v>
      </c>
      <c r="BW34" s="408">
        <f t="shared" ca="1" si="16"/>
        <v>1</v>
      </c>
    </row>
    <row r="35" spans="1:75">
      <c r="A35" s="248">
        <f>IF(A34="N/A","N/A",IF(EDATE(A34,1)&gt;Inputs!$K$3,"N/A",EDATE(A34,1)))</f>
        <v>37834</v>
      </c>
      <c r="B35" s="262">
        <f t="shared" si="17"/>
        <v>2003</v>
      </c>
      <c r="C35" s="249">
        <f t="shared" ca="1" si="18"/>
        <v>2.6176250000000003</v>
      </c>
      <c r="D35" s="250">
        <f>IF(A35="N/A"," ",(VLOOKUP(MONTH($A35),Inputs!$A$14:$B$25,2))/1000)</f>
        <v>10.5</v>
      </c>
      <c r="E35" s="304">
        <f t="shared" ca="1" si="19"/>
        <v>27.485062500000005</v>
      </c>
      <c r="F35" s="251">
        <f>IF(A35="N/A"," ",Inputs!$F$6)</f>
        <v>2</v>
      </c>
      <c r="G35" s="251">
        <f ca="1">IF(A35="N/A"," ",Inputs!$F$9/IF(AND('Pricing Inputs'!$AQ$3&gt;=4,'Pricing Inputs'!$AQ$3&lt;=6),16,IF(AND('Pricing Inputs'!$AQ$3&gt;=7,'Pricing Inputs'!$AQ$3&lt;=9),8,24))/(BA35/BW35))</f>
        <v>0</v>
      </c>
      <c r="H35" s="252">
        <f t="shared" ca="1" si="20"/>
        <v>29.485062500000005</v>
      </c>
      <c r="I35" s="255">
        <f>VLOOKUP(A35,ScaledPrice,(IF(AND('Pricing Inputs'!$AQ$3&gt;=1,'Pricing Inputs'!$AQ$3&lt;=6),2,4)))</f>
        <v>73.189310592308004</v>
      </c>
      <c r="J35" s="255">
        <f>IF(A35="N/A"," ",IF(AND('Pricing Inputs'!$AQ$3&gt;=1,'Pricing Inputs'!$AQ$3&lt;=6),I35,(VLOOKUP(A35,ScaledPrice,2))*(2-(VLOOKUP(A35,ScaledPrice,3)))))</f>
        <v>58.810689407691996</v>
      </c>
      <c r="K35" s="255">
        <f>IF(A35="N/A"," ",IF(OR('Pricing Inputs'!$AQ$3=2,'Pricing Inputs'!$AQ$3=3,'Pricing Inputs'!$AQ$3=5,'Pricing Inputs'!$AQ$3=6,'Pricing Inputs'!$AQ$3=8,'Pricing Inputs'!$AQ$3=9),VLOOKUP(A35,ScaledPrice,IF(AND('Pricing Inputs'!$AQ$3&gt;=2,'Pricing Inputs'!$AQ$3&lt;=6),5,6)),0))</f>
        <v>46.045501243368093</v>
      </c>
      <c r="L35" s="255">
        <f>IF(A35="N/A"," ",IF(OR('Pricing Inputs'!$AQ$3=2,'Pricing Inputs'!$AQ$3=3,'Pricing Inputs'!$AQ$3=5,'Pricing Inputs'!$AQ$3=6,'Pricing Inputs'!$AQ$3=8,'Pricing Inputs'!$AQ$3=9),IF(AND('Pricing Inputs'!$AQ$3&gt;=2,'Pricing Inputs'!$AQ$3&lt;=6),K35,(VLOOKUP(A35,ScaledPrice,5))*(2-(VLOOKUP(A35,ScaledPrice,3)))),0))</f>
        <v>36.999496925577219</v>
      </c>
      <c r="M35" s="255">
        <f>IF(A35="N/A"," ",IF(OR('Pricing Inputs'!$AQ$3=3,'Pricing Inputs'!$AQ$3=6,'Pricing Inputs'!$AQ$3=9),(VLOOKUP(A35,ScaledPrice,IF(AND('Pricing Inputs'!$AQ$3&gt;=3,'Pricing Inputs'!$AQ$3&lt;=6),7,8))),0))</f>
        <v>33.539556974049539</v>
      </c>
      <c r="N35" s="255">
        <f>IF(A35="N/A"," ",IF(OR('Pricing Inputs'!$AQ$3=3,'Pricing Inputs'!$AQ$3=6,'Pricing Inputs'!$AQ$3=9),IF(AND('Pricing Inputs'!$AQ$3&gt;=3,'Pricing Inputs'!$AQ$3&lt;=6),M35,(VLOOKUP(A35,ScaledPrice,7))*(2-(VLOOKUP(A35,ScaledPrice,3)))),0))</f>
        <v>26.950444704417258</v>
      </c>
      <c r="O35" s="255">
        <f>IF(A35="N/A"," ",IF(AND('Pricing Inputs'!$AQ$3&gt;=1,'Pricing Inputs'!$AQ$3&lt;=3),VLOOKUP(A35,ScaledPrice,9),0))</f>
        <v>0</v>
      </c>
      <c r="P35" s="320">
        <f ca="1">IF($A35="N/A"," ",IF('Pricing Inputs'!$AN$8=2,(I35-H35),IF('Pricing Inputs'!$AN$3=2,IF((I35-$H35)&gt;0,I35-$H35,0),(_xll.xSPRDOPT(I35,$E35,$BU35,0,$BP35,$BS35,$BT35,($A35-Inputs!$D$1)+15,1,0)))))</f>
        <v>44.591588033264443</v>
      </c>
      <c r="Q35" s="320">
        <f ca="1">IF($A35="N/A"," ",IF('Pricing Inputs'!$AN$8=2,(J35-$H35),IF('Pricing Inputs'!$AN$3=2,IF((J35-$H35)&gt;0,J35-$H35,0),(_xll.xSPRDOPT(J35,$E35,$BU35,0,$BP35,$BS35,$BT35,($A35-Inputs!$D$1)+15,1,0)))))</f>
        <v>31.247908494333469</v>
      </c>
      <c r="R35" s="320">
        <f ca="1">IF($A35="N/A"," ",IF('Pricing Inputs'!$AN$8=2,(K35-$H35),IF('Pricing Inputs'!$AN$3=2,IF((K35-$H35)&gt;0,K35-$H35,0),(_xll.xSPRDOPT(K35,$E35,$BU35,0,$BP35,$BS35,$BT35,($A35-Inputs!$D$1)+15,1,0)))))</f>
        <v>20.122904165872953</v>
      </c>
      <c r="S35" s="320">
        <f ca="1">IF($A35="N/A"," ",IF('Pricing Inputs'!$AN$8=2,(L35-$H35),IF('Pricing Inputs'!$AN$3=2,IF((L35-$H35)&gt;0,L35-$H35,0),(_xll.xSPRDOPT(L35,$E35,$BU35,0,$BP35,$BS35,$BT35,($A35-Inputs!$D$1)+15,1,0)))))</f>
        <v>12.981837791098425</v>
      </c>
      <c r="T35" s="320">
        <f ca="1">IF($A35="N/A"," ",IF('Pricing Inputs'!$AN$8=2,(M35-$H35),IF('Pricing Inputs'!$AN$3=2,IF((M35-$H35)&gt;0,M35-$H35,0),(_xll.xSPRDOPT(M35,$E35,$BU35,0,$BP35,$BS35,$BT35,($A35-Inputs!$D$1)+15,1,0)))))</f>
        <v>10.498297740171795</v>
      </c>
      <c r="U35" s="320">
        <f ca="1">IF($A35="N/A"," ",IF('Pricing Inputs'!$AN$8=2,(N35-$H35),IF('Pricing Inputs'!$AN$3=2,IF((N35-$H35)&gt;0,N35-$H35,0),(_xll.xSPRDOPT(N35,$E35,$BU35,0,$BP35,$BS35,$BT35,($A35-Inputs!$D$1)+15,1,0)))))</f>
        <v>6.294442798096652</v>
      </c>
      <c r="V35" s="259">
        <f ca="1">IF($A35="N/A"," ",(IF('Pricing Inputs'!$AN$8=2,(O35-$H35),IF((O35-$H35)&lt;=0,0,(O35-$H35)))))</f>
        <v>0</v>
      </c>
      <c r="W35" s="306">
        <f ca="1">IF($A35="N/A"," ",IF(0&lt;&gt;P35,IF('Pricing Inputs'!$AN$3=2,8*VLOOKUP($A35,NumberofDaysTable,2),(_xll.xSPRDOPT(I35,$E35,$BU35,0,$BP35,$BS35,$BT35,$A35-Inputs!$D$1,1,1))*(8*VLOOKUP($A35,NumberofDaysTable,2))),0))</f>
        <v>159.1946430629373</v>
      </c>
      <c r="X35" s="306">
        <f ca="1">IF($A35="N/A"," ",IF(Q35&lt;&gt;0,IF('Pricing Inputs'!$AN$3=2,8*VLOOKUP($A35,NumberofDaysTable,2),(_xll.xSPRDOPT(J35,$E35,$BU35,0,$BP35,$BS35,$BT35,$A35-Inputs!$D$1,1,1))*(8*VLOOKUP($A35,NumberofDaysTable,2))),0))</f>
        <v>152.01676503127018</v>
      </c>
      <c r="Y35" s="306">
        <f ca="1">IF($A35="N/A"," ",IF(R35&lt;&gt;0,IF('Pricing Inputs'!$AN$3=2,8*VLOOKUP($A35,NumberofDaysTable,3),(_xll.xSPRDOPT(K35,$E35,$BU35,0,$BP35,$BS35,$BT35,$A35-Inputs!$D$1,1,1))*(8*VLOOKUP($A35,NumberofDaysTable,3))),0))</f>
        <v>33.253644289801315</v>
      </c>
      <c r="Z35" s="306">
        <f ca="1">IF($A35="N/A"," ",IF(S35&lt;&gt;0,IF('Pricing Inputs'!$AN$3=2,8*VLOOKUP($A35,NumberofDaysTable,3),(_xll.xSPRDOPT(L35,$E35,$BU35,0,$BP35,$BS35,$BT35,$A35-Inputs!$D$1,1,1))*(8*VLOOKUP($A35,NumberofDaysTable,3))),0))</f>
        <v>29.627380232413543</v>
      </c>
      <c r="AA35" s="306">
        <f ca="1">IF($A35="N/A"," ",IF(T35&lt;&gt;0,IF('Pricing Inputs'!$AN$3=2,8*VLOOKUP($A35,NumberofDaysTable,4),(_xll.xSPRDOPT(M35,$E35,$BU35,0,$BP35,$BS35,$BT35,$A35-Inputs!$D$1,1,1))*(8*VLOOKUP($A35,NumberofDaysTable,4))),0))</f>
        <v>27.718129561968944</v>
      </c>
      <c r="AB35" s="306">
        <f ca="1">IF($A35="N/A"," ",IF(U35&lt;&gt;0,IF('Pricing Inputs'!$AN$3=2,8*VLOOKUP($A35,NumberofDaysTable,4),(_xll.xSPRDOPT(N35,$E35,$BU35,0,$BP35,$BS35,$BT35,$A35-Inputs!$D$1,1,1))*(8*VLOOKUP($A35,NumberofDaysTable,4))),0))</f>
        <v>22.999248189872876</v>
      </c>
      <c r="AC35" s="306">
        <f t="shared" ca="1" si="21"/>
        <v>0</v>
      </c>
      <c r="AD35" s="274">
        <f t="shared" ca="1" si="74"/>
        <v>2</v>
      </c>
      <c r="AE35" s="275">
        <f t="shared" ca="1" si="75"/>
        <v>3</v>
      </c>
      <c r="AF35" s="275">
        <f t="shared" ca="1" si="76"/>
        <v>7</v>
      </c>
      <c r="AG35" s="275">
        <f t="shared" ca="1" si="77"/>
        <v>9</v>
      </c>
      <c r="AH35" s="275">
        <f t="shared" ca="1" si="78"/>
        <v>11</v>
      </c>
      <c r="AI35" s="275">
        <f t="shared" ca="1" si="79"/>
        <v>15</v>
      </c>
      <c r="AJ35" s="276">
        <f t="shared" ca="1" si="80"/>
        <v>73</v>
      </c>
      <c r="AK35" s="314">
        <f t="shared" ca="1" si="43"/>
        <v>159.1946430629373</v>
      </c>
      <c r="AL35" s="315">
        <f t="shared" ca="1" si="44"/>
        <v>152.01676503127018</v>
      </c>
      <c r="AM35" s="315">
        <f t="shared" ca="1" si="45"/>
        <v>33.253644289801315</v>
      </c>
      <c r="AN35" s="315">
        <f t="shared" ca="1" si="46"/>
        <v>29.627380232413543</v>
      </c>
      <c r="AO35" s="315">
        <f t="shared" ca="1" si="47"/>
        <v>27.718129561968944</v>
      </c>
      <c r="AP35" s="315">
        <f t="shared" ca="1" si="48"/>
        <v>22.999248189872876</v>
      </c>
      <c r="AQ35" s="315">
        <f t="shared" ca="1" si="49"/>
        <v>0</v>
      </c>
      <c r="AR35" s="276"/>
      <c r="AS35" s="321">
        <f t="shared" ca="1" si="67"/>
        <v>0</v>
      </c>
      <c r="AT35" s="324">
        <f t="shared" ca="1" si="68"/>
        <v>0</v>
      </c>
      <c r="AU35" s="324">
        <f t="shared" ca="1" si="69"/>
        <v>0</v>
      </c>
      <c r="AV35" s="324">
        <f t="shared" ca="1" si="70"/>
        <v>0</v>
      </c>
      <c r="AW35" s="324">
        <f t="shared" ca="1" si="71"/>
        <v>0</v>
      </c>
      <c r="AX35" s="324">
        <f t="shared" ca="1" si="72"/>
        <v>0</v>
      </c>
      <c r="AY35" s="324">
        <f t="shared" ca="1" si="73"/>
        <v>0</v>
      </c>
      <c r="AZ35" s="276"/>
      <c r="BA35" s="267">
        <f ca="1">IF($A35="N/A"," ",(IF(MONTH(A35)&gt;=4,IF(MONTH(A35)&lt;=10,Inputs!$F$13,Inputs!$F$14),Inputs!$F$14))*$BW35)</f>
        <v>180</v>
      </c>
      <c r="BB35" s="268">
        <f t="shared" ca="1" si="64"/>
        <v>1348449.6221259169</v>
      </c>
      <c r="BC35" s="268">
        <f t="shared" ca="1" si="65"/>
        <v>944936.75286864408</v>
      </c>
      <c r="BD35" s="268">
        <f t="shared" ca="1" si="31"/>
        <v>144884.90999428526</v>
      </c>
      <c r="BE35" s="268">
        <f t="shared" ca="1" si="32"/>
        <v>93469.23209590865</v>
      </c>
      <c r="BF35" s="268">
        <f t="shared" ca="1" si="33"/>
        <v>75587.743729236929</v>
      </c>
      <c r="BG35" s="268">
        <f t="shared" ca="1" si="34"/>
        <v>45319.988146295895</v>
      </c>
      <c r="BH35" s="268">
        <f t="shared" ca="1" si="41"/>
        <v>0</v>
      </c>
      <c r="BI35" s="268">
        <f t="shared" ca="1" si="36"/>
        <v>2652648.2489602878</v>
      </c>
      <c r="BJ35" s="296">
        <f t="shared" ca="1" si="37"/>
        <v>2254597.8856778555</v>
      </c>
      <c r="BK35" s="296">
        <f t="shared" ca="1" si="38"/>
        <v>2101666.3539452804</v>
      </c>
      <c r="BL35" s="296">
        <f t="shared" ca="1" si="39"/>
        <v>152931.53173257512</v>
      </c>
      <c r="BM35" s="296">
        <f t="shared" ca="1" si="40"/>
        <v>0</v>
      </c>
      <c r="BN35" s="405">
        <f>IF(A35="N/A"," ",(VLOOKUP(A35,PowerVolTable,(IF('Pricing Inputs'!$AT$3=2,7,IF('Pricing Inputs'!$AT$3=1,6,8))),FALSE)))</f>
        <v>0.36104512499999997</v>
      </c>
      <c r="BO35" s="405">
        <f>IF(A35="N/A"," ",(VLOOKUP(A35,IntraPowerVol,(IF('Pricing Inputs'!$AT$3=2,3,IF('Pricing Inputs'!$AT$3=1,2,4))),FALSE)*VLOOKUP(MONTH($A35),Inputs!$A$28:$B$39,2)))</f>
        <v>3.4499999999999997</v>
      </c>
      <c r="BP35" s="406">
        <f t="shared" ca="1" si="15"/>
        <v>0.51957567156929896</v>
      </c>
      <c r="BQ35" s="405">
        <f ca="1">IF($A35="N/A"," ",(VLOOKUP($A35,GasVolTable,(IF('Pricing Inputs'!$AT$3=2,6,IF('Pricing Inputs'!$AT$3=1,7,5))),FALSE)))</f>
        <v>0.17150000000000001</v>
      </c>
      <c r="BR35" s="405">
        <f ca="1">IF($A35="N/A"," ",(VLOOKUP($A35,OmicronVol,(IF('Pricing Inputs'!$AT$3=2,3,IF('Pricing Inputs'!$AT$3=1,4,2))),FALSE)))</f>
        <v>0.6</v>
      </c>
      <c r="BS35" s="406">
        <f ca="1">IF($A35="N/A"," ",IF('Pricing Inputs'!$AN$3=1,(IF(DateToday&gt;$A35,$BR35,((($BQ35^2)*((($A35-1)-DateToday)/((EOMONTH($A35,0)+1)-DateToday-15)))+((($BR35)^2)*((15)/((EOMONTH($A35,0)+1)-DateToday-15))))^0.5)),0.0001))</f>
        <v>0.18246066724380094</v>
      </c>
      <c r="BT35" s="405">
        <f>IF($A35="N/A"," ",IF('Pricing Inputs'!$AN$3=1,(VLOOKUP($A35,CorrelationTable,2,FALSE)),0))</f>
        <v>0.9</v>
      </c>
      <c r="BU35" s="407">
        <f ca="1">IF($A35="N/A"," ",F35+G35+(D35*(VLOOKUP($A35,'Gas Curves'!$B$17:$P$310,14,FALSE))))</f>
        <v>2.6825000000000001</v>
      </c>
      <c r="BV35" s="405">
        <f>IF($A35="N/A"," ",IF('Pricing Inputs'!$AW$3=1,0,(VLOOKUP($A35,InterestRatesTable,2))))</f>
        <v>0</v>
      </c>
      <c r="BW35" s="408">
        <f t="shared" ca="1" si="16"/>
        <v>1</v>
      </c>
    </row>
    <row r="36" spans="1:75">
      <c r="A36" s="248">
        <f>IF(A35="N/A","N/A",IF(EDATE(A35,1)&gt;Inputs!$K$3,"N/A",EDATE(A35,1)))</f>
        <v>37865</v>
      </c>
      <c r="B36" s="262">
        <f t="shared" si="17"/>
        <v>2003</v>
      </c>
      <c r="C36" s="249">
        <f t="shared" ca="1" si="18"/>
        <v>2.6240000000000001</v>
      </c>
      <c r="D36" s="250">
        <f>IF(A36="N/A"," ",(VLOOKUP(MONTH($A36),Inputs!$A$14:$B$25,2))/1000)</f>
        <v>10.5</v>
      </c>
      <c r="E36" s="304">
        <f t="shared" ca="1" si="19"/>
        <v>27.552</v>
      </c>
      <c r="F36" s="251">
        <f>IF(A36="N/A"," ",Inputs!$F$6)</f>
        <v>2</v>
      </c>
      <c r="G36" s="251">
        <f ca="1">IF(A36="N/A"," ",Inputs!$F$9/IF(AND('Pricing Inputs'!$AQ$3&gt;=4,'Pricing Inputs'!$AQ$3&lt;=6),16,IF(AND('Pricing Inputs'!$AQ$3&gt;=7,'Pricing Inputs'!$AQ$3&lt;=9),8,24))/(BA36/BW36))</f>
        <v>0</v>
      </c>
      <c r="H36" s="252">
        <f t="shared" ca="1" si="20"/>
        <v>29.552</v>
      </c>
      <c r="I36" s="255">
        <f>VLOOKUP(A36,ScaledPrice,(IF(AND('Pricing Inputs'!$AQ$3&gt;=1,'Pricing Inputs'!$AQ$3&lt;=6),2,4)))</f>
        <v>35.801828319264665</v>
      </c>
      <c r="J36" s="255">
        <f>IF(A36="N/A"," ",IF(AND('Pricing Inputs'!$AQ$3&gt;=1,'Pricing Inputs'!$AQ$3&lt;=6),I36,(VLOOKUP(A36,ScaledPrice,2))*(2-(VLOOKUP(A36,ScaledPrice,3)))))</f>
        <v>29.498171680735329</v>
      </c>
      <c r="K36" s="255">
        <f>IF(A36="N/A"," ",IF(OR('Pricing Inputs'!$AQ$3=2,'Pricing Inputs'!$AQ$3=3,'Pricing Inputs'!$AQ$3=5,'Pricing Inputs'!$AQ$3=6,'Pricing Inputs'!$AQ$3=8,'Pricing Inputs'!$AQ$3=9),VLOOKUP(A36,ScaledPrice,IF(AND('Pricing Inputs'!$AQ$3&gt;=2,'Pricing Inputs'!$AQ$3&lt;=6),5,6)),0))</f>
        <v>25.116105592853511</v>
      </c>
      <c r="L36" s="255">
        <f>IF(A36="N/A"," ",IF(OR('Pricing Inputs'!$AQ$3=2,'Pricing Inputs'!$AQ$3=3,'Pricing Inputs'!$AQ$3=5,'Pricing Inputs'!$AQ$3=6,'Pricing Inputs'!$AQ$3=8,'Pricing Inputs'!$AQ$3=9),IF(AND('Pricing Inputs'!$AQ$3&gt;=2,'Pricing Inputs'!$AQ$3&lt;=6),K36,(VLOOKUP(A36,ScaledPrice,5))*(2-(VLOOKUP(A36,ScaledPrice,3)))),0))</f>
        <v>20.693892728679689</v>
      </c>
      <c r="M36" s="255">
        <f>IF(A36="N/A"," ",IF(OR('Pricing Inputs'!$AQ$3=3,'Pricing Inputs'!$AQ$3=6,'Pricing Inputs'!$AQ$3=9),(VLOOKUP(A36,ScaledPrice,IF(AND('Pricing Inputs'!$AQ$3&gt;=3,'Pricing Inputs'!$AQ$3&lt;=6),7,8))),0))</f>
        <v>25.658890740299945</v>
      </c>
      <c r="N36" s="255">
        <f>IF(A36="N/A"," ",IF(OR('Pricing Inputs'!$AQ$3=3,'Pricing Inputs'!$AQ$3=6,'Pricing Inputs'!$AQ$3=9),IF(AND('Pricing Inputs'!$AQ$3&gt;=3,'Pricing Inputs'!$AQ$3&lt;=6),M36,(VLOOKUP(A36,ScaledPrice,7))*(2-(VLOOKUP(A36,ScaledPrice,3)))),0))</f>
        <v>21.141109259700052</v>
      </c>
      <c r="O36" s="255">
        <f>IF(A36="N/A"," ",IF(AND('Pricing Inputs'!$AQ$3&gt;=1,'Pricing Inputs'!$AQ$3&lt;=3),VLOOKUP(A36,ScaledPrice,9),0))</f>
        <v>0</v>
      </c>
      <c r="P36" s="320">
        <f ca="1">IF($A36="N/A"," ",IF('Pricing Inputs'!$AN$8=2,(I36-H36),IF('Pricing Inputs'!$AN$3=2,IF((I36-$H36)&gt;0,I36-$H36,0),(_xll.xSPRDOPT(I36,$E36,$BU36,0,$BP36,$BS36,$BT36,($A36-Inputs!$D$1)+15,1,0)))))</f>
        <v>7.5272017224076482</v>
      </c>
      <c r="Q36" s="320">
        <f ca="1">IF($A36="N/A"," ",IF('Pricing Inputs'!$AN$8=2,(J36-$H36),IF('Pricing Inputs'!$AN$3=2,IF((J36-$H36)&gt;0,J36-$H36,0),(_xll.xSPRDOPT(J36,$E36,$BU36,0,$BP36,$BS36,$BT36,($A36-Inputs!$D$1)+15,1,0)))))</f>
        <v>3.4060771685527382</v>
      </c>
      <c r="R36" s="320">
        <f ca="1">IF($A36="N/A"," ",IF('Pricing Inputs'!$AN$8=2,(K36-$H36),IF('Pricing Inputs'!$AN$3=2,IF((K36-$H36)&gt;0,K36-$H36,0),(_xll.xSPRDOPT(K36,$E36,$BU36,0,$BP36,$BS36,$BT36,($A36-Inputs!$D$1)+15,1,0)))))</f>
        <v>1.4927106894030397</v>
      </c>
      <c r="S36" s="320">
        <f ca="1">IF($A36="N/A"," ",IF('Pricing Inputs'!$AN$8=2,(L36-$H36),IF('Pricing Inputs'!$AN$3=2,IF((L36-$H36)&gt;0,L36-$H36,0),(_xll.xSPRDOPT(L36,$E36,$BU36,0,$BP36,$BS36,$BT36,($A36-Inputs!$D$1)+15,1,0)))))</f>
        <v>0.43652177623116467</v>
      </c>
      <c r="T36" s="320">
        <f ca="1">IF($A36="N/A"," ",IF('Pricing Inputs'!$AN$8=2,(M36-$H36),IF('Pricing Inputs'!$AN$3=2,IF((M36-$H36)&gt;0,M36-$H36,0),(_xll.xSPRDOPT(M36,$E36,$BU36,0,$BP36,$BS36,$BT36,($A36-Inputs!$D$1)+15,1,0)))))</f>
        <v>1.6819611468889708</v>
      </c>
      <c r="U36" s="320">
        <f ca="1">IF($A36="N/A"," ",IF('Pricing Inputs'!$AN$8=2,(N36-$H36),IF('Pricing Inputs'!$AN$3=2,IF((N36-$H36)&gt;0,N36-$H36,0),(_xll.xSPRDOPT(N36,$E36,$BU36,0,$BP36,$BS36,$BT36,($A36-Inputs!$D$1)+15,1,0)))))</f>
        <v>0.50687224834157218</v>
      </c>
      <c r="V36" s="259">
        <f ca="1">IF($A36="N/A"," ",(IF('Pricing Inputs'!$AN$8=2,(O36-$H36),IF((O36-$H36)&lt;=0,0,(O36-$H36)))))</f>
        <v>0</v>
      </c>
      <c r="W36" s="306">
        <f ca="1">IF($A36="N/A"," ",IF(0&lt;&gt;P36,IF('Pricing Inputs'!$AN$3=2,8*VLOOKUP($A36,NumberofDaysTable,2),(_xll.xSPRDOPT(I36,$E36,$BU36,0,$BP36,$BS36,$BT36,$A36-Inputs!$D$1,1,1))*(8*VLOOKUP($A36,NumberofDaysTable,2))),0))</f>
        <v>127.26903677973407</v>
      </c>
      <c r="X36" s="306">
        <f ca="1">IF($A36="N/A"," ",IF(Q36&lt;&gt;0,IF('Pricing Inputs'!$AN$3=2,8*VLOOKUP($A36,NumberofDaysTable,2),(_xll.xSPRDOPT(J36,$E36,$BU36,0,$BP36,$BS36,$BT36,$A36-Inputs!$D$1,1,1))*(8*VLOOKUP($A36,NumberofDaysTable,2))),0))</f>
        <v>89.693524008130993</v>
      </c>
      <c r="Y36" s="306">
        <f ca="1">IF($A36="N/A"," ",IF(R36&lt;&gt;0,IF('Pricing Inputs'!$AN$3=2,8*VLOOKUP($A36,NumberofDaysTable,3),(_xll.xSPRDOPT(K36,$E36,$BU36,0,$BP36,$BS36,$BT36,$A36-Inputs!$D$1,1,1))*(8*VLOOKUP($A36,NumberofDaysTable,3))),0))</f>
        <v>10.704905701121842</v>
      </c>
      <c r="Z36" s="306">
        <f ca="1">IF($A36="N/A"," ",IF(S36&lt;&gt;0,IF('Pricing Inputs'!$AN$3=2,8*VLOOKUP($A36,NumberofDaysTable,3),(_xll.xSPRDOPT(L36,$E36,$BU36,0,$BP36,$BS36,$BT36,$A36-Inputs!$D$1,1,1))*(8*VLOOKUP($A36,NumberofDaysTable,3))),0))</f>
        <v>4.714130559274281</v>
      </c>
      <c r="AA36" s="306">
        <f ca="1">IF($A36="N/A"," ",IF(T36&lt;&gt;0,IF('Pricing Inputs'!$AN$3=2,8*VLOOKUP($A36,NumberofDaysTable,4),(_xll.xSPRDOPT(M36,$E36,$BU36,0,$BP36,$BS36,$BT36,$A36-Inputs!$D$1,1,1))*(8*VLOOKUP($A36,NumberofDaysTable,4))),0))</f>
        <v>11.511681902388988</v>
      </c>
      <c r="AB36" s="306">
        <f ca="1">IF($A36="N/A"," ",IF(U36&lt;&gt;0,IF('Pricing Inputs'!$AN$3=2,8*VLOOKUP($A36,NumberofDaysTable,4),(_xll.xSPRDOPT(N36,$E36,$BU36,0,$BP36,$BS36,$BT36,$A36-Inputs!$D$1,1,1))*(8*VLOOKUP($A36,NumberofDaysTable,4))),0))</f>
        <v>5.2386482401613375</v>
      </c>
      <c r="AC36" s="306">
        <f t="shared" ca="1" si="21"/>
        <v>0</v>
      </c>
      <c r="AD36" s="274">
        <f t="shared" ca="1" si="74"/>
        <v>13</v>
      </c>
      <c r="AE36" s="275">
        <f t="shared" ca="1" si="75"/>
        <v>20</v>
      </c>
      <c r="AF36" s="275">
        <f t="shared" ca="1" si="76"/>
        <v>29</v>
      </c>
      <c r="AG36" s="275">
        <f t="shared" ca="1" si="77"/>
        <v>39</v>
      </c>
      <c r="AH36" s="275">
        <f t="shared" ca="1" si="78"/>
        <v>27</v>
      </c>
      <c r="AI36" s="275">
        <f t="shared" ca="1" si="79"/>
        <v>37</v>
      </c>
      <c r="AJ36" s="276">
        <f t="shared" ca="1" si="80"/>
        <v>73</v>
      </c>
      <c r="AK36" s="314">
        <f t="shared" ca="1" si="43"/>
        <v>127.26903677973407</v>
      </c>
      <c r="AL36" s="315">
        <f t="shared" ca="1" si="44"/>
        <v>89.693524008130993</v>
      </c>
      <c r="AM36" s="315">
        <f t="shared" ca="1" si="45"/>
        <v>10.704905701121842</v>
      </c>
      <c r="AN36" s="315">
        <f t="shared" ca="1" si="46"/>
        <v>4.714130559274281</v>
      </c>
      <c r="AO36" s="315">
        <f t="shared" ca="1" si="47"/>
        <v>11.511681902388988</v>
      </c>
      <c r="AP36" s="315">
        <f t="shared" ca="1" si="48"/>
        <v>5.2386482401613375</v>
      </c>
      <c r="AQ36" s="315">
        <f t="shared" ca="1" si="49"/>
        <v>0</v>
      </c>
      <c r="AR36" s="276"/>
      <c r="AS36" s="321">
        <f t="shared" ca="1" si="67"/>
        <v>0</v>
      </c>
      <c r="AT36" s="324">
        <f t="shared" ca="1" si="68"/>
        <v>0</v>
      </c>
      <c r="AU36" s="324">
        <f t="shared" ca="1" si="69"/>
        <v>0</v>
      </c>
      <c r="AV36" s="324">
        <f t="shared" ca="1" si="70"/>
        <v>0</v>
      </c>
      <c r="AW36" s="324">
        <f t="shared" ca="1" si="71"/>
        <v>0</v>
      </c>
      <c r="AX36" s="324">
        <f t="shared" ca="1" si="72"/>
        <v>0</v>
      </c>
      <c r="AY36" s="324">
        <f t="shared" ca="1" si="73"/>
        <v>0</v>
      </c>
      <c r="AZ36" s="276"/>
      <c r="BA36" s="267">
        <f ca="1">IF($A36="N/A"," ",(IF(MONTH(A36)&gt;=4,IF(MONTH(A36)&lt;=10,Inputs!$F$13,Inputs!$F$14),Inputs!$F$14))*$BW36)</f>
        <v>180</v>
      </c>
      <c r="BB36" s="268">
        <f t="shared" ca="1" si="64"/>
        <v>227622.58008560727</v>
      </c>
      <c r="BC36" s="268">
        <f t="shared" ca="1" si="65"/>
        <v>102999.77357703481</v>
      </c>
      <c r="BD36" s="268">
        <f t="shared" ca="1" si="31"/>
        <v>8598.0135709615097</v>
      </c>
      <c r="BE36" s="268">
        <f t="shared" ca="1" si="32"/>
        <v>2514.3654310915085</v>
      </c>
      <c r="BF36" s="268">
        <f t="shared" ca="1" si="33"/>
        <v>12110.120257600589</v>
      </c>
      <c r="BG36" s="268">
        <f t="shared" ca="1" si="34"/>
        <v>3649.4801880593195</v>
      </c>
      <c r="BH36" s="268">
        <f t="shared" ca="1" si="41"/>
        <v>0</v>
      </c>
      <c r="BI36" s="268">
        <f t="shared" ca="1" si="36"/>
        <v>357494.33311035502</v>
      </c>
      <c r="BJ36" s="296">
        <f t="shared" ca="1" si="37"/>
        <v>1325222.4082217151</v>
      </c>
      <c r="BK36" s="296">
        <f t="shared" ca="1" si="38"/>
        <v>1235534.914433023</v>
      </c>
      <c r="BL36" s="296">
        <f t="shared" ca="1" si="39"/>
        <v>89687.493788692154</v>
      </c>
      <c r="BM36" s="296">
        <f t="shared" ca="1" si="40"/>
        <v>0</v>
      </c>
      <c r="BN36" s="405">
        <f>IF(A36="N/A"," ",(VLOOKUP(A36,PowerVolTable,(IF('Pricing Inputs'!$AT$3=2,7,IF('Pricing Inputs'!$AT$3=1,6,8))),FALSE)))</f>
        <v>0.23920762500000001</v>
      </c>
      <c r="BO36" s="405">
        <f>IF(A36="N/A"," ",(VLOOKUP(A36,IntraPowerVol,(IF('Pricing Inputs'!$AT$3=2,3,IF('Pricing Inputs'!$AT$3=1,2,4))),FALSE)*VLOOKUP(MONTH($A36),Inputs!$A$28:$B$39,2)))</f>
        <v>1.7249999999999999</v>
      </c>
      <c r="BP36" s="406">
        <f t="shared" ca="1" si="15"/>
        <v>0.30171549035305334</v>
      </c>
      <c r="BQ36" s="405">
        <f ca="1">IF($A36="N/A"," ",(VLOOKUP($A36,GasVolTable,(IF('Pricing Inputs'!$AT$3=2,6,IF('Pricing Inputs'!$AT$3=1,7,5))),FALSE)))</f>
        <v>0.17100000000000001</v>
      </c>
      <c r="BR36" s="405">
        <f ca="1">IF($A36="N/A"," ",(VLOOKUP($A36,OmicronVol,(IF('Pricing Inputs'!$AT$3=2,3,IF('Pricing Inputs'!$AT$3=1,4,2))),FALSE)))</f>
        <v>0.6</v>
      </c>
      <c r="BS36" s="406">
        <f ca="1">IF($A36="N/A"," ",IF('Pricing Inputs'!$AN$3=1,(IF(DateToday&gt;$A36,$BR36,((($BQ36^2)*((($A36-1)-DateToday)/((EOMONTH($A36,0)+1)-DateToday-15)))+((($BR36)^2)*((15)/((EOMONTH($A36,0)+1)-DateToday-15))))^0.5)),0.0001))</f>
        <v>0.1818117062230086</v>
      </c>
      <c r="BT36" s="405">
        <f>IF($A36="N/A"," ",IF('Pricing Inputs'!$AN$3=1,(VLOOKUP($A36,CorrelationTable,2,FALSE)),0))</f>
        <v>0.9</v>
      </c>
      <c r="BU36" s="407">
        <f ca="1">IF($A36="N/A"," ",F36+G36+(D36*(VLOOKUP($A36,'Gas Curves'!$B$17:$P$310,14,FALSE))))</f>
        <v>2.6825000000000001</v>
      </c>
      <c r="BV36" s="405">
        <f>IF($A36="N/A"," ",IF('Pricing Inputs'!$AW$3=1,0,(VLOOKUP($A36,InterestRatesTable,2))))</f>
        <v>0</v>
      </c>
      <c r="BW36" s="408">
        <f t="shared" ca="1" si="16"/>
        <v>1</v>
      </c>
    </row>
    <row r="37" spans="1:75">
      <c r="A37" s="248">
        <f>IF(A36="N/A","N/A",IF(EDATE(A36,1)&gt;Inputs!$K$3,"N/A",EDATE(A36,1)))</f>
        <v>37895</v>
      </c>
      <c r="B37" s="262">
        <f t="shared" si="17"/>
        <v>2003</v>
      </c>
      <c r="C37" s="249">
        <f t="shared" ca="1" si="18"/>
        <v>2.65</v>
      </c>
      <c r="D37" s="250">
        <f>IF(A37="N/A"," ",(VLOOKUP(MONTH($A37),Inputs!$A$14:$B$25,2))/1000)</f>
        <v>10.5</v>
      </c>
      <c r="E37" s="304">
        <f t="shared" ca="1" si="19"/>
        <v>27.824999999999999</v>
      </c>
      <c r="F37" s="251">
        <f>IF(A37="N/A"," ",Inputs!$F$6)</f>
        <v>2</v>
      </c>
      <c r="G37" s="251">
        <f ca="1">IF(A37="N/A"," ",Inputs!$F$9/IF(AND('Pricing Inputs'!$AQ$3&gt;=4,'Pricing Inputs'!$AQ$3&lt;=6),16,IF(AND('Pricing Inputs'!$AQ$3&gt;=7,'Pricing Inputs'!$AQ$3&lt;=9),8,24))/(BA37/BW37))</f>
        <v>0</v>
      </c>
      <c r="H37" s="252">
        <f t="shared" ca="1" si="20"/>
        <v>29.824999999999999</v>
      </c>
      <c r="I37" s="255">
        <f>VLOOKUP(A37,ScaledPrice,(IF(AND('Pricing Inputs'!$AQ$3&gt;=1,'Pricing Inputs'!$AQ$3&lt;=6),2,4)))</f>
        <v>30.002520000000001</v>
      </c>
      <c r="J37" s="255">
        <f>IF(A37="N/A"," ",IF(AND('Pricing Inputs'!$AQ$3&gt;=1,'Pricing Inputs'!$AQ$3&lt;=6),I37,(VLOOKUP(A37,ScaledPrice,2))*(2-(VLOOKUP(A37,ScaledPrice,3)))))</f>
        <v>30.797479999999997</v>
      </c>
      <c r="K37" s="255">
        <f>IF(A37="N/A"," ",IF(OR('Pricing Inputs'!$AQ$3=2,'Pricing Inputs'!$AQ$3=3,'Pricing Inputs'!$AQ$3=5,'Pricing Inputs'!$AQ$3=6,'Pricing Inputs'!$AQ$3=8,'Pricing Inputs'!$AQ$3=9),VLOOKUP(A37,ScaledPrice,IF(AND('Pricing Inputs'!$AQ$3&gt;=2,'Pricing Inputs'!$AQ$3&lt;=6),5,6)),0))</f>
        <v>22.699768567914962</v>
      </c>
      <c r="L37" s="255">
        <f>IF(A37="N/A"," ",IF(OR('Pricing Inputs'!$AQ$3=2,'Pricing Inputs'!$AQ$3=3,'Pricing Inputs'!$AQ$3=5,'Pricing Inputs'!$AQ$3=6,'Pricing Inputs'!$AQ$3=8,'Pricing Inputs'!$AQ$3=9),IF(AND('Pricing Inputs'!$AQ$3&gt;=2,'Pricing Inputs'!$AQ$3&lt;=6),K37,(VLOOKUP(A37,ScaledPrice,5))*(2-(VLOOKUP(A37,ScaledPrice,3)))),0))</f>
        <v>23.301231645708082</v>
      </c>
      <c r="M37" s="255">
        <f>IF(A37="N/A"," ",IF(OR('Pricing Inputs'!$AQ$3=3,'Pricing Inputs'!$AQ$3=6,'Pricing Inputs'!$AQ$3=9),(VLOOKUP(A37,ScaledPrice,IF(AND('Pricing Inputs'!$AQ$3&gt;=3,'Pricing Inputs'!$AQ$3&lt;=6),7,8))),0))</f>
        <v>20.726411759347915</v>
      </c>
      <c r="N37" s="255">
        <f>IF(A37="N/A"," ",IF(OR('Pricing Inputs'!$AQ$3=3,'Pricing Inputs'!$AQ$3=6,'Pricing Inputs'!$AQ$3=9),IF(AND('Pricing Inputs'!$AQ$3&gt;=3,'Pricing Inputs'!$AQ$3&lt;=6),M37,(VLOOKUP(A37,ScaledPrice,7))*(2-(VLOOKUP(A37,ScaledPrice,3)))),0))</f>
        <v>21.275587904958723</v>
      </c>
      <c r="O37" s="255">
        <f>IF(A37="N/A"," ",IF(AND('Pricing Inputs'!$AQ$3&gt;=1,'Pricing Inputs'!$AQ$3&lt;=3),VLOOKUP(A37,ScaledPrice,9),0))</f>
        <v>0</v>
      </c>
      <c r="P37" s="320">
        <f ca="1">IF($A37="N/A"," ",IF('Pricing Inputs'!$AN$8=2,(I37-H37),IF('Pricing Inputs'!$AN$3=2,IF((I37-$H37)&gt;0,I37-$H37,0),(_xll.xSPRDOPT(I37,$E37,$BU37,0,$BP37,$BS37,$BT37,($A37-Inputs!$D$1)+15,1,0)))))</f>
        <v>2.6788923028942357</v>
      </c>
      <c r="Q37" s="320">
        <f ca="1">IF($A37="N/A"," ",IF('Pricing Inputs'!$AN$8=2,(J37-$H37),IF('Pricing Inputs'!$AN$3=2,IF((J37-$H37)&gt;0,J37-$H37,0),(_xll.xSPRDOPT(J37,$E37,$BU37,0,$BP37,$BS37,$BT37,($A37-Inputs!$D$1)+15,1,0)))))</f>
        <v>3.111667016724244</v>
      </c>
      <c r="R37" s="320">
        <f ca="1">IF($A37="N/A"," ",IF('Pricing Inputs'!$AN$8=2,(K37-$H37),IF('Pricing Inputs'!$AN$3=2,IF((K37-$H37)&gt;0,K37-$H37,0),(_xll.xSPRDOPT(K37,$E37,$BU37,0,$BP37,$BS37,$BT37,($A37-Inputs!$D$1)+15,1,0)))))</f>
        <v>0.33848793732072069</v>
      </c>
      <c r="S37" s="320">
        <f ca="1">IF($A37="N/A"," ",IF('Pricing Inputs'!$AN$8=2,(L37-$H37),IF('Pricing Inputs'!$AN$3=2,IF((L37-$H37)&gt;0,L37-$H37,0),(_xll.xSPRDOPT(L37,$E37,$BU37,0,$BP37,$BS37,$BT37,($A37-Inputs!$D$1)+15,1,0)))))</f>
        <v>0.42776499640547383</v>
      </c>
      <c r="T37" s="320">
        <f ca="1">IF($A37="N/A"," ",IF('Pricing Inputs'!$AN$8=2,(M37-$H37),IF('Pricing Inputs'!$AN$3=2,IF((M37-$H37)&gt;0,M37-$H37,0),(_xll.xSPRDOPT(M37,$E37,$BU37,0,$BP37,$BS37,$BT37,($A37-Inputs!$D$1)+15,1,0)))))</f>
        <v>0.13966873173802158</v>
      </c>
      <c r="U37" s="320">
        <f ca="1">IF($A37="N/A"," ",IF('Pricing Inputs'!$AN$8=2,(N37-$H37),IF('Pricing Inputs'!$AN$3=2,IF((N37-$H37)&gt;0,N37-$H37,0),(_xll.xSPRDOPT(N37,$E37,$BU37,0,$BP37,$BS37,$BT37,($A37-Inputs!$D$1)+15,1,0)))))</f>
        <v>0.18224599385241458</v>
      </c>
      <c r="V37" s="259">
        <f ca="1">IF($A37="N/A"," ",(IF('Pricing Inputs'!$AN$8=2,(O37-$H37),IF((O37-$H37)&lt;=0,0,(O37-$H37)))))</f>
        <v>0</v>
      </c>
      <c r="W37" s="306">
        <f ca="1">IF($A37="N/A"," ",IF(0&lt;&gt;P37,IF('Pricing Inputs'!$AN$3=2,8*VLOOKUP($A37,NumberofDaysTable,2),(_xll.xSPRDOPT(I37,$E37,$BU37,0,$BP37,$BS37,$BT37,$A37-Inputs!$D$1,1,1))*(8*VLOOKUP($A37,NumberofDaysTable,2))),0))</f>
        <v>96.13274229929479</v>
      </c>
      <c r="X37" s="306">
        <f ca="1">IF($A37="N/A"," ",IF(Q37&lt;&gt;0,IF('Pricing Inputs'!$AN$3=2,8*VLOOKUP($A37,NumberofDaysTable,2),(_xll.xSPRDOPT(J37,$E37,$BU37,0,$BP37,$BS37,$BT37,$A37-Inputs!$D$1,1,1))*(8*VLOOKUP($A37,NumberofDaysTable,2))),0))</f>
        <v>104.0374869615594</v>
      </c>
      <c r="Y37" s="306">
        <f ca="1">IF($A37="N/A"," ",IF(R37&lt;&gt;0,IF('Pricing Inputs'!$AN$3=2,8*VLOOKUP($A37,NumberofDaysTable,3),(_xll.xSPRDOPT(K37,$E37,$BU37,0,$BP37,$BS37,$BT37,$A37-Inputs!$D$1,1,1))*(8*VLOOKUP($A37,NumberofDaysTable,3))),0))</f>
        <v>4.2993834453709949</v>
      </c>
      <c r="Z37" s="306">
        <f ca="1">IF($A37="N/A"," ",IF(S37&lt;&gt;0,IF('Pricing Inputs'!$AN$3=2,8*VLOOKUP($A37,NumberofDaysTable,3),(_xll.xSPRDOPT(L37,$E37,$BU37,0,$BP37,$BS37,$BT37,$A37-Inputs!$D$1,1,1))*(8*VLOOKUP($A37,NumberofDaysTable,3))),0))</f>
        <v>5.1032877838061514</v>
      </c>
      <c r="AA37" s="306">
        <f ca="1">IF($A37="N/A"," ",IF(T37&lt;&gt;0,IF('Pricing Inputs'!$AN$3=2,8*VLOOKUP($A37,NumberofDaysTable,4),(_xll.xSPRDOPT(M37,$E37,$BU37,0,$BP37,$BS37,$BT37,$A37-Inputs!$D$1,1,1))*(8*VLOOKUP($A37,NumberofDaysTable,4))),0))</f>
        <v>2.1912126646131345</v>
      </c>
      <c r="AB37" s="306">
        <f ca="1">IF($A37="N/A"," ",IF(U37&lt;&gt;0,IF('Pricing Inputs'!$AN$3=2,8*VLOOKUP($A37,NumberofDaysTable,4),(_xll.xSPRDOPT(N37,$E37,$BU37,0,$BP37,$BS37,$BT37,$A37-Inputs!$D$1,1,1))*(8*VLOOKUP($A37,NumberofDaysTable,4))),0))</f>
        <v>2.6936021630731322</v>
      </c>
      <c r="AC37" s="306">
        <f t="shared" ca="1" si="21"/>
        <v>0</v>
      </c>
      <c r="AD37" s="274">
        <f t="shared" ca="1" si="74"/>
        <v>22</v>
      </c>
      <c r="AE37" s="275">
        <f t="shared" ca="1" si="75"/>
        <v>21</v>
      </c>
      <c r="AF37" s="275">
        <f t="shared" ca="1" si="76"/>
        <v>43</v>
      </c>
      <c r="AG37" s="275">
        <f t="shared" ca="1" si="77"/>
        <v>40</v>
      </c>
      <c r="AH37" s="275">
        <f t="shared" ca="1" si="78"/>
        <v>55</v>
      </c>
      <c r="AI37" s="275">
        <f t="shared" ca="1" si="79"/>
        <v>52</v>
      </c>
      <c r="AJ37" s="276">
        <f t="shared" ca="1" si="80"/>
        <v>73</v>
      </c>
      <c r="AK37" s="314">
        <f t="shared" ca="1" si="43"/>
        <v>96.13274229929479</v>
      </c>
      <c r="AL37" s="315">
        <f t="shared" ca="1" si="44"/>
        <v>104.0374869615594</v>
      </c>
      <c r="AM37" s="315">
        <f t="shared" ca="1" si="45"/>
        <v>4.2993834453709949</v>
      </c>
      <c r="AN37" s="315">
        <f t="shared" ca="1" si="46"/>
        <v>5.1032877838061514</v>
      </c>
      <c r="AO37" s="315">
        <f t="shared" ca="1" si="47"/>
        <v>2.1912126646131345</v>
      </c>
      <c r="AP37" s="315">
        <f t="shared" ca="1" si="48"/>
        <v>2.6936021630731322</v>
      </c>
      <c r="AQ37" s="315">
        <f t="shared" ca="1" si="49"/>
        <v>0</v>
      </c>
      <c r="AR37" s="284" t="s">
        <v>1292</v>
      </c>
      <c r="AS37" s="321">
        <f t="shared" ca="1" si="67"/>
        <v>0</v>
      </c>
      <c r="AT37" s="324">
        <f t="shared" ca="1" si="68"/>
        <v>0</v>
      </c>
      <c r="AU37" s="324">
        <f t="shared" ca="1" si="69"/>
        <v>0</v>
      </c>
      <c r="AV37" s="324">
        <f t="shared" ca="1" si="70"/>
        <v>0</v>
      </c>
      <c r="AW37" s="324">
        <f t="shared" ca="1" si="71"/>
        <v>0</v>
      </c>
      <c r="AX37" s="324">
        <f t="shared" ca="1" si="72"/>
        <v>0</v>
      </c>
      <c r="AY37" s="324">
        <f t="shared" ca="1" si="73"/>
        <v>0</v>
      </c>
      <c r="AZ37" s="283" t="s">
        <v>1304</v>
      </c>
      <c r="BA37" s="267">
        <f ca="1">IF($A37="N/A"," ",(IF(MONTH(A37)&gt;=4,IF(MONTH(A37)&lt;=10,Inputs!$F$13,Inputs!$F$14),Inputs!$F$14))*$BW37)</f>
        <v>180</v>
      </c>
      <c r="BB37" s="268">
        <f t="shared" ca="1" si="64"/>
        <v>88724.913071857081</v>
      </c>
      <c r="BC37" s="268">
        <f t="shared" ca="1" si="65"/>
        <v>103058.41159390696</v>
      </c>
      <c r="BD37" s="268">
        <f t="shared" ca="1" si="31"/>
        <v>1949.6905189673512</v>
      </c>
      <c r="BE37" s="268">
        <f t="shared" ca="1" si="32"/>
        <v>2463.9263792955294</v>
      </c>
      <c r="BF37" s="268">
        <f t="shared" ca="1" si="33"/>
        <v>804.49189481100427</v>
      </c>
      <c r="BG37" s="268">
        <f t="shared" ca="1" si="34"/>
        <v>1049.7369245899081</v>
      </c>
      <c r="BH37" s="268">
        <f t="shared" ca="1" si="41"/>
        <v>0</v>
      </c>
      <c r="BI37" s="268">
        <f t="shared" ca="1" si="36"/>
        <v>198051.17038342785</v>
      </c>
      <c r="BJ37" s="296">
        <f t="shared" ca="1" si="37"/>
        <v>1151316.244683167</v>
      </c>
      <c r="BK37" s="296">
        <f t="shared" ca="1" si="38"/>
        <v>1074111.4671687887</v>
      </c>
      <c r="BL37" s="296">
        <f t="shared" ca="1" si="39"/>
        <v>77204.777514378336</v>
      </c>
      <c r="BM37" s="296">
        <f t="shared" ca="1" si="40"/>
        <v>0</v>
      </c>
      <c r="BN37" s="405">
        <f>IF(A37="N/A"," ",(VLOOKUP(A37,PowerVolTable,(IF('Pricing Inputs'!$AT$3=2,7,IF('Pricing Inputs'!$AT$3=1,6,8))),FALSE)))</f>
        <v>0.21849525</v>
      </c>
      <c r="BO37" s="405">
        <f>IF(A37="N/A"," ",(VLOOKUP(A37,IntraPowerVol,(IF('Pricing Inputs'!$AT$3=2,3,IF('Pricing Inputs'!$AT$3=1,2,4))),FALSE)*VLOOKUP(MONTH($A37),Inputs!$A$28:$B$39,2)))</f>
        <v>1.2649999999999999</v>
      </c>
      <c r="BP37" s="406">
        <f t="shared" ca="1" si="15"/>
        <v>0.2554537796065785</v>
      </c>
      <c r="BQ37" s="405">
        <f ca="1">IF($A37="N/A"," ",(VLOOKUP($A37,GasVolTable,(IF('Pricing Inputs'!$AT$3=2,6,IF('Pricing Inputs'!$AT$3=1,7,5))),FALSE)))</f>
        <v>0.17100000000000001</v>
      </c>
      <c r="BR37" s="405">
        <f ca="1">IF($A37="N/A"," ",(VLOOKUP($A37,OmicronVol,(IF('Pricing Inputs'!$AT$3=2,3,IF('Pricing Inputs'!$AT$3=1,4,2))),FALSE)))</f>
        <v>0.65</v>
      </c>
      <c r="BS37" s="406">
        <f ca="1">IF($A37="N/A"," ",IF('Pricing Inputs'!$AN$3=1,(IF(DateToday&gt;$A37,$BR37,((($BQ37^2)*((($A37-1)-DateToday)/((EOMONTH($A37,0)+1)-DateToday-15)))+((($BR37)^2)*((15)/((EOMONTH($A37,0)+1)-DateToday-15))))^0.5)),0.0001))</f>
        <v>0.18344530660007405</v>
      </c>
      <c r="BT37" s="405">
        <f>IF($A37="N/A"," ",IF('Pricing Inputs'!$AN$3=1,(VLOOKUP($A37,CorrelationTable,2,FALSE)),0))</f>
        <v>0.9</v>
      </c>
      <c r="BU37" s="407">
        <f ca="1">IF($A37="N/A"," ",F37+G37+(D37*(VLOOKUP($A37,'Gas Curves'!$B$17:$P$310,14,FALSE))))</f>
        <v>2.6825000000000001</v>
      </c>
      <c r="BV37" s="405">
        <f>IF($A37="N/A"," ",IF('Pricing Inputs'!$AW$3=1,0,(VLOOKUP($A37,InterestRatesTable,2))))</f>
        <v>0</v>
      </c>
      <c r="BW37" s="408">
        <f t="shared" ca="1" si="16"/>
        <v>1</v>
      </c>
    </row>
    <row r="38" spans="1:75">
      <c r="A38" s="248">
        <f>IF(A37="N/A","N/A",IF(EDATE(A37,1)&gt;Inputs!$K$3,"N/A",EDATE(A37,1)))</f>
        <v>37926</v>
      </c>
      <c r="B38" s="262">
        <f t="shared" si="17"/>
        <v>2003</v>
      </c>
      <c r="C38" s="249">
        <f t="shared" ca="1" si="18"/>
        <v>3.5575000000000001</v>
      </c>
      <c r="D38" s="250">
        <f>IF(A38="N/A"," ",(VLOOKUP(MONTH($A38),Inputs!$A$14:$B$25,2))/1000)</f>
        <v>10.5</v>
      </c>
      <c r="E38" s="304">
        <f t="shared" ca="1" si="19"/>
        <v>37.353749999999998</v>
      </c>
      <c r="F38" s="251">
        <f>IF(A38="N/A"," ",Inputs!$F$6)</f>
        <v>2</v>
      </c>
      <c r="G38" s="251">
        <f ca="1">IF(A38="N/A"," ",Inputs!$F$9/IF(AND('Pricing Inputs'!$AQ$3&gt;=4,'Pricing Inputs'!$AQ$3&lt;=6),16,IF(AND('Pricing Inputs'!$AQ$3&gt;=7,'Pricing Inputs'!$AQ$3&lt;=9),8,24))/(BA38/BW38))</f>
        <v>0</v>
      </c>
      <c r="H38" s="252">
        <f t="shared" ca="1" si="20"/>
        <v>39.353749999999998</v>
      </c>
      <c r="I38" s="255">
        <f>VLOOKUP(A38,ScaledPrice,(IF(AND('Pricing Inputs'!$AQ$3&gt;=1,'Pricing Inputs'!$AQ$3&lt;=6),2,4)))</f>
        <v>30.443399374999998</v>
      </c>
      <c r="J38" s="255">
        <f>IF(A38="N/A"," ",IF(AND('Pricing Inputs'!$AQ$3&gt;=1,'Pricing Inputs'!$AQ$3&lt;=6),I38,(VLOOKUP(A38,ScaledPrice,2))*(2-(VLOOKUP(A38,ScaledPrice,3)))))</f>
        <v>31.106600624999999</v>
      </c>
      <c r="K38" s="255">
        <f>IF(A38="N/A"," ",IF(OR('Pricing Inputs'!$AQ$3=2,'Pricing Inputs'!$AQ$3=3,'Pricing Inputs'!$AQ$3=5,'Pricing Inputs'!$AQ$3=6,'Pricing Inputs'!$AQ$3=8,'Pricing Inputs'!$AQ$3=9),VLOOKUP(A38,ScaledPrice,IF(AND('Pricing Inputs'!$AQ$3&gt;=2,'Pricing Inputs'!$AQ$3&lt;=6),5,6)),0))</f>
        <v>23.746100388565061</v>
      </c>
      <c r="L38" s="255">
        <f>IF(A38="N/A"," ",IF(OR('Pricing Inputs'!$AQ$3=2,'Pricing Inputs'!$AQ$3=3,'Pricing Inputs'!$AQ$3=5,'Pricing Inputs'!$AQ$3=6,'Pricing Inputs'!$AQ$3=8,'Pricing Inputs'!$AQ$3=9),IF(AND('Pricing Inputs'!$AQ$3&gt;=2,'Pricing Inputs'!$AQ$3&lt;=6),K38,(VLOOKUP(A38,ScaledPrice,5))*(2-(VLOOKUP(A38,ScaledPrice,3)))),0))</f>
        <v>24.263402785263061</v>
      </c>
      <c r="M38" s="255">
        <f>IF(A38="N/A"," ",IF(OR('Pricing Inputs'!$AQ$3=3,'Pricing Inputs'!$AQ$3=6,'Pricing Inputs'!$AQ$3=9),(VLOOKUP(A38,ScaledPrice,IF(AND('Pricing Inputs'!$AQ$3&gt;=3,'Pricing Inputs'!$AQ$3&lt;=6),7,8))),0))</f>
        <v>21.767401331367491</v>
      </c>
      <c r="N38" s="255">
        <f>IF(A38="N/A"," ",IF(OR('Pricing Inputs'!$AQ$3=3,'Pricing Inputs'!$AQ$3=6,'Pricing Inputs'!$AQ$3=9),IF(AND('Pricing Inputs'!$AQ$3&gt;=3,'Pricing Inputs'!$AQ$3&lt;=6),M38,(VLOOKUP(A38,ScaledPrice,7))*(2-(VLOOKUP(A38,ScaledPrice,3)))),0))</f>
        <v>22.241598302421568</v>
      </c>
      <c r="O38" s="255">
        <f>IF(A38="N/A"," ",IF(AND('Pricing Inputs'!$AQ$3&gt;=1,'Pricing Inputs'!$AQ$3&lt;=3),VLOOKUP(A38,ScaledPrice,9),0))</f>
        <v>0</v>
      </c>
      <c r="P38" s="320">
        <f ca="1">IF($A38="N/A"," ",IF('Pricing Inputs'!$AN$8=2,(I38-H38),IF('Pricing Inputs'!$AN$3=2,IF((I38-$H38)&gt;0,I38-$H38,0),(_xll.xSPRDOPT(I38,$E38,$BU38,0,$BP38,$BS38,$BT38,($A38-Inputs!$D$1)+15,1,0)))))</f>
        <v>0.56022885018712099</v>
      </c>
      <c r="Q38" s="320">
        <f ca="1">IF($A38="N/A"," ",IF('Pricing Inputs'!$AN$8=2,(J38-$H38),IF('Pricing Inputs'!$AN$3=2,IF((J38-$H38)&gt;0,J38-$H38,0),(_xll.xSPRDOPT(J38,$E38,$BU38,0,$BP38,$BS38,$BT38,($A38-Inputs!$D$1)+15,1,0)))))</f>
        <v>0.67362571201155019</v>
      </c>
      <c r="R38" s="320">
        <f ca="1">IF($A38="N/A"," ",IF('Pricing Inputs'!$AN$8=2,(K38-$H38),IF('Pricing Inputs'!$AN$3=2,IF((K38-$H38)&gt;0,K38-$H38,0),(_xll.xSPRDOPT(K38,$E38,$BU38,0,$BP38,$BS38,$BT38,($A38-Inputs!$D$1)+15,1,0)))))</f>
        <v>4.3059526284112561E-2</v>
      </c>
      <c r="S38" s="320">
        <f ca="1">IF($A38="N/A"," ",IF('Pricing Inputs'!$AN$8=2,(L38-$H38),IF('Pricing Inputs'!$AN$3=2,IF((L38-$H38)&gt;0,L38-$H38,0),(_xll.xSPRDOPT(L38,$E38,$BU38,0,$BP38,$BS38,$BT38,($A38-Inputs!$D$1)+15,1,0)))))</f>
        <v>5.5630401598000909E-2</v>
      </c>
      <c r="T38" s="320">
        <f ca="1">IF($A38="N/A"," ",IF('Pricing Inputs'!$AN$8=2,(M38-$H38),IF('Pricing Inputs'!$AN$3=2,IF((M38-$H38)&gt;0,M38-$H38,0),(_xll.xSPRDOPT(M38,$E38,$BU38,0,$BP38,$BS38,$BT38,($A38-Inputs!$D$1)+15,1,0)))))</f>
        <v>1.4301038516102274E-2</v>
      </c>
      <c r="U38" s="320">
        <f ca="1">IF($A38="N/A"," ",IF('Pricing Inputs'!$AN$8=2,(N38-$H38),IF('Pricing Inputs'!$AN$3=2,IF((N38-$H38)&gt;0,N38-$H38,0),(_xll.xSPRDOPT(N38,$E38,$BU38,0,$BP38,$BS38,$BT38,($A38-Inputs!$D$1)+15,1,0)))))</f>
        <v>1.8984868677290989E-2</v>
      </c>
      <c r="V38" s="259">
        <f ca="1">IF($A38="N/A"," ",(IF('Pricing Inputs'!$AN$8=2,(O38-$H38),IF((O38-$H38)&lt;=0,0,(O38-$H38)))))</f>
        <v>0</v>
      </c>
      <c r="W38" s="306">
        <f ca="1">IF($A38="N/A"," ",IF(0&lt;&gt;P38,IF('Pricing Inputs'!$AN$3=2,8*VLOOKUP($A38,NumberofDaysTable,2),(_xll.xSPRDOPT(I38,$E38,$BU38,0,$BP38,$BS38,$BT38,$A38-Inputs!$D$1,1,1))*(8*VLOOKUP($A38,NumberofDaysTable,2))),0))</f>
        <v>24.044902817877496</v>
      </c>
      <c r="X38" s="306">
        <f ca="1">IF($A38="N/A"," ",IF(Q38&lt;&gt;0,IF('Pricing Inputs'!$AN$3=2,8*VLOOKUP($A38,NumberofDaysTable,2),(_xll.xSPRDOPT(J38,$E38,$BU38,0,$BP38,$BS38,$BT38,$A38-Inputs!$D$1,1,1))*(8*VLOOKUP($A38,NumberofDaysTable,2))),0))</f>
        <v>27.454982372892861</v>
      </c>
      <c r="Y38" s="306">
        <f ca="1">IF($A38="N/A"," ",IF(R38&lt;&gt;0,IF('Pricing Inputs'!$AN$3=2,8*VLOOKUP($A38,NumberofDaysTable,3),(_xll.xSPRDOPT(K38,$E38,$BU38,0,$BP38,$BS38,$BT38,$A38-Inputs!$D$1,1,1))*(8*VLOOKUP($A38,NumberofDaysTable,3))),0))</f>
        <v>0.84719874554408092</v>
      </c>
      <c r="Z38" s="306">
        <f ca="1">IF($A38="N/A"," ",IF(S38&lt;&gt;0,IF('Pricing Inputs'!$AN$3=2,8*VLOOKUP($A38,NumberofDaysTable,3),(_xll.xSPRDOPT(L38,$E38,$BU38,0,$BP38,$BS38,$BT38,$A38-Inputs!$D$1,1,1))*(8*VLOOKUP($A38,NumberofDaysTable,3))),0))</f>
        <v>1.0461179287798192</v>
      </c>
      <c r="AA38" s="306">
        <f ca="1">IF($A38="N/A"," ",IF(T38&lt;&gt;0,IF('Pricing Inputs'!$AN$3=2,8*VLOOKUP($A38,NumberofDaysTable,4),(_xll.xSPRDOPT(M38,$E38,$BU38,0,$BP38,$BS38,$BT38,$A38-Inputs!$D$1,1,1))*(8*VLOOKUP($A38,NumberofDaysTable,4))),0))</f>
        <v>0.33600070430936357</v>
      </c>
      <c r="AB38" s="306">
        <f ca="1">IF($A38="N/A"," ",IF(U38&lt;&gt;0,IF('Pricing Inputs'!$AN$3=2,8*VLOOKUP($A38,NumberofDaysTable,4),(_xll.xSPRDOPT(N38,$E38,$BU38,0,$BP38,$BS38,$BT38,$A38-Inputs!$D$1,1,1))*(8*VLOOKUP($A38,NumberofDaysTable,4))),0))</f>
        <v>0.42719269687896161</v>
      </c>
      <c r="AC38" s="306">
        <f t="shared" ca="1" si="21"/>
        <v>0</v>
      </c>
      <c r="AD38" s="274">
        <f t="shared" ca="1" si="74"/>
        <v>36</v>
      </c>
      <c r="AE38" s="275">
        <f t="shared" ca="1" si="75"/>
        <v>34</v>
      </c>
      <c r="AF38" s="275">
        <f t="shared" ca="1" si="76"/>
        <v>61</v>
      </c>
      <c r="AG38" s="275">
        <f t="shared" ca="1" si="77"/>
        <v>60</v>
      </c>
      <c r="AH38" s="275">
        <f t="shared" ca="1" si="78"/>
        <v>67</v>
      </c>
      <c r="AI38" s="275">
        <f t="shared" ca="1" si="79"/>
        <v>65</v>
      </c>
      <c r="AJ38" s="276">
        <f t="shared" ca="1" si="80"/>
        <v>73</v>
      </c>
      <c r="AK38" s="314">
        <f t="shared" ca="1" si="43"/>
        <v>24.044902817877496</v>
      </c>
      <c r="AL38" s="315">
        <f t="shared" ca="1" si="44"/>
        <v>27.454982372892861</v>
      </c>
      <c r="AM38" s="315">
        <f t="shared" ca="1" si="45"/>
        <v>0.84719874554408092</v>
      </c>
      <c r="AN38" s="315">
        <f t="shared" ca="1" si="46"/>
        <v>1.0461179287798192</v>
      </c>
      <c r="AO38" s="315">
        <f t="shared" ca="1" si="47"/>
        <v>0.33600070430936357</v>
      </c>
      <c r="AP38" s="315">
        <f t="shared" ca="1" si="48"/>
        <v>0.42719269687896161</v>
      </c>
      <c r="AQ38" s="315">
        <f t="shared" ca="1" si="49"/>
        <v>0</v>
      </c>
      <c r="AR38" s="276">
        <f ca="1">SUM(AK28:AQ39)</f>
        <v>2481.4076830240638</v>
      </c>
      <c r="AS38" s="321">
        <f t="shared" ca="1" si="67"/>
        <v>0</v>
      </c>
      <c r="AT38" s="324">
        <f t="shared" ca="1" si="68"/>
        <v>0</v>
      </c>
      <c r="AU38" s="324">
        <f t="shared" ca="1" si="69"/>
        <v>0</v>
      </c>
      <c r="AV38" s="324">
        <f t="shared" ca="1" si="70"/>
        <v>0</v>
      </c>
      <c r="AW38" s="324">
        <f t="shared" ca="1" si="71"/>
        <v>0</v>
      </c>
      <c r="AX38" s="324">
        <f t="shared" ca="1" si="72"/>
        <v>0</v>
      </c>
      <c r="AY38" s="324">
        <f t="shared" ca="1" si="73"/>
        <v>0</v>
      </c>
      <c r="AZ38" s="276">
        <f ca="1">SUM(AS28:AY39)</f>
        <v>0</v>
      </c>
      <c r="BA38" s="267">
        <f ca="1">IF($A38="N/A"," ",(IF(MONTH(A38)&gt;=4,IF(MONTH(A38)&lt;=10,Inputs!$F$13,Inputs!$F$14),Inputs!$F$14))*$BW38)</f>
        <v>180</v>
      </c>
      <c r="BB38" s="268">
        <f t="shared" ca="1" si="64"/>
        <v>15327.861341119629</v>
      </c>
      <c r="BC38" s="268">
        <f t="shared" ca="1" si="65"/>
        <v>18430.399480636013</v>
      </c>
      <c r="BD38" s="268">
        <f t="shared" ca="1" si="31"/>
        <v>310.02858924561042</v>
      </c>
      <c r="BE38" s="268">
        <f t="shared" ca="1" si="32"/>
        <v>400.53889150560656</v>
      </c>
      <c r="BF38" s="268">
        <f t="shared" ca="1" si="33"/>
        <v>123.56097277912365</v>
      </c>
      <c r="BG38" s="268">
        <f t="shared" ca="1" si="34"/>
        <v>164.02926537179414</v>
      </c>
      <c r="BH38" s="268">
        <f t="shared" ca="1" si="41"/>
        <v>0</v>
      </c>
      <c r="BI38" s="268">
        <f t="shared" ca="1" si="36"/>
        <v>34756.418540657774</v>
      </c>
      <c r="BJ38" s="296">
        <f t="shared" ca="1" si="37"/>
        <v>383626.30323788431</v>
      </c>
      <c r="BK38" s="296">
        <f t="shared" ca="1" si="38"/>
        <v>364130.00094202254</v>
      </c>
      <c r="BL38" s="296">
        <f t="shared" ca="1" si="39"/>
        <v>19496.302295861733</v>
      </c>
      <c r="BM38" s="296">
        <f t="shared" ca="1" si="40"/>
        <v>0</v>
      </c>
      <c r="BN38" s="405">
        <f>IF(A38="N/A"," ",(VLOOKUP(A38,PowerVolTable,(IF('Pricing Inputs'!$AT$3=2,7,IF('Pricing Inputs'!$AT$3=1,6,8))),FALSE)))</f>
        <v>0.21849525</v>
      </c>
      <c r="BO38" s="405">
        <f>IF(A38="N/A"," ",(VLOOKUP(A38,IntraPowerVol,(IF('Pricing Inputs'!$AT$3=2,3,IF('Pricing Inputs'!$AT$3=1,2,4))),FALSE)*VLOOKUP(MONTH($A38),Inputs!$A$28:$B$39,2)))</f>
        <v>1.4375</v>
      </c>
      <c r="BP38" s="406">
        <f t="shared" ca="1" si="15"/>
        <v>0.26470413087637995</v>
      </c>
      <c r="BQ38" s="405">
        <f ca="1">IF($A38="N/A"," ",(VLOOKUP($A38,GasVolTable,(IF('Pricing Inputs'!$AT$3=2,6,IF('Pricing Inputs'!$AT$3=1,7,5))),FALSE)))</f>
        <v>0.17100000000000001</v>
      </c>
      <c r="BR38" s="405">
        <f ca="1">IF($A38="N/A"," ",(VLOOKUP($A38,OmicronVol,(IF('Pricing Inputs'!$AT$3=2,3,IF('Pricing Inputs'!$AT$3=1,4,2))),FALSE)))</f>
        <v>0.95</v>
      </c>
      <c r="BS38" s="406">
        <f ca="1">IF($A38="N/A"," ",IF('Pricing Inputs'!$AN$3=1,(IF(DateToday&gt;$A38,$BR38,((($BQ38^2)*((($A38-1)-DateToday)/((EOMONTH($A38,0)+1)-DateToday-15)))+((($BR38)^2)*((15)/((EOMONTH($A38,0)+1)-DateToday-15))))^0.5)),0.0001))</f>
        <v>0.19721464811174022</v>
      </c>
      <c r="BT38" s="405">
        <f>IF($A38="N/A"," ",IF('Pricing Inputs'!$AN$3=1,(VLOOKUP($A38,CorrelationTable,2,FALSE)),0))</f>
        <v>0.9</v>
      </c>
      <c r="BU38" s="407">
        <f ca="1">IF($A38="N/A"," ",F38+G38+(D38*(VLOOKUP($A38,'Gas Curves'!$B$17:$P$310,14,FALSE))))</f>
        <v>2.6825000000000001</v>
      </c>
      <c r="BV38" s="405">
        <f>IF($A38="N/A"," ",IF('Pricing Inputs'!$AW$3=1,0,(VLOOKUP($A38,InterestRatesTable,2))))</f>
        <v>0</v>
      </c>
      <c r="BW38" s="408">
        <f t="shared" ca="1" si="16"/>
        <v>1</v>
      </c>
    </row>
    <row r="39" spans="1:75">
      <c r="A39" s="248">
        <f>IF(A38="N/A","N/A",IF(EDATE(A38,1)&gt;Inputs!$K$3,"N/A",EDATE(A38,1)))</f>
        <v>37956</v>
      </c>
      <c r="B39" s="262">
        <f t="shared" si="17"/>
        <v>2003</v>
      </c>
      <c r="C39" s="249">
        <f t="shared" ca="1" si="18"/>
        <v>3.9865000000000004</v>
      </c>
      <c r="D39" s="250">
        <f>IF(A39="N/A"," ",(VLOOKUP(MONTH($A39),Inputs!$A$14:$B$25,2))/1000)</f>
        <v>10.5</v>
      </c>
      <c r="E39" s="304">
        <f t="shared" ca="1" si="19"/>
        <v>41.858250000000005</v>
      </c>
      <c r="F39" s="251">
        <f>IF(A39="N/A"," ",Inputs!$F$6)</f>
        <v>2</v>
      </c>
      <c r="G39" s="251">
        <f ca="1">IF(A39="N/A"," ",Inputs!$F$9/IF(AND('Pricing Inputs'!$AQ$3&gt;=4,'Pricing Inputs'!$AQ$3&lt;=6),16,IF(AND('Pricing Inputs'!$AQ$3&gt;=7,'Pricing Inputs'!$AQ$3&lt;=9),8,24))/(BA39/BW39))</f>
        <v>0</v>
      </c>
      <c r="H39" s="252">
        <f t="shared" ca="1" si="20"/>
        <v>43.858250000000005</v>
      </c>
      <c r="I39" s="255">
        <f>VLOOKUP(A39,ScaledPrice,(IF(AND('Pricing Inputs'!$AQ$3&gt;=1,'Pricing Inputs'!$AQ$3&lt;=6),2,4)))</f>
        <v>29.991620993762137</v>
      </c>
      <c r="J39" s="255">
        <f>IF(A39="N/A"," ",IF(AND('Pricing Inputs'!$AQ$3&gt;=1,'Pricing Inputs'!$AQ$3&lt;=6),I39,(VLOOKUP(A39,ScaledPrice,2))*(2-(VLOOKUP(A39,ScaledPrice,3)))))</f>
        <v>31.308379006237857</v>
      </c>
      <c r="K39" s="255">
        <f>IF(A39="N/A"," ",IF(OR('Pricing Inputs'!$AQ$3=2,'Pricing Inputs'!$AQ$3=3,'Pricing Inputs'!$AQ$3=5,'Pricing Inputs'!$AQ$3=6,'Pricing Inputs'!$AQ$3=8,'Pricing Inputs'!$AQ$3=9),VLOOKUP(A39,ScaledPrice,IF(AND('Pricing Inputs'!$AQ$3&gt;=2,'Pricing Inputs'!$AQ$3&lt;=6),5,6)),0))</f>
        <v>24.908210908465065</v>
      </c>
      <c r="L39" s="255">
        <f>IF(A39="N/A"," ",IF(OR('Pricing Inputs'!$AQ$3=2,'Pricing Inputs'!$AQ$3=3,'Pricing Inputs'!$AQ$3=5,'Pricing Inputs'!$AQ$3=6,'Pricing Inputs'!$AQ$3=8,'Pricing Inputs'!$AQ$3=9),IF(AND('Pricing Inputs'!$AQ$3&gt;=2,'Pricing Inputs'!$AQ$3&lt;=6),K39,(VLOOKUP(A39,ScaledPrice,5))*(2-(VLOOKUP(A39,ScaledPrice,3)))),0))</f>
        <v>26.001785887189229</v>
      </c>
      <c r="M39" s="255">
        <f>IF(A39="N/A"," ",IF(OR('Pricing Inputs'!$AQ$3=3,'Pricing Inputs'!$AQ$3=6,'Pricing Inputs'!$AQ$3=9),(VLOOKUP(A39,ScaledPrice,IF(AND('Pricing Inputs'!$AQ$3&gt;=3,'Pricing Inputs'!$AQ$3&lt;=6),7,8))),0))</f>
        <v>21.478501074430277</v>
      </c>
      <c r="N39" s="255">
        <f>IF(A39="N/A"," ",IF(OR('Pricing Inputs'!$AQ$3=3,'Pricing Inputs'!$AQ$3=6,'Pricing Inputs'!$AQ$3=9),IF(AND('Pricing Inputs'!$AQ$3&gt;=3,'Pricing Inputs'!$AQ$3&lt;=6),M39,(VLOOKUP(A39,ScaledPrice,7))*(2-(VLOOKUP(A39,ScaledPrice,3)))),0))</f>
        <v>22.421497399690814</v>
      </c>
      <c r="O39" s="255">
        <f>IF(A39="N/A"," ",IF(AND('Pricing Inputs'!$AQ$3&gt;=1,'Pricing Inputs'!$AQ$3&lt;=3),VLOOKUP(A39,ScaledPrice,9),0))</f>
        <v>0</v>
      </c>
      <c r="P39" s="320">
        <f ca="1">IF($A39="N/A"," ",IF('Pricing Inputs'!$AN$8=2,(I39-H39),IF('Pricing Inputs'!$AN$3=2,IF((I39-$H39)&gt;0,I39-$H39,0),(_xll.xSPRDOPT(I39,$E39,$BU39,0,$BP39,$BS39,$BT39,($A39-Inputs!$D$1)+15,1,0)))))</f>
        <v>0.18951293844391295</v>
      </c>
      <c r="Q39" s="320">
        <f ca="1">IF($A39="N/A"," ",IF('Pricing Inputs'!$AN$8=2,(J39-$H39),IF('Pricing Inputs'!$AN$3=2,IF((J39-$H39)&gt;0,J39-$H39,0),(_xll.xSPRDOPT(J39,$E39,$BU39,0,$BP39,$BS39,$BT39,($A39-Inputs!$D$1)+15,1,0)))))</f>
        <v>0.29233156318289255</v>
      </c>
      <c r="R39" s="320">
        <f ca="1">IF($A39="N/A"," ",IF('Pricing Inputs'!$AN$8=2,(K39-$H39),IF('Pricing Inputs'!$AN$3=2,IF((K39-$H39)&gt;0,K39-$H39,0),(_xll.xSPRDOPT(K39,$E39,$BU39,0,$BP39,$BS39,$BT39,($A39-Inputs!$D$1)+15,1,0)))))</f>
        <v>2.1642263712973096E-2</v>
      </c>
      <c r="S39" s="320">
        <f ca="1">IF($A39="N/A"," ",IF('Pricing Inputs'!$AN$8=2,(L39-$H39),IF('Pricing Inputs'!$AN$3=2,IF((L39-$H39)&gt;0,L39-$H39,0),(_xll.xSPRDOPT(L39,$E39,$BU39,0,$BP39,$BS39,$BT39,($A39-Inputs!$D$1)+15,1,0)))))</f>
        <v>3.736080300260456E-2</v>
      </c>
      <c r="T39" s="320">
        <f ca="1">IF($A39="N/A"," ",IF('Pricing Inputs'!$AN$8=2,(M39-$H39),IF('Pricing Inputs'!$AN$3=2,IF((M39-$H39)&gt;0,M39-$H39,0),(_xll.xSPRDOPT(M39,$E39,$BU39,0,$BP39,$BS39,$BT39,($A39-Inputs!$D$1)+15,1,0)))))</f>
        <v>2.6673850563145858E-3</v>
      </c>
      <c r="U39" s="320">
        <f ca="1">IF($A39="N/A"," ",IF('Pricing Inputs'!$AN$8=2,(N39-$H39),IF('Pricing Inputs'!$AN$3=2,IF((N39-$H39)&gt;0,N39-$H39,0),(_xll.xSPRDOPT(N39,$E39,$BU39,0,$BP39,$BS39,$BT39,($A39-Inputs!$D$1)+15,1,0)))))</f>
        <v>5.0657861523855851E-3</v>
      </c>
      <c r="V39" s="259">
        <f ca="1">IF($A39="N/A"," ",(IF('Pricing Inputs'!$AN$8=2,(O39-$H39),IF((O39-$H39)&lt;=0,0,(O39-$H39)))))</f>
        <v>0</v>
      </c>
      <c r="W39" s="306">
        <f ca="1">IF($A39="N/A"," ",IF(0&lt;&gt;P39,IF('Pricing Inputs'!$AN$3=2,8*VLOOKUP($A39,NumberofDaysTable,2),(_xll.xSPRDOPT(I39,$E39,$BU39,0,$BP39,$BS39,$BT39,$A39-Inputs!$D$1,1,1))*(8*VLOOKUP($A39,NumberofDaysTable,2))),0))</f>
        <v>11.328241430628873</v>
      </c>
      <c r="X39" s="306">
        <f ca="1">IF($A39="N/A"," ",IF(Q39&lt;&gt;0,IF('Pricing Inputs'!$AN$3=2,8*VLOOKUP($A39,NumberofDaysTable,2),(_xll.xSPRDOPT(J39,$E39,$BU39,0,$BP39,$BS39,$BT39,$A39-Inputs!$D$1,1,1))*(8*VLOOKUP($A39,NumberofDaysTable,2))),0))</f>
        <v>15.854617582736379</v>
      </c>
      <c r="Y39" s="306">
        <f ca="1">IF($A39="N/A"," ",IF(R39&lt;&gt;0,IF('Pricing Inputs'!$AN$3=2,8*VLOOKUP($A39,NumberofDaysTable,3),(_xll.xSPRDOPT(K39,$E39,$BU39,0,$BP39,$BS39,$BT39,$A39-Inputs!$D$1,1,1))*(8*VLOOKUP($A39,NumberofDaysTable,3))),0))</f>
        <v>0.3491637484370565</v>
      </c>
      <c r="Z39" s="306">
        <f ca="1">IF($A39="N/A"," ",IF(S39&lt;&gt;0,IF('Pricing Inputs'!$AN$3=2,8*VLOOKUP($A39,NumberofDaysTable,3),(_xll.xSPRDOPT(L39,$E39,$BU39,0,$BP39,$BS39,$BT39,$A39-Inputs!$D$1,1,1))*(8*VLOOKUP($A39,NumberofDaysTable,3))),0))</f>
        <v>0.552046537324131</v>
      </c>
      <c r="AA39" s="306">
        <f ca="1">IF($A39="N/A"," ",IF(T39&lt;&gt;0,IF('Pricing Inputs'!$AN$3=2,8*VLOOKUP($A39,NumberofDaysTable,4),(_xll.xSPRDOPT(M39,$E39,$BU39,0,$BP39,$BS39,$BT39,$A39-Inputs!$D$1,1,1))*(8*VLOOKUP($A39,NumberofDaysTable,4))),0))</f>
        <v>5.7412322017786184E-2</v>
      </c>
      <c r="AB39" s="306">
        <f ca="1">IF($A39="N/A"," ",IF(U39&lt;&gt;0,IF('Pricing Inputs'!$AN$3=2,8*VLOOKUP($A39,NumberofDaysTable,4),(_xll.xSPRDOPT(N39,$E39,$BU39,0,$BP39,$BS39,$BT39,$A39-Inputs!$D$1,1,1))*(8*VLOOKUP($A39,NumberofDaysTable,4))),0))</f>
        <v>0.10051480357089146</v>
      </c>
      <c r="AC39" s="306">
        <f t="shared" ca="1" si="21"/>
        <v>0</v>
      </c>
      <c r="AD39" s="277">
        <f t="shared" ca="1" si="74"/>
        <v>50</v>
      </c>
      <c r="AE39" s="278">
        <f t="shared" ca="1" si="75"/>
        <v>45</v>
      </c>
      <c r="AF39" s="278">
        <f t="shared" ca="1" si="76"/>
        <v>64</v>
      </c>
      <c r="AG39" s="278">
        <f t="shared" ca="1" si="77"/>
        <v>63</v>
      </c>
      <c r="AH39" s="278">
        <f t="shared" ca="1" si="78"/>
        <v>72</v>
      </c>
      <c r="AI39" s="278">
        <f t="shared" ca="1" si="79"/>
        <v>71</v>
      </c>
      <c r="AJ39" s="279">
        <f t="shared" ca="1" si="80"/>
        <v>73</v>
      </c>
      <c r="AK39" s="316">
        <f t="shared" ca="1" si="43"/>
        <v>11.328241430628873</v>
      </c>
      <c r="AL39" s="317">
        <f t="shared" ca="1" si="44"/>
        <v>15.854617582736379</v>
      </c>
      <c r="AM39" s="317">
        <f t="shared" ca="1" si="45"/>
        <v>0.3491637484370565</v>
      </c>
      <c r="AN39" s="317">
        <f t="shared" ca="1" si="46"/>
        <v>0.552046537324131</v>
      </c>
      <c r="AO39" s="317">
        <f t="shared" ca="1" si="47"/>
        <v>5.7412322017786184E-2</v>
      </c>
      <c r="AP39" s="317">
        <f t="shared" ca="1" si="48"/>
        <v>0.10051480357089146</v>
      </c>
      <c r="AQ39" s="317">
        <f t="shared" ca="1" si="49"/>
        <v>0</v>
      </c>
      <c r="AR39" s="279">
        <f ca="1">IF(($AP$2-AR38)&gt;=0,$AP$2-AR38,0)</f>
        <v>0</v>
      </c>
      <c r="AS39" s="325">
        <f t="shared" ca="1" si="67"/>
        <v>0</v>
      </c>
      <c r="AT39" s="326">
        <f t="shared" ca="1" si="68"/>
        <v>0</v>
      </c>
      <c r="AU39" s="326">
        <f t="shared" ca="1" si="69"/>
        <v>0</v>
      </c>
      <c r="AV39" s="326">
        <f t="shared" ca="1" si="70"/>
        <v>0</v>
      </c>
      <c r="AW39" s="326">
        <f t="shared" ca="1" si="71"/>
        <v>0</v>
      </c>
      <c r="AX39" s="326">
        <f t="shared" ca="1" si="72"/>
        <v>0</v>
      </c>
      <c r="AY39" s="326">
        <f t="shared" ca="1" si="73"/>
        <v>0</v>
      </c>
      <c r="AZ39" s="285">
        <f ca="1">AR38+AZ38</f>
        <v>2481.4076830240638</v>
      </c>
      <c r="BA39" s="267">
        <f ca="1">IF($A39="N/A"," ",(IF(MONTH(A39)&gt;=4,IF(MONTH(A39)&lt;=10,Inputs!$F$13,Inputs!$F$14),Inputs!$F$14))*$BW39)</f>
        <v>180</v>
      </c>
      <c r="BB39" s="268">
        <f t="shared" ca="1" si="64"/>
        <v>6003.769889903162</v>
      </c>
      <c r="BC39" s="268">
        <f t="shared" ca="1" si="65"/>
        <v>9261.0639216340369</v>
      </c>
      <c r="BD39" s="268">
        <f t="shared" ca="1" si="31"/>
        <v>124.65943898672504</v>
      </c>
      <c r="BE39" s="268">
        <f t="shared" ca="1" si="32"/>
        <v>215.19822529500226</v>
      </c>
      <c r="BF39" s="268">
        <f t="shared" ca="1" si="33"/>
        <v>19.205172405465017</v>
      </c>
      <c r="BG39" s="268">
        <f t="shared" ca="1" si="34"/>
        <v>36.47366029717621</v>
      </c>
      <c r="BH39" s="268">
        <f t="shared" ca="1" si="41"/>
        <v>0</v>
      </c>
      <c r="BI39" s="268">
        <f t="shared" ca="1" si="36"/>
        <v>15660.370308521567</v>
      </c>
      <c r="BJ39" s="296">
        <f t="shared" ca="1" si="37"/>
        <v>222956.01714496716</v>
      </c>
      <c r="BK39" s="296">
        <f t="shared" ca="1" si="38"/>
        <v>212788.89843206972</v>
      </c>
      <c r="BL39" s="296">
        <f t="shared" ca="1" si="39"/>
        <v>10167.118712897443</v>
      </c>
      <c r="BM39" s="296">
        <f t="shared" ca="1" si="40"/>
        <v>0</v>
      </c>
      <c r="BN39" s="405">
        <f>IF(A39="N/A"," ",(VLOOKUP(A39,PowerVolTable,(IF('Pricing Inputs'!$AT$3=2,7,IF('Pricing Inputs'!$AT$3=1,6,8))),FALSE)))</f>
        <v>0.22629284999999999</v>
      </c>
      <c r="BO39" s="405">
        <f>IF(A39="N/A"," ",(VLOOKUP(A39,IntraPowerVol,(IF('Pricing Inputs'!$AT$3=2,3,IF('Pricing Inputs'!$AT$3=1,2,4))),FALSE)*VLOOKUP(MONTH($A39),Inputs!$A$28:$B$39,2)))</f>
        <v>1.4375</v>
      </c>
      <c r="BP39" s="406">
        <f t="shared" ca="1" si="15"/>
        <v>0.27011063219298415</v>
      </c>
      <c r="BQ39" s="405">
        <f ca="1">IF($A39="N/A"," ",(VLOOKUP($A39,GasVolTable,(IF('Pricing Inputs'!$AT$3=2,6,IF('Pricing Inputs'!$AT$3=1,7,5))),FALSE)))</f>
        <v>0.17150000000000001</v>
      </c>
      <c r="BR39" s="405">
        <f ca="1">IF($A39="N/A"," ",(VLOOKUP($A39,OmicronVol,(IF('Pricing Inputs'!$AT$3=2,3,IF('Pricing Inputs'!$AT$3=1,4,2))),FALSE)))</f>
        <v>1.25</v>
      </c>
      <c r="BS39" s="406">
        <f ca="1">IF($A39="N/A"," ",IF('Pricing Inputs'!$AN$3=1,(IF(DateToday&gt;$A39,$BR39,((($BQ39^2)*((($A39-1)-DateToday)/((EOMONTH($A39,0)+1)-DateToday-15)))+((($BR39)^2)*((15)/((EOMONTH($A39,0)+1)-DateToday-15))))^0.5)),0.0001))</f>
        <v>0.21441458878648284</v>
      </c>
      <c r="BT39" s="405">
        <f>IF($A39="N/A"," ",IF('Pricing Inputs'!$AN$3=1,(VLOOKUP($A39,CorrelationTable,2,FALSE)),0))</f>
        <v>0.9</v>
      </c>
      <c r="BU39" s="407">
        <f ca="1">IF($A39="N/A"," ",F39+G39+(D39*(VLOOKUP($A39,'Gas Curves'!$B$17:$P$310,14,FALSE))))</f>
        <v>2.6825000000000001</v>
      </c>
      <c r="BV39" s="405">
        <f>IF($A39="N/A"," ",IF('Pricing Inputs'!$AW$3=1,0,(VLOOKUP($A39,InterestRatesTable,2))))</f>
        <v>0</v>
      </c>
      <c r="BW39" s="408">
        <f t="shared" ca="1" si="16"/>
        <v>1</v>
      </c>
    </row>
    <row r="40" spans="1:75">
      <c r="A40" s="248">
        <f>IF(A39="N/A","N/A",IF(EDATE(A39,1)&gt;Inputs!$K$3,"N/A",EDATE(A39,1)))</f>
        <v>37987</v>
      </c>
      <c r="B40" s="262">
        <f t="shared" si="17"/>
        <v>2004</v>
      </c>
      <c r="C40" s="249">
        <f t="shared" ca="1" si="18"/>
        <v>4.4800000000000004</v>
      </c>
      <c r="D40" s="250">
        <f>IF(A40="N/A"," ",(VLOOKUP(MONTH($A40),Inputs!$A$14:$B$25,2))/1000)</f>
        <v>10.5</v>
      </c>
      <c r="E40" s="304">
        <f t="shared" ca="1" si="19"/>
        <v>47.040000000000006</v>
      </c>
      <c r="F40" s="251">
        <f>IF(A40="N/A"," ",Inputs!$F$6)</f>
        <v>2</v>
      </c>
      <c r="G40" s="251">
        <f ca="1">IF(A40="N/A"," ",Inputs!$F$9/IF(AND('Pricing Inputs'!$AQ$3&gt;=4,'Pricing Inputs'!$AQ$3&lt;=6),16,IF(AND('Pricing Inputs'!$AQ$3&gt;=7,'Pricing Inputs'!$AQ$3&lt;=9),8,24))/(BA40/BW40))</f>
        <v>0</v>
      </c>
      <c r="H40" s="252">
        <f t="shared" ca="1" si="20"/>
        <v>49.040000000000006</v>
      </c>
      <c r="I40" s="255">
        <f>VLOOKUP(A40,ScaledPrice,(IF(AND('Pricing Inputs'!$AQ$3&gt;=1,'Pricing Inputs'!$AQ$3&lt;=6),2,4)))</f>
        <v>35.51919243866724</v>
      </c>
      <c r="J40" s="255">
        <f>IF(A40="N/A"," ",IF(AND('Pricing Inputs'!$AQ$3&gt;=1,'Pricing Inputs'!$AQ$3&lt;=6),I40,(VLOOKUP(A40,ScaledPrice,2))*(2-(VLOOKUP(A40,ScaledPrice,3)))))</f>
        <v>37.780807561332757</v>
      </c>
      <c r="K40" s="255">
        <f>IF(A40="N/A"," ",IF(OR('Pricing Inputs'!$AQ$3=2,'Pricing Inputs'!$AQ$3=3,'Pricing Inputs'!$AQ$3=5,'Pricing Inputs'!$AQ$3=6,'Pricing Inputs'!$AQ$3=8,'Pricing Inputs'!$AQ$3=9),VLOOKUP(A40,ScaledPrice,IF(AND('Pricing Inputs'!$AQ$3&gt;=2,'Pricing Inputs'!$AQ$3&lt;=6),5,6)),0))</f>
        <v>27.958642454491564</v>
      </c>
      <c r="L40" s="255">
        <f>IF(A40="N/A"," ",IF(OR('Pricing Inputs'!$AQ$3=2,'Pricing Inputs'!$AQ$3=3,'Pricing Inputs'!$AQ$3=5,'Pricing Inputs'!$AQ$3=6,'Pricing Inputs'!$AQ$3=8,'Pricing Inputs'!$AQ$3=9),IF(AND('Pricing Inputs'!$AQ$3&gt;=2,'Pricing Inputs'!$AQ$3&lt;=6),K40,(VLOOKUP(A40,ScaledPrice,5))*(2-(VLOOKUP(A40,ScaledPrice,3)))),0))</f>
        <v>29.738854341162732</v>
      </c>
      <c r="M40" s="255">
        <f>IF(A40="N/A"," ",IF(OR('Pricing Inputs'!$AQ$3=3,'Pricing Inputs'!$AQ$3=6,'Pricing Inputs'!$AQ$3=9),(VLOOKUP(A40,ScaledPrice,IF(AND('Pricing Inputs'!$AQ$3&gt;=3,'Pricing Inputs'!$AQ$3&lt;=6),7,8))),0))</f>
        <v>26.508559798047596</v>
      </c>
      <c r="N40" s="255">
        <f>IF(A40="N/A"," ",IF(OR('Pricing Inputs'!$AQ$3=3,'Pricing Inputs'!$AQ$3=6,'Pricing Inputs'!$AQ$3=9),IF(AND('Pricing Inputs'!$AQ$3&gt;=3,'Pricing Inputs'!$AQ$3&lt;=6),M40,(VLOOKUP(A40,ScaledPrice,7))*(2-(VLOOKUP(A40,ScaledPrice,3)))),0))</f>
        <v>28.196440507128184</v>
      </c>
      <c r="O40" s="255">
        <f>IF(A40="N/A"," ",IF(AND('Pricing Inputs'!$AQ$3&gt;=1,'Pricing Inputs'!$AQ$3&lt;=3),VLOOKUP(A40,ScaledPrice,9),0))</f>
        <v>0</v>
      </c>
      <c r="P40" s="320">
        <f ca="1">IF($A40="N/A"," ",IF('Pricing Inputs'!$AN$8=2,(I40-H40),IF('Pricing Inputs'!$AN$3=2,IF((I40-$H40)&gt;0,I40-$H40,0),(_xll.xSPRDOPT(I40,$E40,$BU40,0,$BP40,$BS40,$BT40,($A40-Inputs!$D$1)+15,1,0)))))</f>
        <v>1.1762750176313514</v>
      </c>
      <c r="Q40" s="320">
        <f ca="1">IF($A40="N/A"," ",IF('Pricing Inputs'!$AN$8=2,(J40-$H40),IF('Pricing Inputs'!$AN$3=2,IF((J40-$H40)&gt;0,J40-$H40,0),(_xll.xSPRDOPT(J40,$E40,$BU40,0,$BP40,$BS40,$BT40,($A40-Inputs!$D$1)+15,1,0)))))</f>
        <v>1.7014711086974923</v>
      </c>
      <c r="R40" s="320">
        <f ca="1">IF($A40="N/A"," ",IF('Pricing Inputs'!$AN$8=2,(K40-$H40),IF('Pricing Inputs'!$AN$3=2,IF((K40-$H40)&gt;0,K40-$H40,0),(_xll.xSPRDOPT(K40,$E40,$BU40,0,$BP40,$BS40,$BT40,($A40-Inputs!$D$1)+15,1,0)))))</f>
        <v>0.22114734423239718</v>
      </c>
      <c r="S40" s="320">
        <f ca="1">IF($A40="N/A"," ",IF('Pricing Inputs'!$AN$8=2,(L40-$H40),IF('Pricing Inputs'!$AN$3=2,IF((L40-$H40)&gt;0,L40-$H40,0),(_xll.xSPRDOPT(L40,$E40,$BU40,0,$BP40,$BS40,$BT40,($A40-Inputs!$D$1)+15,1,0)))))</f>
        <v>0.35345851566977232</v>
      </c>
      <c r="T40" s="320">
        <f ca="1">IF($A40="N/A"," ",IF('Pricing Inputs'!$AN$8=2,(M40-$H40),IF('Pricing Inputs'!$AN$3=2,IF((M40-$H40)&gt;0,M40-$H40,0),(_xll.xSPRDOPT(M40,$E40,$BU40,0,$BP40,$BS40,$BT40,($A40-Inputs!$D$1)+15,1,0)))))</f>
        <v>0.14434463229027591</v>
      </c>
      <c r="U40" s="320">
        <f ca="1">IF($A40="N/A"," ",IF('Pricing Inputs'!$AN$8=2,(N40-$H40),IF('Pricing Inputs'!$AN$3=2,IF((N40-$H40)&gt;0,N40-$H40,0),(_xll.xSPRDOPT(N40,$E40,$BU40,0,$BP40,$BS40,$BT40,($A40-Inputs!$D$1)+15,1,0)))))</f>
        <v>0.2362238441528989</v>
      </c>
      <c r="V40" s="259">
        <f ca="1">IF($A40="N/A"," ",(IF('Pricing Inputs'!$AN$8=2,(O40-$H40),IF((O40-$H40)&lt;=0,0,(O40-$H40)))))</f>
        <v>0</v>
      </c>
      <c r="W40" s="306">
        <f ca="1">IF($A40="N/A"," ",IF(0&lt;&gt;P40,IF('Pricing Inputs'!$AN$3=2,8*VLOOKUP($A40,NumberofDaysTable,2),(_xll.xSPRDOPT(I40,$E40,$BU40,0,$BP40,$BS40,$BT40,$A40-Inputs!$D$1,1,1))*(8*VLOOKUP($A40,NumberofDaysTable,2))),0))</f>
        <v>34.071726846032121</v>
      </c>
      <c r="X40" s="306">
        <f ca="1">IF($A40="N/A"," ",IF(Q40&lt;&gt;0,IF('Pricing Inputs'!$AN$3=2,8*VLOOKUP($A40,NumberofDaysTable,2),(_xll.xSPRDOPT(J40,$E40,$BU40,0,$BP40,$BS40,$BT40,$A40-Inputs!$D$1,1,1))*(8*VLOOKUP($A40,NumberofDaysTable,2))),0))</f>
        <v>43.484640823568412</v>
      </c>
      <c r="Y40" s="306">
        <f ca="1">IF($A40="N/A"," ",IF(R40&lt;&gt;0,IF('Pricing Inputs'!$AN$3=2,8*VLOOKUP($A40,NumberofDaysTable,3),(_xll.xSPRDOPT(K40,$E40,$BU40,0,$BP40,$BS40,$BT40,$A40-Inputs!$D$1,1,1))*(8*VLOOKUP($A40,NumberofDaysTable,3))),0))</f>
        <v>2.4247749722093874</v>
      </c>
      <c r="Z40" s="306">
        <f ca="1">IF($A40="N/A"," ",IF(S40&lt;&gt;0,IF('Pricing Inputs'!$AN$3=2,8*VLOOKUP($A40,NumberofDaysTable,3),(_xll.xSPRDOPT(L40,$E40,$BU40,0,$BP40,$BS40,$BT40,$A40-Inputs!$D$1,1,1))*(8*VLOOKUP($A40,NumberofDaysTable,3))),0))</f>
        <v>3.4502700002009625</v>
      </c>
      <c r="AA40" s="306">
        <f ca="1">IF($A40="N/A"," ",IF(T40&lt;&gt;0,IF('Pricing Inputs'!$AN$3=2,8*VLOOKUP($A40,NumberofDaysTable,4),(_xll.xSPRDOPT(M40,$E40,$BU40,0,$BP40,$BS40,$BT40,$A40-Inputs!$D$1,1,1))*(8*VLOOKUP($A40,NumberofDaysTable,4))),0))</f>
        <v>1.3971039176094691</v>
      </c>
      <c r="AB40" s="306">
        <f ca="1">IF($A40="N/A"," ",IF(U40&lt;&gt;0,IF('Pricing Inputs'!$AN$3=2,8*VLOOKUP($A40,NumberofDaysTable,4),(_xll.xSPRDOPT(N40,$E40,$BU40,0,$BP40,$BS40,$BT40,$A40-Inputs!$D$1,1,1))*(8*VLOOKUP($A40,NumberofDaysTable,4))),0))</f>
        <v>2.0395640932369745</v>
      </c>
      <c r="AC40" s="306">
        <f t="shared" ca="1" si="21"/>
        <v>0</v>
      </c>
      <c r="AD40" s="271">
        <f t="shared" ref="AD40:AJ40" ca="1" si="81">IF($A40="N/A"," ",RANK(P40,$P$40:$V$51))</f>
        <v>32</v>
      </c>
      <c r="AE40" s="272">
        <f t="shared" ca="1" si="81"/>
        <v>28</v>
      </c>
      <c r="AF40" s="272">
        <f t="shared" ca="1" si="81"/>
        <v>51</v>
      </c>
      <c r="AG40" s="272">
        <f t="shared" ca="1" si="81"/>
        <v>45</v>
      </c>
      <c r="AH40" s="272">
        <f t="shared" ca="1" si="81"/>
        <v>57</v>
      </c>
      <c r="AI40" s="272">
        <f t="shared" ca="1" si="81"/>
        <v>50</v>
      </c>
      <c r="AJ40" s="273">
        <f t="shared" ca="1" si="81"/>
        <v>73</v>
      </c>
      <c r="AK40" s="312">
        <f t="shared" ca="1" si="43"/>
        <v>34.071726846032121</v>
      </c>
      <c r="AL40" s="313">
        <f t="shared" ca="1" si="44"/>
        <v>43.484640823568412</v>
      </c>
      <c r="AM40" s="313">
        <f t="shared" ca="1" si="45"/>
        <v>2.4247749722093874</v>
      </c>
      <c r="AN40" s="313">
        <f t="shared" ca="1" si="46"/>
        <v>3.4502700002009625</v>
      </c>
      <c r="AO40" s="313">
        <f t="shared" ca="1" si="47"/>
        <v>1.3971039176094691</v>
      </c>
      <c r="AP40" s="313">
        <f t="shared" ca="1" si="48"/>
        <v>2.0395640932369745</v>
      </c>
      <c r="AQ40" s="313">
        <f t="shared" ca="1" si="49"/>
        <v>0</v>
      </c>
      <c r="AR40" s="273"/>
      <c r="AS40" s="327">
        <f t="shared" ref="AS40:AS51" ca="1" si="82">IF($A40="N/A"," ",IF(AND(AD40=$AJ$2+1,AK40=0),MIN($AR$51,W40),0))</f>
        <v>0</v>
      </c>
      <c r="AT40" s="322">
        <f t="shared" ref="AT40:AT51" ca="1" si="83">IF($A40="N/A"," ",IF(AND(AE40=$AJ$2+1,AL40=0),MIN($AR$51,X40),0))</f>
        <v>0</v>
      </c>
      <c r="AU40" s="322">
        <f t="shared" ref="AU40:AU51" ca="1" si="84">IF($A40="N/A"," ",IF(AND(AF40=$AJ$2+1,AM40=0),MIN($AR$51,Y40),0))</f>
        <v>0</v>
      </c>
      <c r="AV40" s="322">
        <f t="shared" ref="AV40:AV51" ca="1" si="85">IF($A40="N/A"," ",IF(AND(AG40=$AJ$2+1,AN40=0),MIN($AR$51,Z40),0))</f>
        <v>0</v>
      </c>
      <c r="AW40" s="322">
        <f t="shared" ref="AW40:AW51" ca="1" si="86">IF($A40="N/A"," ",IF(AND(AH40=$AJ$2+1,AO40=0),MIN($AR$51,AA40),0))</f>
        <v>0</v>
      </c>
      <c r="AX40" s="322">
        <f t="shared" ref="AX40:AX51" ca="1" si="87">IF($A40="N/A"," ",IF(AND(AI40=$AJ$2+1,AP40=0),MIN($AR$51,AB40),0))</f>
        <v>0</v>
      </c>
      <c r="AY40" s="322">
        <f t="shared" ref="AY40:AY51" ca="1" si="88">IF($A40="N/A"," ",IF(AND(AJ40=$AJ$2+1,AQ40=0),MIN($AR$51,AC40),0))</f>
        <v>0</v>
      </c>
      <c r="AZ40" s="273"/>
      <c r="BA40" s="267">
        <f ca="1">IF($A40="N/A"," ",(IF(MONTH(A40)&gt;=4,IF(MONTH(A40)&lt;=10,Inputs!$F$13,Inputs!$F$14),Inputs!$F$14))*$BW40)</f>
        <v>180</v>
      </c>
      <c r="BB40" s="268">
        <f t="shared" ca="1" si="64"/>
        <v>35570.556533172065</v>
      </c>
      <c r="BC40" s="268">
        <f t="shared" ca="1" si="65"/>
        <v>51452.486327012164</v>
      </c>
      <c r="BD40" s="268">
        <f t="shared" ca="1" si="31"/>
        <v>1592.2608784732597</v>
      </c>
      <c r="BE40" s="268">
        <f t="shared" ca="1" si="32"/>
        <v>2544.9013128223605</v>
      </c>
      <c r="BF40" s="268">
        <f t="shared" ca="1" si="33"/>
        <v>1039.2813524899866</v>
      </c>
      <c r="BG40" s="268">
        <f t="shared" ca="1" si="34"/>
        <v>1700.8116779008722</v>
      </c>
      <c r="BH40" s="268">
        <f t="shared" ca="1" si="41"/>
        <v>0</v>
      </c>
      <c r="BI40" s="268">
        <f t="shared" ca="1" si="36"/>
        <v>93900.2980818707</v>
      </c>
      <c r="BJ40" s="296">
        <f t="shared" ca="1" si="37"/>
        <v>766801.92153890221</v>
      </c>
      <c r="BK40" s="296">
        <f t="shared" ca="1" si="38"/>
        <v>735529.4125038737</v>
      </c>
      <c r="BL40" s="296">
        <f t="shared" ca="1" si="39"/>
        <v>31272.509035028637</v>
      </c>
      <c r="BM40" s="296">
        <f t="shared" ca="1" si="40"/>
        <v>0</v>
      </c>
      <c r="BN40" s="405">
        <f>IF(A40="N/A"," ",(VLOOKUP(A40,PowerVolTable,(IF('Pricing Inputs'!$AT$3=2,7,IF('Pricing Inputs'!$AT$3=1,6,8))),FALSE)))</f>
        <v>0.24349450000000003</v>
      </c>
      <c r="BO40" s="405">
        <f>IF(A40="N/A"," ",(VLOOKUP(A40,IntraPowerVol,(IF('Pricing Inputs'!$AT$3=2,3,IF('Pricing Inputs'!$AT$3=1,2,4))),FALSE)*VLOOKUP(MONTH($A40),Inputs!$A$28:$B$39,2)))</f>
        <v>2.2999999999999998</v>
      </c>
      <c r="BP40" s="406">
        <f t="shared" ca="1" si="15"/>
        <v>0.33854969693647147</v>
      </c>
      <c r="BQ40" s="405">
        <f ca="1">IF($A40="N/A"," ",(VLOOKUP($A40,GasVolTable,(IF('Pricing Inputs'!$AT$3=2,6,IF('Pricing Inputs'!$AT$3=1,7,5))),FALSE)))</f>
        <v>0.17400000000000002</v>
      </c>
      <c r="BR40" s="405">
        <f ca="1">IF($A40="N/A"," ",(VLOOKUP($A40,OmicronVol,(IF('Pricing Inputs'!$AT$3=2,3,IF('Pricing Inputs'!$AT$3=1,4,2))),FALSE)))</f>
        <v>1.45</v>
      </c>
      <c r="BS40" s="406">
        <f ca="1">IF($A40="N/A"," ",IF('Pricing Inputs'!$AN$3=1,(IF(DateToday&gt;$A40,$BR40,((($BQ40^2)*((($A40-1)-DateToday)/((EOMONTH($A40,0)+1)-DateToday-15)))+((($BR40)^2)*((15)/((EOMONTH($A40,0)+1)-DateToday-15))))^0.5)),0.0001))</f>
        <v>0.22843984484293542</v>
      </c>
      <c r="BT40" s="405">
        <f>IF($A40="N/A"," ",IF('Pricing Inputs'!$AN$3=1,(VLOOKUP($A40,CorrelationTable,2,FALSE)),0))</f>
        <v>0.9</v>
      </c>
      <c r="BU40" s="407">
        <f ca="1">IF($A40="N/A"," ",F40+G40+(D40*(VLOOKUP($A40,'Gas Curves'!$B$17:$P$310,14,FALSE))))</f>
        <v>2.6825000000000001</v>
      </c>
      <c r="BV40" s="405">
        <f>IF($A40="N/A"," ",IF('Pricing Inputs'!$AW$3=1,0,(VLOOKUP($A40,InterestRatesTable,2))))</f>
        <v>0</v>
      </c>
      <c r="BW40" s="408">
        <f t="shared" ca="1" si="16"/>
        <v>1</v>
      </c>
    </row>
    <row r="41" spans="1:75">
      <c r="A41" s="248">
        <f>IF(A40="N/A","N/A",IF(EDATE(A40,1)&gt;Inputs!$K$3,"N/A",EDATE(A40,1)))</f>
        <v>38018</v>
      </c>
      <c r="B41" s="262">
        <f t="shared" si="17"/>
        <v>2004</v>
      </c>
      <c r="C41" s="249">
        <f t="shared" ca="1" si="18"/>
        <v>4.2620000000000005</v>
      </c>
      <c r="D41" s="250">
        <f>IF(A41="N/A"," ",(VLOOKUP(MONTH($A41),Inputs!$A$14:$B$25,2))/1000)</f>
        <v>10.5</v>
      </c>
      <c r="E41" s="304">
        <f t="shared" ca="1" si="19"/>
        <v>44.751000000000005</v>
      </c>
      <c r="F41" s="251">
        <f>IF(A41="N/A"," ",Inputs!$F$6)</f>
        <v>2</v>
      </c>
      <c r="G41" s="251">
        <f ca="1">IF(A41="N/A"," ",Inputs!$F$9/IF(AND('Pricing Inputs'!$AQ$3&gt;=4,'Pricing Inputs'!$AQ$3&lt;=6),16,IF(AND('Pricing Inputs'!$AQ$3&gt;=7,'Pricing Inputs'!$AQ$3&lt;=9),8,24))/(BA41/BW41))</f>
        <v>0</v>
      </c>
      <c r="H41" s="252">
        <f t="shared" ca="1" si="20"/>
        <v>46.751000000000005</v>
      </c>
      <c r="I41" s="255">
        <f>VLOOKUP(A41,ScaledPrice,(IF(AND('Pricing Inputs'!$AQ$3&gt;=1,'Pricing Inputs'!$AQ$3&lt;=6),2,4)))</f>
        <v>35.51919243866724</v>
      </c>
      <c r="J41" s="255">
        <f>IF(A41="N/A"," ",IF(AND('Pricing Inputs'!$AQ$3&gt;=1,'Pricing Inputs'!$AQ$3&lt;=6),I41,(VLOOKUP(A41,ScaledPrice,2))*(2-(VLOOKUP(A41,ScaledPrice,3)))))</f>
        <v>37.780807561332757</v>
      </c>
      <c r="K41" s="255">
        <f>IF(A41="N/A"," ",IF(OR('Pricing Inputs'!$AQ$3=2,'Pricing Inputs'!$AQ$3=3,'Pricing Inputs'!$AQ$3=5,'Pricing Inputs'!$AQ$3=6,'Pricing Inputs'!$AQ$3=8,'Pricing Inputs'!$AQ$3=9),VLOOKUP(A41,ScaledPrice,IF(AND('Pricing Inputs'!$AQ$3&gt;=2,'Pricing Inputs'!$AQ$3&lt;=6),5,6)),0))</f>
        <v>26.987075521556243</v>
      </c>
      <c r="L41" s="255">
        <f>IF(A41="N/A"," ",IF(OR('Pricing Inputs'!$AQ$3=2,'Pricing Inputs'!$AQ$3=3,'Pricing Inputs'!$AQ$3=5,'Pricing Inputs'!$AQ$3=6,'Pricing Inputs'!$AQ$3=8,'Pricing Inputs'!$AQ$3=9),IF(AND('Pricing Inputs'!$AQ$3&gt;=2,'Pricing Inputs'!$AQ$3&lt;=6),K41,(VLOOKUP(A41,ScaledPrice,5))*(2-(VLOOKUP(A41,ScaledPrice,3)))),0))</f>
        <v>28.705424783619534</v>
      </c>
      <c r="M41" s="255">
        <f>IF(A41="N/A"," ",IF(OR('Pricing Inputs'!$AQ$3=3,'Pricing Inputs'!$AQ$3=6,'Pricing Inputs'!$AQ$3=9),(VLOOKUP(A41,ScaledPrice,IF(AND('Pricing Inputs'!$AQ$3&gt;=3,'Pricing Inputs'!$AQ$3&lt;=6),7,8))),0))</f>
        <v>24.565421865479472</v>
      </c>
      <c r="N41" s="255">
        <f>IF(A41="N/A"," ",IF(OR('Pricing Inputs'!$AQ$3=3,'Pricing Inputs'!$AQ$3=6,'Pricing Inputs'!$AQ$3=9),IF(AND('Pricing Inputs'!$AQ$3&gt;=3,'Pricing Inputs'!$AQ$3&lt;=6),M41,(VLOOKUP(A41,ScaledPrice,7))*(2-(VLOOKUP(A41,ScaledPrice,3)))),0))</f>
        <v>26.12957706640529</v>
      </c>
      <c r="O41" s="255">
        <f>IF(A41="N/A"," ",IF(AND('Pricing Inputs'!$AQ$3&gt;=1,'Pricing Inputs'!$AQ$3&lt;=3),VLOOKUP(A41,ScaledPrice,9),0))</f>
        <v>0</v>
      </c>
      <c r="P41" s="320">
        <f ca="1">IF($A41="N/A"," ",IF('Pricing Inputs'!$AN$8=2,(I41-H41),IF('Pricing Inputs'!$AN$3=2,IF((I41-$H41)&gt;0,I41-$H41,0),(_xll.xSPRDOPT(I41,$E41,$BU41,0,$BP41,$BS41,$BT41,($A41-Inputs!$D$1)+15,1,0)))))</f>
        <v>1.419500577662951</v>
      </c>
      <c r="Q41" s="320">
        <f ca="1">IF($A41="N/A"," ",IF('Pricing Inputs'!$AN$8=2,(J41-$H41),IF('Pricing Inputs'!$AN$3=2,IF((J41-$H41)&gt;0,J41-$H41,0),(_xll.xSPRDOPT(J41,$E41,$BU41,0,$BP41,$BS41,$BT41,($A41-Inputs!$D$1)+15,1,0)))))</f>
        <v>2.0326985859500351</v>
      </c>
      <c r="R41" s="320">
        <f ca="1">IF($A41="N/A"," ",IF('Pricing Inputs'!$AN$8=2,(K41-$H41),IF('Pricing Inputs'!$AN$3=2,IF((K41-$H41)&gt;0,K41-$H41,0),(_xll.xSPRDOPT(K41,$E41,$BU41,0,$BP41,$BS41,$BT41,($A41-Inputs!$D$1)+15,1,0)))))</f>
        <v>0.20952104827021065</v>
      </c>
      <c r="S41" s="320">
        <f ca="1">IF($A41="N/A"," ",IF('Pricing Inputs'!$AN$8=2,(L41-$H41),IF('Pricing Inputs'!$AN$3=2,IF((L41-$H41)&gt;0,L41-$H41,0),(_xll.xSPRDOPT(L41,$E41,$BU41,0,$BP41,$BS41,$BT41,($A41-Inputs!$D$1)+15,1,0)))))</f>
        <v>0.33753770092525481</v>
      </c>
      <c r="T41" s="320">
        <f ca="1">IF($A41="N/A"," ",IF('Pricing Inputs'!$AN$8=2,(M41-$H41),IF('Pricing Inputs'!$AN$3=2,IF((M41-$H41)&gt;0,M41-$H41,0),(_xll.xSPRDOPT(M41,$E41,$BU41,0,$BP41,$BS41,$BT41,($A41-Inputs!$D$1)+15,1,0)))))</f>
        <v>9.5918260397582306E-2</v>
      </c>
      <c r="U41" s="320">
        <f ca="1">IF($A41="N/A"," ",IF('Pricing Inputs'!$AN$8=2,(N41-$H41),IF('Pricing Inputs'!$AN$3=2,IF((N41-$H41)&gt;0,N41-$H41,0),(_xll.xSPRDOPT(N41,$E41,$BU41,0,$BP41,$BS41,$BT41,($A41-Inputs!$D$1)+15,1,0)))))</f>
        <v>0.16142761793278523</v>
      </c>
      <c r="V41" s="259">
        <f ca="1">IF($A41="N/A"," ",(IF('Pricing Inputs'!$AN$8=2,(O41-$H41),IF((O41-$H41)&lt;=0,0,(O41-$H41)))))</f>
        <v>0</v>
      </c>
      <c r="W41" s="306">
        <f ca="1">IF($A41="N/A"," ",IF(0&lt;&gt;P41,IF('Pricing Inputs'!$AN$3=2,8*VLOOKUP($A41,NumberofDaysTable,2),(_xll.xSPRDOPT(I41,$E41,$BU41,0,$BP41,$BS41,$BT41,$A41-Inputs!$D$1,1,1))*(8*VLOOKUP($A41,NumberofDaysTable,2))),0))</f>
        <v>38.202909075955702</v>
      </c>
      <c r="X41" s="306">
        <f ca="1">IF($A41="N/A"," ",IF(Q41&lt;&gt;0,IF('Pricing Inputs'!$AN$3=2,8*VLOOKUP($A41,NumberofDaysTable,2),(_xll.xSPRDOPT(J41,$E41,$BU41,0,$BP41,$BS41,$BT41,$A41-Inputs!$D$1,1,1))*(8*VLOOKUP($A41,NumberofDaysTable,2))),0))</f>
        <v>48.125110221200345</v>
      </c>
      <c r="Y41" s="306">
        <f ca="1">IF($A41="N/A"," ",IF(R41&lt;&gt;0,IF('Pricing Inputs'!$AN$3=2,8*VLOOKUP($A41,NumberofDaysTable,3),(_xll.xSPRDOPT(K41,$E41,$BU41,0,$BP41,$BS41,$BT41,$A41-Inputs!$D$1,1,1))*(8*VLOOKUP($A41,NumberofDaysTable,3))),0))</f>
        <v>1.938290843967003</v>
      </c>
      <c r="Z41" s="306">
        <f ca="1">IF($A41="N/A"," ",IF(S41&lt;&gt;0,IF('Pricing Inputs'!$AN$3=2,8*VLOOKUP($A41,NumberofDaysTable,3),(_xll.xSPRDOPT(L41,$E41,$BU41,0,$BP41,$BS41,$BT41,$A41-Inputs!$D$1,1,1))*(8*VLOOKUP($A41,NumberofDaysTable,3))),0))</f>
        <v>2.7763585303749889</v>
      </c>
      <c r="AA41" s="306">
        <f ca="1">IF($A41="N/A"," ",IF(T41&lt;&gt;0,IF('Pricing Inputs'!$AN$3=2,8*VLOOKUP($A41,NumberofDaysTable,4),(_xll.xSPRDOPT(M41,$E41,$BU41,0,$BP41,$BS41,$BT41,$A41-Inputs!$D$1,1,1))*(8*VLOOKUP($A41,NumberofDaysTable,4))),0))</f>
        <v>1.3205554874951855</v>
      </c>
      <c r="AB41" s="306">
        <f ca="1">IF($A41="N/A"," ",IF(U41&lt;&gt;0,IF('Pricing Inputs'!$AN$3=2,8*VLOOKUP($A41,NumberofDaysTable,4),(_xll.xSPRDOPT(N41,$E41,$BU41,0,$BP41,$BS41,$BT41,$A41-Inputs!$D$1,1,1))*(8*VLOOKUP($A41,NumberofDaysTable,4))),0))</f>
        <v>1.9831871087355923</v>
      </c>
      <c r="AC41" s="306">
        <f t="shared" ca="1" si="21"/>
        <v>0</v>
      </c>
      <c r="AD41" s="274">
        <f t="shared" ref="AD41:AD51" ca="1" si="89">IF($A41="N/A"," ",RANK(P41,$P$40:$V$51))</f>
        <v>31</v>
      </c>
      <c r="AE41" s="275">
        <f t="shared" ref="AE41:AE51" ca="1" si="90">IF($A41="N/A"," ",RANK(Q41,$P$40:$V$51))</f>
        <v>26</v>
      </c>
      <c r="AF41" s="275">
        <f t="shared" ref="AF41:AF51" ca="1" si="91">IF($A41="N/A"," ",RANK(R41,$P$40:$V$51))</f>
        <v>54</v>
      </c>
      <c r="AG41" s="275">
        <f t="shared" ref="AG41:AG51" ca="1" si="92">IF($A41="N/A"," ",RANK(S41,$P$40:$V$51))</f>
        <v>46</v>
      </c>
      <c r="AH41" s="275">
        <f t="shared" ref="AH41:AH51" ca="1" si="93">IF($A41="N/A"," ",RANK(T41,$P$40:$V$51))</f>
        <v>58</v>
      </c>
      <c r="AI41" s="275">
        <f t="shared" ref="AI41:AI51" ca="1" si="94">IF($A41="N/A"," ",RANK(U41,$P$40:$V$51))</f>
        <v>56</v>
      </c>
      <c r="AJ41" s="276">
        <f t="shared" ref="AJ41:AJ51" ca="1" si="95">IF($A41="N/A"," ",RANK(V41,$P$40:$V$51))</f>
        <v>73</v>
      </c>
      <c r="AK41" s="314">
        <f t="shared" ca="1" si="43"/>
        <v>38.202909075955702</v>
      </c>
      <c r="AL41" s="315">
        <f t="shared" ca="1" si="44"/>
        <v>48.125110221200345</v>
      </c>
      <c r="AM41" s="315">
        <f t="shared" ca="1" si="45"/>
        <v>1.938290843967003</v>
      </c>
      <c r="AN41" s="315">
        <f t="shared" ca="1" si="46"/>
        <v>2.7763585303749889</v>
      </c>
      <c r="AO41" s="315">
        <f t="shared" ca="1" si="47"/>
        <v>1.3205554874951855</v>
      </c>
      <c r="AP41" s="315">
        <f t="shared" ca="1" si="48"/>
        <v>1.9831871087355923</v>
      </c>
      <c r="AQ41" s="315">
        <f t="shared" ca="1" si="49"/>
        <v>0</v>
      </c>
      <c r="AR41" s="276"/>
      <c r="AS41" s="321">
        <f t="shared" ca="1" si="82"/>
        <v>0</v>
      </c>
      <c r="AT41" s="324">
        <f t="shared" ca="1" si="83"/>
        <v>0</v>
      </c>
      <c r="AU41" s="324">
        <f t="shared" ca="1" si="84"/>
        <v>0</v>
      </c>
      <c r="AV41" s="324">
        <f t="shared" ca="1" si="85"/>
        <v>0</v>
      </c>
      <c r="AW41" s="324">
        <f t="shared" ca="1" si="86"/>
        <v>0</v>
      </c>
      <c r="AX41" s="324">
        <f t="shared" ca="1" si="87"/>
        <v>0</v>
      </c>
      <c r="AY41" s="324">
        <f t="shared" ca="1" si="88"/>
        <v>0</v>
      </c>
      <c r="AZ41" s="276"/>
      <c r="BA41" s="267">
        <f ca="1">IF($A41="N/A"," ",(IF(MONTH(A41)&gt;=4,IF(MONTH(A41)&lt;=10,Inputs!$F$13,Inputs!$F$14),Inputs!$F$14))*$BW41)</f>
        <v>180</v>
      </c>
      <c r="BB41" s="268">
        <f t="shared" ca="1" si="64"/>
        <v>40881.61663669299</v>
      </c>
      <c r="BC41" s="268">
        <f t="shared" ca="1" si="65"/>
        <v>58541.719275361007</v>
      </c>
      <c r="BD41" s="268">
        <f t="shared" ca="1" si="31"/>
        <v>1206.8412380364134</v>
      </c>
      <c r="BE41" s="268">
        <f t="shared" ca="1" si="32"/>
        <v>1944.2171573294677</v>
      </c>
      <c r="BF41" s="268">
        <f t="shared" ca="1" si="33"/>
        <v>690.61147486259256</v>
      </c>
      <c r="BG41" s="268">
        <f t="shared" ca="1" si="34"/>
        <v>1162.2788491160536</v>
      </c>
      <c r="BH41" s="268">
        <f t="shared" ca="1" si="41"/>
        <v>0</v>
      </c>
      <c r="BI41" s="268">
        <f t="shared" ca="1" si="36"/>
        <v>104427.28463139854</v>
      </c>
      <c r="BJ41" s="296">
        <f t="shared" ca="1" si="37"/>
        <v>793942.03317196609</v>
      </c>
      <c r="BK41" s="296">
        <f t="shared" ca="1" si="38"/>
        <v>759977.32511558395</v>
      </c>
      <c r="BL41" s="296">
        <f t="shared" ca="1" si="39"/>
        <v>33964.708056382369</v>
      </c>
      <c r="BM41" s="296">
        <f t="shared" ca="1" si="40"/>
        <v>0</v>
      </c>
      <c r="BN41" s="405">
        <f>IF(A41="N/A"," ",(VLOOKUP(A41,PowerVolTable,(IF('Pricing Inputs'!$AT$3=2,7,IF('Pricing Inputs'!$AT$3=1,6,8))),FALSE)))</f>
        <v>0.23492074999999998</v>
      </c>
      <c r="BO41" s="405">
        <f>IF(A41="N/A"," ",(VLOOKUP(A41,IntraPowerVol,(IF('Pricing Inputs'!$AT$3=2,3,IF('Pricing Inputs'!$AT$3=1,2,4))),FALSE)*VLOOKUP(MONTH($A41),Inputs!$A$28:$B$39,2)))</f>
        <v>2.2999999999999998</v>
      </c>
      <c r="BP41" s="406">
        <f t="shared" ca="1" si="15"/>
        <v>0.33095070672399274</v>
      </c>
      <c r="BQ41" s="405">
        <f ca="1">IF($A41="N/A"," ",(VLOOKUP($A41,GasVolTable,(IF('Pricing Inputs'!$AT$3=2,6,IF('Pricing Inputs'!$AT$3=1,7,5))),FALSE)))</f>
        <v>0.17249999999999999</v>
      </c>
      <c r="BR41" s="405">
        <f ca="1">IF($A41="N/A"," ",(VLOOKUP($A41,OmicronVol,(IF('Pricing Inputs'!$AT$3=2,3,IF('Pricing Inputs'!$AT$3=1,4,2))),FALSE)))</f>
        <v>1.45</v>
      </c>
      <c r="BS41" s="406">
        <f ca="1">IF($A41="N/A"," ",IF('Pricing Inputs'!$AN$3=1,(IF(DateToday&gt;$A41,$BR41,((($BQ41^2)*((($A41-1)-DateToday)/((EOMONTH($A41,0)+1)-DateToday-15)))+((($BR41)^2)*((15)/((EOMONTH($A41,0)+1)-DateToday-15))))^0.5)),0.0001))</f>
        <v>0.22643458460947707</v>
      </c>
      <c r="BT41" s="405">
        <f>IF($A41="N/A"," ",IF('Pricing Inputs'!$AN$3=1,(VLOOKUP($A41,CorrelationTable,2,FALSE)),0))</f>
        <v>0.9</v>
      </c>
      <c r="BU41" s="407">
        <f ca="1">IF($A41="N/A"," ",F41+G41+(D41*(VLOOKUP($A41,'Gas Curves'!$B$17:$P$310,14,FALSE))))</f>
        <v>2.6825000000000001</v>
      </c>
      <c r="BV41" s="405">
        <f>IF($A41="N/A"," ",IF('Pricing Inputs'!$AW$3=1,0,(VLOOKUP($A41,InterestRatesTable,2))))</f>
        <v>0</v>
      </c>
      <c r="BW41" s="408">
        <f t="shared" ca="1" si="16"/>
        <v>1</v>
      </c>
    </row>
    <row r="42" spans="1:75">
      <c r="A42" s="248">
        <f>IF(A41="N/A","N/A",IF(EDATE(A41,1)&gt;Inputs!$K$3,"N/A",EDATE(A41,1)))</f>
        <v>38047</v>
      </c>
      <c r="B42" s="262">
        <f t="shared" si="17"/>
        <v>2004</v>
      </c>
      <c r="C42" s="249">
        <f t="shared" ca="1" si="18"/>
        <v>3.6320000000000001</v>
      </c>
      <c r="D42" s="250">
        <f>IF(A42="N/A"," ",(VLOOKUP(MONTH($A42),Inputs!$A$14:$B$25,2))/1000)</f>
        <v>10.5</v>
      </c>
      <c r="E42" s="304">
        <f t="shared" ca="1" si="19"/>
        <v>38.136000000000003</v>
      </c>
      <c r="F42" s="251">
        <f>IF(A42="N/A"," ",Inputs!$F$6)</f>
        <v>2</v>
      </c>
      <c r="G42" s="251">
        <f ca="1">IF(A42="N/A"," ",Inputs!$F$9/IF(AND('Pricing Inputs'!$AQ$3&gt;=4,'Pricing Inputs'!$AQ$3&lt;=6),16,IF(AND('Pricing Inputs'!$AQ$3&gt;=7,'Pricing Inputs'!$AQ$3&lt;=9),8,24))/(BA42/BW42))</f>
        <v>0</v>
      </c>
      <c r="H42" s="252">
        <f t="shared" ca="1" si="20"/>
        <v>40.136000000000003</v>
      </c>
      <c r="I42" s="255">
        <f>VLOOKUP(A42,ScaledPrice,(IF(AND('Pricing Inputs'!$AQ$3&gt;=1,'Pricing Inputs'!$AQ$3&lt;=6),2,4)))</f>
        <v>31.967285000000004</v>
      </c>
      <c r="J42" s="255">
        <f>IF(A42="N/A"," ",IF(AND('Pricing Inputs'!$AQ$3&gt;=1,'Pricing Inputs'!$AQ$3&lt;=6),I42,(VLOOKUP(A42,ScaledPrice,2))*(2-(VLOOKUP(A42,ScaledPrice,3)))))</f>
        <v>33.832714999999993</v>
      </c>
      <c r="K42" s="255">
        <f>IF(A42="N/A"," ",IF(OR('Pricing Inputs'!$AQ$3=2,'Pricing Inputs'!$AQ$3=3,'Pricing Inputs'!$AQ$3=5,'Pricing Inputs'!$AQ$3=6,'Pricing Inputs'!$AQ$3=8,'Pricing Inputs'!$AQ$3=9),VLOOKUP(A42,ScaledPrice,IF(AND('Pricing Inputs'!$AQ$3&gt;=2,'Pricing Inputs'!$AQ$3&lt;=6),5,6)),0))</f>
        <v>20.438414452018737</v>
      </c>
      <c r="L42" s="255">
        <f>IF(A42="N/A"," ",IF(OR('Pricing Inputs'!$AQ$3=2,'Pricing Inputs'!$AQ$3=3,'Pricing Inputs'!$AQ$3=5,'Pricing Inputs'!$AQ$3=6,'Pricing Inputs'!$AQ$3=8,'Pricing Inputs'!$AQ$3=9),IF(AND('Pricing Inputs'!$AQ$3&gt;=2,'Pricing Inputs'!$AQ$3&lt;=6),K42,(VLOOKUP(A42,ScaledPrice,5))*(2-(VLOOKUP(A42,ScaledPrice,3)))),0))</f>
        <v>21.631084754524228</v>
      </c>
      <c r="M42" s="255">
        <f>IF(A42="N/A"," ",IF(OR('Pricing Inputs'!$AQ$3=3,'Pricing Inputs'!$AQ$3=6,'Pricing Inputs'!$AQ$3=9),(VLOOKUP(A42,ScaledPrice,IF(AND('Pricing Inputs'!$AQ$3&gt;=3,'Pricing Inputs'!$AQ$3&lt;=6),7,8))),0))</f>
        <v>20.078660357513428</v>
      </c>
      <c r="N42" s="255">
        <f>IF(A42="N/A"," ",IF(OR('Pricing Inputs'!$AQ$3=3,'Pricing Inputs'!$AQ$3=6,'Pricing Inputs'!$AQ$3=9),IF(AND('Pricing Inputs'!$AQ$3&gt;=3,'Pricing Inputs'!$AQ$3&lt;=6),M42,(VLOOKUP(A42,ScaledPrice,7))*(2-(VLOOKUP(A42,ScaledPrice,3)))),0))</f>
        <v>21.250337445220943</v>
      </c>
      <c r="O42" s="255">
        <f>IF(A42="N/A"," ",IF(AND('Pricing Inputs'!$AQ$3&gt;=1,'Pricing Inputs'!$AQ$3&lt;=3),VLOOKUP(A42,ScaledPrice,9),0))</f>
        <v>0</v>
      </c>
      <c r="P42" s="320">
        <f ca="1">IF($A42="N/A"," ",IF('Pricing Inputs'!$AN$8=2,(I42-H42),IF('Pricing Inputs'!$AN$3=2,IF((I42-$H42)&gt;0,I42-$H42,0),(_xll.xSPRDOPT(I42,$E42,$BU42,0,$BP42,$BS42,$BT42,($A42-Inputs!$D$1)+15,1,0)))))</f>
        <v>0.95092088690227461</v>
      </c>
      <c r="Q42" s="320">
        <f ca="1">IF($A42="N/A"," ",IF('Pricing Inputs'!$AN$8=2,(J42-$H42),IF('Pricing Inputs'!$AN$3=2,IF((J42-$H42)&gt;0,J42-$H42,0),(_xll.xSPRDOPT(J42,$E42,$BU42,0,$BP42,$BS42,$BT42,($A42-Inputs!$D$1)+15,1,0)))))</f>
        <v>1.4232550361571992</v>
      </c>
      <c r="R42" s="320">
        <f ca="1">IF($A42="N/A"," ",IF('Pricing Inputs'!$AN$8=2,(K42-$H42),IF('Pricing Inputs'!$AN$3=2,IF((K42-$H42)&gt;0,K42-$H42,0),(_xll.xSPRDOPT(K42,$E42,$BU42,0,$BP42,$BS42,$BT42,($A42-Inputs!$D$1)+15,1,0)))))</f>
        <v>1.1637508257740984E-2</v>
      </c>
      <c r="S42" s="320">
        <f ca="1">IF($A42="N/A"," ",IF('Pricing Inputs'!$AN$8=2,(L42-$H42),IF('Pricing Inputs'!$AN$3=2,IF((L42-$H42)&gt;0,L42-$H42,0),(_xll.xSPRDOPT(L42,$E42,$BU42,0,$BP42,$BS42,$BT42,($A42-Inputs!$D$1)+15,1,0)))))</f>
        <v>2.314262635883834E-2</v>
      </c>
      <c r="T42" s="320">
        <f ca="1">IF($A42="N/A"," ",IF('Pricing Inputs'!$AN$8=2,(M42-$H42),IF('Pricing Inputs'!$AN$3=2,IF((M42-$H42)&gt;0,M42-$H42,0),(_xll.xSPRDOPT(M42,$E42,$BU42,0,$BP42,$BS42,$BT42,($A42-Inputs!$D$1)+15,1,0)))))</f>
        <v>9.3075083436938606E-3</v>
      </c>
      <c r="U42" s="320">
        <f ca="1">IF($A42="N/A"," ",IF('Pricing Inputs'!$AN$8=2,(N42-$H42),IF('Pricing Inputs'!$AN$3=2,IF((N42-$H42)&gt;0,N42-$H42,0),(_xll.xSPRDOPT(N42,$E42,$BU42,0,$BP42,$BS42,$BT42,($A42-Inputs!$D$1)+15,1,0)))))</f>
        <v>1.8740168720139304E-2</v>
      </c>
      <c r="V42" s="259">
        <f ca="1">IF($A42="N/A"," ",(IF('Pricing Inputs'!$AN$8=2,(O42-$H42),IF((O42-$H42)&lt;=0,0,(O42-$H42)))))</f>
        <v>0</v>
      </c>
      <c r="W42" s="306">
        <f ca="1">IF($A42="N/A"," ",IF(0&lt;&gt;P42,IF('Pricing Inputs'!$AN$3=2,8*VLOOKUP($A42,NumberofDaysTable,2),(_xll.xSPRDOPT(I42,$E42,$BU42,0,$BP42,$BS42,$BT42,$A42-Inputs!$D$1,1,1))*(8*VLOOKUP($A42,NumberofDaysTable,2))),0))</f>
        <v>40.16396824802176</v>
      </c>
      <c r="X42" s="306">
        <f ca="1">IF($A42="N/A"," ",IF(Q42&lt;&gt;0,IF('Pricing Inputs'!$AN$3=2,8*VLOOKUP($A42,NumberofDaysTable,2),(_xll.xSPRDOPT(J42,$E42,$BU42,0,$BP42,$BS42,$BT42,$A42-Inputs!$D$1,1,1))*(8*VLOOKUP($A42,NumberofDaysTable,2))),0))</f>
        <v>52.627912455429637</v>
      </c>
      <c r="Y42" s="306">
        <f ca="1">IF($A42="N/A"," ",IF(R42&lt;&gt;0,IF('Pricing Inputs'!$AN$3=2,8*VLOOKUP($A42,NumberofDaysTable,3),(_xll.xSPRDOPT(K42,$E42,$BU42,0,$BP42,$BS42,$BT42,$A42-Inputs!$D$1,1,1))*(8*VLOOKUP($A42,NumberofDaysTable,3))),0))</f>
        <v>0.21855982578198302</v>
      </c>
      <c r="Z42" s="306">
        <f ca="1">IF($A42="N/A"," ",IF(S42&lt;&gt;0,IF('Pricing Inputs'!$AN$3=2,8*VLOOKUP($A42,NumberofDaysTable,3),(_xll.xSPRDOPT(L42,$E42,$BU42,0,$BP42,$BS42,$BT42,$A42-Inputs!$D$1,1,1))*(8*VLOOKUP($A42,NumberofDaysTable,3))),0))</f>
        <v>0.38987118915311658</v>
      </c>
      <c r="AA42" s="306">
        <f ca="1">IF($A42="N/A"," ",IF(T42&lt;&gt;0,IF('Pricing Inputs'!$AN$3=2,8*VLOOKUP($A42,NumberofDaysTable,4),(_xll.xSPRDOPT(M42,$E42,$BU42,0,$BP42,$BS42,$BT42,$A42-Inputs!$D$1,1,1))*(8*VLOOKUP($A42,NumberofDaysTable,4))),0))</f>
        <v>0.18075115566124134</v>
      </c>
      <c r="AB42" s="306">
        <f ca="1">IF($A42="N/A"," ",IF(U42&lt;&gt;0,IF('Pricing Inputs'!$AN$3=2,8*VLOOKUP($A42,NumberofDaysTable,4),(_xll.xSPRDOPT(N42,$E42,$BU42,0,$BP42,$BS42,$BT42,$A42-Inputs!$D$1,1,1))*(8*VLOOKUP($A42,NumberofDaysTable,4))),0))</f>
        <v>0.32673116805110308</v>
      </c>
      <c r="AC42" s="306">
        <f t="shared" ca="1" si="21"/>
        <v>0</v>
      </c>
      <c r="AD42" s="274">
        <f t="shared" ca="1" si="89"/>
        <v>33</v>
      </c>
      <c r="AE42" s="275">
        <f t="shared" ca="1" si="90"/>
        <v>30</v>
      </c>
      <c r="AF42" s="275">
        <f t="shared" ca="1" si="91"/>
        <v>69</v>
      </c>
      <c r="AG42" s="275">
        <f t="shared" ca="1" si="92"/>
        <v>66</v>
      </c>
      <c r="AH42" s="275">
        <f t="shared" ca="1" si="93"/>
        <v>70</v>
      </c>
      <c r="AI42" s="275">
        <f t="shared" ca="1" si="94"/>
        <v>68</v>
      </c>
      <c r="AJ42" s="276">
        <f t="shared" ca="1" si="95"/>
        <v>73</v>
      </c>
      <c r="AK42" s="314">
        <f t="shared" ca="1" si="43"/>
        <v>40.16396824802176</v>
      </c>
      <c r="AL42" s="315">
        <f t="shared" ca="1" si="44"/>
        <v>52.627912455429637</v>
      </c>
      <c r="AM42" s="315">
        <f t="shared" ca="1" si="45"/>
        <v>0.21855982578198302</v>
      </c>
      <c r="AN42" s="315">
        <f t="shared" ca="1" si="46"/>
        <v>0.38987118915311658</v>
      </c>
      <c r="AO42" s="315">
        <f t="shared" ca="1" si="47"/>
        <v>0.18075115566124134</v>
      </c>
      <c r="AP42" s="315">
        <f t="shared" ca="1" si="48"/>
        <v>0.32673116805110308</v>
      </c>
      <c r="AQ42" s="315">
        <f t="shared" ca="1" si="49"/>
        <v>0</v>
      </c>
      <c r="AR42" s="276"/>
      <c r="AS42" s="321">
        <f t="shared" ca="1" si="82"/>
        <v>0</v>
      </c>
      <c r="AT42" s="324">
        <f t="shared" ca="1" si="83"/>
        <v>0</v>
      </c>
      <c r="AU42" s="324">
        <f t="shared" ca="1" si="84"/>
        <v>0</v>
      </c>
      <c r="AV42" s="324">
        <f t="shared" ca="1" si="85"/>
        <v>0</v>
      </c>
      <c r="AW42" s="324">
        <f t="shared" ca="1" si="86"/>
        <v>0</v>
      </c>
      <c r="AX42" s="324">
        <f t="shared" ca="1" si="87"/>
        <v>0</v>
      </c>
      <c r="AY42" s="324">
        <f t="shared" ca="1" si="88"/>
        <v>0</v>
      </c>
      <c r="AZ42" s="276"/>
      <c r="BA42" s="267">
        <f ca="1">IF($A42="N/A"," ",(IF(MONTH(A42)&gt;=4,IF(MONTH(A42)&lt;=10,Inputs!$F$13,Inputs!$F$14),Inputs!$F$14))*$BW42)</f>
        <v>180</v>
      </c>
      <c r="BB42" s="268">
        <f t="shared" ca="1" si="64"/>
        <v>31494.499774203334</v>
      </c>
      <c r="BC42" s="268">
        <f t="shared" ca="1" si="65"/>
        <v>47138.206797526436</v>
      </c>
      <c r="BD42" s="268">
        <f t="shared" ca="1" si="31"/>
        <v>67.032047564588069</v>
      </c>
      <c r="BE42" s="268">
        <f t="shared" ca="1" si="32"/>
        <v>133.30152782690885</v>
      </c>
      <c r="BF42" s="268">
        <f t="shared" ca="1" si="33"/>
        <v>53.61124805967664</v>
      </c>
      <c r="BG42" s="268">
        <f t="shared" ca="1" si="34"/>
        <v>107.94337182800238</v>
      </c>
      <c r="BH42" s="268">
        <f t="shared" ca="1" si="41"/>
        <v>0</v>
      </c>
      <c r="BI42" s="268">
        <f t="shared" ca="1" si="36"/>
        <v>78994.594767008952</v>
      </c>
      <c r="BJ42" s="296">
        <f t="shared" ca="1" si="37"/>
        <v>678434.97990126221</v>
      </c>
      <c r="BK42" s="296">
        <f t="shared" ca="1" si="38"/>
        <v>644628.17404610664</v>
      </c>
      <c r="BL42" s="296">
        <f t="shared" ca="1" si="39"/>
        <v>33806.805855155581</v>
      </c>
      <c r="BM42" s="296">
        <f t="shared" ca="1" si="40"/>
        <v>0</v>
      </c>
      <c r="BN42" s="405">
        <f>IF(A42="N/A"," ",(VLOOKUP(A42,PowerVolTable,(IF('Pricing Inputs'!$AT$3=2,7,IF('Pricing Inputs'!$AT$3=1,6,8))),FALSE)))</f>
        <v>0.228983428125</v>
      </c>
      <c r="BO42" s="405">
        <f>IF(A42="N/A"," ",(VLOOKUP(A42,IntraPowerVol,(IF('Pricing Inputs'!$AT$3=2,3,IF('Pricing Inputs'!$AT$3=1,2,4))),FALSE)*VLOOKUP(MONTH($A42),Inputs!$A$28:$B$39,2)))</f>
        <v>1.4949999999999999</v>
      </c>
      <c r="BP42" s="406">
        <f t="shared" ca="1" si="15"/>
        <v>0.27302595336746244</v>
      </c>
      <c r="BQ42" s="405">
        <f ca="1">IF($A42="N/A"," ",(VLOOKUP($A42,GasVolTable,(IF('Pricing Inputs'!$AT$3=2,6,IF('Pricing Inputs'!$AT$3=1,7,5))),FALSE)))</f>
        <v>0.17</v>
      </c>
      <c r="BR42" s="405">
        <f ca="1">IF($A42="N/A"," ",(VLOOKUP($A42,OmicronVol,(IF('Pricing Inputs'!$AT$3=2,3,IF('Pricing Inputs'!$AT$3=1,4,2))),FALSE)))</f>
        <v>1</v>
      </c>
      <c r="BS42" s="406">
        <f ca="1">IF($A42="N/A"," ",IF('Pricing Inputs'!$AN$3=1,(IF(DateToday&gt;$A42,$BR42,((($BQ42^2)*((($A42-1)-DateToday)/((EOMONTH($A42,0)+1)-DateToday-15)))+((($BR42)^2)*((15)/((EOMONTH($A42,0)+1)-DateToday-15))))^0.5)),0.0001))</f>
        <v>0.19679873614285606</v>
      </c>
      <c r="BT42" s="405">
        <f>IF($A42="N/A"," ",IF('Pricing Inputs'!$AN$3=1,(VLOOKUP($A42,CorrelationTable,2,FALSE)),0))</f>
        <v>0.9</v>
      </c>
      <c r="BU42" s="407">
        <f ca="1">IF($A42="N/A"," ",F42+G42+(D42*(VLOOKUP($A42,'Gas Curves'!$B$17:$P$310,14,FALSE))))</f>
        <v>2.6825000000000001</v>
      </c>
      <c r="BV42" s="405">
        <f>IF($A42="N/A"," ",IF('Pricing Inputs'!$AW$3=1,0,(VLOOKUP($A42,InterestRatesTable,2))))</f>
        <v>0</v>
      </c>
      <c r="BW42" s="408">
        <f t="shared" ca="1" si="16"/>
        <v>1</v>
      </c>
    </row>
    <row r="43" spans="1:75">
      <c r="A43" s="248">
        <f>IF(A42="N/A","N/A",IF(EDATE(A42,1)&gt;Inputs!$K$3,"N/A",EDATE(A42,1)))</f>
        <v>38078</v>
      </c>
      <c r="B43" s="262">
        <f t="shared" si="17"/>
        <v>2004</v>
      </c>
      <c r="C43" s="249">
        <f t="shared" ca="1" si="18"/>
        <v>2.660625</v>
      </c>
      <c r="D43" s="250">
        <f>IF(A43="N/A"," ",(VLOOKUP(MONTH($A43),Inputs!$A$14:$B$25,2))/1000)</f>
        <v>10.5</v>
      </c>
      <c r="E43" s="304">
        <f t="shared" ca="1" si="19"/>
        <v>27.936562500000001</v>
      </c>
      <c r="F43" s="251">
        <f>IF(A43="N/A"," ",Inputs!$F$6)</f>
        <v>2</v>
      </c>
      <c r="G43" s="251">
        <f ca="1">IF(A43="N/A"," ",Inputs!$F$9/IF(AND('Pricing Inputs'!$AQ$3&gt;=4,'Pricing Inputs'!$AQ$3&lt;=6),16,IF(AND('Pricing Inputs'!$AQ$3&gt;=7,'Pricing Inputs'!$AQ$3&lt;=9),8,24))/(BA43/BW43))</f>
        <v>0</v>
      </c>
      <c r="H43" s="252">
        <f t="shared" ca="1" si="20"/>
        <v>29.936562500000001</v>
      </c>
      <c r="I43" s="255">
        <f>VLOOKUP(A43,ScaledPrice,(IF(AND('Pricing Inputs'!$AQ$3&gt;=1,'Pricing Inputs'!$AQ$3&lt;=6),2,4)))</f>
        <v>29.275902164914125</v>
      </c>
      <c r="J43" s="255">
        <f>IF(A43="N/A"," ",IF(AND('Pricing Inputs'!$AQ$3&gt;=1,'Pricing Inputs'!$AQ$3&lt;=6),I43,(VLOOKUP(A43,ScaledPrice,2))*(2-(VLOOKUP(A43,ScaledPrice,3)))))</f>
        <v>34.024097835085875</v>
      </c>
      <c r="K43" s="255">
        <f>IF(A43="N/A"," ",IF(OR('Pricing Inputs'!$AQ$3=2,'Pricing Inputs'!$AQ$3=3,'Pricing Inputs'!$AQ$3=5,'Pricing Inputs'!$AQ$3=6,'Pricing Inputs'!$AQ$3=8,'Pricing Inputs'!$AQ$3=9),VLOOKUP(A43,ScaledPrice,IF(AND('Pricing Inputs'!$AQ$3&gt;=2,'Pricing Inputs'!$AQ$3&lt;=6),5,6)),0))</f>
        <v>20.088449105871053</v>
      </c>
      <c r="L43" s="255">
        <f>IF(A43="N/A"," ",IF(OR('Pricing Inputs'!$AQ$3=2,'Pricing Inputs'!$AQ$3=3,'Pricing Inputs'!$AQ$3=5,'Pricing Inputs'!$AQ$3=6,'Pricing Inputs'!$AQ$3=8,'Pricing Inputs'!$AQ$3=9),IF(AND('Pricing Inputs'!$AQ$3&gt;=2,'Pricing Inputs'!$AQ$3&lt;=6),K43,(VLOOKUP(A43,ScaledPrice,5))*(2-(VLOOKUP(A43,ScaledPrice,3)))),0))</f>
        <v>23.346551504480505</v>
      </c>
      <c r="M43" s="255">
        <f>IF(A43="N/A"," ",IF(OR('Pricing Inputs'!$AQ$3=3,'Pricing Inputs'!$AQ$3=6,'Pricing Inputs'!$AQ$3=9),(VLOOKUP(A43,ScaledPrice,IF(AND('Pricing Inputs'!$AQ$3&gt;=3,'Pricing Inputs'!$AQ$3&lt;=6),7,8))),0))</f>
        <v>18.902149571473338</v>
      </c>
      <c r="N43" s="255">
        <f>IF(A43="N/A"," ",IF(OR('Pricing Inputs'!$AQ$3=3,'Pricing Inputs'!$AQ$3=6,'Pricing Inputs'!$AQ$3=9),IF(AND('Pricing Inputs'!$AQ$3&gt;=3,'Pricing Inputs'!$AQ$3&lt;=6),M43,(VLOOKUP(A43,ScaledPrice,7))*(2-(VLOOKUP(A43,ScaledPrice,3)))),0))</f>
        <v>21.967848597471971</v>
      </c>
      <c r="O43" s="255">
        <f>IF(A43="N/A"," ",IF(AND('Pricing Inputs'!$AQ$3&gt;=1,'Pricing Inputs'!$AQ$3&lt;=3),VLOOKUP(A43,ScaledPrice,9),0))</f>
        <v>0</v>
      </c>
      <c r="P43" s="320">
        <f ca="1">IF($A43="N/A"," ",IF('Pricing Inputs'!$AN$8=2,(I43-H43),IF('Pricing Inputs'!$AN$3=2,IF((I43-$H43)&gt;0,I43-$H43,0),(_xll.xSPRDOPT(I43,$E43,$BU43,0,$BP43,$BS43,$BT43,($A43-Inputs!$D$1)+15,1,0)))))</f>
        <v>2.2565442172264589</v>
      </c>
      <c r="Q43" s="320">
        <f ca="1">IF($A43="N/A"," ",IF('Pricing Inputs'!$AN$8=2,(J43-$H43),IF('Pricing Inputs'!$AN$3=2,IF((J43-$H43)&gt;0,J43-$H43,0),(_xll.xSPRDOPT(J43,$E43,$BU43,0,$BP43,$BS43,$BT43,($A43-Inputs!$D$1)+15,1,0)))))</f>
        <v>5.1076671101183528</v>
      </c>
      <c r="R43" s="320">
        <f ca="1">IF($A43="N/A"," ",IF('Pricing Inputs'!$AN$8=2,(K43-$H43),IF('Pricing Inputs'!$AN$3=2,IF((K43-$H43)&gt;0,K43-$H43,0),(_xll.xSPRDOPT(K43,$E43,$BU43,0,$BP43,$BS43,$BT43,($A43-Inputs!$D$1)+15,1,0)))))</f>
        <v>9.4298577748783932E-2</v>
      </c>
      <c r="S43" s="320">
        <f ca="1">IF($A43="N/A"," ",IF('Pricing Inputs'!$AN$8=2,(L43-$H43),IF('Pricing Inputs'!$AN$3=2,IF((L43-$H43)&gt;0,L43-$H43,0),(_xll.xSPRDOPT(L43,$E43,$BU43,0,$BP43,$BS43,$BT43,($A43-Inputs!$D$1)+15,1,0)))))</f>
        <v>0.41619801903127851</v>
      </c>
      <c r="T43" s="320">
        <f ca="1">IF($A43="N/A"," ",IF('Pricing Inputs'!$AN$8=2,(M43-$H43),IF('Pricing Inputs'!$AN$3=2,IF((M43-$H43)&gt;0,M43-$H43,0),(_xll.xSPRDOPT(M43,$E43,$BU43,0,$BP43,$BS43,$BT43,($A43-Inputs!$D$1)+15,1,0)))))</f>
        <v>4.7205924239355955E-2</v>
      </c>
      <c r="U43" s="320">
        <f ca="1">IF($A43="N/A"," ",IF('Pricing Inputs'!$AN$8=2,(N43-$H43),IF('Pricing Inputs'!$AN$3=2,IF((N43-$H43)&gt;0,N43-$H43,0),(_xll.xSPRDOPT(N43,$E43,$BU43,0,$BP43,$BS43,$BT43,($A43-Inputs!$D$1)+15,1,0)))))</f>
        <v>0.23680021127396922</v>
      </c>
      <c r="V43" s="259">
        <f ca="1">IF($A43="N/A"," ",(IF('Pricing Inputs'!$AN$8=2,(O43-$H43),IF((O43-$H43)&lt;=0,0,(O43-$H43)))))</f>
        <v>0</v>
      </c>
      <c r="W43" s="306">
        <f ca="1">IF($A43="N/A"," ",IF(0&lt;&gt;P43,IF('Pricing Inputs'!$AN$3=2,8*VLOOKUP($A43,NumberofDaysTable,2),(_xll.xSPRDOPT(I43,$E43,$BU43,0,$BP43,$BS43,$BT43,$A43-Inputs!$D$1,1,1))*(8*VLOOKUP($A43,NumberofDaysTable,2))),0))</f>
        <v>83.655245702087257</v>
      </c>
      <c r="X43" s="306">
        <f ca="1">IF($A43="N/A"," ",IF(Q43&lt;&gt;0,IF('Pricing Inputs'!$AN$3=2,8*VLOOKUP($A43,NumberofDaysTable,2),(_xll.xSPRDOPT(J43,$E43,$BU43,0,$BP43,$BS43,$BT43,$A43-Inputs!$D$1,1,1))*(8*VLOOKUP($A43,NumberofDaysTable,2))),0))</f>
        <v>125.53444257636784</v>
      </c>
      <c r="Y43" s="306">
        <f ca="1">IF($A43="N/A"," ",IF(R43&lt;&gt;0,IF('Pricing Inputs'!$AN$3=2,8*VLOOKUP($A43,NumberofDaysTable,3),(_xll.xSPRDOPT(K43,$E43,$BU43,0,$BP43,$BS43,$BT43,$A43-Inputs!$D$1,1,1))*(8*VLOOKUP($A43,NumberofDaysTable,3))),0))</f>
        <v>1.6098338452388279</v>
      </c>
      <c r="Z43" s="306">
        <f ca="1">IF($A43="N/A"," ",IF(S43&lt;&gt;0,IF('Pricing Inputs'!$AN$3=2,8*VLOOKUP($A43,NumberofDaysTable,3),(_xll.xSPRDOPT(L43,$E43,$BU43,0,$BP43,$BS43,$BT43,$A43-Inputs!$D$1,1,1))*(8*VLOOKUP($A43,NumberofDaysTable,3))),0))</f>
        <v>5.0065447648326762</v>
      </c>
      <c r="AA43" s="306">
        <f ca="1">IF($A43="N/A"," ",IF(T43&lt;&gt;0,IF('Pricing Inputs'!$AN$3=2,8*VLOOKUP($A43,NumberofDaysTable,4),(_xll.xSPRDOPT(M43,$E43,$BU43,0,$BP43,$BS43,$BT43,$A43-Inputs!$D$1,1,1))*(8*VLOOKUP($A43,NumberofDaysTable,4))),0))</f>
        <v>0.92130985624922712</v>
      </c>
      <c r="AB43" s="306">
        <f ca="1">IF($A43="N/A"," ",IF(U43&lt;&gt;0,IF('Pricing Inputs'!$AN$3=2,8*VLOOKUP($A43,NumberofDaysTable,4),(_xll.xSPRDOPT(N43,$E43,$BU43,0,$BP43,$BS43,$BT43,$A43-Inputs!$D$1,1,1))*(8*VLOOKUP($A43,NumberofDaysTable,4))),0))</f>
        <v>3.2936225107403794</v>
      </c>
      <c r="AC43" s="306">
        <f t="shared" ca="1" si="21"/>
        <v>0</v>
      </c>
      <c r="AD43" s="274">
        <f t="shared" ca="1" si="89"/>
        <v>23</v>
      </c>
      <c r="AE43" s="275">
        <f t="shared" ca="1" si="90"/>
        <v>17</v>
      </c>
      <c r="AF43" s="275">
        <f t="shared" ca="1" si="91"/>
        <v>59</v>
      </c>
      <c r="AG43" s="275">
        <f t="shared" ca="1" si="92"/>
        <v>42</v>
      </c>
      <c r="AH43" s="275">
        <f t="shared" ca="1" si="93"/>
        <v>63</v>
      </c>
      <c r="AI43" s="275">
        <f t="shared" ca="1" si="94"/>
        <v>49</v>
      </c>
      <c r="AJ43" s="276">
        <f t="shared" ca="1" si="95"/>
        <v>73</v>
      </c>
      <c r="AK43" s="314">
        <f t="shared" ca="1" si="43"/>
        <v>83.655245702087257</v>
      </c>
      <c r="AL43" s="315">
        <f t="shared" ca="1" si="44"/>
        <v>125.53444257636784</v>
      </c>
      <c r="AM43" s="315">
        <f t="shared" ca="1" si="45"/>
        <v>1.6098338452388279</v>
      </c>
      <c r="AN43" s="315">
        <f t="shared" ca="1" si="46"/>
        <v>5.0065447648326762</v>
      </c>
      <c r="AO43" s="315">
        <f t="shared" ca="1" si="47"/>
        <v>0.92130985624922712</v>
      </c>
      <c r="AP43" s="315">
        <f t="shared" ca="1" si="48"/>
        <v>3.2936225107403794</v>
      </c>
      <c r="AQ43" s="315">
        <f t="shared" ca="1" si="49"/>
        <v>0</v>
      </c>
      <c r="AR43" s="276"/>
      <c r="AS43" s="321">
        <f t="shared" ca="1" si="82"/>
        <v>0</v>
      </c>
      <c r="AT43" s="324">
        <f t="shared" ca="1" si="83"/>
        <v>0</v>
      </c>
      <c r="AU43" s="324">
        <f t="shared" ca="1" si="84"/>
        <v>0</v>
      </c>
      <c r="AV43" s="324">
        <f t="shared" ca="1" si="85"/>
        <v>0</v>
      </c>
      <c r="AW43" s="324">
        <f t="shared" ca="1" si="86"/>
        <v>0</v>
      </c>
      <c r="AX43" s="324">
        <f t="shared" ca="1" si="87"/>
        <v>0</v>
      </c>
      <c r="AY43" s="324">
        <f t="shared" ca="1" si="88"/>
        <v>0</v>
      </c>
      <c r="AZ43" s="276"/>
      <c r="BA43" s="267">
        <f ca="1">IF($A43="N/A"," ",(IF(MONTH(A43)&gt;=4,IF(MONTH(A43)&lt;=10,Inputs!$F$13,Inputs!$F$14),Inputs!$F$14))*$BW43)</f>
        <v>180</v>
      </c>
      <c r="BB43" s="268">
        <f t="shared" ca="1" si="64"/>
        <v>71487.320801734226</v>
      </c>
      <c r="BC43" s="268">
        <f t="shared" ca="1" si="65"/>
        <v>161810.89404854941</v>
      </c>
      <c r="BD43" s="268">
        <f t="shared" ca="1" si="31"/>
        <v>543.1598078329954</v>
      </c>
      <c r="BE43" s="268">
        <f t="shared" ca="1" si="32"/>
        <v>2397.3005896201644</v>
      </c>
      <c r="BF43" s="268">
        <f t="shared" ca="1" si="33"/>
        <v>271.90612361869029</v>
      </c>
      <c r="BG43" s="268">
        <f t="shared" ca="1" si="34"/>
        <v>1363.9692169380628</v>
      </c>
      <c r="BH43" s="268">
        <f t="shared" ca="1" si="41"/>
        <v>0</v>
      </c>
      <c r="BI43" s="268">
        <f t="shared" ca="1" si="36"/>
        <v>237874.55058829355</v>
      </c>
      <c r="BJ43" s="296">
        <f t="shared" ca="1" si="37"/>
        <v>1185601.0311945386</v>
      </c>
      <c r="BK43" s="296">
        <f t="shared" ca="1" si="38"/>
        <v>1106393.4714625529</v>
      </c>
      <c r="BL43" s="296">
        <f t="shared" ca="1" si="39"/>
        <v>79207.559731985835</v>
      </c>
      <c r="BM43" s="296">
        <f t="shared" ca="1" si="40"/>
        <v>0</v>
      </c>
      <c r="BN43" s="405">
        <f>IF(A43="N/A"," ",(VLOOKUP(A43,PowerVolTable,(IF('Pricing Inputs'!$AT$3=2,7,IF('Pricing Inputs'!$AT$3=1,6,8))),FALSE)))</f>
        <v>0.20409811874999997</v>
      </c>
      <c r="BO43" s="405">
        <f>IF(A43="N/A"," ",(VLOOKUP(A43,IntraPowerVol,(IF('Pricing Inputs'!$AT$3=2,3,IF('Pricing Inputs'!$AT$3=1,2,4))),FALSE)*VLOOKUP(MONTH($A43),Inputs!$A$28:$B$39,2)))</f>
        <v>1.2649999999999999</v>
      </c>
      <c r="BP43" s="406">
        <f t="shared" ca="1" si="15"/>
        <v>0.23906479711831741</v>
      </c>
      <c r="BQ43" s="405">
        <f ca="1">IF($A43="N/A"," ",(VLOOKUP($A43,GasVolTable,(IF('Pricing Inputs'!$AT$3=2,6,IF('Pricing Inputs'!$AT$3=1,7,5))),FALSE)))</f>
        <v>0.16750000000000001</v>
      </c>
      <c r="BR43" s="405">
        <f ca="1">IF($A43="N/A"," ",(VLOOKUP($A43,OmicronVol,(IF('Pricing Inputs'!$AT$3=2,3,IF('Pricing Inputs'!$AT$3=1,4,2))),FALSE)))</f>
        <v>0.45</v>
      </c>
      <c r="BS43" s="406">
        <f ca="1">IF($A43="N/A"," ",IF('Pricing Inputs'!$AN$3=1,(IF(DateToday&gt;$A43,$BR43,((($BQ43^2)*((($A43-1)-DateToday)/((EOMONTH($A43,0)+1)-DateToday-15)))+((($BR43)^2)*((15)/((EOMONTH($A43,0)+1)-DateToday-15))))^0.5)),0.0001))</f>
        <v>0.17255465192722691</v>
      </c>
      <c r="BT43" s="405">
        <f>IF($A43="N/A"," ",IF('Pricing Inputs'!$AN$3=1,(VLOOKUP($A43,CorrelationTable,2,FALSE)),0))</f>
        <v>0.9</v>
      </c>
      <c r="BU43" s="407">
        <f ca="1">IF($A43="N/A"," ",F43+G43+(D43*(VLOOKUP($A43,'Gas Curves'!$B$17:$P$310,14,FALSE))))</f>
        <v>2.6825000000000001</v>
      </c>
      <c r="BV43" s="405">
        <f>IF($A43="N/A"," ",IF('Pricing Inputs'!$AW$3=1,0,(VLOOKUP($A43,InterestRatesTable,2))))</f>
        <v>0</v>
      </c>
      <c r="BW43" s="408">
        <f t="shared" ca="1" si="16"/>
        <v>1</v>
      </c>
    </row>
    <row r="44" spans="1:75">
      <c r="A44" s="248">
        <f>IF(A43="N/A","N/A",IF(EDATE(A43,1)&gt;Inputs!$K$3,"N/A",EDATE(A43,1)))</f>
        <v>38108</v>
      </c>
      <c r="B44" s="262">
        <f t="shared" si="17"/>
        <v>2004</v>
      </c>
      <c r="C44" s="249">
        <f t="shared" ca="1" si="18"/>
        <v>2.6358750000000004</v>
      </c>
      <c r="D44" s="250">
        <f>IF(A44="N/A"," ",(VLOOKUP(MONTH($A44),Inputs!$A$14:$B$25,2))/1000)</f>
        <v>10.5</v>
      </c>
      <c r="E44" s="304">
        <f t="shared" ca="1" si="19"/>
        <v>27.676687500000003</v>
      </c>
      <c r="F44" s="251">
        <f>IF(A44="N/A"," ",Inputs!$F$6)</f>
        <v>2</v>
      </c>
      <c r="G44" s="251">
        <f ca="1">IF(A44="N/A"," ",Inputs!$F$9/IF(AND('Pricing Inputs'!$AQ$3&gt;=4,'Pricing Inputs'!$AQ$3&lt;=6),16,IF(AND('Pricing Inputs'!$AQ$3&gt;=7,'Pricing Inputs'!$AQ$3&lt;=9),8,24))/(BA44/BW44))</f>
        <v>0</v>
      </c>
      <c r="H44" s="252">
        <f t="shared" ca="1" si="20"/>
        <v>29.676687500000003</v>
      </c>
      <c r="I44" s="255">
        <f>VLOOKUP(A44,ScaledPrice,(IF(AND('Pricing Inputs'!$AQ$3&gt;=1,'Pricing Inputs'!$AQ$3&lt;=6),2,4)))</f>
        <v>32.71976129355572</v>
      </c>
      <c r="J44" s="255">
        <f>IF(A44="N/A"," ",IF(AND('Pricing Inputs'!$AQ$3&gt;=1,'Pricing Inputs'!$AQ$3&lt;=6),I44,(VLOOKUP(A44,ScaledPrice,2))*(2-(VLOOKUP(A44,ScaledPrice,3)))))</f>
        <v>34.580238706444277</v>
      </c>
      <c r="K44" s="255">
        <f>IF(A44="N/A"," ",IF(OR('Pricing Inputs'!$AQ$3=2,'Pricing Inputs'!$AQ$3=3,'Pricing Inputs'!$AQ$3=5,'Pricing Inputs'!$AQ$3=6,'Pricing Inputs'!$AQ$3=8,'Pricing Inputs'!$AQ$3=9),VLOOKUP(A44,ScaledPrice,IF(AND('Pricing Inputs'!$AQ$3&gt;=2,'Pricing Inputs'!$AQ$3&lt;=6),5,6)),0))</f>
        <v>21.228950696519316</v>
      </c>
      <c r="L44" s="255">
        <f>IF(A44="N/A"," ",IF(OR('Pricing Inputs'!$AQ$3=2,'Pricing Inputs'!$AQ$3=3,'Pricing Inputs'!$AQ$3=5,'Pricing Inputs'!$AQ$3=6,'Pricing Inputs'!$AQ$3=8,'Pricing Inputs'!$AQ$3=9),IF(AND('Pricing Inputs'!$AQ$3&gt;=2,'Pricing Inputs'!$AQ$3&lt;=6),K44,(VLOOKUP(A44,ScaledPrice,5))*(2-(VLOOKUP(A44,ScaledPrice,3)))),0))</f>
        <v>22.43604945606857</v>
      </c>
      <c r="M44" s="255">
        <f>IF(A44="N/A"," ",IF(OR('Pricing Inputs'!$AQ$3=3,'Pricing Inputs'!$AQ$3=6,'Pricing Inputs'!$AQ$3=9),(VLOOKUP(A44,ScaledPrice,IF(AND('Pricing Inputs'!$AQ$3&gt;=3,'Pricing Inputs'!$AQ$3&lt;=6),7,8))),0))</f>
        <v>20.385432036565724</v>
      </c>
      <c r="N44" s="255">
        <f>IF(A44="N/A"," ",IF(OR('Pricing Inputs'!$AQ$3=3,'Pricing Inputs'!$AQ$3=6,'Pricing Inputs'!$AQ$3=9),IF(AND('Pricing Inputs'!$AQ$3&gt;=3,'Pricing Inputs'!$AQ$3&lt;=6),M44,(VLOOKUP(A44,ScaledPrice,7))*(2-(VLOOKUP(A44,ScaledPrice,3)))),0))</f>
        <v>21.544567505670599</v>
      </c>
      <c r="O44" s="255">
        <f>IF(A44="N/A"," ",IF(AND('Pricing Inputs'!$AQ$3&gt;=1,'Pricing Inputs'!$AQ$3&lt;=3),VLOOKUP(A44,ScaledPrice,9),0))</f>
        <v>0</v>
      </c>
      <c r="P44" s="320">
        <f ca="1">IF($A44="N/A"," ",IF('Pricing Inputs'!$AN$8=2,(I44-H44),IF('Pricing Inputs'!$AN$3=2,IF((I44-$H44)&gt;0,I44-$H44,0),(_xll.xSPRDOPT(I44,$E44,$BU44,0,$BP44,$BS44,$BT44,($A44-Inputs!$D$1)+15,1,0)))))</f>
        <v>4.9411073486485764</v>
      </c>
      <c r="Q44" s="320">
        <f ca="1">IF($A44="N/A"," ",IF('Pricing Inputs'!$AN$8=2,(J44-$H44),IF('Pricing Inputs'!$AN$3=2,IF((J44-$H44)&gt;0,J44-$H44,0),(_xll.xSPRDOPT(J44,$E44,$BU44,0,$BP44,$BS44,$BT44,($A44-Inputs!$D$1)+15,1,0)))))</f>
        <v>6.2302803531644386</v>
      </c>
      <c r="R44" s="320">
        <f ca="1">IF($A44="N/A"," ",IF('Pricing Inputs'!$AN$8=2,(K44-$H44),IF('Pricing Inputs'!$AN$3=2,IF((K44-$H44)&gt;0,K44-$H44,0),(_xll.xSPRDOPT(K44,$E44,$BU44,0,$BP44,$BS44,$BT44,($A44-Inputs!$D$1)+15,1,0)))))</f>
        <v>0.37402138382977318</v>
      </c>
      <c r="S44" s="320">
        <f ca="1">IF($A44="N/A"," ",IF('Pricing Inputs'!$AN$8=2,(L44-$H44),IF('Pricing Inputs'!$AN$3=2,IF((L44-$H44)&gt;0,L44-$H44,0),(_xll.xSPRDOPT(L44,$E44,$BU44,0,$BP44,$BS44,$BT44,($A44-Inputs!$D$1)+15,1,0)))))</f>
        <v>0.56738579907095188</v>
      </c>
      <c r="T44" s="320">
        <f ca="1">IF($A44="N/A"," ",IF('Pricing Inputs'!$AN$8=2,(M44-$H44),IF('Pricing Inputs'!$AN$3=2,IF((M44-$H44)&gt;0,M44-$H44,0),(_xll.xSPRDOPT(M44,$E44,$BU44,0,$BP44,$BS44,$BT44,($A44-Inputs!$D$1)+15,1,0)))))</f>
        <v>0.27061686210952535</v>
      </c>
      <c r="U44" s="320">
        <f ca="1">IF($A44="N/A"," ",IF('Pricing Inputs'!$AN$8=2,(N44-$H44),IF('Pricing Inputs'!$AN$3=2,IF((N44-$H44)&gt;0,N44-$H44,0),(_xll.xSPRDOPT(N44,$E44,$BU44,0,$BP44,$BS44,$BT44,($A44-Inputs!$D$1)+15,1,0)))))</f>
        <v>0.419168361818538</v>
      </c>
      <c r="V44" s="259">
        <f ca="1">IF($A44="N/A"," ",(IF('Pricing Inputs'!$AN$8=2,(O44-$H44),IF((O44-$H44)&lt;=0,0,(O44-$H44)))))</f>
        <v>0</v>
      </c>
      <c r="W44" s="306">
        <f ca="1">IF($A44="N/A"," ",IF(0&lt;&gt;P44,IF('Pricing Inputs'!$AN$3=2,8*VLOOKUP($A44,NumberofDaysTable,2),(_xll.xSPRDOPT(I44,$E44,$BU44,0,$BP44,$BS44,$BT44,$A44-Inputs!$D$1,1,1))*(8*VLOOKUP($A44,NumberofDaysTable,2))),0))</f>
        <v>105.42090853247174</v>
      </c>
      <c r="X44" s="306">
        <f ca="1">IF($A44="N/A"," ",IF(Q44&lt;&gt;0,IF('Pricing Inputs'!$AN$3=2,8*VLOOKUP($A44,NumberofDaysTable,2),(_xll.xSPRDOPT(J44,$E44,$BU44,0,$BP44,$BS44,$BT44,$A44-Inputs!$D$1,1,1))*(8*VLOOKUP($A44,NumberofDaysTable,2))),0))</f>
        <v>116.15126553868051</v>
      </c>
      <c r="Y44" s="306">
        <f ca="1">IF($A44="N/A"," ",IF(R44&lt;&gt;0,IF('Pricing Inputs'!$AN$3=2,8*VLOOKUP($A44,NumberofDaysTable,3),(_xll.xSPRDOPT(K44,$E44,$BU44,0,$BP44,$BS44,$BT44,$A44-Inputs!$D$1,1,1))*(8*VLOOKUP($A44,NumberofDaysTable,3))),0))</f>
        <v>5.4306757117332545</v>
      </c>
      <c r="Z44" s="306">
        <f ca="1">IF($A44="N/A"," ",IF(S44&lt;&gt;0,IF('Pricing Inputs'!$AN$3=2,8*VLOOKUP($A44,NumberofDaysTable,3),(_xll.xSPRDOPT(L44,$E44,$BU44,0,$BP44,$BS44,$BT44,$A44-Inputs!$D$1,1,1))*(8*VLOOKUP($A44,NumberofDaysTable,3))),0))</f>
        <v>7.3046166919039628</v>
      </c>
      <c r="AA44" s="306">
        <f ca="1">IF($A44="N/A"," ",IF(T44&lt;&gt;0,IF('Pricing Inputs'!$AN$3=2,8*VLOOKUP($A44,NumberofDaysTable,4),(_xll.xSPRDOPT(M44,$E44,$BU44,0,$BP44,$BS44,$BT44,$A44-Inputs!$D$1,1,1))*(8*VLOOKUP($A44,NumberofDaysTable,4))),0))</f>
        <v>4.2844579837727697</v>
      </c>
      <c r="AB44" s="306">
        <f ca="1">IF($A44="N/A"," ",IF(U44&lt;&gt;0,IF('Pricing Inputs'!$AN$3=2,8*VLOOKUP($A44,NumberofDaysTable,4),(_xll.xSPRDOPT(N44,$E44,$BU44,0,$BP44,$BS44,$BT44,$A44-Inputs!$D$1,1,1))*(8*VLOOKUP($A44,NumberofDaysTable,4))),0))</f>
        <v>5.895432956239679</v>
      </c>
      <c r="AC44" s="306">
        <f t="shared" ca="1" si="21"/>
        <v>0</v>
      </c>
      <c r="AD44" s="274">
        <f t="shared" ca="1" si="89"/>
        <v>18</v>
      </c>
      <c r="AE44" s="275">
        <f t="shared" ca="1" si="90"/>
        <v>15</v>
      </c>
      <c r="AF44" s="275">
        <f t="shared" ca="1" si="91"/>
        <v>44</v>
      </c>
      <c r="AG44" s="275">
        <f t="shared" ca="1" si="92"/>
        <v>37</v>
      </c>
      <c r="AH44" s="275">
        <f t="shared" ca="1" si="93"/>
        <v>48</v>
      </c>
      <c r="AI44" s="275">
        <f t="shared" ca="1" si="94"/>
        <v>41</v>
      </c>
      <c r="AJ44" s="276">
        <f t="shared" ca="1" si="95"/>
        <v>73</v>
      </c>
      <c r="AK44" s="314">
        <f t="shared" ca="1" si="43"/>
        <v>105.42090853247174</v>
      </c>
      <c r="AL44" s="315">
        <f t="shared" ca="1" si="44"/>
        <v>116.15126553868051</v>
      </c>
      <c r="AM44" s="315">
        <f t="shared" ca="1" si="45"/>
        <v>5.4306757117332545</v>
      </c>
      <c r="AN44" s="315">
        <f t="shared" ca="1" si="46"/>
        <v>7.3046166919039628</v>
      </c>
      <c r="AO44" s="315">
        <f t="shared" ca="1" si="47"/>
        <v>4.2844579837727697</v>
      </c>
      <c r="AP44" s="315">
        <f t="shared" ca="1" si="48"/>
        <v>5.895432956239679</v>
      </c>
      <c r="AQ44" s="315">
        <f t="shared" ca="1" si="49"/>
        <v>0</v>
      </c>
      <c r="AR44" s="276"/>
      <c r="AS44" s="321">
        <f t="shared" ca="1" si="82"/>
        <v>0</v>
      </c>
      <c r="AT44" s="324">
        <f t="shared" ca="1" si="83"/>
        <v>0</v>
      </c>
      <c r="AU44" s="324">
        <f t="shared" ca="1" si="84"/>
        <v>0</v>
      </c>
      <c r="AV44" s="324">
        <f t="shared" ca="1" si="85"/>
        <v>0</v>
      </c>
      <c r="AW44" s="324">
        <f t="shared" ca="1" si="86"/>
        <v>0</v>
      </c>
      <c r="AX44" s="324">
        <f t="shared" ca="1" si="87"/>
        <v>0</v>
      </c>
      <c r="AY44" s="324">
        <f t="shared" ca="1" si="88"/>
        <v>0</v>
      </c>
      <c r="AZ44" s="276"/>
      <c r="BA44" s="267">
        <f ca="1">IF($A44="N/A"," ",(IF(MONTH(A44)&gt;=4,IF(MONTH(A44)&lt;=10,Inputs!$F$13,Inputs!$F$14),Inputs!$F$14))*$BW44)</f>
        <v>180</v>
      </c>
      <c r="BB44" s="268">
        <f t="shared" ca="1" si="64"/>
        <v>142303.89164107901</v>
      </c>
      <c r="BC44" s="268">
        <f t="shared" ca="1" si="65"/>
        <v>179432.07417113584</v>
      </c>
      <c r="BD44" s="268">
        <f t="shared" ca="1" si="31"/>
        <v>2692.9539635743668</v>
      </c>
      <c r="BE44" s="268">
        <f t="shared" ca="1" si="32"/>
        <v>4085.1777533108534</v>
      </c>
      <c r="BF44" s="268">
        <f t="shared" ca="1" si="33"/>
        <v>2338.129688626299</v>
      </c>
      <c r="BG44" s="268">
        <f t="shared" ca="1" si="34"/>
        <v>3621.6146461121684</v>
      </c>
      <c r="BH44" s="268">
        <f t="shared" ca="1" si="41"/>
        <v>0</v>
      </c>
      <c r="BI44" s="268">
        <f t="shared" ca="1" si="36"/>
        <v>334473.84186383855</v>
      </c>
      <c r="BJ44" s="296">
        <f t="shared" ca="1" si="37"/>
        <v>1306003.4826659791</v>
      </c>
      <c r="BK44" s="296">
        <f t="shared" ca="1" si="38"/>
        <v>1217988.0339966505</v>
      </c>
      <c r="BL44" s="296">
        <f t="shared" ca="1" si="39"/>
        <v>88015.448669328674</v>
      </c>
      <c r="BM44" s="296">
        <f t="shared" ca="1" si="40"/>
        <v>0</v>
      </c>
      <c r="BN44" s="405">
        <f>IF(A44="N/A"," ",(VLOOKUP(A44,PowerVolTable,(IF('Pricing Inputs'!$AT$3=2,7,IF('Pricing Inputs'!$AT$3=1,6,8))),FALSE)))</f>
        <v>0.23496361874999996</v>
      </c>
      <c r="BO44" s="405">
        <f>IF(A44="N/A"," ",(VLOOKUP(A44,IntraPowerVol,(IF('Pricing Inputs'!$AT$3=2,3,IF('Pricing Inputs'!$AT$3=1,2,4))),FALSE)*VLOOKUP(MONTH($A44),Inputs!$A$28:$B$39,2)))</f>
        <v>1.2649999999999999</v>
      </c>
      <c r="BP44" s="406">
        <f t="shared" ca="1" si="15"/>
        <v>0.26497981932569803</v>
      </c>
      <c r="BQ44" s="405">
        <f ca="1">IF($A44="N/A"," ",(VLOOKUP($A44,GasVolTable,(IF('Pricing Inputs'!$AT$3=2,6,IF('Pricing Inputs'!$AT$3=1,7,5))),FALSE)))</f>
        <v>0.16550000000000001</v>
      </c>
      <c r="BR44" s="405">
        <f ca="1">IF($A44="N/A"," ",(VLOOKUP($A44,OmicronVol,(IF('Pricing Inputs'!$AT$3=2,3,IF('Pricing Inputs'!$AT$3=1,4,2))),FALSE)))</f>
        <v>0.5</v>
      </c>
      <c r="BS44" s="406">
        <f ca="1">IF($A44="N/A"," ",IF('Pricing Inputs'!$AN$3=1,(IF(DateToday&gt;$A44,$BR44,((($BQ44^2)*((($A44-1)-DateToday)/((EOMONTH($A44,0)+1)-DateToday-15)))+((($BR44)^2)*((15)/((EOMONTH($A44,0)+1)-DateToday-15))))^0.5)),0.0001))</f>
        <v>0.17183456509641412</v>
      </c>
      <c r="BT44" s="405">
        <f>IF($A44="N/A"," ",IF('Pricing Inputs'!$AN$3=1,(VLOOKUP($A44,CorrelationTable,2,FALSE)),0))</f>
        <v>0.9</v>
      </c>
      <c r="BU44" s="407">
        <f ca="1">IF($A44="N/A"," ",F44+G44+(D44*(VLOOKUP($A44,'Gas Curves'!$B$17:$P$310,14,FALSE))))</f>
        <v>2.6825000000000001</v>
      </c>
      <c r="BV44" s="405">
        <f>IF($A44="N/A"," ",IF('Pricing Inputs'!$AW$3=1,0,(VLOOKUP($A44,InterestRatesTable,2))))</f>
        <v>0</v>
      </c>
      <c r="BW44" s="408">
        <f t="shared" ca="1" si="16"/>
        <v>1</v>
      </c>
    </row>
    <row r="45" spans="1:75">
      <c r="A45" s="248">
        <f>IF(A44="N/A","N/A",IF(EDATE(A44,1)&gt;Inputs!$K$3,"N/A",EDATE(A44,1)))</f>
        <v>38139</v>
      </c>
      <c r="B45" s="262">
        <f t="shared" si="17"/>
        <v>2004</v>
      </c>
      <c r="C45" s="249">
        <f t="shared" ca="1" si="18"/>
        <v>2.6418750000000002</v>
      </c>
      <c r="D45" s="250">
        <f>IF(A45="N/A"," ",(VLOOKUP(MONTH($A45),Inputs!$A$14:$B$25,2))/1000)</f>
        <v>10.5</v>
      </c>
      <c r="E45" s="304">
        <f t="shared" ca="1" si="19"/>
        <v>27.739687500000002</v>
      </c>
      <c r="F45" s="251">
        <f>IF(A45="N/A"," ",Inputs!$F$6)</f>
        <v>2</v>
      </c>
      <c r="G45" s="251">
        <f ca="1">IF(A45="N/A"," ",Inputs!$F$9/IF(AND('Pricing Inputs'!$AQ$3&gt;=4,'Pricing Inputs'!$AQ$3&lt;=6),16,IF(AND('Pricing Inputs'!$AQ$3&gt;=7,'Pricing Inputs'!$AQ$3&lt;=9),8,24))/(BA45/BW45))</f>
        <v>0</v>
      </c>
      <c r="H45" s="252">
        <f t="shared" ca="1" si="20"/>
        <v>29.739687500000002</v>
      </c>
      <c r="I45" s="255">
        <f>VLOOKUP(A45,ScaledPrice,(IF(AND('Pricing Inputs'!$AQ$3&gt;=1,'Pricing Inputs'!$AQ$3&lt;=6),2,4)))</f>
        <v>55.589271484293079</v>
      </c>
      <c r="J45" s="255">
        <f>IF(A45="N/A"," ",IF(AND('Pricing Inputs'!$AQ$3&gt;=1,'Pricing Inputs'!$AQ$3&lt;=6),I45,(VLOOKUP(A45,ScaledPrice,2))*(2-(VLOOKUP(A45,ScaledPrice,3)))))</f>
        <v>41.910728515706921</v>
      </c>
      <c r="K45" s="255">
        <f>IF(A45="N/A"," ",IF(OR('Pricing Inputs'!$AQ$3=2,'Pricing Inputs'!$AQ$3=3,'Pricing Inputs'!$AQ$3=5,'Pricing Inputs'!$AQ$3=6,'Pricing Inputs'!$AQ$3=8,'Pricing Inputs'!$AQ$3=9),VLOOKUP(A45,ScaledPrice,IF(AND('Pricing Inputs'!$AQ$3&gt;=2,'Pricing Inputs'!$AQ$3&lt;=6),5,6)),0))</f>
        <v>29.942662380931907</v>
      </c>
      <c r="L45" s="255">
        <f>IF(A45="N/A"," ",IF(OR('Pricing Inputs'!$AQ$3=2,'Pricing Inputs'!$AQ$3=3,'Pricing Inputs'!$AQ$3=5,'Pricing Inputs'!$AQ$3=6,'Pricing Inputs'!$AQ$3=8,'Pricing Inputs'!$AQ$3=9),IF(AND('Pricing Inputs'!$AQ$3&gt;=2,'Pricing Inputs'!$AQ$3&lt;=6),K45,(VLOOKUP(A45,ScaledPrice,5))*(2-(VLOOKUP(A45,ScaledPrice,3)))),0))</f>
        <v>22.574837924243873</v>
      </c>
      <c r="M45" s="255">
        <f>IF(A45="N/A"," ",IF(OR('Pricing Inputs'!$AQ$3=3,'Pricing Inputs'!$AQ$3=6,'Pricing Inputs'!$AQ$3=9),(VLOOKUP(A45,ScaledPrice,IF(AND('Pricing Inputs'!$AQ$3&gt;=3,'Pricing Inputs'!$AQ$3&lt;=6),7,8))),0))</f>
        <v>22.512229063218605</v>
      </c>
      <c r="N45" s="255">
        <f>IF(A45="N/A"," ",IF(OR('Pricing Inputs'!$AQ$3=3,'Pricing Inputs'!$AQ$3=6,'Pricing Inputs'!$AQ$3=9),IF(AND('Pricing Inputs'!$AQ$3&gt;=3,'Pricing Inputs'!$AQ$3&lt;=6),M45,(VLOOKUP(A45,ScaledPrice,7))*(2-(VLOOKUP(A45,ScaledPrice,3)))),0))</f>
        <v>16.97277002125405</v>
      </c>
      <c r="O45" s="255">
        <f>IF(A45="N/A"," ",IF(AND('Pricing Inputs'!$AQ$3&gt;=1,'Pricing Inputs'!$AQ$3&lt;=3),VLOOKUP(A45,ScaledPrice,9),0))</f>
        <v>0</v>
      </c>
      <c r="P45" s="320">
        <f ca="1">IF($A45="N/A"," ",IF('Pricing Inputs'!$AN$8=2,(I45-H45),IF('Pricing Inputs'!$AN$3=2,IF((I45-$H45)&gt;0,I45-$H45,0),(_xll.xSPRDOPT(I45,$E45,$BU45,0,$BP45,$BS45,$BT45,($A45-Inputs!$D$1)+15,1,0)))))</f>
        <v>26.261446223756071</v>
      </c>
      <c r="Q45" s="320">
        <f ca="1">IF($A45="N/A"," ",IF('Pricing Inputs'!$AN$8=2,(J45-$H45),IF('Pricing Inputs'!$AN$3=2,IF((J45-$H45)&gt;0,J45-$H45,0),(_xll.xSPRDOPT(J45,$E45,$BU45,0,$BP45,$BS45,$BT45,($A45-Inputs!$D$1)+15,1,0)))))</f>
        <v>14.205602112446428</v>
      </c>
      <c r="R45" s="320">
        <f ca="1">IF($A45="N/A"," ",IF('Pricing Inputs'!$AN$8=2,(K45-$H45),IF('Pricing Inputs'!$AN$3=2,IF((K45-$H45)&gt;0,K45-$H45,0),(_xll.xSPRDOPT(K45,$E45,$BU45,0,$BP45,$BS45,$BT45,($A45-Inputs!$D$1)+15,1,0)))))</f>
        <v>5.6457531129534129</v>
      </c>
      <c r="S45" s="320">
        <f ca="1">IF($A45="N/A"," ",IF('Pricing Inputs'!$AN$8=2,(L45-$H45),IF('Pricing Inputs'!$AN$3=2,IF((L45-$H45)&gt;0,L45-$H45,0),(_xll.xSPRDOPT(L45,$E45,$BU45,0,$BP45,$BS45,$BT45,($A45-Inputs!$D$1)+15,1,0)))))</f>
        <v>2.1180962093306981</v>
      </c>
      <c r="T45" s="320">
        <f ca="1">IF($A45="N/A"," ",IF('Pricing Inputs'!$AN$8=2,(M45-$H45),IF('Pricing Inputs'!$AN$3=2,IF((M45-$H45)&gt;0,M45-$H45,0),(_xll.xSPRDOPT(M45,$E45,$BU45,0,$BP45,$BS45,$BT45,($A45-Inputs!$D$1)+15,1,0)))))</f>
        <v>2.0955518109461013</v>
      </c>
      <c r="U45" s="320">
        <f ca="1">IF($A45="N/A"," ",IF('Pricing Inputs'!$AN$8=2,(N45-$H45),IF('Pricing Inputs'!$AN$3=2,IF((N45-$H45)&gt;0,N45-$H45,0),(_xll.xSPRDOPT(N45,$E45,$BU45,0,$BP45,$BS45,$BT45,($A45-Inputs!$D$1)+15,1,0)))))</f>
        <v>0.62689434704550617</v>
      </c>
      <c r="V45" s="259">
        <f ca="1">IF($A45="N/A"," ",(IF('Pricing Inputs'!$AN$8=2,(O45-$H45),IF((O45-$H45)&lt;=0,0,(O45-$H45)))))</f>
        <v>0</v>
      </c>
      <c r="W45" s="306">
        <f ca="1">IF($A45="N/A"," ",IF(0&lt;&gt;P45,IF('Pricing Inputs'!$AN$3=2,8*VLOOKUP($A45,NumberofDaysTable,2),(_xll.xSPRDOPT(I45,$E45,$BU45,0,$BP45,$BS45,$BT45,$A45-Inputs!$D$1,1,1))*(8*VLOOKUP($A45,NumberofDaysTable,2))),0))</f>
        <v>163.59574470502091</v>
      </c>
      <c r="X45" s="306">
        <f ca="1">IF($A45="N/A"," ",IF(Q45&lt;&gt;0,IF('Pricing Inputs'!$AN$3=2,8*VLOOKUP($A45,NumberofDaysTable,2),(_xll.xSPRDOPT(J45,$E45,$BU45,0,$BP45,$BS45,$BT45,$A45-Inputs!$D$1,1,1))*(8*VLOOKUP($A45,NumberofDaysTable,2))),0))</f>
        <v>143.70759814036805</v>
      </c>
      <c r="Y45" s="306">
        <f ca="1">IF($A45="N/A"," ",IF(R45&lt;&gt;0,IF('Pricing Inputs'!$AN$3=2,8*VLOOKUP($A45,NumberofDaysTable,3),(_xll.xSPRDOPT(K45,$E45,$BU45,0,$BP45,$BS45,$BT45,$A45-Inputs!$D$1,1,1))*(8*VLOOKUP($A45,NumberofDaysTable,3))),0))</f>
        <v>18.767289682408599</v>
      </c>
      <c r="Z45" s="306">
        <f ca="1">IF($A45="N/A"," ",IF(S45&lt;&gt;0,IF('Pricing Inputs'!$AN$3=2,8*VLOOKUP($A45,NumberofDaysTable,3),(_xll.xSPRDOPT(L45,$E45,$BU45,0,$BP45,$BS45,$BT45,$A45-Inputs!$D$1,1,1))*(8*VLOOKUP($A45,NumberofDaysTable,3))),0))</f>
        <v>11.50735138641034</v>
      </c>
      <c r="AA45" s="306">
        <f ca="1">IF($A45="N/A"," ",IF(T45&lt;&gt;0,IF('Pricing Inputs'!$AN$3=2,8*VLOOKUP($A45,NumberofDaysTable,4),(_xll.xSPRDOPT(M45,$E45,$BU45,0,$BP45,$BS45,$BT45,$A45-Inputs!$D$1,1,1))*(8*VLOOKUP($A45,NumberofDaysTable,4))),0))</f>
        <v>11.439222219068718</v>
      </c>
      <c r="AB45" s="306">
        <f ca="1">IF($A45="N/A"," ",IF(U45&lt;&gt;0,IF('Pricing Inputs'!$AN$3=2,8*VLOOKUP($A45,NumberofDaysTable,4),(_xll.xSPRDOPT(N45,$E45,$BU45,0,$BP45,$BS45,$BT45,$A45-Inputs!$D$1,1,1))*(8*VLOOKUP($A45,NumberofDaysTable,4))),0))</f>
        <v>5.5044649554918283</v>
      </c>
      <c r="AC45" s="306">
        <f t="shared" ca="1" si="21"/>
        <v>0</v>
      </c>
      <c r="AD45" s="274">
        <f t="shared" ca="1" si="89"/>
        <v>5</v>
      </c>
      <c r="AE45" s="275">
        <f t="shared" ca="1" si="90"/>
        <v>8</v>
      </c>
      <c r="AF45" s="275">
        <f t="shared" ca="1" si="91"/>
        <v>16</v>
      </c>
      <c r="AG45" s="275">
        <f t="shared" ca="1" si="92"/>
        <v>24</v>
      </c>
      <c r="AH45" s="275">
        <f t="shared" ca="1" si="93"/>
        <v>25</v>
      </c>
      <c r="AI45" s="275">
        <f t="shared" ca="1" si="94"/>
        <v>35</v>
      </c>
      <c r="AJ45" s="276">
        <f t="shared" ca="1" si="95"/>
        <v>73</v>
      </c>
      <c r="AK45" s="314">
        <f t="shared" ca="1" si="43"/>
        <v>163.59574470502091</v>
      </c>
      <c r="AL45" s="315">
        <f t="shared" ca="1" si="44"/>
        <v>143.70759814036805</v>
      </c>
      <c r="AM45" s="315">
        <f t="shared" ca="1" si="45"/>
        <v>18.767289682408599</v>
      </c>
      <c r="AN45" s="315">
        <f t="shared" ca="1" si="46"/>
        <v>11.50735138641034</v>
      </c>
      <c r="AO45" s="315">
        <f t="shared" ca="1" si="47"/>
        <v>11.439222219068718</v>
      </c>
      <c r="AP45" s="315">
        <f t="shared" ca="1" si="48"/>
        <v>5.5044649554918283</v>
      </c>
      <c r="AQ45" s="315">
        <f t="shared" ca="1" si="49"/>
        <v>0</v>
      </c>
      <c r="AR45" s="276"/>
      <c r="AS45" s="321">
        <f t="shared" ca="1" si="82"/>
        <v>0</v>
      </c>
      <c r="AT45" s="324">
        <f t="shared" ca="1" si="83"/>
        <v>0</v>
      </c>
      <c r="AU45" s="324">
        <f t="shared" ca="1" si="84"/>
        <v>0</v>
      </c>
      <c r="AV45" s="324">
        <f t="shared" ca="1" si="85"/>
        <v>0</v>
      </c>
      <c r="AW45" s="324">
        <f t="shared" ca="1" si="86"/>
        <v>0</v>
      </c>
      <c r="AX45" s="324">
        <f t="shared" ca="1" si="87"/>
        <v>0</v>
      </c>
      <c r="AY45" s="324">
        <f t="shared" ca="1" si="88"/>
        <v>0</v>
      </c>
      <c r="AZ45" s="276"/>
      <c r="BA45" s="267">
        <f ca="1">IF($A45="N/A"," ",(IF(MONTH(A45)&gt;=4,IF(MONTH(A45)&lt;=10,Inputs!$F$13,Inputs!$F$14),Inputs!$F$14))*$BW45)</f>
        <v>180</v>
      </c>
      <c r="BB45" s="268">
        <f t="shared" ca="1" si="64"/>
        <v>831962.61636859237</v>
      </c>
      <c r="BC45" s="268">
        <f t="shared" ca="1" si="65"/>
        <v>450033.47492230282</v>
      </c>
      <c r="BD45" s="268">
        <f t="shared" ca="1" si="31"/>
        <v>32519.537930611659</v>
      </c>
      <c r="BE45" s="268">
        <f t="shared" ca="1" si="32"/>
        <v>12200.234165744821</v>
      </c>
      <c r="BF45" s="268">
        <f t="shared" ca="1" si="33"/>
        <v>12070.378431049543</v>
      </c>
      <c r="BG45" s="268">
        <f t="shared" ca="1" si="34"/>
        <v>3610.9114389821157</v>
      </c>
      <c r="BH45" s="268">
        <f t="shared" ca="1" si="41"/>
        <v>0</v>
      </c>
      <c r="BI45" s="268">
        <f t="shared" ca="1" si="36"/>
        <v>1342397.1532572834</v>
      </c>
      <c r="BJ45" s="296">
        <f t="shared" ca="1" si="37"/>
        <v>1897805.4678283965</v>
      </c>
      <c r="BK45" s="296">
        <f t="shared" ca="1" si="38"/>
        <v>1770177.6662364397</v>
      </c>
      <c r="BL45" s="296">
        <f t="shared" ca="1" si="39"/>
        <v>127627.80159195662</v>
      </c>
      <c r="BM45" s="296">
        <f t="shared" ca="1" si="40"/>
        <v>0</v>
      </c>
      <c r="BN45" s="405">
        <f>IF(A45="N/A"," ",(VLOOKUP(A45,PowerVolTable,(IF('Pricing Inputs'!$AT$3=2,7,IF('Pricing Inputs'!$AT$3=1,6,8))),FALSE)))</f>
        <v>0.29457261562499998</v>
      </c>
      <c r="BO45" s="405">
        <f>IF(A45="N/A"," ",(VLOOKUP(A45,IntraPowerVol,(IF('Pricing Inputs'!$AT$3=2,3,IF('Pricing Inputs'!$AT$3=1,2,4))),FALSE)*VLOOKUP(MONTH($A45),Inputs!$A$28:$B$39,2)))</f>
        <v>2.2999999999999998</v>
      </c>
      <c r="BP45" s="406">
        <f t="shared" ca="1" si="15"/>
        <v>0.36949314455905974</v>
      </c>
      <c r="BQ45" s="405">
        <f ca="1">IF($A45="N/A"," ",(VLOOKUP($A45,GasVolTable,(IF('Pricing Inputs'!$AT$3=2,6,IF('Pricing Inputs'!$AT$3=1,7,5))),FALSE)))</f>
        <v>0.16520000000000001</v>
      </c>
      <c r="BR45" s="405">
        <f ca="1">IF($A45="N/A"," ",(VLOOKUP($A45,OmicronVol,(IF('Pricing Inputs'!$AT$3=2,3,IF('Pricing Inputs'!$AT$3=1,4,2))),FALSE)))</f>
        <v>0.5</v>
      </c>
      <c r="BS45" s="406">
        <f ca="1">IF($A45="N/A"," ",IF('Pricing Inputs'!$AN$3=1,(IF(DateToday&gt;$A45,$BR45,((($BQ45^2)*((($A45-1)-DateToday)/((EOMONTH($A45,0)+1)-DateToday-15)))+((($BR45)^2)*((15)/((EOMONTH($A45,0)+1)-DateToday-15))))^0.5)),0.0001))</f>
        <v>0.17148029080338664</v>
      </c>
      <c r="BT45" s="405">
        <f>IF($A45="N/A"," ",IF('Pricing Inputs'!$AN$3=1,(VLOOKUP($A45,CorrelationTable,2,FALSE)),0))</f>
        <v>0.9</v>
      </c>
      <c r="BU45" s="407">
        <f ca="1">IF($A45="N/A"," ",F45+G45+(D45*(VLOOKUP($A45,'Gas Curves'!$B$17:$P$310,14,FALSE))))</f>
        <v>2.6825000000000001</v>
      </c>
      <c r="BV45" s="405">
        <f>IF($A45="N/A"," ",IF('Pricing Inputs'!$AW$3=1,0,(VLOOKUP($A45,InterestRatesTable,2))))</f>
        <v>0</v>
      </c>
      <c r="BW45" s="408">
        <f t="shared" ca="1" si="16"/>
        <v>1</v>
      </c>
    </row>
    <row r="46" spans="1:75">
      <c r="A46" s="248">
        <f>IF(A45="N/A","N/A",IF(EDATE(A45,1)&gt;Inputs!$K$3,"N/A",EDATE(A45,1)))</f>
        <v>38169</v>
      </c>
      <c r="B46" s="262">
        <f t="shared" si="17"/>
        <v>2004</v>
      </c>
      <c r="C46" s="249">
        <f t="shared" ca="1" si="18"/>
        <v>2.6524999999999999</v>
      </c>
      <c r="D46" s="250">
        <f>IF(A46="N/A"," ",(VLOOKUP(MONTH($A46),Inputs!$A$14:$B$25,2))/1000)</f>
        <v>10.5</v>
      </c>
      <c r="E46" s="304">
        <f t="shared" ca="1" si="19"/>
        <v>27.85125</v>
      </c>
      <c r="F46" s="251">
        <f>IF(A46="N/A"," ",Inputs!$F$6)</f>
        <v>2</v>
      </c>
      <c r="G46" s="251">
        <f ca="1">IF(A46="N/A"," ",Inputs!$F$9/IF(AND('Pricing Inputs'!$AQ$3&gt;=4,'Pricing Inputs'!$AQ$3&lt;=6),16,IF(AND('Pricing Inputs'!$AQ$3&gt;=7,'Pricing Inputs'!$AQ$3&lt;=9),8,24))/(BA46/BW46))</f>
        <v>0</v>
      </c>
      <c r="H46" s="252">
        <f t="shared" ca="1" si="20"/>
        <v>29.85125</v>
      </c>
      <c r="I46" s="255">
        <f>VLOOKUP(A46,ScaledPrice,(IF(AND('Pricing Inputs'!$AQ$3&gt;=1,'Pricing Inputs'!$AQ$3&lt;=6),2,4)))</f>
        <v>82.820711562174992</v>
      </c>
      <c r="J46" s="255">
        <f>IF(A46="N/A"," ",IF(AND('Pricing Inputs'!$AQ$3&gt;=1,'Pricing Inputs'!$AQ$3&lt;=6),I46,(VLOOKUP(A46,ScaledPrice,2))*(2-(VLOOKUP(A46,ScaledPrice,3)))))</f>
        <v>56.179288437825015</v>
      </c>
      <c r="K46" s="255">
        <f>IF(A46="N/A"," ",IF(OR('Pricing Inputs'!$AQ$3=2,'Pricing Inputs'!$AQ$3=3,'Pricing Inputs'!$AQ$3=5,'Pricing Inputs'!$AQ$3=6,'Pricing Inputs'!$AQ$3=8,'Pricing Inputs'!$AQ$3=9),VLOOKUP(A46,ScaledPrice,IF(AND('Pricing Inputs'!$AQ$3&gt;=2,'Pricing Inputs'!$AQ$3&lt;=6),5,6)),0))</f>
        <v>47.024586564324672</v>
      </c>
      <c r="L46" s="255">
        <f>IF(A46="N/A"," ",IF(OR('Pricing Inputs'!$AQ$3=2,'Pricing Inputs'!$AQ$3=3,'Pricing Inputs'!$AQ$3=5,'Pricing Inputs'!$AQ$3=6,'Pricing Inputs'!$AQ$3=8,'Pricing Inputs'!$AQ$3=9),IF(AND('Pricing Inputs'!$AQ$3&gt;=2,'Pricing Inputs'!$AQ$3&lt;=6),K46,(VLOOKUP(A46,ScaledPrice,5))*(2-(VLOOKUP(A46,ScaledPrice,3)))),0))</f>
        <v>31.897912520147987</v>
      </c>
      <c r="M46" s="255">
        <f>IF(A46="N/A"," ",IF(OR('Pricing Inputs'!$AQ$3=3,'Pricing Inputs'!$AQ$3=6,'Pricing Inputs'!$AQ$3=9),(VLOOKUP(A46,ScaledPrice,IF(AND('Pricing Inputs'!$AQ$3&gt;=3,'Pricing Inputs'!$AQ$3&lt;=6),7,8))),0))</f>
        <v>34.495719477914079</v>
      </c>
      <c r="N46" s="255">
        <f>IF(A46="N/A"," ",IF(OR('Pricing Inputs'!$AQ$3=3,'Pricing Inputs'!$AQ$3=6,'Pricing Inputs'!$AQ$3=9),IF(AND('Pricing Inputs'!$AQ$3&gt;=3,'Pricing Inputs'!$AQ$3&lt;=6),M46,(VLOOKUP(A46,ScaledPrice,7))*(2-(VLOOKUP(A46,ScaledPrice,3)))),0))</f>
        <v>23.399279453970685</v>
      </c>
      <c r="O46" s="255">
        <f>IF(A46="N/A"," ",IF(AND('Pricing Inputs'!$AQ$3&gt;=1,'Pricing Inputs'!$AQ$3&lt;=3),VLOOKUP(A46,ScaledPrice,9),0))</f>
        <v>0</v>
      </c>
      <c r="P46" s="320">
        <f ca="1">IF($A46="N/A"," ",IF('Pricing Inputs'!$AN$8=2,(I46-H46),IF('Pricing Inputs'!$AN$3=2,IF((I46-$H46)&gt;0,I46-$H46,0),(_xll.xSPRDOPT(I46,$E46,$BU46,0,$BP46,$BS46,$BT46,($A46-Inputs!$D$1)+15,1,0)))))</f>
        <v>53.673801112896314</v>
      </c>
      <c r="Q46" s="320">
        <f ca="1">IF($A46="N/A"," ",IF('Pricing Inputs'!$AN$8=2,(J46-$H46),IF('Pricing Inputs'!$AN$3=2,IF((J46-$H46)&gt;0,J46-$H46,0),(_xll.xSPRDOPT(J46,$E46,$BU46,0,$BP46,$BS46,$BT46,($A46-Inputs!$D$1)+15,1,0)))))</f>
        <v>28.91406637882033</v>
      </c>
      <c r="R46" s="320">
        <f ca="1">IF($A46="N/A"," ",IF('Pricing Inputs'!$AN$8=2,(K46-$H46),IF('Pricing Inputs'!$AN$3=2,IF((K46-$H46)&gt;0,K46-$H46,0),(_xll.xSPRDOPT(K46,$E46,$BU46,0,$BP46,$BS46,$BT46,($A46-Inputs!$D$1)+15,1,0)))))</f>
        <v>21.032058055527905</v>
      </c>
      <c r="S46" s="320">
        <f ca="1">IF($A46="N/A"," ",IF('Pricing Inputs'!$AN$8=2,(L46-$H46),IF('Pricing Inputs'!$AN$3=2,IF((L46-$H46)&gt;0,L46-$H46,0),(_xll.xSPRDOPT(L46,$E46,$BU46,0,$BP46,$BS46,$BT46,($A46-Inputs!$D$1)+15,1,0)))))</f>
        <v>9.5474214429834987</v>
      </c>
      <c r="T46" s="320">
        <f ca="1">IF($A46="N/A"," ",IF('Pricing Inputs'!$AN$8=2,(M46-$H46),IF('Pricing Inputs'!$AN$3=2,IF((M46-$H46)&gt;0,M46-$H46,0),(_xll.xSPRDOPT(M46,$E46,$BU46,0,$BP46,$BS46,$BT46,($A46-Inputs!$D$1)+15,1,0)))))</f>
        <v>11.327172543291375</v>
      </c>
      <c r="U46" s="320">
        <f ca="1">IF($A46="N/A"," ",IF('Pricing Inputs'!$AN$8=2,(N46-$H46),IF('Pricing Inputs'!$AN$3=2,IF((N46-$H46)&gt;0,N46-$H46,0),(_xll.xSPRDOPT(N46,$E46,$BU46,0,$BP46,$BS46,$BT46,($A46-Inputs!$D$1)+15,1,0)))))</f>
        <v>4.5483677234702036</v>
      </c>
      <c r="V46" s="259">
        <f ca="1">IF($A46="N/A"," ",(IF('Pricing Inputs'!$AN$8=2,(O46-$H46),IF((O46-$H46)&lt;=0,0,(O46-$H46)))))</f>
        <v>0</v>
      </c>
      <c r="W46" s="306">
        <f ca="1">IF($A46="N/A"," ",IF(0&lt;&gt;P46,IF('Pricing Inputs'!$AN$3=2,8*VLOOKUP($A46,NumberofDaysTable,2),(_xll.xSPRDOPT(I46,$E46,$BU46,0,$BP46,$BS46,$BT46,$A46-Inputs!$D$1,1,1))*(8*VLOOKUP($A46,NumberofDaysTable,2))),0))</f>
        <v>161.13482182959265</v>
      </c>
      <c r="X46" s="306">
        <f ca="1">IF($A46="N/A"," ",IF(Q46&lt;&gt;0,IF('Pricing Inputs'!$AN$3=2,8*VLOOKUP($A46,NumberofDaysTable,2),(_xll.xSPRDOPT(J46,$E46,$BU46,0,$BP46,$BS46,$BT46,$A46-Inputs!$D$1,1,1))*(8*VLOOKUP($A46,NumberofDaysTable,2))),0))</f>
        <v>148.9265714385449</v>
      </c>
      <c r="Y46" s="306">
        <f ca="1">IF($A46="N/A"," ",IF(R46&lt;&gt;0,IF('Pricing Inputs'!$AN$3=2,8*VLOOKUP($A46,NumberofDaysTable,3),(_xll.xSPRDOPT(K46,$E46,$BU46,0,$BP46,$BS46,$BT46,$A46-Inputs!$D$1,1,1))*(8*VLOOKUP($A46,NumberofDaysTable,3))),0))</f>
        <v>33.287390410210975</v>
      </c>
      <c r="Z46" s="306">
        <f ca="1">IF($A46="N/A"," ",IF(S46&lt;&gt;0,IF('Pricing Inputs'!$AN$3=2,8*VLOOKUP($A46,NumberofDaysTable,3),(_xll.xSPRDOPT(L46,$E46,$BU46,0,$BP46,$BS46,$BT46,$A46-Inputs!$D$1,1,1))*(8*VLOOKUP($A46,NumberofDaysTable,3))),0))</f>
        <v>26.599384431350465</v>
      </c>
      <c r="AA46" s="306">
        <f ca="1">IF($A46="N/A"," ",IF(T46&lt;&gt;0,IF('Pricing Inputs'!$AN$3=2,8*VLOOKUP($A46,NumberofDaysTable,4),(_xll.xSPRDOPT(M46,$E46,$BU46,0,$BP46,$BS46,$BT46,$A46-Inputs!$D$1,1,1))*(8*VLOOKUP($A46,NumberofDaysTable,4))),0))</f>
        <v>22.512878818505129</v>
      </c>
      <c r="AB46" s="306">
        <f ca="1">IF($A46="N/A"," ",IF(U46&lt;&gt;0,IF('Pricing Inputs'!$AN$3=2,8*VLOOKUP($A46,NumberofDaysTable,4),(_xll.xSPRDOPT(N46,$E46,$BU46,0,$BP46,$BS46,$BT46,$A46-Inputs!$D$1,1,1))*(8*VLOOKUP($A46,NumberofDaysTable,4))),0))</f>
        <v>15.948435387330976</v>
      </c>
      <c r="AC46" s="306">
        <f t="shared" ca="1" si="21"/>
        <v>0</v>
      </c>
      <c r="AD46" s="274">
        <f t="shared" ca="1" si="89"/>
        <v>1</v>
      </c>
      <c r="AE46" s="275">
        <f t="shared" ca="1" si="90"/>
        <v>4</v>
      </c>
      <c r="AF46" s="275">
        <f t="shared" ca="1" si="91"/>
        <v>6</v>
      </c>
      <c r="AG46" s="275">
        <f t="shared" ca="1" si="92"/>
        <v>12</v>
      </c>
      <c r="AH46" s="275">
        <f t="shared" ca="1" si="93"/>
        <v>10</v>
      </c>
      <c r="AI46" s="275">
        <f t="shared" ca="1" si="94"/>
        <v>19</v>
      </c>
      <c r="AJ46" s="276">
        <f t="shared" ca="1" si="95"/>
        <v>73</v>
      </c>
      <c r="AK46" s="314">
        <f t="shared" ca="1" si="43"/>
        <v>161.13482182959265</v>
      </c>
      <c r="AL46" s="315">
        <f t="shared" ca="1" si="44"/>
        <v>148.9265714385449</v>
      </c>
      <c r="AM46" s="315">
        <f t="shared" ca="1" si="45"/>
        <v>33.287390410210975</v>
      </c>
      <c r="AN46" s="315">
        <f t="shared" ca="1" si="46"/>
        <v>26.599384431350465</v>
      </c>
      <c r="AO46" s="315">
        <f t="shared" ca="1" si="47"/>
        <v>22.512878818505129</v>
      </c>
      <c r="AP46" s="315">
        <f t="shared" ca="1" si="48"/>
        <v>15.948435387330976</v>
      </c>
      <c r="AQ46" s="315">
        <f t="shared" ca="1" si="49"/>
        <v>0</v>
      </c>
      <c r="AR46" s="276"/>
      <c r="AS46" s="321">
        <f t="shared" ca="1" si="82"/>
        <v>0</v>
      </c>
      <c r="AT46" s="324">
        <f t="shared" ca="1" si="83"/>
        <v>0</v>
      </c>
      <c r="AU46" s="324">
        <f t="shared" ca="1" si="84"/>
        <v>0</v>
      </c>
      <c r="AV46" s="324">
        <f t="shared" ca="1" si="85"/>
        <v>0</v>
      </c>
      <c r="AW46" s="324">
        <f t="shared" ca="1" si="86"/>
        <v>0</v>
      </c>
      <c r="AX46" s="324">
        <f t="shared" ca="1" si="87"/>
        <v>0</v>
      </c>
      <c r="AY46" s="324">
        <f t="shared" ca="1" si="88"/>
        <v>0</v>
      </c>
      <c r="AZ46" s="276"/>
      <c r="BA46" s="267">
        <f ca="1">IF($A46="N/A"," ",(IF(MONTH(A46)&gt;=4,IF(MONTH(A46)&lt;=10,Inputs!$F$13,Inputs!$F$14),Inputs!$F$14))*$BW46)</f>
        <v>180</v>
      </c>
      <c r="BB46" s="268">
        <f t="shared" ca="1" si="64"/>
        <v>1623095.7456539846</v>
      </c>
      <c r="BC46" s="268">
        <f t="shared" ca="1" si="65"/>
        <v>874361.36729552678</v>
      </c>
      <c r="BD46" s="268">
        <f t="shared" ca="1" si="31"/>
        <v>151430.81799980093</v>
      </c>
      <c r="BE46" s="268">
        <f t="shared" ca="1" si="32"/>
        <v>68741.43438948119</v>
      </c>
      <c r="BF46" s="268">
        <f t="shared" ca="1" si="33"/>
        <v>81555.642311697899</v>
      </c>
      <c r="BG46" s="268">
        <f t="shared" ca="1" si="34"/>
        <v>32748.247608985464</v>
      </c>
      <c r="BH46" s="268">
        <f t="shared" ca="1" si="41"/>
        <v>0</v>
      </c>
      <c r="BI46" s="268">
        <f t="shared" ca="1" si="36"/>
        <v>2831933.2552594771</v>
      </c>
      <c r="BJ46" s="296">
        <f t="shared" ca="1" si="37"/>
        <v>2194476.0406148904</v>
      </c>
      <c r="BK46" s="296">
        <f t="shared" ca="1" si="38"/>
        <v>2047448.626981298</v>
      </c>
      <c r="BL46" s="296">
        <f t="shared" ca="1" si="39"/>
        <v>147027.4136335926</v>
      </c>
      <c r="BM46" s="296">
        <f t="shared" ca="1" si="40"/>
        <v>0</v>
      </c>
      <c r="BN46" s="405">
        <f>IF(A46="N/A"," ",(VLOOKUP(A46,PowerVolTable,(IF('Pricing Inputs'!$AT$3=2,7,IF('Pricing Inputs'!$AT$3=1,6,8))),FALSE)))</f>
        <v>0.34858724062499996</v>
      </c>
      <c r="BO46" s="405">
        <f>IF(A46="N/A"," ",(VLOOKUP(A46,IntraPowerVol,(IF('Pricing Inputs'!$AT$3=2,3,IF('Pricing Inputs'!$AT$3=1,2,4))),FALSE)*VLOOKUP(MONTH($A46),Inputs!$A$28:$B$39,2)))</f>
        <v>3.4499999999999997</v>
      </c>
      <c r="BP46" s="406">
        <f t="shared" ca="1" si="15"/>
        <v>0.48160768956276157</v>
      </c>
      <c r="BQ46" s="405">
        <f ca="1">IF($A46="N/A"," ",(VLOOKUP($A46,GasVolTable,(IF('Pricing Inputs'!$AT$3=2,6,IF('Pricing Inputs'!$AT$3=1,7,5))),FALSE)))</f>
        <v>0.16490000000000002</v>
      </c>
      <c r="BR46" s="405">
        <f ca="1">IF($A46="N/A"," ",(VLOOKUP($A46,OmicronVol,(IF('Pricing Inputs'!$AT$3=2,3,IF('Pricing Inputs'!$AT$3=1,4,2))),FALSE)))</f>
        <v>0.5</v>
      </c>
      <c r="BS46" s="406">
        <f ca="1">IF($A46="N/A"," ",IF('Pricing Inputs'!$AN$3=1,(IF(DateToday&gt;$A46,$BR46,((($BQ46^2)*((($A46-1)-DateToday)/((EOMONTH($A46,0)+1)-DateToday-15)))+((($BR46)^2)*((15)/((EOMONTH($A46,0)+1)-DateToday-15))))^0.5)),0.0001))</f>
        <v>0.17102460832308633</v>
      </c>
      <c r="BT46" s="405">
        <f>IF($A46="N/A"," ",IF('Pricing Inputs'!$AN$3=1,(VLOOKUP($A46,CorrelationTable,2,FALSE)),0))</f>
        <v>0.9</v>
      </c>
      <c r="BU46" s="407">
        <f ca="1">IF($A46="N/A"," ",F46+G46+(D46*(VLOOKUP($A46,'Gas Curves'!$B$17:$P$310,14,FALSE))))</f>
        <v>2.6825000000000001</v>
      </c>
      <c r="BV46" s="405">
        <f>IF($A46="N/A"," ",IF('Pricing Inputs'!$AW$3=1,0,(VLOOKUP($A46,InterestRatesTable,2))))</f>
        <v>0</v>
      </c>
      <c r="BW46" s="408">
        <f t="shared" ca="1" si="16"/>
        <v>1</v>
      </c>
    </row>
    <row r="47" spans="1:75">
      <c r="A47" s="248">
        <f>IF(A46="N/A","N/A",IF(EDATE(A46,1)&gt;Inputs!$K$3,"N/A",EDATE(A46,1)))</f>
        <v>38200</v>
      </c>
      <c r="B47" s="262">
        <f t="shared" si="17"/>
        <v>2004</v>
      </c>
      <c r="C47" s="249">
        <f t="shared" ca="1" si="18"/>
        <v>2.6595</v>
      </c>
      <c r="D47" s="250">
        <f>IF(A47="N/A"," ",(VLOOKUP(MONTH($A47),Inputs!$A$14:$B$25,2))/1000)</f>
        <v>10.5</v>
      </c>
      <c r="E47" s="304">
        <f t="shared" ca="1" si="19"/>
        <v>27.92475</v>
      </c>
      <c r="F47" s="251">
        <f>IF(A47="N/A"," ",Inputs!$F$6)</f>
        <v>2</v>
      </c>
      <c r="G47" s="251">
        <f ca="1">IF(A47="N/A"," ",Inputs!$F$9/IF(AND('Pricing Inputs'!$AQ$3&gt;=4,'Pricing Inputs'!$AQ$3&lt;=6),16,IF(AND('Pricing Inputs'!$AQ$3&gt;=7,'Pricing Inputs'!$AQ$3&lt;=9),8,24))/(BA47/BW47))</f>
        <v>0</v>
      </c>
      <c r="H47" s="252">
        <f t="shared" ca="1" si="20"/>
        <v>29.92475</v>
      </c>
      <c r="I47" s="255">
        <f>VLOOKUP(A47,ScaledPrice,(IF(AND('Pricing Inputs'!$AQ$3&gt;=1,'Pricing Inputs'!$AQ$3&lt;=6),2,4)))</f>
        <v>72.080381643939702</v>
      </c>
      <c r="J47" s="255">
        <f>IF(A47="N/A"," ",IF(AND('Pricing Inputs'!$AQ$3&gt;=1,'Pricing Inputs'!$AQ$3&lt;=6),I47,(VLOOKUP(A47,ScaledPrice,2))*(2-(VLOOKUP(A47,ScaledPrice,3)))))</f>
        <v>57.919618356060298</v>
      </c>
      <c r="K47" s="255">
        <f>IF(A47="N/A"," ",IF(OR('Pricing Inputs'!$AQ$3=2,'Pricing Inputs'!$AQ$3=3,'Pricing Inputs'!$AQ$3=5,'Pricing Inputs'!$AQ$3=6,'Pricing Inputs'!$AQ$3=8,'Pricing Inputs'!$AQ$3=9),VLOOKUP(A47,ScaledPrice,IF(AND('Pricing Inputs'!$AQ$3&gt;=2,'Pricing Inputs'!$AQ$3&lt;=6),5,6)),0))</f>
        <v>46.267287033041754</v>
      </c>
      <c r="L47" s="255">
        <f>IF(A47="N/A"," ",IF(OR('Pricing Inputs'!$AQ$3=2,'Pricing Inputs'!$AQ$3=3,'Pricing Inputs'!$AQ$3=5,'Pricing Inputs'!$AQ$3=6,'Pricing Inputs'!$AQ$3=8,'Pricing Inputs'!$AQ$3=9),IF(AND('Pricing Inputs'!$AQ$3&gt;=2,'Pricing Inputs'!$AQ$3&lt;=6),K47,(VLOOKUP(A47,ScaledPrice,5))*(2-(VLOOKUP(A47,ScaledPrice,3)))),0))</f>
        <v>37.177711135903564</v>
      </c>
      <c r="M47" s="255">
        <f>IF(A47="N/A"," ",IF(OR('Pricing Inputs'!$AQ$3=3,'Pricing Inputs'!$AQ$3=6,'Pricing Inputs'!$AQ$3=9),(VLOOKUP(A47,ScaledPrice,IF(AND('Pricing Inputs'!$AQ$3&gt;=3,'Pricing Inputs'!$AQ$3&lt;=6),7,8))),0))</f>
        <v>33.761342763723199</v>
      </c>
      <c r="N47" s="255">
        <f>IF(A47="N/A"," ",IF(OR('Pricing Inputs'!$AQ$3=3,'Pricing Inputs'!$AQ$3=6,'Pricing Inputs'!$AQ$3=9),IF(AND('Pricing Inputs'!$AQ$3&gt;=3,'Pricing Inputs'!$AQ$3&lt;=6),M47,(VLOOKUP(A47,ScaledPrice,7))*(2-(VLOOKUP(A47,ScaledPrice,3)))),0))</f>
        <v>27.128658914743596</v>
      </c>
      <c r="O47" s="255">
        <f>IF(A47="N/A"," ",IF(AND('Pricing Inputs'!$AQ$3&gt;=1,'Pricing Inputs'!$AQ$3&lt;=3),VLOOKUP(A47,ScaledPrice,9),0))</f>
        <v>0</v>
      </c>
      <c r="P47" s="320">
        <f ca="1">IF($A47="N/A"," ",IF('Pricing Inputs'!$AN$8=2,(I47-H47),IF('Pricing Inputs'!$AN$3=2,IF((I47-$H47)&gt;0,I47-$H47,0),(_xll.xSPRDOPT(I47,$E47,$BU47,0,$BP47,$BS47,$BT47,($A47-Inputs!$D$1)+15,1,0)))))</f>
        <v>43.332735289567296</v>
      </c>
      <c r="Q47" s="320">
        <f ca="1">IF($A47="N/A"," ",IF('Pricing Inputs'!$AN$8=2,(J47-$H47),IF('Pricing Inputs'!$AN$3=2,IF((J47-$H47)&gt;0,J47-$H47,0),(_xll.xSPRDOPT(J47,$E47,$BU47,0,$BP47,$BS47,$BT47,($A47-Inputs!$D$1)+15,1,0)))))</f>
        <v>30.308881812210608</v>
      </c>
      <c r="R47" s="320">
        <f ca="1">IF($A47="N/A"," ",IF('Pricing Inputs'!$AN$8=2,(K47-$H47),IF('Pricing Inputs'!$AN$3=2,IF((K47-$H47)&gt;0,K47-$H47,0),(_xll.xSPRDOPT(K47,$E47,$BU47,0,$BP47,$BS47,$BT47,($A47-Inputs!$D$1)+15,1,0)))))</f>
        <v>20.245550680639354</v>
      </c>
      <c r="S47" s="320">
        <f ca="1">IF($A47="N/A"," ",IF('Pricing Inputs'!$AN$8=2,(L47-$H47),IF('Pricing Inputs'!$AN$3=2,IF((L47-$H47)&gt;0,L47-$H47,0),(_xll.xSPRDOPT(L47,$E47,$BU47,0,$BP47,$BS47,$BT47,($A47-Inputs!$D$1)+15,1,0)))))</f>
        <v>13.109811786272175</v>
      </c>
      <c r="T47" s="320">
        <f ca="1">IF($A47="N/A"," ",IF('Pricing Inputs'!$AN$8=2,(M47-$H47),IF('Pricing Inputs'!$AN$3=2,IF((M47-$H47)&gt;0,M47-$H47,0),(_xll.xSPRDOPT(M47,$E47,$BU47,0,$BP47,$BS47,$BT47,($A47-Inputs!$D$1)+15,1,0)))))</f>
        <v>10.667544109074001</v>
      </c>
      <c r="U47" s="320">
        <f ca="1">IF($A47="N/A"," ",IF('Pricing Inputs'!$AN$8=2,(N47-$H47),IF('Pricing Inputs'!$AN$3=2,IF((N47-$H47)&gt;0,N47-$H47,0),(_xll.xSPRDOPT(N47,$E47,$BU47,0,$BP47,$BS47,$BT47,($A47-Inputs!$D$1)+15,1,0)))))</f>
        <v>6.4413158009198064</v>
      </c>
      <c r="V47" s="259">
        <f ca="1">IF($A47="N/A"," ",(IF('Pricing Inputs'!$AN$8=2,(O47-$H47),IF((O47-$H47)&lt;=0,0,(O47-$H47)))))</f>
        <v>0</v>
      </c>
      <c r="W47" s="306">
        <f ca="1">IF($A47="N/A"," ",IF(0&lt;&gt;P47,IF('Pricing Inputs'!$AN$3=2,8*VLOOKUP($A47,NumberofDaysTable,2),(_xll.xSPRDOPT(I47,$E47,$BU47,0,$BP47,$BS47,$BT47,$A47-Inputs!$D$1,1,1))*(8*VLOOKUP($A47,NumberofDaysTable,2))),0))</f>
        <v>165.51226555646858</v>
      </c>
      <c r="X47" s="306">
        <f ca="1">IF($A47="N/A"," ",IF(Q47&lt;&gt;0,IF('Pricing Inputs'!$AN$3=2,8*VLOOKUP($A47,NumberofDaysTable,2),(_xll.xSPRDOPT(J47,$E47,$BU47,0,$BP47,$BS47,$BT47,$A47-Inputs!$D$1,1,1))*(8*VLOOKUP($A47,NumberofDaysTable,2))),0))</f>
        <v>157.52813570040658</v>
      </c>
      <c r="Y47" s="306">
        <f ca="1">IF($A47="N/A"," ",IF(R47&lt;&gt;0,IF('Pricing Inputs'!$AN$3=2,8*VLOOKUP($A47,NumberofDaysTable,3),(_xll.xSPRDOPT(K47,$E47,$BU47,0,$BP47,$BS47,$BT47,$A47-Inputs!$D$1,1,1))*(8*VLOOKUP($A47,NumberofDaysTable,3))),0))</f>
        <v>26.446201295795621</v>
      </c>
      <c r="Z47" s="306">
        <f ca="1">IF($A47="N/A"," ",IF(S47&lt;&gt;0,IF('Pricing Inputs'!$AN$3=2,8*VLOOKUP($A47,NumberofDaysTable,3),(_xll.xSPRDOPT(L47,$E47,$BU47,0,$BP47,$BS47,$BT47,$A47-Inputs!$D$1,1,1))*(8*VLOOKUP($A47,NumberofDaysTable,3))),0))</f>
        <v>23.58178799363175</v>
      </c>
      <c r="AA47" s="306">
        <f ca="1">IF($A47="N/A"," ",IF(T47&lt;&gt;0,IF('Pricing Inputs'!$AN$3=2,8*VLOOKUP($A47,NumberofDaysTable,4),(_xll.xSPRDOPT(M47,$E47,$BU47,0,$BP47,$BS47,$BT47,$A47-Inputs!$D$1,1,1))*(8*VLOOKUP($A47,NumberofDaysTable,4))),0))</f>
        <v>27.63960716276987</v>
      </c>
      <c r="AB47" s="306">
        <f ca="1">IF($A47="N/A"," ",IF(U47&lt;&gt;0,IF('Pricing Inputs'!$AN$3=2,8*VLOOKUP($A47,NumberofDaysTable,4),(_xll.xSPRDOPT(N47,$E47,$BU47,0,$BP47,$BS47,$BT47,$A47-Inputs!$D$1,1,1))*(8*VLOOKUP($A47,NumberofDaysTable,4))),0))</f>
        <v>23.032301744132546</v>
      </c>
      <c r="AC47" s="306">
        <f t="shared" ca="1" si="21"/>
        <v>0</v>
      </c>
      <c r="AD47" s="274">
        <f t="shared" ca="1" si="89"/>
        <v>2</v>
      </c>
      <c r="AE47" s="275">
        <f t="shared" ca="1" si="90"/>
        <v>3</v>
      </c>
      <c r="AF47" s="275">
        <f t="shared" ca="1" si="91"/>
        <v>7</v>
      </c>
      <c r="AG47" s="275">
        <f t="shared" ca="1" si="92"/>
        <v>9</v>
      </c>
      <c r="AH47" s="275">
        <f t="shared" ca="1" si="93"/>
        <v>11</v>
      </c>
      <c r="AI47" s="275">
        <f t="shared" ca="1" si="94"/>
        <v>14</v>
      </c>
      <c r="AJ47" s="276">
        <f t="shared" ca="1" si="95"/>
        <v>73</v>
      </c>
      <c r="AK47" s="314">
        <f t="shared" ca="1" si="43"/>
        <v>165.51226555646858</v>
      </c>
      <c r="AL47" s="315">
        <f t="shared" ca="1" si="44"/>
        <v>157.52813570040658</v>
      </c>
      <c r="AM47" s="315">
        <f t="shared" ca="1" si="45"/>
        <v>26.446201295795621</v>
      </c>
      <c r="AN47" s="315">
        <f t="shared" ca="1" si="46"/>
        <v>23.58178799363175</v>
      </c>
      <c r="AO47" s="315">
        <f t="shared" ca="1" si="47"/>
        <v>27.63960716276987</v>
      </c>
      <c r="AP47" s="315">
        <f t="shared" ca="1" si="48"/>
        <v>23.032301744132546</v>
      </c>
      <c r="AQ47" s="315">
        <f t="shared" ca="1" si="49"/>
        <v>0</v>
      </c>
      <c r="AR47" s="276"/>
      <c r="AS47" s="321">
        <f t="shared" ca="1" si="82"/>
        <v>0</v>
      </c>
      <c r="AT47" s="324">
        <f t="shared" ca="1" si="83"/>
        <v>0</v>
      </c>
      <c r="AU47" s="324">
        <f t="shared" ca="1" si="84"/>
        <v>0</v>
      </c>
      <c r="AV47" s="324">
        <f t="shared" ca="1" si="85"/>
        <v>0</v>
      </c>
      <c r="AW47" s="324">
        <f t="shared" ca="1" si="86"/>
        <v>0</v>
      </c>
      <c r="AX47" s="324">
        <f t="shared" ca="1" si="87"/>
        <v>0</v>
      </c>
      <c r="AY47" s="324">
        <f t="shared" ca="1" si="88"/>
        <v>0</v>
      </c>
      <c r="AZ47" s="276"/>
      <c r="BA47" s="267">
        <f ca="1">IF($A47="N/A"," ",(IF(MONTH(A47)&gt;=4,IF(MONTH(A47)&lt;=10,Inputs!$F$13,Inputs!$F$14),Inputs!$F$14))*$BW47)</f>
        <v>180</v>
      </c>
      <c r="BB47" s="268">
        <f t="shared" ca="1" si="64"/>
        <v>1372781.053973492</v>
      </c>
      <c r="BC47" s="268">
        <f t="shared" ca="1" si="65"/>
        <v>960185.37581083202</v>
      </c>
      <c r="BD47" s="268">
        <f t="shared" ca="1" si="31"/>
        <v>116614.37192048268</v>
      </c>
      <c r="BE47" s="268">
        <f t="shared" ca="1" si="32"/>
        <v>75512.515888927723</v>
      </c>
      <c r="BF47" s="268">
        <f t="shared" ca="1" si="33"/>
        <v>76806.317585332799</v>
      </c>
      <c r="BG47" s="268">
        <f t="shared" ca="1" si="34"/>
        <v>46377.473766622606</v>
      </c>
      <c r="BH47" s="268">
        <f t="shared" ca="1" si="41"/>
        <v>0</v>
      </c>
      <c r="BI47" s="268">
        <f t="shared" ca="1" si="36"/>
        <v>2648277.1089456896</v>
      </c>
      <c r="BJ47" s="296">
        <f t="shared" ca="1" si="37"/>
        <v>2282458.0546912132</v>
      </c>
      <c r="BK47" s="296">
        <f t="shared" ca="1" si="38"/>
        <v>2129911.5468880595</v>
      </c>
      <c r="BL47" s="296">
        <f t="shared" ca="1" si="39"/>
        <v>152546.50780315377</v>
      </c>
      <c r="BM47" s="296">
        <f t="shared" ca="1" si="40"/>
        <v>0</v>
      </c>
      <c r="BN47" s="405">
        <f>IF(A47="N/A"," ",(VLOOKUP(A47,PowerVolTable,(IF('Pricing Inputs'!$AT$3=2,7,IF('Pricing Inputs'!$AT$3=1,6,8))),FALSE)))</f>
        <v>0.34299286874999996</v>
      </c>
      <c r="BO47" s="405">
        <f>IF(A47="N/A"," ",(VLOOKUP(A47,IntraPowerVol,(IF('Pricing Inputs'!$AT$3=2,3,IF('Pricing Inputs'!$AT$3=1,2,4))),FALSE)*VLOOKUP(MONTH($A47),Inputs!$A$28:$B$39,2)))</f>
        <v>3.4499999999999997</v>
      </c>
      <c r="BP47" s="406">
        <f t="shared" ca="1" si="15"/>
        <v>0.47541123171132504</v>
      </c>
      <c r="BQ47" s="405">
        <f ca="1">IF($A47="N/A"," ",(VLOOKUP($A47,GasVolTable,(IF('Pricing Inputs'!$AT$3=2,6,IF('Pricing Inputs'!$AT$3=1,7,5))),FALSE)))</f>
        <v>0.1646</v>
      </c>
      <c r="BR47" s="405">
        <f ca="1">IF($A47="N/A"," ",(VLOOKUP($A47,OmicronVol,(IF('Pricing Inputs'!$AT$3=2,3,IF('Pricing Inputs'!$AT$3=1,4,2))),FALSE)))</f>
        <v>0.6</v>
      </c>
      <c r="BS47" s="406">
        <f ca="1">IF($A47="N/A"," ",IF('Pricing Inputs'!$AN$3=1,(IF(DateToday&gt;$A47,$BR47,((($BQ47^2)*((($A47-1)-DateToday)/((EOMONTH($A47,0)+1)-DateToday-15)))+((($BR47)^2)*((15)/((EOMONTH($A47,0)+1)-DateToday-15))))^0.5)),0.0001))</f>
        <v>0.17356652029543226</v>
      </c>
      <c r="BT47" s="405">
        <f>IF($A47="N/A"," ",IF('Pricing Inputs'!$AN$3=1,(VLOOKUP($A47,CorrelationTable,2,FALSE)),0))</f>
        <v>0.9</v>
      </c>
      <c r="BU47" s="407">
        <f ca="1">IF($A47="N/A"," ",F47+G47+(D47*(VLOOKUP($A47,'Gas Curves'!$B$17:$P$310,14,FALSE))))</f>
        <v>2.6825000000000001</v>
      </c>
      <c r="BV47" s="405">
        <f>IF($A47="N/A"," ",IF('Pricing Inputs'!$AW$3=1,0,(VLOOKUP($A47,InterestRatesTable,2))))</f>
        <v>0</v>
      </c>
      <c r="BW47" s="408">
        <f t="shared" ca="1" si="16"/>
        <v>1</v>
      </c>
    </row>
    <row r="48" spans="1:75">
      <c r="A48" s="248">
        <f>IF(A47="N/A","N/A",IF(EDATE(A47,1)&gt;Inputs!$K$3,"N/A",EDATE(A47,1)))</f>
        <v>38231</v>
      </c>
      <c r="B48" s="262">
        <f t="shared" si="17"/>
        <v>2004</v>
      </c>
      <c r="C48" s="249">
        <f t="shared" ca="1" si="18"/>
        <v>2.6658750000000002</v>
      </c>
      <c r="D48" s="250">
        <f>IF(A48="N/A"," ",(VLOOKUP(MONTH($A48),Inputs!$A$14:$B$25,2))/1000)</f>
        <v>10.5</v>
      </c>
      <c r="E48" s="304">
        <f t="shared" ca="1" si="19"/>
        <v>27.991687500000001</v>
      </c>
      <c r="F48" s="251">
        <f>IF(A48="N/A"," ",Inputs!$F$6)</f>
        <v>2</v>
      </c>
      <c r="G48" s="251">
        <f ca="1">IF(A48="N/A"," ",Inputs!$F$9/IF(AND('Pricing Inputs'!$AQ$3&gt;=4,'Pricing Inputs'!$AQ$3&lt;=6),16,IF(AND('Pricing Inputs'!$AQ$3&gt;=7,'Pricing Inputs'!$AQ$3&lt;=9),8,24))/(BA48/BW48))</f>
        <v>0</v>
      </c>
      <c r="H48" s="252">
        <f t="shared" ca="1" si="20"/>
        <v>29.991687500000001</v>
      </c>
      <c r="I48" s="255">
        <f>VLOOKUP(A48,ScaledPrice,(IF(AND('Pricing Inputs'!$AQ$3&gt;=1,'Pricing Inputs'!$AQ$3&lt;=6),2,4)))</f>
        <v>35.801828319264665</v>
      </c>
      <c r="J48" s="255">
        <f>IF(A48="N/A"," ",IF(AND('Pricing Inputs'!$AQ$3&gt;=1,'Pricing Inputs'!$AQ$3&lt;=6),I48,(VLOOKUP(A48,ScaledPrice,2))*(2-(VLOOKUP(A48,ScaledPrice,3)))))</f>
        <v>29.498171680735329</v>
      </c>
      <c r="K48" s="255">
        <f>IF(A48="N/A"," ",IF(OR('Pricing Inputs'!$AQ$3=2,'Pricing Inputs'!$AQ$3=3,'Pricing Inputs'!$AQ$3=5,'Pricing Inputs'!$AQ$3=6,'Pricing Inputs'!$AQ$3=8,'Pricing Inputs'!$AQ$3=9),VLOOKUP(A48,ScaledPrice,IF(AND('Pricing Inputs'!$AQ$3&gt;=2,'Pricing Inputs'!$AQ$3&lt;=6),5,6)),0))</f>
        <v>25.335412351317611</v>
      </c>
      <c r="L48" s="255">
        <f>IF(A48="N/A"," ",IF(OR('Pricing Inputs'!$AQ$3=2,'Pricing Inputs'!$AQ$3=3,'Pricing Inputs'!$AQ$3=5,'Pricing Inputs'!$AQ$3=6,'Pricing Inputs'!$AQ$3=8,'Pricing Inputs'!$AQ$3=9),IF(AND('Pricing Inputs'!$AQ$3&gt;=2,'Pricing Inputs'!$AQ$3&lt;=6),K48,(VLOOKUP(A48,ScaledPrice,5))*(2-(VLOOKUP(A48,ScaledPrice,3)))),0))</f>
        <v>20.874585970215588</v>
      </c>
      <c r="M48" s="255">
        <f>IF(A48="N/A"," ",IF(OR('Pricing Inputs'!$AQ$3=3,'Pricing Inputs'!$AQ$3=6,'Pricing Inputs'!$AQ$3=9),(VLOOKUP(A48,ScaledPrice,IF(AND('Pricing Inputs'!$AQ$3&gt;=3,'Pricing Inputs'!$AQ$3&lt;=6),7,8))),0))</f>
        <v>25.878197498764049</v>
      </c>
      <c r="N48" s="255">
        <f>IF(A48="N/A"," ",IF(OR('Pricing Inputs'!$AQ$3=3,'Pricing Inputs'!$AQ$3=6,'Pricing Inputs'!$AQ$3=9),IF(AND('Pricing Inputs'!$AQ$3&gt;=3,'Pricing Inputs'!$AQ$3&lt;=6),M48,(VLOOKUP(A48,ScaledPrice,7))*(2-(VLOOKUP(A48,ScaledPrice,3)))),0))</f>
        <v>21.321802501235954</v>
      </c>
      <c r="O48" s="255">
        <f>IF(A48="N/A"," ",IF(AND('Pricing Inputs'!$AQ$3&gt;=1,'Pricing Inputs'!$AQ$3&lt;=3),VLOOKUP(A48,ScaledPrice,9),0))</f>
        <v>0</v>
      </c>
      <c r="P48" s="320">
        <f ca="1">IF($A48="N/A"," ",IF('Pricing Inputs'!$AN$8=2,(I48-H48),IF('Pricing Inputs'!$AN$3=2,IF((I48-$H48)&gt;0,I48-$H48,0),(_xll.xSPRDOPT(I48,$E48,$BU48,0,$BP48,$BS48,$BT48,($A48-Inputs!$D$1)+15,1,0)))))</f>
        <v>7.3561329344813524</v>
      </c>
      <c r="Q48" s="320">
        <f ca="1">IF($A48="N/A"," ",IF('Pricing Inputs'!$AN$8=2,(J48-$H48),IF('Pricing Inputs'!$AN$3=2,IF((J48-$H48)&gt;0,J48-$H48,0),(_xll.xSPRDOPT(J48,$E48,$BU48,0,$BP48,$BS48,$BT48,($A48-Inputs!$D$1)+15,1,0)))))</f>
        <v>3.3405373604885717</v>
      </c>
      <c r="R48" s="320">
        <f ca="1">IF($A48="N/A"," ",IF('Pricing Inputs'!$AN$8=2,(K48-$H48),IF('Pricing Inputs'!$AN$3=2,IF((K48-$H48)&gt;0,K48-$H48,0),(_xll.xSPRDOPT(K48,$E48,$BU48,0,$BP48,$BS48,$BT48,($A48-Inputs!$D$1)+15,1,0)))))</f>
        <v>1.5517352410001057</v>
      </c>
      <c r="S48" s="320">
        <f ca="1">IF($A48="N/A"," ",IF('Pricing Inputs'!$AN$8=2,(L48-$H48),IF('Pricing Inputs'!$AN$3=2,IF((L48-$H48)&gt;0,L48-$H48,0),(_xll.xSPRDOPT(L48,$E48,$BU48,0,$BP48,$BS48,$BT48,($A48-Inputs!$D$1)+15,1,0)))))</f>
        <v>0.47013920771222328</v>
      </c>
      <c r="T48" s="320">
        <f ca="1">IF($A48="N/A"," ",IF('Pricing Inputs'!$AN$8=2,(M48-$H48),IF('Pricing Inputs'!$AN$3=2,IF((M48-$H48)&gt;0,M48-$H48,0),(_xll.xSPRDOPT(M48,$E48,$BU48,0,$BP48,$BS48,$BT48,($A48-Inputs!$D$1)+15,1,0)))))</f>
        <v>1.7415389980994835</v>
      </c>
      <c r="U48" s="320">
        <f ca="1">IF($A48="N/A"," ",IF('Pricing Inputs'!$AN$8=2,(N48-$H48),IF('Pricing Inputs'!$AN$3=2,IF((N48-$H48)&gt;0,N48-$H48,0),(_xll.xSPRDOPT(N48,$E48,$BU48,0,$BP48,$BS48,$BT48,($A48-Inputs!$D$1)+15,1,0)))))</f>
        <v>0.54268633604377192</v>
      </c>
      <c r="V48" s="259">
        <f ca="1">IF($A48="N/A"," ",(IF('Pricing Inputs'!$AN$8=2,(O48-$H48),IF((O48-$H48)&lt;=0,0,(O48-$H48)))))</f>
        <v>0</v>
      </c>
      <c r="W48" s="306">
        <f ca="1">IF($A48="N/A"," ",IF(0&lt;&gt;P48,IF('Pricing Inputs'!$AN$3=2,8*VLOOKUP($A48,NumberofDaysTable,2),(_xll.xSPRDOPT(I48,$E48,$BU48,0,$BP48,$BS48,$BT48,$A48-Inputs!$D$1,1,1))*(8*VLOOKUP($A48,NumberofDaysTable,2))),0))</f>
        <v>124.32399247217903</v>
      </c>
      <c r="X48" s="306">
        <f ca="1">IF($A48="N/A"," ",IF(Q48&lt;&gt;0,IF('Pricing Inputs'!$AN$3=2,8*VLOOKUP($A48,NumberofDaysTable,2),(_xll.xSPRDOPT(J48,$E48,$BU48,0,$BP48,$BS48,$BT48,$A48-Inputs!$D$1,1,1))*(8*VLOOKUP($A48,NumberofDaysTable,2))),0))</f>
        <v>87.217082772241696</v>
      </c>
      <c r="Y48" s="306">
        <f ca="1">IF($A48="N/A"," ",IF(R48&lt;&gt;0,IF('Pricing Inputs'!$AN$3=2,8*VLOOKUP($A48,NumberofDaysTable,3),(_xll.xSPRDOPT(K48,$E48,$BU48,0,$BP48,$BS48,$BT48,$A48-Inputs!$D$1,1,1))*(8*VLOOKUP($A48,NumberofDaysTable,3))),0))</f>
        <v>10.762684849083843</v>
      </c>
      <c r="Z48" s="306">
        <f ca="1">IF($A48="N/A"," ",IF(S48&lt;&gt;0,IF('Pricing Inputs'!$AN$3=2,8*VLOOKUP($A48,NumberofDaysTable,3),(_xll.xSPRDOPT(L48,$E48,$BU48,0,$BP48,$BS48,$BT48,$A48-Inputs!$D$1,1,1))*(8*VLOOKUP($A48,NumberofDaysTable,3))),0))</f>
        <v>4.8880285237006316</v>
      </c>
      <c r="AA48" s="306">
        <f ca="1">IF($A48="N/A"," ",IF(T48&lt;&gt;0,IF('Pricing Inputs'!$AN$3=2,8*VLOOKUP($A48,NumberofDaysTable,4),(_xll.xSPRDOPT(M48,$E48,$BU48,0,$BP48,$BS48,$BT48,$A48-Inputs!$D$1,1,1))*(8*VLOOKUP($A48,NumberofDaysTable,4))),0))</f>
        <v>11.540010863491462</v>
      </c>
      <c r="AB48" s="306">
        <f ca="1">IF($A48="N/A"," ",IF(U48&lt;&gt;0,IF('Pricing Inputs'!$AN$3=2,8*VLOOKUP($A48,NumberofDaysTable,4),(_xll.xSPRDOPT(N48,$E48,$BU48,0,$BP48,$BS48,$BT48,$A48-Inputs!$D$1,1,1))*(8*VLOOKUP($A48,NumberofDaysTable,4))),0))</f>
        <v>5.4039334522941793</v>
      </c>
      <c r="AC48" s="306">
        <f t="shared" ca="1" si="21"/>
        <v>0</v>
      </c>
      <c r="AD48" s="274">
        <f t="shared" ca="1" si="89"/>
        <v>13</v>
      </c>
      <c r="AE48" s="275">
        <f t="shared" ca="1" si="90"/>
        <v>20</v>
      </c>
      <c r="AF48" s="275">
        <f t="shared" ca="1" si="91"/>
        <v>29</v>
      </c>
      <c r="AG48" s="275">
        <f t="shared" ca="1" si="92"/>
        <v>40</v>
      </c>
      <c r="AH48" s="275">
        <f t="shared" ca="1" si="93"/>
        <v>27</v>
      </c>
      <c r="AI48" s="275">
        <f t="shared" ca="1" si="94"/>
        <v>38</v>
      </c>
      <c r="AJ48" s="276">
        <f t="shared" ca="1" si="95"/>
        <v>73</v>
      </c>
      <c r="AK48" s="314">
        <f t="shared" ca="1" si="43"/>
        <v>124.32399247217903</v>
      </c>
      <c r="AL48" s="315">
        <f t="shared" ca="1" si="44"/>
        <v>87.217082772241696</v>
      </c>
      <c r="AM48" s="315">
        <f t="shared" ca="1" si="45"/>
        <v>10.762684849083843</v>
      </c>
      <c r="AN48" s="315">
        <f t="shared" ca="1" si="46"/>
        <v>4.8880285237006316</v>
      </c>
      <c r="AO48" s="315">
        <f t="shared" ca="1" si="47"/>
        <v>11.540010863491462</v>
      </c>
      <c r="AP48" s="315">
        <f t="shared" ca="1" si="48"/>
        <v>5.4039334522941793</v>
      </c>
      <c r="AQ48" s="315">
        <f t="shared" ca="1" si="49"/>
        <v>0</v>
      </c>
      <c r="AR48" s="276"/>
      <c r="AS48" s="321">
        <f t="shared" ca="1" si="82"/>
        <v>0</v>
      </c>
      <c r="AT48" s="324">
        <f t="shared" ca="1" si="83"/>
        <v>0</v>
      </c>
      <c r="AU48" s="324">
        <f t="shared" ca="1" si="84"/>
        <v>0</v>
      </c>
      <c r="AV48" s="324">
        <f t="shared" ca="1" si="85"/>
        <v>0</v>
      </c>
      <c r="AW48" s="324">
        <f t="shared" ca="1" si="86"/>
        <v>0</v>
      </c>
      <c r="AX48" s="324">
        <f t="shared" ca="1" si="87"/>
        <v>0</v>
      </c>
      <c r="AY48" s="324">
        <f t="shared" ca="1" si="88"/>
        <v>0</v>
      </c>
      <c r="AZ48" s="276"/>
      <c r="BA48" s="267">
        <f ca="1">IF($A48="N/A"," ",(IF(MONTH(A48)&gt;=4,IF(MONTH(A48)&lt;=10,Inputs!$F$13,Inputs!$F$14),Inputs!$F$14))*$BW48)</f>
        <v>180</v>
      </c>
      <c r="BB48" s="268">
        <f t="shared" ca="1" si="64"/>
        <v>222449.45993871609</v>
      </c>
      <c r="BC48" s="268">
        <f t="shared" ca="1" si="65"/>
        <v>101017.84978117442</v>
      </c>
      <c r="BD48" s="268">
        <f t="shared" ca="1" si="31"/>
        <v>8937.9949881606099</v>
      </c>
      <c r="BE48" s="268">
        <f t="shared" ca="1" si="32"/>
        <v>2708.0018364224061</v>
      </c>
      <c r="BF48" s="268">
        <f t="shared" ca="1" si="33"/>
        <v>12539.080786316281</v>
      </c>
      <c r="BG48" s="268">
        <f t="shared" ca="1" si="34"/>
        <v>3907.3416195151576</v>
      </c>
      <c r="BH48" s="268">
        <f t="shared" ca="1" si="41"/>
        <v>0</v>
      </c>
      <c r="BI48" s="268">
        <f t="shared" ca="1" si="36"/>
        <v>351559.72895030497</v>
      </c>
      <c r="BJ48" s="296">
        <f t="shared" ca="1" si="37"/>
        <v>1317967.6697477496</v>
      </c>
      <c r="BK48" s="296">
        <f t="shared" ca="1" si="38"/>
        <v>1230078.8058918728</v>
      </c>
      <c r="BL48" s="296">
        <f t="shared" ca="1" si="39"/>
        <v>87888.863855876698</v>
      </c>
      <c r="BM48" s="296">
        <f t="shared" ca="1" si="40"/>
        <v>0</v>
      </c>
      <c r="BN48" s="405">
        <f>IF(A48="N/A"," ",(VLOOKUP(A48,PowerVolTable,(IF('Pricing Inputs'!$AT$3=2,7,IF('Pricing Inputs'!$AT$3=1,6,8))),FALSE)))</f>
        <v>0.22724724374999999</v>
      </c>
      <c r="BO48" s="405">
        <f>IF(A48="N/A"," ",(VLOOKUP(A48,IntraPowerVol,(IF('Pricing Inputs'!$AT$3=2,3,IF('Pricing Inputs'!$AT$3=1,2,4))),FALSE)*VLOOKUP(MONTH($A48),Inputs!$A$28:$B$39,2)))</f>
        <v>1.7249999999999999</v>
      </c>
      <c r="BP48" s="406">
        <f t="shared" ca="1" si="15"/>
        <v>0.27937009032971249</v>
      </c>
      <c r="BQ48" s="405">
        <f ca="1">IF($A48="N/A"," ",(VLOOKUP($A48,GasVolTable,(IF('Pricing Inputs'!$AT$3=2,6,IF('Pricing Inputs'!$AT$3=1,7,5))),FALSE)))</f>
        <v>0.1643</v>
      </c>
      <c r="BR48" s="405">
        <f ca="1">IF($A48="N/A"," ",(VLOOKUP($A48,OmicronVol,(IF('Pricing Inputs'!$AT$3=2,3,IF('Pricing Inputs'!$AT$3=1,4,2))),FALSE)))</f>
        <v>0.6</v>
      </c>
      <c r="BS48" s="406">
        <f ca="1">IF($A48="N/A"," ",IF('Pricing Inputs'!$AN$3=1,(IF(DateToday&gt;$A48,$BR48,((($BQ48^2)*((($A48-1)-DateToday)/((EOMONTH($A48,0)+1)-DateToday-15)))+((($BR48)^2)*((15)/((EOMONTH($A48,0)+1)-DateToday-15))))^0.5)),0.0001))</f>
        <v>0.17317366481556601</v>
      </c>
      <c r="BT48" s="405">
        <f>IF($A48="N/A"," ",IF('Pricing Inputs'!$AN$3=1,(VLOOKUP($A48,CorrelationTable,2,FALSE)),0))</f>
        <v>0.9</v>
      </c>
      <c r="BU48" s="407">
        <f ca="1">IF($A48="N/A"," ",F48+G48+(D48*(VLOOKUP($A48,'Gas Curves'!$B$17:$P$310,14,FALSE))))</f>
        <v>2.6825000000000001</v>
      </c>
      <c r="BV48" s="405">
        <f>IF($A48="N/A"," ",IF('Pricing Inputs'!$AW$3=1,0,(VLOOKUP($A48,InterestRatesTable,2))))</f>
        <v>0</v>
      </c>
      <c r="BW48" s="408">
        <f t="shared" ca="1" si="16"/>
        <v>1</v>
      </c>
    </row>
    <row r="49" spans="1:75">
      <c r="A49" s="248">
        <f>IF(A48="N/A","N/A",IF(EDATE(A48,1)&gt;Inputs!$K$3,"N/A",EDATE(A48,1)))</f>
        <v>38261</v>
      </c>
      <c r="B49" s="262">
        <f t="shared" si="17"/>
        <v>2004</v>
      </c>
      <c r="C49" s="249">
        <f t="shared" ca="1" si="18"/>
        <v>2.691875</v>
      </c>
      <c r="D49" s="250">
        <f>IF(A49="N/A"," ",(VLOOKUP(MONTH($A49),Inputs!$A$14:$B$25,2))/1000)</f>
        <v>10.5</v>
      </c>
      <c r="E49" s="304">
        <f t="shared" ca="1" si="19"/>
        <v>28.264687500000001</v>
      </c>
      <c r="F49" s="251">
        <f>IF(A49="N/A"," ",Inputs!$F$6)</f>
        <v>2</v>
      </c>
      <c r="G49" s="251">
        <f ca="1">IF(A49="N/A"," ",Inputs!$F$9/IF(AND('Pricing Inputs'!$AQ$3&gt;=4,'Pricing Inputs'!$AQ$3&lt;=6),16,IF(AND('Pricing Inputs'!$AQ$3&gt;=7,'Pricing Inputs'!$AQ$3&lt;=9),8,24))/(BA49/BW49))</f>
        <v>0</v>
      </c>
      <c r="H49" s="252">
        <f t="shared" ca="1" si="20"/>
        <v>30.264687500000001</v>
      </c>
      <c r="I49" s="255">
        <f>VLOOKUP(A49,ScaledPrice,(IF(AND('Pricing Inputs'!$AQ$3&gt;=1,'Pricing Inputs'!$AQ$3&lt;=6),2,4)))</f>
        <v>30.002520000000001</v>
      </c>
      <c r="J49" s="255">
        <f>IF(A49="N/A"," ",IF(AND('Pricing Inputs'!$AQ$3&gt;=1,'Pricing Inputs'!$AQ$3&lt;=6),I49,(VLOOKUP(A49,ScaledPrice,2))*(2-(VLOOKUP(A49,ScaledPrice,3)))))</f>
        <v>30.797479999999997</v>
      </c>
      <c r="K49" s="255">
        <f>IF(A49="N/A"," ",IF(OR('Pricing Inputs'!$AQ$3=2,'Pricing Inputs'!$AQ$3=3,'Pricing Inputs'!$AQ$3=5,'Pricing Inputs'!$AQ$3=6,'Pricing Inputs'!$AQ$3=8,'Pricing Inputs'!$AQ$3=9),VLOOKUP(A49,ScaledPrice,IF(AND('Pricing Inputs'!$AQ$3&gt;=2,'Pricing Inputs'!$AQ$3&lt;=6),5,6)),0))</f>
        <v>22.897153567914962</v>
      </c>
      <c r="L49" s="255">
        <f>IF(A49="N/A"," ",IF(OR('Pricing Inputs'!$AQ$3=2,'Pricing Inputs'!$AQ$3=3,'Pricing Inputs'!$AQ$3=5,'Pricing Inputs'!$AQ$3=6,'Pricing Inputs'!$AQ$3=8,'Pricing Inputs'!$AQ$3=9),IF(AND('Pricing Inputs'!$AQ$3&gt;=2,'Pricing Inputs'!$AQ$3&lt;=6),K49,(VLOOKUP(A49,ScaledPrice,5))*(2-(VLOOKUP(A49,ScaledPrice,3)))),0))</f>
        <v>23.50384664570808</v>
      </c>
      <c r="M49" s="255">
        <f>IF(A49="N/A"," ",IF(OR('Pricing Inputs'!$AQ$3=3,'Pricing Inputs'!$AQ$3=6,'Pricing Inputs'!$AQ$3=9),(VLOOKUP(A49,ScaledPrice,IF(AND('Pricing Inputs'!$AQ$3&gt;=3,'Pricing Inputs'!$AQ$3&lt;=6),7,8))),0))</f>
        <v>20.923796759347915</v>
      </c>
      <c r="N49" s="255">
        <f>IF(A49="N/A"," ",IF(OR('Pricing Inputs'!$AQ$3=3,'Pricing Inputs'!$AQ$3=6,'Pricing Inputs'!$AQ$3=9),IF(AND('Pricing Inputs'!$AQ$3&gt;=3,'Pricing Inputs'!$AQ$3&lt;=6),M49,(VLOOKUP(A49,ScaledPrice,7))*(2-(VLOOKUP(A49,ScaledPrice,3)))),0))</f>
        <v>21.478202904958721</v>
      </c>
      <c r="O49" s="255">
        <f>IF(A49="N/A"," ",IF(AND('Pricing Inputs'!$AQ$3&gt;=1,'Pricing Inputs'!$AQ$3&lt;=3),VLOOKUP(A49,ScaledPrice,9),0))</f>
        <v>0</v>
      </c>
      <c r="P49" s="320">
        <f ca="1">IF($A49="N/A"," ",IF('Pricing Inputs'!$AN$8=2,(I49-H49),IF('Pricing Inputs'!$AN$3=2,IF((I49-$H49)&gt;0,I49-$H49,0),(_xll.xSPRDOPT(I49,$E49,$BU49,0,$BP49,$BS49,$BT49,($A49-Inputs!$D$1)+15,1,0)))))</f>
        <v>2.6183183059510529</v>
      </c>
      <c r="Q49" s="320">
        <f ca="1">IF($A49="N/A"," ",IF('Pricing Inputs'!$AN$8=2,(J49-$H49),IF('Pricing Inputs'!$AN$3=2,IF((J49-$H49)&gt;0,J49-$H49,0),(_xll.xSPRDOPT(J49,$E49,$BU49,0,$BP49,$BS49,$BT49,($A49-Inputs!$D$1)+15,1,0)))))</f>
        <v>3.0350168101514217</v>
      </c>
      <c r="R49" s="320">
        <f ca="1">IF($A49="N/A"," ",IF('Pricing Inputs'!$AN$8=2,(K49-$H49),IF('Pricing Inputs'!$AN$3=2,IF((K49-$H49)&gt;0,K49-$H49,0),(_xll.xSPRDOPT(K49,$E49,$BU49,0,$BP49,$BS49,$BT49,($A49-Inputs!$D$1)+15,1,0)))))</f>
        <v>0.37692268481625307</v>
      </c>
      <c r="S49" s="320">
        <f ca="1">IF($A49="N/A"," ",IF('Pricing Inputs'!$AN$8=2,(L49-$H49),IF('Pricing Inputs'!$AN$3=2,IF((L49-$H49)&gt;0,L49-$H49,0),(_xll.xSPRDOPT(L49,$E49,$BU49,0,$BP49,$BS49,$BT49,($A49-Inputs!$D$1)+15,1,0)))))</f>
        <v>0.47121033367147408</v>
      </c>
      <c r="T49" s="320">
        <f ca="1">IF($A49="N/A"," ",IF('Pricing Inputs'!$AN$8=2,(M49-$H49),IF('Pricing Inputs'!$AN$3=2,IF((M49-$H49)&gt;0,M49-$H49,0),(_xll.xSPRDOPT(M49,$E49,$BU49,0,$BP49,$BS49,$BT49,($A49-Inputs!$D$1)+15,1,0)))))</f>
        <v>0.16376935012480784</v>
      </c>
      <c r="U49" s="320">
        <f ca="1">IF($A49="N/A"," ",IF('Pricing Inputs'!$AN$8=2,(N49-$H49),IF('Pricing Inputs'!$AN$3=2,IF((N49-$H49)&gt;0,N49-$H49,0),(_xll.xSPRDOPT(N49,$E49,$BU49,0,$BP49,$BS49,$BT49,($A49-Inputs!$D$1)+15,1,0)))))</f>
        <v>0.21077072418273921</v>
      </c>
      <c r="V49" s="259">
        <f ca="1">IF($A49="N/A"," ",(IF('Pricing Inputs'!$AN$8=2,(O49-$H49),IF((O49-$H49)&lt;=0,0,(O49-$H49)))))</f>
        <v>0</v>
      </c>
      <c r="W49" s="306">
        <f ca="1">IF($A49="N/A"," ",IF(0&lt;&gt;P49,IF('Pricing Inputs'!$AN$3=2,8*VLOOKUP($A49,NumberofDaysTable,2),(_xll.xSPRDOPT(I49,$E49,$BU49,0,$BP49,$BS49,$BT49,$A49-Inputs!$D$1,1,1))*(8*VLOOKUP($A49,NumberofDaysTable,2))),0))</f>
        <v>84.505591454661101</v>
      </c>
      <c r="X49" s="306">
        <f ca="1">IF($A49="N/A"," ",IF(Q49&lt;&gt;0,IF('Pricing Inputs'!$AN$3=2,8*VLOOKUP($A49,NumberofDaysTable,2),(_xll.xSPRDOPT(J49,$E49,$BU49,0,$BP49,$BS49,$BT49,$A49-Inputs!$D$1,1,1))*(8*VLOOKUP($A49,NumberofDaysTable,2))),0))</f>
        <v>91.458601444211297</v>
      </c>
      <c r="Y49" s="306">
        <f ca="1">IF($A49="N/A"," ",IF(R49&lt;&gt;0,IF('Pricing Inputs'!$AN$3=2,8*VLOOKUP($A49,NumberofDaysTable,3),(_xll.xSPRDOPT(K49,$E49,$BU49,0,$BP49,$BS49,$BT49,$A49-Inputs!$D$1,1,1))*(8*VLOOKUP($A49,NumberofDaysTable,3))),0))</f>
        <v>5.6715663125407811</v>
      </c>
      <c r="Z49" s="306">
        <f ca="1">IF($A49="N/A"," ",IF(S49&lt;&gt;0,IF('Pricing Inputs'!$AN$3=2,8*VLOOKUP($A49,NumberofDaysTable,3),(_xll.xSPRDOPT(L49,$E49,$BU49,0,$BP49,$BS49,$BT49,$A49-Inputs!$D$1,1,1))*(8*VLOOKUP($A49,NumberofDaysTable,3))),0))</f>
        <v>6.6665555495598205</v>
      </c>
      <c r="AA49" s="306">
        <f ca="1">IF($A49="N/A"," ",IF(T49&lt;&gt;0,IF('Pricing Inputs'!$AN$3=2,8*VLOOKUP($A49,NumberofDaysTable,4),(_xll.xSPRDOPT(M49,$E49,$BU49,0,$BP49,$BS49,$BT49,$A49-Inputs!$D$1,1,1))*(8*VLOOKUP($A49,NumberofDaysTable,4))),0))</f>
        <v>3.0293929231010668</v>
      </c>
      <c r="AB49" s="306">
        <f ca="1">IF($A49="N/A"," ",IF(U49&lt;&gt;0,IF('Pricing Inputs'!$AN$3=2,8*VLOOKUP($A49,NumberofDaysTable,4),(_xll.xSPRDOPT(N49,$E49,$BU49,0,$BP49,$BS49,$BT49,$A49-Inputs!$D$1,1,1))*(8*VLOOKUP($A49,NumberofDaysTable,4))),0))</f>
        <v>3.6755436416025944</v>
      </c>
      <c r="AC49" s="306">
        <f t="shared" ca="1" si="21"/>
        <v>0</v>
      </c>
      <c r="AD49" s="274">
        <f t="shared" ca="1" si="89"/>
        <v>22</v>
      </c>
      <c r="AE49" s="275">
        <f t="shared" ca="1" si="90"/>
        <v>21</v>
      </c>
      <c r="AF49" s="275">
        <f t="shared" ca="1" si="91"/>
        <v>43</v>
      </c>
      <c r="AG49" s="275">
        <f t="shared" ca="1" si="92"/>
        <v>39</v>
      </c>
      <c r="AH49" s="275">
        <f t="shared" ca="1" si="93"/>
        <v>55</v>
      </c>
      <c r="AI49" s="275">
        <f t="shared" ca="1" si="94"/>
        <v>53</v>
      </c>
      <c r="AJ49" s="276">
        <f t="shared" ca="1" si="95"/>
        <v>73</v>
      </c>
      <c r="AK49" s="314">
        <f t="shared" ca="1" si="43"/>
        <v>84.505591454661101</v>
      </c>
      <c r="AL49" s="315">
        <f t="shared" ca="1" si="44"/>
        <v>91.458601444211297</v>
      </c>
      <c r="AM49" s="315">
        <f t="shared" ca="1" si="45"/>
        <v>5.6715663125407811</v>
      </c>
      <c r="AN49" s="315">
        <f t="shared" ca="1" si="46"/>
        <v>6.6665555495598205</v>
      </c>
      <c r="AO49" s="315">
        <f t="shared" ca="1" si="47"/>
        <v>3.0293929231010668</v>
      </c>
      <c r="AP49" s="315">
        <f t="shared" ca="1" si="48"/>
        <v>3.6755436416025944</v>
      </c>
      <c r="AQ49" s="315">
        <f t="shared" ca="1" si="49"/>
        <v>0</v>
      </c>
      <c r="AR49" s="284" t="s">
        <v>1292</v>
      </c>
      <c r="AS49" s="321">
        <f t="shared" ca="1" si="82"/>
        <v>0</v>
      </c>
      <c r="AT49" s="324">
        <f t="shared" ca="1" si="83"/>
        <v>0</v>
      </c>
      <c r="AU49" s="324">
        <f t="shared" ca="1" si="84"/>
        <v>0</v>
      </c>
      <c r="AV49" s="324">
        <f t="shared" ca="1" si="85"/>
        <v>0</v>
      </c>
      <c r="AW49" s="324">
        <f t="shared" ca="1" si="86"/>
        <v>0</v>
      </c>
      <c r="AX49" s="324">
        <f t="shared" ca="1" si="87"/>
        <v>0</v>
      </c>
      <c r="AY49" s="324">
        <f t="shared" ca="1" si="88"/>
        <v>0</v>
      </c>
      <c r="AZ49" s="283" t="s">
        <v>1304</v>
      </c>
      <c r="BA49" s="267">
        <f ca="1">IF($A49="N/A"," ",(IF(MONTH(A49)&gt;=4,IF(MONTH(A49)&lt;=10,Inputs!$F$13,Inputs!$F$14),Inputs!$F$14))*$BW49)</f>
        <v>180</v>
      </c>
      <c r="BB49" s="268">
        <f t="shared" ca="1" si="64"/>
        <v>79177.945571959834</v>
      </c>
      <c r="BC49" s="268">
        <f t="shared" ca="1" si="65"/>
        <v>91778.908338978988</v>
      </c>
      <c r="BD49" s="268">
        <f t="shared" ca="1" si="31"/>
        <v>2713.8433306770221</v>
      </c>
      <c r="BE49" s="268">
        <f t="shared" ca="1" si="32"/>
        <v>3392.7144024346135</v>
      </c>
      <c r="BF49" s="268">
        <f t="shared" ca="1" si="33"/>
        <v>1179.1393208986165</v>
      </c>
      <c r="BG49" s="268">
        <f t="shared" ca="1" si="34"/>
        <v>1517.5492141157222</v>
      </c>
      <c r="BH49" s="268">
        <f t="shared" ca="1" si="41"/>
        <v>0</v>
      </c>
      <c r="BI49" s="268">
        <f t="shared" ca="1" si="36"/>
        <v>179760.10017906482</v>
      </c>
      <c r="BJ49" s="296">
        <f t="shared" ca="1" si="37"/>
        <v>1062330.0338890017</v>
      </c>
      <c r="BK49" s="296">
        <f t="shared" ca="1" si="38"/>
        <v>992127.42341175815</v>
      </c>
      <c r="BL49" s="296">
        <f t="shared" ca="1" si="39"/>
        <v>70202.610477243594</v>
      </c>
      <c r="BM49" s="296">
        <f t="shared" ca="1" si="40"/>
        <v>0</v>
      </c>
      <c r="BN49" s="405">
        <f>IF(A49="N/A"," ",(VLOOKUP(A49,PowerVolTable,(IF('Pricing Inputs'!$AT$3=2,7,IF('Pricing Inputs'!$AT$3=1,6,8))),FALSE)))</f>
        <v>0.20757048749999998</v>
      </c>
      <c r="BO49" s="405">
        <f>IF(A49="N/A"," ",(VLOOKUP(A49,IntraPowerVol,(IF('Pricing Inputs'!$AT$3=2,3,IF('Pricing Inputs'!$AT$3=1,2,4))),FALSE)*VLOOKUP(MONTH($A49),Inputs!$A$28:$B$39,2)))</f>
        <v>1.2649999999999999</v>
      </c>
      <c r="BP49" s="406">
        <f t="shared" ca="1" si="15"/>
        <v>0.23844345921674998</v>
      </c>
      <c r="BQ49" s="405">
        <f ca="1">IF($A49="N/A"," ",(VLOOKUP($A49,GasVolTable,(IF('Pricing Inputs'!$AT$3=2,6,IF('Pricing Inputs'!$AT$3=1,7,5))),FALSE)))</f>
        <v>0.16400000000000001</v>
      </c>
      <c r="BR49" s="405">
        <f ca="1">IF($A49="N/A"," ",(VLOOKUP($A49,OmicronVol,(IF('Pricing Inputs'!$AT$3=2,3,IF('Pricing Inputs'!$AT$3=1,4,2))),FALSE)))</f>
        <v>0.65</v>
      </c>
      <c r="BS49" s="406">
        <f ca="1">IF($A49="N/A"," ",IF('Pricing Inputs'!$AN$3=1,(IF(DateToday&gt;$A49,$BR49,((($BQ49^2)*((($A49-1)-DateToday)/((EOMONTH($A49,0)+1)-DateToday-15)))+((($BR49)^2)*((15)/((EOMONTH($A49,0)+1)-DateToday-15))))^0.5)),0.0001))</f>
        <v>0.17428553732513224</v>
      </c>
      <c r="BT49" s="405">
        <f>IF($A49="N/A"," ",IF('Pricing Inputs'!$AN$3=1,(VLOOKUP($A49,CorrelationTable,2,FALSE)),0))</f>
        <v>0.9</v>
      </c>
      <c r="BU49" s="407">
        <f ca="1">IF($A49="N/A"," ",F49+G49+(D49*(VLOOKUP($A49,'Gas Curves'!$B$17:$P$310,14,FALSE))))</f>
        <v>2.6825000000000001</v>
      </c>
      <c r="BV49" s="405">
        <f>IF($A49="N/A"," ",IF('Pricing Inputs'!$AW$3=1,0,(VLOOKUP($A49,InterestRatesTable,2))))</f>
        <v>0</v>
      </c>
      <c r="BW49" s="408">
        <f t="shared" ca="1" si="16"/>
        <v>1</v>
      </c>
    </row>
    <row r="50" spans="1:75">
      <c r="A50" s="248">
        <f>IF(A49="N/A","N/A",IF(EDATE(A49,1)&gt;Inputs!$K$3,"N/A",EDATE(A49,1)))</f>
        <v>38292</v>
      </c>
      <c r="B50" s="262">
        <f t="shared" si="17"/>
        <v>2004</v>
      </c>
      <c r="C50" s="249">
        <f t="shared" ca="1" si="18"/>
        <v>3.6025</v>
      </c>
      <c r="D50" s="250">
        <f>IF(A50="N/A"," ",(VLOOKUP(MONTH($A50),Inputs!$A$14:$B$25,2))/1000)</f>
        <v>10.5</v>
      </c>
      <c r="E50" s="304">
        <f t="shared" ca="1" si="19"/>
        <v>37.826250000000002</v>
      </c>
      <c r="F50" s="251">
        <f>IF(A50="N/A"," ",Inputs!$F$6)</f>
        <v>2</v>
      </c>
      <c r="G50" s="251">
        <f ca="1">IF(A50="N/A"," ",Inputs!$F$9/IF(AND('Pricing Inputs'!$AQ$3&gt;=4,'Pricing Inputs'!$AQ$3&lt;=6),16,IF(AND('Pricing Inputs'!$AQ$3&gt;=7,'Pricing Inputs'!$AQ$3&lt;=9),8,24))/(BA50/BW50))</f>
        <v>0</v>
      </c>
      <c r="H50" s="252">
        <f t="shared" ca="1" si="20"/>
        <v>39.826250000000002</v>
      </c>
      <c r="I50" s="255">
        <f>VLOOKUP(A50,ScaledPrice,(IF(AND('Pricing Inputs'!$AQ$3&gt;=1,'Pricing Inputs'!$AQ$3&lt;=6),2,4)))</f>
        <v>30.443399374999998</v>
      </c>
      <c r="J50" s="255">
        <f>IF(A50="N/A"," ",IF(AND('Pricing Inputs'!$AQ$3&gt;=1,'Pricing Inputs'!$AQ$3&lt;=6),I50,(VLOOKUP(A50,ScaledPrice,2))*(2-(VLOOKUP(A50,ScaledPrice,3)))))</f>
        <v>31.106600624999999</v>
      </c>
      <c r="K50" s="255">
        <f>IF(A50="N/A"," ",IF(OR('Pricing Inputs'!$AQ$3=2,'Pricing Inputs'!$AQ$3=3,'Pricing Inputs'!$AQ$3=5,'Pricing Inputs'!$AQ$3=6,'Pricing Inputs'!$AQ$3=8,'Pricing Inputs'!$AQ$3=9),VLOOKUP(A50,ScaledPrice,IF(AND('Pricing Inputs'!$AQ$3&gt;=2,'Pricing Inputs'!$AQ$3&lt;=6),5,6)),0))</f>
        <v>23.943945388565062</v>
      </c>
      <c r="L50" s="255">
        <f>IF(A50="N/A"," ",IF(OR('Pricing Inputs'!$AQ$3=2,'Pricing Inputs'!$AQ$3=3,'Pricing Inputs'!$AQ$3=5,'Pricing Inputs'!$AQ$3=6,'Pricing Inputs'!$AQ$3=8,'Pricing Inputs'!$AQ$3=9),IF(AND('Pricing Inputs'!$AQ$3&gt;=2,'Pricing Inputs'!$AQ$3&lt;=6),K50,(VLOOKUP(A50,ScaledPrice,5))*(2-(VLOOKUP(A50,ScaledPrice,3)))),0))</f>
        <v>24.465557785263059</v>
      </c>
      <c r="M50" s="255">
        <f>IF(A50="N/A"," ",IF(OR('Pricing Inputs'!$AQ$3=3,'Pricing Inputs'!$AQ$3=6,'Pricing Inputs'!$AQ$3=9),(VLOOKUP(A50,ScaledPrice,IF(AND('Pricing Inputs'!$AQ$3&gt;=3,'Pricing Inputs'!$AQ$3&lt;=6),7,8))),0))</f>
        <v>21.965246331367492</v>
      </c>
      <c r="N50" s="255">
        <f>IF(A50="N/A"," ",IF(OR('Pricing Inputs'!$AQ$3=3,'Pricing Inputs'!$AQ$3=6,'Pricing Inputs'!$AQ$3=9),IF(AND('Pricing Inputs'!$AQ$3&gt;=3,'Pricing Inputs'!$AQ$3&lt;=6),M50,(VLOOKUP(A50,ScaledPrice,7))*(2-(VLOOKUP(A50,ScaledPrice,3)))),0))</f>
        <v>22.443753302421566</v>
      </c>
      <c r="O50" s="255">
        <f>IF(A50="N/A"," ",IF(AND('Pricing Inputs'!$AQ$3&gt;=1,'Pricing Inputs'!$AQ$3&lt;=3),VLOOKUP(A50,ScaledPrice,9),0))</f>
        <v>0</v>
      </c>
      <c r="P50" s="320">
        <f ca="1">IF($A50="N/A"," ",IF('Pricing Inputs'!$AN$8=2,(I50-H50),IF('Pricing Inputs'!$AN$3=2,IF((I50-$H50)&gt;0,I50-$H50,0),(_xll.xSPRDOPT(I50,$E50,$BU50,0,$BP50,$BS50,$BT50,($A50-Inputs!$D$1)+15,1,0)))))</f>
        <v>0.58398273115049937</v>
      </c>
      <c r="Q50" s="320">
        <f ca="1">IF($A50="N/A"," ",IF('Pricing Inputs'!$AN$8=2,(J50-$H50),IF('Pricing Inputs'!$AN$3=2,IF((J50-$H50)&gt;0,J50-$H50,0),(_xll.xSPRDOPT(J50,$E50,$BU50,0,$BP50,$BS50,$BT50,($A50-Inputs!$D$1)+15,1,0)))))</f>
        <v>0.69757669350388862</v>
      </c>
      <c r="R50" s="320">
        <f ca="1">IF($A50="N/A"," ",IF('Pricing Inputs'!$AN$8=2,(K50-$H50),IF('Pricing Inputs'!$AN$3=2,IF((K50-$H50)&gt;0,K50-$H50,0),(_xll.xSPRDOPT(K50,$E50,$BU50,0,$BP50,$BS50,$BT50,($A50-Inputs!$D$1)+15,1,0)))))</f>
        <v>5.5113158547151493E-2</v>
      </c>
      <c r="S50" s="320">
        <f ca="1">IF($A50="N/A"," ",IF('Pricing Inputs'!$AN$8=2,(L50-$H50),IF('Pricing Inputs'!$AN$3=2,IF((L50-$H50)&gt;0,L50-$H50,0),(_xll.xSPRDOPT(L50,$E50,$BU50,0,$BP50,$BS50,$BT50,($A50-Inputs!$D$1)+15,1,0)))))</f>
        <v>7.0168981641237332E-2</v>
      </c>
      <c r="T50" s="320">
        <f ca="1">IF($A50="N/A"," ",IF('Pricing Inputs'!$AN$8=2,(M50-$H50),IF('Pricing Inputs'!$AN$3=2,IF((M50-$H50)&gt;0,M50-$H50,0),(_xll.xSPRDOPT(M50,$E50,$BU50,0,$BP50,$BS50,$BT50,($A50-Inputs!$D$1)+15,1,0)))))</f>
        <v>1.9713661248084276E-2</v>
      </c>
      <c r="U50" s="320">
        <f ca="1">IF($A50="N/A"," ",IF('Pricing Inputs'!$AN$8=2,(N50-$H50),IF('Pricing Inputs'!$AN$3=2,IF((N50-$H50)&gt;0,N50-$H50,0),(_xll.xSPRDOPT(N50,$E50,$BU50,0,$BP50,$BS50,$BT50,($A50-Inputs!$D$1)+15,1,0)))))</f>
        <v>2.5725712492314149E-2</v>
      </c>
      <c r="V50" s="259">
        <f ca="1">IF($A50="N/A"," ",(IF('Pricing Inputs'!$AN$8=2,(O50-$H50),IF((O50-$H50)&lt;=0,0,(O50-$H50)))))</f>
        <v>0</v>
      </c>
      <c r="W50" s="306">
        <f ca="1">IF($A50="N/A"," ",IF(0&lt;&gt;P50,IF('Pricing Inputs'!$AN$3=2,8*VLOOKUP($A50,NumberofDaysTable,2),(_xll.xSPRDOPT(I50,$E50,$BU50,0,$BP50,$BS50,$BT50,$A50-Inputs!$D$1,1,1))*(8*VLOOKUP($A50,NumberofDaysTable,2))),0))</f>
        <v>26.754692188895273</v>
      </c>
      <c r="X50" s="306">
        <f ca="1">IF($A50="N/A"," ",IF(Q50&lt;&gt;0,IF('Pricing Inputs'!$AN$3=2,8*VLOOKUP($A50,NumberofDaysTable,2),(_xll.xSPRDOPT(J50,$E50,$BU50,0,$BP50,$BS50,$BT50,$A50-Inputs!$D$1,1,1))*(8*VLOOKUP($A50,NumberofDaysTable,2))),0))</f>
        <v>30.38018739613204</v>
      </c>
      <c r="Y50" s="306">
        <f ca="1">IF($A50="N/A"," ",IF(R50&lt;&gt;0,IF('Pricing Inputs'!$AN$3=2,8*VLOOKUP($A50,NumberofDaysTable,3),(_xll.xSPRDOPT(K50,$E50,$BU50,0,$BP50,$BS50,$BT50,$A50-Inputs!$D$1,1,1))*(8*VLOOKUP($A50,NumberofDaysTable,3))),0))</f>
        <v>0.81727119107285162</v>
      </c>
      <c r="Z50" s="306">
        <f ca="1">IF($A50="N/A"," ",IF(S50&lt;&gt;0,IF('Pricing Inputs'!$AN$3=2,8*VLOOKUP($A50,NumberofDaysTable,3),(_xll.xSPRDOPT(L50,$E50,$BU50,0,$BP50,$BS50,$BT50,$A50-Inputs!$D$1,1,1))*(8*VLOOKUP($A50,NumberofDaysTable,3))),0))</f>
        <v>0.99467000343146106</v>
      </c>
      <c r="AA50" s="306">
        <f ca="1">IF($A50="N/A"," ",IF(T50&lt;&gt;0,IF('Pricing Inputs'!$AN$3=2,8*VLOOKUP($A50,NumberofDaysTable,4),(_xll.xSPRDOPT(M50,$E50,$BU50,0,$BP50,$BS50,$BT50,$A50-Inputs!$D$1,1,1))*(8*VLOOKUP($A50,NumberofDaysTable,4))),0))</f>
        <v>0.34851896682106581</v>
      </c>
      <c r="AB50" s="306">
        <f ca="1">IF($A50="N/A"," ",IF(U50&lt;&gt;0,IF('Pricing Inputs'!$AN$3=2,8*VLOOKUP($A50,NumberofDaysTable,4),(_xll.xSPRDOPT(N50,$E50,$BU50,0,$BP50,$BS50,$BT50,$A50-Inputs!$D$1,1,1))*(8*VLOOKUP($A50,NumberofDaysTable,4))),0))</f>
        <v>0.43555675294521645</v>
      </c>
      <c r="AC50" s="306">
        <f t="shared" ca="1" si="21"/>
        <v>0</v>
      </c>
      <c r="AD50" s="274">
        <f t="shared" ca="1" si="89"/>
        <v>36</v>
      </c>
      <c r="AE50" s="275">
        <f t="shared" ca="1" si="90"/>
        <v>34</v>
      </c>
      <c r="AF50" s="275">
        <f t="shared" ca="1" si="91"/>
        <v>61</v>
      </c>
      <c r="AG50" s="275">
        <f t="shared" ca="1" si="92"/>
        <v>60</v>
      </c>
      <c r="AH50" s="275">
        <f t="shared" ca="1" si="93"/>
        <v>67</v>
      </c>
      <c r="AI50" s="275">
        <f t="shared" ca="1" si="94"/>
        <v>65</v>
      </c>
      <c r="AJ50" s="276">
        <f t="shared" ca="1" si="95"/>
        <v>73</v>
      </c>
      <c r="AK50" s="314">
        <f t="shared" ca="1" si="43"/>
        <v>26.754692188895273</v>
      </c>
      <c r="AL50" s="315">
        <f t="shared" ca="1" si="44"/>
        <v>30.38018739613204</v>
      </c>
      <c r="AM50" s="315">
        <f t="shared" ca="1" si="45"/>
        <v>0.81727119107285162</v>
      </c>
      <c r="AN50" s="315">
        <f t="shared" ca="1" si="46"/>
        <v>0.99467000343146106</v>
      </c>
      <c r="AO50" s="315">
        <f t="shared" ca="1" si="47"/>
        <v>0.34851896682106581</v>
      </c>
      <c r="AP50" s="315">
        <f t="shared" ca="1" si="48"/>
        <v>0.43555675294521645</v>
      </c>
      <c r="AQ50" s="315">
        <f t="shared" ca="1" si="49"/>
        <v>0</v>
      </c>
      <c r="AR50" s="276">
        <f ca="1">SUM(AK40:AQ51)</f>
        <v>2456.3374835510417</v>
      </c>
      <c r="AS50" s="321">
        <f t="shared" ca="1" si="82"/>
        <v>0</v>
      </c>
      <c r="AT50" s="324">
        <f t="shared" ca="1" si="83"/>
        <v>0</v>
      </c>
      <c r="AU50" s="324">
        <f t="shared" ca="1" si="84"/>
        <v>0</v>
      </c>
      <c r="AV50" s="324">
        <f t="shared" ca="1" si="85"/>
        <v>0</v>
      </c>
      <c r="AW50" s="324">
        <f t="shared" ca="1" si="86"/>
        <v>0</v>
      </c>
      <c r="AX50" s="324">
        <f t="shared" ca="1" si="87"/>
        <v>0</v>
      </c>
      <c r="AY50" s="324">
        <f t="shared" ca="1" si="88"/>
        <v>0</v>
      </c>
      <c r="AZ50" s="276">
        <f ca="1">SUM(AS40:AY51)</f>
        <v>0</v>
      </c>
      <c r="BA50" s="267">
        <f ca="1">IF($A50="N/A"," ",(IF(MONTH(A50)&gt;=4,IF(MONTH(A50)&lt;=10,Inputs!$F$13,Inputs!$F$14),Inputs!$F$14))*$BW50)</f>
        <v>180</v>
      </c>
      <c r="BB50" s="268">
        <f t="shared" ca="1" si="64"/>
        <v>17659.637789991102</v>
      </c>
      <c r="BC50" s="268">
        <f t="shared" ca="1" si="65"/>
        <v>21094.719211557593</v>
      </c>
      <c r="BD50" s="268">
        <f t="shared" ca="1" si="31"/>
        <v>317.4517932315926</v>
      </c>
      <c r="BE50" s="268">
        <f t="shared" ca="1" si="32"/>
        <v>404.17333425352706</v>
      </c>
      <c r="BF50" s="268">
        <f t="shared" ca="1" si="33"/>
        <v>141.93836098620679</v>
      </c>
      <c r="BG50" s="268">
        <f t="shared" ca="1" si="34"/>
        <v>185.22512994466189</v>
      </c>
      <c r="BH50" s="268">
        <f t="shared" ca="1" si="41"/>
        <v>0</v>
      </c>
      <c r="BI50" s="268">
        <f t="shared" ca="1" si="36"/>
        <v>39803.145619964685</v>
      </c>
      <c r="BJ50" s="296">
        <f t="shared" ca="1" si="37"/>
        <v>428194.37100692949</v>
      </c>
      <c r="BK50" s="296">
        <f t="shared" ca="1" si="38"/>
        <v>406691.24826718215</v>
      </c>
      <c r="BL50" s="296">
        <f t="shared" ca="1" si="39"/>
        <v>21503.12273974725</v>
      </c>
      <c r="BM50" s="296">
        <f t="shared" ca="1" si="40"/>
        <v>0</v>
      </c>
      <c r="BN50" s="405">
        <f>IF(A50="N/A"," ",(VLOOKUP(A50,PowerVolTable,(IF('Pricing Inputs'!$AT$3=2,7,IF('Pricing Inputs'!$AT$3=1,6,8))),FALSE)))</f>
        <v>0.20757048749999998</v>
      </c>
      <c r="BO50" s="405">
        <f>IF(A50="N/A"," ",(VLOOKUP(A50,IntraPowerVol,(IF('Pricing Inputs'!$AT$3=2,3,IF('Pricing Inputs'!$AT$3=1,2,4))),FALSE)*VLOOKUP(MONTH($A50),Inputs!$A$28:$B$39,2)))</f>
        <v>1.4375</v>
      </c>
      <c r="BP50" s="406">
        <f t="shared" ca="1" si="15"/>
        <v>0.24638526052260598</v>
      </c>
      <c r="BQ50" s="405">
        <f ca="1">IF($A50="N/A"," ",(VLOOKUP($A50,GasVolTable,(IF('Pricing Inputs'!$AT$3=2,6,IF('Pricing Inputs'!$AT$3=1,7,5))),FALSE)))</f>
        <v>0.16400000000000001</v>
      </c>
      <c r="BR50" s="405">
        <f ca="1">IF($A50="N/A"," ",(VLOOKUP($A50,OmicronVol,(IF('Pricing Inputs'!$AT$3=2,3,IF('Pricing Inputs'!$AT$3=1,4,2))),FALSE)))</f>
        <v>0.95</v>
      </c>
      <c r="BS50" s="406">
        <f ca="1">IF($A50="N/A"," ",IF('Pricing Inputs'!$AN$3=1,(IF(DateToday&gt;$A50,$BR50,((($BQ50^2)*((($A50-1)-DateToday)/((EOMONTH($A50,0)+1)-DateToday-15)))+((($BR50)^2)*((15)/((EOMONTH($A50,0)+1)-DateToday-15))))^0.5)),0.0001))</f>
        <v>0.18578601719732979</v>
      </c>
      <c r="BT50" s="405">
        <f>IF($A50="N/A"," ",IF('Pricing Inputs'!$AN$3=1,(VLOOKUP($A50,CorrelationTable,2,FALSE)),0))</f>
        <v>0.9</v>
      </c>
      <c r="BU50" s="407">
        <f ca="1">IF($A50="N/A"," ",F50+G50+(D50*(VLOOKUP($A50,'Gas Curves'!$B$17:$P$310,14,FALSE))))</f>
        <v>2.6825000000000001</v>
      </c>
      <c r="BV50" s="405">
        <f>IF($A50="N/A"," ",IF('Pricing Inputs'!$AW$3=1,0,(VLOOKUP($A50,InterestRatesTable,2))))</f>
        <v>0</v>
      </c>
      <c r="BW50" s="408">
        <f t="shared" ca="1" si="16"/>
        <v>1</v>
      </c>
    </row>
    <row r="51" spans="1:75">
      <c r="A51" s="248">
        <f>IF(A50="N/A","N/A",IF(EDATE(A50,1)&gt;Inputs!$K$3,"N/A",EDATE(A50,1)))</f>
        <v>38322</v>
      </c>
      <c r="B51" s="262">
        <f t="shared" si="17"/>
        <v>2004</v>
      </c>
      <c r="C51" s="249">
        <f t="shared" ca="1" si="18"/>
        <v>4.0365000000000002</v>
      </c>
      <c r="D51" s="250">
        <f>IF(A51="N/A"," ",(VLOOKUP(MONTH($A51),Inputs!$A$14:$B$25,2))/1000)</f>
        <v>10.5</v>
      </c>
      <c r="E51" s="304">
        <f t="shared" ca="1" si="19"/>
        <v>42.383250000000004</v>
      </c>
      <c r="F51" s="251">
        <f>IF(A51="N/A"," ",Inputs!$F$6)</f>
        <v>2</v>
      </c>
      <c r="G51" s="251">
        <f ca="1">IF(A51="N/A"," ",Inputs!$F$9/IF(AND('Pricing Inputs'!$AQ$3&gt;=4,'Pricing Inputs'!$AQ$3&lt;=6),16,IF(AND('Pricing Inputs'!$AQ$3&gt;=7,'Pricing Inputs'!$AQ$3&lt;=9),8,24))/(BA51/BW51))</f>
        <v>0</v>
      </c>
      <c r="H51" s="252">
        <f t="shared" ca="1" si="20"/>
        <v>44.383250000000004</v>
      </c>
      <c r="I51" s="255">
        <f>VLOOKUP(A51,ScaledPrice,(IF(AND('Pricing Inputs'!$AQ$3&gt;=1,'Pricing Inputs'!$AQ$3&lt;=6),2,4)))</f>
        <v>29.991620993762137</v>
      </c>
      <c r="J51" s="255">
        <f>IF(A51="N/A"," ",IF(AND('Pricing Inputs'!$AQ$3&gt;=1,'Pricing Inputs'!$AQ$3&lt;=6),I51,(VLOOKUP(A51,ScaledPrice,2))*(2-(VLOOKUP(A51,ScaledPrice,3)))))</f>
        <v>31.308379006237857</v>
      </c>
      <c r="K51" s="255">
        <f>IF(A51="N/A"," ",IF(OR('Pricing Inputs'!$AQ$3=2,'Pricing Inputs'!$AQ$3=3,'Pricing Inputs'!$AQ$3=5,'Pricing Inputs'!$AQ$3=6,'Pricing Inputs'!$AQ$3=8,'Pricing Inputs'!$AQ$3=9),VLOOKUP(A51,ScaledPrice,IF(AND('Pricing Inputs'!$AQ$3&gt;=2,'Pricing Inputs'!$AQ$3&lt;=6),5,6)),0))</f>
        <v>25.103914797494507</v>
      </c>
      <c r="L51" s="255">
        <f>IF(A51="N/A"," ",IF(OR('Pricing Inputs'!$AQ$3=2,'Pricing Inputs'!$AQ$3=3,'Pricing Inputs'!$AQ$3=5,'Pricing Inputs'!$AQ$3=6,'Pricing Inputs'!$AQ$3=8,'Pricing Inputs'!$AQ$3=9),IF(AND('Pricing Inputs'!$AQ$3&gt;=2,'Pricing Inputs'!$AQ$3&lt;=6),K51,(VLOOKUP(A51,ScaledPrice,5))*(2-(VLOOKUP(A51,ScaledPrice,3)))),0))</f>
        <v>26.206081998159785</v>
      </c>
      <c r="M51" s="255">
        <f>IF(A51="N/A"," ",IF(OR('Pricing Inputs'!$AQ$3=3,'Pricing Inputs'!$AQ$3=6,'Pricing Inputs'!$AQ$3=9),(VLOOKUP(A51,ScaledPrice,IF(AND('Pricing Inputs'!$AQ$3&gt;=3,'Pricing Inputs'!$AQ$3&lt;=6),7,8))),0))</f>
        <v>21.674204963459719</v>
      </c>
      <c r="N51" s="255">
        <f>IF(A51="N/A"," ",IF(OR('Pricing Inputs'!$AQ$3=3,'Pricing Inputs'!$AQ$3=6,'Pricing Inputs'!$AQ$3=9),IF(AND('Pricing Inputs'!$AQ$3&gt;=3,'Pricing Inputs'!$AQ$3&lt;=6),M51,(VLOOKUP(A51,ScaledPrice,7))*(2-(VLOOKUP(A51,ScaledPrice,3)))),0))</f>
        <v>22.625793510661371</v>
      </c>
      <c r="O51" s="255">
        <f>IF(A51="N/A"," ",IF(AND('Pricing Inputs'!$AQ$3&gt;=1,'Pricing Inputs'!$AQ$3&lt;=3),VLOOKUP(A51,ScaledPrice,9),0))</f>
        <v>0</v>
      </c>
      <c r="P51" s="320">
        <f ca="1">IF($A51="N/A"," ",IF('Pricing Inputs'!$AN$8=2,(I51-H51),IF('Pricing Inputs'!$AN$3=2,IF((I51-$H51)&gt;0,I51-$H51,0),(_xll.xSPRDOPT(I51,$E51,$BU51,0,$BP51,$BS51,$BT51,($A51-Inputs!$D$1)+15,1,0)))))</f>
        <v>0.21278991815926807</v>
      </c>
      <c r="Q51" s="320">
        <f ca="1">IF($A51="N/A"," ",IF('Pricing Inputs'!$AN$8=2,(J51-$H51),IF('Pricing Inputs'!$AN$3=2,IF((J51-$H51)&gt;0,J51-$H51,0),(_xll.xSPRDOPT(J51,$E51,$BU51,0,$BP51,$BS51,$BT51,($A51-Inputs!$D$1)+15,1,0)))))</f>
        <v>0.32123356118947277</v>
      </c>
      <c r="R51" s="320">
        <f ca="1">IF($A51="N/A"," ",IF('Pricing Inputs'!$AN$8=2,(K51-$H51),IF('Pricing Inputs'!$AN$3=2,IF((K51-$H51)&gt;0,K51-$H51,0),(_xll.xSPRDOPT(K51,$E51,$BU51,0,$BP51,$BS51,$BT51,($A51-Inputs!$D$1)+15,1,0)))))</f>
        <v>3.0152939690877251E-2</v>
      </c>
      <c r="S51" s="320">
        <f ca="1">IF($A51="N/A"," ",IF('Pricing Inputs'!$AN$8=2,(L51-$H51),IF('Pricing Inputs'!$AN$3=2,IF((L51-$H51)&gt;0,L51-$H51,0),(_xll.xSPRDOPT(L51,$E51,$BU51,0,$BP51,$BS51,$BT51,($A51-Inputs!$D$1)+15,1,0)))))</f>
        <v>5.0194827923617791E-2</v>
      </c>
      <c r="T51" s="320">
        <f ca="1">IF($A51="N/A"," ",IF('Pricing Inputs'!$AN$8=2,(M51-$H51),IF('Pricing Inputs'!$AN$3=2,IF((M51-$H51)&gt;0,M51-$H51,0),(_xll.xSPRDOPT(M51,$E51,$BU51,0,$BP51,$BS51,$BT51,($A51-Inputs!$D$1)+15,1,0)))))</f>
        <v>4.3739114266131982E-3</v>
      </c>
      <c r="U51" s="320">
        <f ca="1">IF($A51="N/A"," ",IF('Pricing Inputs'!$AN$8=2,(N51-$H51),IF('Pricing Inputs'!$AN$3=2,IF((N51-$H51)&gt;0,N51-$H51,0),(_xll.xSPRDOPT(N51,$E51,$BU51,0,$BP51,$BS51,$BT51,($A51-Inputs!$D$1)+15,1,0)))))</f>
        <v>7.9323329946666288E-3</v>
      </c>
      <c r="V51" s="259">
        <f ca="1">IF($A51="N/A"," ",(IF('Pricing Inputs'!$AN$8=2,(O51-$H51),IF((O51-$H51)&lt;=0,0,(O51-$H51)))))</f>
        <v>0</v>
      </c>
      <c r="W51" s="306">
        <f ca="1">IF($A51="N/A"," ",IF(0&lt;&gt;P51,IF('Pricing Inputs'!$AN$3=2,8*VLOOKUP($A51,NumberofDaysTable,2),(_xll.xSPRDOPT(I51,$E51,$BU51,0,$BP51,$BS51,$BT51,$A51-Inputs!$D$1,1,1))*(8*VLOOKUP($A51,NumberofDaysTable,2))),0))</f>
        <v>12.675622136983751</v>
      </c>
      <c r="X51" s="306">
        <f ca="1">IF($A51="N/A"," ",IF(Q51&lt;&gt;0,IF('Pricing Inputs'!$AN$3=2,8*VLOOKUP($A51,NumberofDaysTable,2),(_xll.xSPRDOPT(J51,$E51,$BU51,0,$BP51,$BS51,$BT51,$A51-Inputs!$D$1,1,1))*(8*VLOOKUP($A51,NumberofDaysTable,2))),0))</f>
        <v>17.390528486990426</v>
      </c>
      <c r="Y51" s="306">
        <f ca="1">IF($A51="N/A"," ",IF(R51&lt;&gt;0,IF('Pricing Inputs'!$AN$3=2,8*VLOOKUP($A51,NumberofDaysTable,3),(_xll.xSPRDOPT(K51,$E51,$BU51,0,$BP51,$BS51,$BT51,$A51-Inputs!$D$1,1,1))*(8*VLOOKUP($A51,NumberofDaysTable,3))),0))</f>
        <v>0.34090619929921634</v>
      </c>
      <c r="Z51" s="306">
        <f ca="1">IF($A51="N/A"," ",IF(S51&lt;&gt;0,IF('Pricing Inputs'!$AN$3=2,8*VLOOKUP($A51,NumberofDaysTable,3),(_xll.xSPRDOPT(L51,$E51,$BU51,0,$BP51,$BS51,$BT51,$A51-Inputs!$D$1,1,1))*(8*VLOOKUP($A51,NumberofDaysTable,3))),0))</f>
        <v>0.51987940476971506</v>
      </c>
      <c r="AA51" s="306">
        <f ca="1">IF($A51="N/A"," ",IF(T51&lt;&gt;0,IF('Pricing Inputs'!$AN$3=2,8*VLOOKUP($A51,NumberofDaysTable,4),(_xll.xSPRDOPT(M51,$E51,$BU51,0,$BP51,$BS51,$BT51,$A51-Inputs!$D$1,1,1))*(8*VLOOKUP($A51,NumberofDaysTable,4))),0))</f>
        <v>8.7820386629041874E-2</v>
      </c>
      <c r="AB51" s="306">
        <f ca="1">IF($A51="N/A"," ",IF(U51&lt;&gt;0,IF('Pricing Inputs'!$AN$3=2,8*VLOOKUP($A51,NumberofDaysTable,4),(_xll.xSPRDOPT(N51,$E51,$BU51,0,$BP51,$BS51,$BT51,$A51-Inputs!$D$1,1,1))*(8*VLOOKUP($A51,NumberofDaysTable,4))),0))</f>
        <v>0.14675068789401141</v>
      </c>
      <c r="AC51" s="306">
        <f t="shared" ca="1" si="21"/>
        <v>0</v>
      </c>
      <c r="AD51" s="277">
        <f t="shared" ca="1" si="89"/>
        <v>52</v>
      </c>
      <c r="AE51" s="278">
        <f t="shared" ca="1" si="90"/>
        <v>47</v>
      </c>
      <c r="AF51" s="278">
        <f t="shared" ca="1" si="91"/>
        <v>64</v>
      </c>
      <c r="AG51" s="278">
        <f t="shared" ca="1" si="92"/>
        <v>62</v>
      </c>
      <c r="AH51" s="278">
        <f t="shared" ca="1" si="93"/>
        <v>72</v>
      </c>
      <c r="AI51" s="278">
        <f t="shared" ca="1" si="94"/>
        <v>71</v>
      </c>
      <c r="AJ51" s="279">
        <f t="shared" ca="1" si="95"/>
        <v>73</v>
      </c>
      <c r="AK51" s="316">
        <f t="shared" ca="1" si="43"/>
        <v>12.675622136983751</v>
      </c>
      <c r="AL51" s="317">
        <f t="shared" ca="1" si="44"/>
        <v>17.390528486990426</v>
      </c>
      <c r="AM51" s="317">
        <f t="shared" ca="1" si="45"/>
        <v>0.34090619929921634</v>
      </c>
      <c r="AN51" s="317">
        <f t="shared" ca="1" si="46"/>
        <v>0.51987940476971506</v>
      </c>
      <c r="AO51" s="317">
        <f t="shared" ca="1" si="47"/>
        <v>8.7820386629041874E-2</v>
      </c>
      <c r="AP51" s="317">
        <f t="shared" ca="1" si="48"/>
        <v>0.14675068789401141</v>
      </c>
      <c r="AQ51" s="317">
        <f t="shared" ca="1" si="49"/>
        <v>0</v>
      </c>
      <c r="AR51" s="279">
        <f ca="1">IF(($AP$2-AR50)&gt;=0,$AP$2-AR50,0)</f>
        <v>0</v>
      </c>
      <c r="AS51" s="325">
        <f t="shared" ca="1" si="82"/>
        <v>0</v>
      </c>
      <c r="AT51" s="326">
        <f t="shared" ca="1" si="83"/>
        <v>0</v>
      </c>
      <c r="AU51" s="326">
        <f t="shared" ca="1" si="84"/>
        <v>0</v>
      </c>
      <c r="AV51" s="326">
        <f t="shared" ca="1" si="85"/>
        <v>0</v>
      </c>
      <c r="AW51" s="326">
        <f t="shared" ca="1" si="86"/>
        <v>0</v>
      </c>
      <c r="AX51" s="326">
        <f t="shared" ca="1" si="87"/>
        <v>0</v>
      </c>
      <c r="AY51" s="326">
        <f t="shared" ca="1" si="88"/>
        <v>0</v>
      </c>
      <c r="AZ51" s="285">
        <f ca="1">AR50+AZ50</f>
        <v>2456.3374835510417</v>
      </c>
      <c r="BA51" s="267">
        <f ca="1">IF($A51="N/A"," ",(IF(MONTH(A51)&gt;=4,IF(MONTH(A51)&lt;=10,Inputs!$F$13,Inputs!$F$14),Inputs!$F$14))*$BW51)</f>
        <v>180</v>
      </c>
      <c r="BB51" s="268">
        <f t="shared" ca="1" si="64"/>
        <v>7047.6020894349585</v>
      </c>
      <c r="BC51" s="268">
        <f t="shared" ca="1" si="65"/>
        <v>10639.255546595337</v>
      </c>
      <c r="BD51" s="268">
        <f t="shared" ca="1" si="31"/>
        <v>130.26069946458972</v>
      </c>
      <c r="BE51" s="268">
        <f t="shared" ca="1" si="32"/>
        <v>216.84165663002887</v>
      </c>
      <c r="BF51" s="268">
        <f t="shared" ca="1" si="33"/>
        <v>31.492162271615026</v>
      </c>
      <c r="BG51" s="268">
        <f t="shared" ca="1" si="34"/>
        <v>57.112797561599727</v>
      </c>
      <c r="BH51" s="268">
        <f t="shared" ca="1" si="41"/>
        <v>0</v>
      </c>
      <c r="BI51" s="268">
        <f t="shared" ca="1" si="36"/>
        <v>18122.564951958131</v>
      </c>
      <c r="BJ51" s="296">
        <f t="shared" ca="1" si="37"/>
        <v>248948.81441759155</v>
      </c>
      <c r="BK51" s="296">
        <f t="shared" ca="1" si="38"/>
        <v>237730.67178866771</v>
      </c>
      <c r="BL51" s="296">
        <f t="shared" ca="1" si="39"/>
        <v>11218.142628923817</v>
      </c>
      <c r="BM51" s="296">
        <f t="shared" ca="1" si="40"/>
        <v>0</v>
      </c>
      <c r="BN51" s="405">
        <f>IF(A51="N/A"," ",(VLOOKUP(A51,PowerVolTable,(IF('Pricing Inputs'!$AT$3=2,7,IF('Pricing Inputs'!$AT$3=1,6,8))),FALSE)))</f>
        <v>0.21497820749999999</v>
      </c>
      <c r="BO51" s="405">
        <f>IF(A51="N/A"," ",(VLOOKUP(A51,IntraPowerVol,(IF('Pricing Inputs'!$AT$3=2,3,IF('Pricing Inputs'!$AT$3=1,2,4))),FALSE)*VLOOKUP(MONTH($A51),Inputs!$A$28:$B$39,2)))</f>
        <v>1.4375</v>
      </c>
      <c r="BP51" s="406">
        <f t="shared" ca="1" si="15"/>
        <v>0.25193029282743512</v>
      </c>
      <c r="BQ51" s="405">
        <f ca="1">IF($A51="N/A"," ",(VLOOKUP($A51,GasVolTable,(IF('Pricing Inputs'!$AT$3=2,6,IF('Pricing Inputs'!$AT$3=1,7,5))),FALSE)))</f>
        <v>0.16450000000000001</v>
      </c>
      <c r="BR51" s="405">
        <f ca="1">IF($A51="N/A"," ",(VLOOKUP($A51,OmicronVol,(IF('Pricing Inputs'!$AT$3=2,3,IF('Pricing Inputs'!$AT$3=1,4,2))),FALSE)))</f>
        <v>1.25</v>
      </c>
      <c r="BS51" s="406">
        <f ca="1">IF($A51="N/A"," ",IF('Pricing Inputs'!$AN$3=1,(IF(DateToday&gt;$A51,$BR51,((($BQ51^2)*((($A51-1)-DateToday)/((EOMONTH($A51,0)+1)-DateToday-15)))+((($BR51)^2)*((15)/((EOMONTH($A51,0)+1)-DateToday-15))))^0.5)),0.0001))</f>
        <v>0.20045632336877417</v>
      </c>
      <c r="BT51" s="405">
        <f>IF($A51="N/A"," ",IF('Pricing Inputs'!$AN$3=1,(VLOOKUP($A51,CorrelationTable,2,FALSE)),0))</f>
        <v>0.9</v>
      </c>
      <c r="BU51" s="407">
        <f ca="1">IF($A51="N/A"," ",F51+G51+(D51*(VLOOKUP($A51,'Gas Curves'!$B$17:$P$310,14,FALSE))))</f>
        <v>2.6825000000000001</v>
      </c>
      <c r="BV51" s="405">
        <f>IF($A51="N/A"," ",IF('Pricing Inputs'!$AW$3=1,0,(VLOOKUP($A51,InterestRatesTable,2))))</f>
        <v>0</v>
      </c>
      <c r="BW51" s="408">
        <f t="shared" ca="1" si="16"/>
        <v>1</v>
      </c>
    </row>
    <row r="52" spans="1:75">
      <c r="A52" s="248">
        <f>IF(A51="N/A","N/A",IF(EDATE(A51,1)&gt;Inputs!$K$3,"N/A",EDATE(A51,1)))</f>
        <v>38353</v>
      </c>
      <c r="B52" s="262">
        <f t="shared" si="17"/>
        <v>2005</v>
      </c>
      <c r="C52" s="249">
        <f t="shared" ca="1" si="18"/>
        <v>4.5449999999999999</v>
      </c>
      <c r="D52" s="250">
        <f>IF(A52="N/A"," ",(VLOOKUP(MONTH($A52),Inputs!$A$14:$B$25,2))/1000)</f>
        <v>10.5</v>
      </c>
      <c r="E52" s="304">
        <f t="shared" ca="1" si="19"/>
        <v>47.722499999999997</v>
      </c>
      <c r="F52" s="251">
        <f>IF(A52="N/A"," ",Inputs!$F$6)</f>
        <v>2</v>
      </c>
      <c r="G52" s="251">
        <f ca="1">IF(A52="N/A"," ",Inputs!$F$9/IF(AND('Pricing Inputs'!$AQ$3&gt;=4,'Pricing Inputs'!$AQ$3&lt;=6),16,IF(AND('Pricing Inputs'!$AQ$3&gt;=7,'Pricing Inputs'!$AQ$3&lt;=9),8,24))/(BA52/BW52))</f>
        <v>0</v>
      </c>
      <c r="H52" s="252">
        <f t="shared" ca="1" si="20"/>
        <v>49.722499999999997</v>
      </c>
      <c r="I52" s="255">
        <f>VLOOKUP(A52,ScaledPrice,(IF(AND('Pricing Inputs'!$AQ$3&gt;=1,'Pricing Inputs'!$AQ$3&lt;=6),2,4)))</f>
        <v>35.61610701558039</v>
      </c>
      <c r="J52" s="255">
        <f>IF(A52="N/A"," ",IF(AND('Pricing Inputs'!$AQ$3&gt;=1,'Pricing Inputs'!$AQ$3&lt;=6),I52,(VLOOKUP(A52,ScaledPrice,2))*(2-(VLOOKUP(A52,ScaledPrice,3)))))</f>
        <v>37.88389298441961</v>
      </c>
      <c r="K52" s="255">
        <f>IF(A52="N/A"," ",IF(OR('Pricing Inputs'!$AQ$3=2,'Pricing Inputs'!$AQ$3=3,'Pricing Inputs'!$AQ$3=5,'Pricing Inputs'!$AQ$3=6,'Pricing Inputs'!$AQ$3=8,'Pricing Inputs'!$AQ$3=9),VLOOKUP(A52,ScaledPrice,IF(AND('Pricing Inputs'!$AQ$3&gt;=2,'Pricing Inputs'!$AQ$3&lt;=6),5,6)),0))</f>
        <v>28.15247160831785</v>
      </c>
      <c r="L52" s="255">
        <f>IF(A52="N/A"," ",IF(OR('Pricing Inputs'!$AQ$3=2,'Pricing Inputs'!$AQ$3=3,'Pricing Inputs'!$AQ$3=5,'Pricing Inputs'!$AQ$3=6,'Pricing Inputs'!$AQ$3=8,'Pricing Inputs'!$AQ$3=9),IF(AND('Pricing Inputs'!$AQ$3&gt;=2,'Pricing Inputs'!$AQ$3&lt;=6),K52,(VLOOKUP(A52,ScaledPrice,5))*(2-(VLOOKUP(A52,ScaledPrice,3)))),0))</f>
        <v>29.945025187336444</v>
      </c>
      <c r="M52" s="255">
        <f>IF(A52="N/A"," ",IF(OR('Pricing Inputs'!$AQ$3=3,'Pricing Inputs'!$AQ$3=6,'Pricing Inputs'!$AQ$3=9),(VLOOKUP(A52,ScaledPrice,IF(AND('Pricing Inputs'!$AQ$3&gt;=3,'Pricing Inputs'!$AQ$3&lt;=6),7,8))),0))</f>
        <v>26.702388951873886</v>
      </c>
      <c r="N52" s="255">
        <f>IF(A52="N/A"," ",IF(OR('Pricing Inputs'!$AQ$3=3,'Pricing Inputs'!$AQ$3=6,'Pricing Inputs'!$AQ$3=9),IF(AND('Pricing Inputs'!$AQ$3&gt;=3,'Pricing Inputs'!$AQ$3&lt;=6),M52,(VLOOKUP(A52,ScaledPrice,7))*(2-(VLOOKUP(A52,ScaledPrice,3)))),0))</f>
        <v>28.402611353301893</v>
      </c>
      <c r="O52" s="255">
        <f>IF(A52="N/A"," ",IF(AND('Pricing Inputs'!$AQ$3&gt;=1,'Pricing Inputs'!$AQ$3&lt;=3),VLOOKUP(A52,ScaledPrice,9),0))</f>
        <v>0</v>
      </c>
      <c r="P52" s="320">
        <f ca="1">IF($A52="N/A"," ",IF('Pricing Inputs'!$AN$8=2,(I52-H52),IF('Pricing Inputs'!$AN$3=2,IF((I52-$H52)&gt;0,I52-$H52,0),(_xll.xSPRDOPT(I52,$E52,$BU52,0,$BP52,$BS52,$BT52,($A52-Inputs!$D$1)+15,1,0)))))</f>
        <v>1.2151502230496589</v>
      </c>
      <c r="Q52" s="320">
        <f ca="1">IF($A52="N/A"," ",IF('Pricing Inputs'!$AN$8=2,(J52-$H52),IF('Pricing Inputs'!$AN$3=2,IF((J52-$H52)&gt;0,J52-$H52,0),(_xll.xSPRDOPT(J52,$E52,$BU52,0,$BP52,$BS52,$BT52,($A52-Inputs!$D$1)+15,1,0)))))</f>
        <v>1.7417081684350997</v>
      </c>
      <c r="R52" s="320">
        <f ca="1">IF($A52="N/A"," ",IF('Pricing Inputs'!$AN$8=2,(K52-$H52),IF('Pricing Inputs'!$AN$3=2,IF((K52-$H52)&gt;0,K52-$H52,0),(_xll.xSPRDOPT(K52,$E52,$BU52,0,$BP52,$BS52,$BT52,($A52-Inputs!$D$1)+15,1,0)))))</f>
        <v>0.24770351086456854</v>
      </c>
      <c r="S52" s="320">
        <f ca="1">IF($A52="N/A"," ",IF('Pricing Inputs'!$AN$8=2,(L52-$H52),IF('Pricing Inputs'!$AN$3=2,IF((L52-$H52)&gt;0,L52-$H52,0),(_xll.xSPRDOPT(L52,$E52,$BU52,0,$BP52,$BS52,$BT52,($A52-Inputs!$D$1)+15,1,0)))))</f>
        <v>0.38935836787782491</v>
      </c>
      <c r="T52" s="320">
        <f ca="1">IF($A52="N/A"," ",IF('Pricing Inputs'!$AN$8=2,(M52-$H52),IF('Pricing Inputs'!$AN$3=2,IF((M52-$H52)&gt;0,M52-$H52,0),(_xll.xSPRDOPT(M52,$E52,$BU52,0,$BP52,$BS52,$BT52,($A52-Inputs!$D$1)+15,1,0)))))</f>
        <v>0.16472946324321205</v>
      </c>
      <c r="U52" s="320">
        <f ca="1">IF($A52="N/A"," ",IF('Pricing Inputs'!$AN$8=2,(N52-$H52),IF('Pricing Inputs'!$AN$3=2,IF((N52-$H52)&gt;0,N52-$H52,0),(_xll.xSPRDOPT(N52,$E52,$BU52,0,$BP52,$BS52,$BT52,($A52-Inputs!$D$1)+15,1,0)))))</f>
        <v>0.26470421615492762</v>
      </c>
      <c r="V52" s="259">
        <f ca="1">IF($A52="N/A"," ",(IF('Pricing Inputs'!$AN$8=2,(O52-$H52),IF((O52-$H52)&lt;=0,0,(O52-$H52)))))</f>
        <v>0</v>
      </c>
      <c r="W52" s="306">
        <f ca="1">IF($A52="N/A"," ",IF(0&lt;&gt;P52,IF('Pricing Inputs'!$AN$3=2,8*VLOOKUP($A52,NumberofDaysTable,2),(_xll.xSPRDOPT(I52,$E52,$BU52,0,$BP52,$BS52,$BT52,$A52-Inputs!$D$1,1,1))*(8*VLOOKUP($A52,NumberofDaysTable,2))),0))</f>
        <v>34.257171640957253</v>
      </c>
      <c r="X52" s="306">
        <f ca="1">IF($A52="N/A"," ",IF(Q52&lt;&gt;0,IF('Pricing Inputs'!$AN$3=2,8*VLOOKUP($A52,NumberofDaysTable,2),(_xll.xSPRDOPT(J52,$E52,$BU52,0,$BP52,$BS52,$BT52,$A52-Inputs!$D$1,1,1))*(8*VLOOKUP($A52,NumberofDaysTable,2))),0))</f>
        <v>43.395191285856342</v>
      </c>
      <c r="Y52" s="306">
        <f ca="1">IF($A52="N/A"," ",IF(R52&lt;&gt;0,IF('Pricing Inputs'!$AN$3=2,8*VLOOKUP($A52,NumberofDaysTable,3),(_xll.xSPRDOPT(K52,$E52,$BU52,0,$BP52,$BS52,$BT52,$A52-Inputs!$D$1,1,1))*(8*VLOOKUP($A52,NumberofDaysTable,3))),0))</f>
        <v>2.0890634285065142</v>
      </c>
      <c r="Z52" s="306">
        <f ca="1">IF($A52="N/A"," ",IF(S52&lt;&gt;0,IF('Pricing Inputs'!$AN$3=2,8*VLOOKUP($A52,NumberofDaysTable,3),(_xll.xSPRDOPT(L52,$E52,$BU52,0,$BP52,$BS52,$BT52,$A52-Inputs!$D$1,1,1))*(8*VLOOKUP($A52,NumberofDaysTable,3))),0))</f>
        <v>2.9254889171150289</v>
      </c>
      <c r="AA52" s="306">
        <f ca="1">IF($A52="N/A"," ",IF(T52&lt;&gt;0,IF('Pricing Inputs'!$AN$3=2,8*VLOOKUP($A52,NumberofDaysTable,4),(_xll.xSPRDOPT(M52,$E52,$BU52,0,$BP52,$BS52,$BT52,$A52-Inputs!$D$1,1,1))*(8*VLOOKUP($A52,NumberofDaysTable,4))),0))</f>
        <v>1.9140727712458403</v>
      </c>
      <c r="AB52" s="306">
        <f ca="1">IF($A52="N/A"," ",IF(U52&lt;&gt;0,IF('Pricing Inputs'!$AN$3=2,8*VLOOKUP($A52,NumberofDaysTable,4),(_xll.xSPRDOPT(N52,$E52,$BU52,0,$BP52,$BS52,$BT52,$A52-Inputs!$D$1,1,1))*(8*VLOOKUP($A52,NumberofDaysTable,4))),0))</f>
        <v>2.7450910497590408</v>
      </c>
      <c r="AC52" s="306">
        <f t="shared" ca="1" si="21"/>
        <v>0</v>
      </c>
      <c r="AD52" s="271">
        <f t="shared" ref="AD52:AJ52" ca="1" si="96">IF($A52="N/A"," ",RANK(P52,$P$52:$V$63))</f>
        <v>32</v>
      </c>
      <c r="AE52" s="272">
        <f t="shared" ca="1" si="96"/>
        <v>27</v>
      </c>
      <c r="AF52" s="272">
        <f t="shared" ca="1" si="96"/>
        <v>50</v>
      </c>
      <c r="AG52" s="272">
        <f t="shared" ca="1" si="96"/>
        <v>43</v>
      </c>
      <c r="AH52" s="272">
        <f t="shared" ca="1" si="96"/>
        <v>57</v>
      </c>
      <c r="AI52" s="272">
        <f t="shared" ca="1" si="96"/>
        <v>49</v>
      </c>
      <c r="AJ52" s="273">
        <f t="shared" ca="1" si="96"/>
        <v>73</v>
      </c>
      <c r="AK52" s="312">
        <f t="shared" ca="1" si="43"/>
        <v>34.257171640957253</v>
      </c>
      <c r="AL52" s="313">
        <f t="shared" ca="1" si="44"/>
        <v>43.395191285856342</v>
      </c>
      <c r="AM52" s="313">
        <f t="shared" ca="1" si="45"/>
        <v>2.0890634285065142</v>
      </c>
      <c r="AN52" s="313">
        <f t="shared" ca="1" si="46"/>
        <v>2.9254889171150289</v>
      </c>
      <c r="AO52" s="313">
        <f t="shared" ca="1" si="47"/>
        <v>1.9140727712458403</v>
      </c>
      <c r="AP52" s="313">
        <f t="shared" ca="1" si="48"/>
        <v>2.7450910497590408</v>
      </c>
      <c r="AQ52" s="313">
        <f t="shared" ca="1" si="49"/>
        <v>0</v>
      </c>
      <c r="AR52" s="273"/>
      <c r="AS52" s="327">
        <f t="shared" ref="AS52:AS63" ca="1" si="97">IF($A52="N/A"," ",IF(AND(AD52=$AJ$2+1,AK52=0),MIN($AR$63,W52),0))</f>
        <v>0</v>
      </c>
      <c r="AT52" s="322">
        <f t="shared" ref="AT52:AT63" ca="1" si="98">IF($A52="N/A"," ",IF(AND(AE52=$AJ$2+1,AL52=0),MIN($AR$63,X52),0))</f>
        <v>0</v>
      </c>
      <c r="AU52" s="322">
        <f t="shared" ref="AU52:AU63" ca="1" si="99">IF($A52="N/A"," ",IF(AND(AF52=$AJ$2+1,AM52=0),MIN($AR$63,Y52),0))</f>
        <v>0</v>
      </c>
      <c r="AV52" s="322">
        <f t="shared" ref="AV52:AV63" ca="1" si="100">IF($A52="N/A"," ",IF(AND(AG52=$AJ$2+1,AN52=0),MIN($AR$63,Z52),0))</f>
        <v>0</v>
      </c>
      <c r="AW52" s="322">
        <f t="shared" ref="AW52:AW63" ca="1" si="101">IF($A52="N/A"," ",IF(AND(AH52=$AJ$2+1,AO52=0),MIN($AR$63,AA52),0))</f>
        <v>0</v>
      </c>
      <c r="AX52" s="322">
        <f t="shared" ref="AX52:AX63" ca="1" si="102">IF($A52="N/A"," ",IF(AND(AI52=$AJ$2+1,AP52=0),MIN($AR$63,AB52),0))</f>
        <v>0</v>
      </c>
      <c r="AY52" s="322">
        <f t="shared" ref="AY52:AY63" ca="1" si="103">IF($A52="N/A"," ",IF(AND(AJ52=$AJ$2+1,AQ52=0),MIN($AR$63,AC52),0))</f>
        <v>0</v>
      </c>
      <c r="AZ52" s="273"/>
      <c r="BA52" s="267">
        <f ca="1">IF($A52="N/A"," ",(IF(MONTH(A52)&gt;=4,IF(MONTH(A52)&lt;=10,Inputs!$F$13,Inputs!$F$14),Inputs!$F$14))*$BW52)</f>
        <v>180</v>
      </c>
      <c r="BB52" s="268">
        <f t="shared" ca="1" si="64"/>
        <v>36746.142745021687</v>
      </c>
      <c r="BC52" s="268">
        <f t="shared" ca="1" si="65"/>
        <v>52669.255013477414</v>
      </c>
      <c r="BD52" s="268">
        <f t="shared" ca="1" si="31"/>
        <v>1426.7722225799148</v>
      </c>
      <c r="BE52" s="268">
        <f t="shared" ca="1" si="32"/>
        <v>2242.7041989762715</v>
      </c>
      <c r="BF52" s="268">
        <f t="shared" ca="1" si="33"/>
        <v>1423.2625624213522</v>
      </c>
      <c r="BG52" s="268">
        <f t="shared" ca="1" si="34"/>
        <v>2287.0444275785744</v>
      </c>
      <c r="BH52" s="268">
        <f t="shared" ca="1" si="41"/>
        <v>0</v>
      </c>
      <c r="BI52" s="268">
        <f t="shared" ca="1" si="36"/>
        <v>96795.181170055206</v>
      </c>
      <c r="BJ52" s="296">
        <f t="shared" ca="1" si="37"/>
        <v>781572.77419024287</v>
      </c>
      <c r="BK52" s="296">
        <f t="shared" ca="1" si="38"/>
        <v>750135.38571660453</v>
      </c>
      <c r="BL52" s="296">
        <f t="shared" ca="1" si="39"/>
        <v>31437.38847363841</v>
      </c>
      <c r="BM52" s="296">
        <f t="shared" ca="1" si="40"/>
        <v>0</v>
      </c>
      <c r="BN52" s="405">
        <f>IF(A52="N/A"," ",(VLOOKUP(A52,PowerVolTable,(IF('Pricing Inputs'!$AT$3=2,7,IF('Pricing Inputs'!$AT$3=1,6,8))),FALSE)))</f>
        <v>0.23131977500000001</v>
      </c>
      <c r="BO52" s="405">
        <f>IF(A52="N/A"," ",(VLOOKUP(A52,IntraPowerVol,(IF('Pricing Inputs'!$AT$3=2,3,IF('Pricing Inputs'!$AT$3=1,2,4))),FALSE)*VLOOKUP(MONTH($A52),Inputs!$A$28:$B$39,2)))</f>
        <v>2.2999999999999998</v>
      </c>
      <c r="BP52" s="406">
        <f t="shared" ca="1" si="15"/>
        <v>0.31229311859998488</v>
      </c>
      <c r="BQ52" s="405">
        <f ca="1">IF($A52="N/A"," ",(VLOOKUP($A52,GasVolTable,(IF('Pricing Inputs'!$AT$3=2,6,IF('Pricing Inputs'!$AT$3=1,7,5))),FALSE)))</f>
        <v>0.16600000000000001</v>
      </c>
      <c r="BR52" s="405">
        <f ca="1">IF($A52="N/A"," ",(VLOOKUP($A52,OmicronVol,(IF('Pricing Inputs'!$AT$3=2,3,IF('Pricing Inputs'!$AT$3=1,4,2))),FALSE)))</f>
        <v>1.45</v>
      </c>
      <c r="BS52" s="406">
        <f ca="1">IF($A52="N/A"," ",IF('Pricing Inputs'!$AN$3=1,(IF(DateToday&gt;$A52,$BR52,((($BQ52^2)*((($A52-1)-DateToday)/((EOMONTH($A52,0)+1)-DateToday-15)))+((($BR52)^2)*((15)/((EOMONTH($A52,0)+1)-DateToday-15))))^0.5)),0.0001))</f>
        <v>0.21211065870813331</v>
      </c>
      <c r="BT52" s="405">
        <f>IF($A52="N/A"," ",IF('Pricing Inputs'!$AN$3=1,(VLOOKUP($A52,CorrelationTable,2,FALSE)),0))</f>
        <v>0.9</v>
      </c>
      <c r="BU52" s="407">
        <f ca="1">IF($A52="N/A"," ",F52+G52+(D52*(VLOOKUP($A52,'Gas Curves'!$B$17:$P$310,14,FALSE))))</f>
        <v>2.6825000000000001</v>
      </c>
      <c r="BV52" s="405">
        <f>IF($A52="N/A"," ",IF('Pricing Inputs'!$AW$3=1,0,(VLOOKUP($A52,InterestRatesTable,2))))</f>
        <v>0</v>
      </c>
      <c r="BW52" s="408">
        <f t="shared" ca="1" si="16"/>
        <v>1</v>
      </c>
    </row>
    <row r="53" spans="1:75">
      <c r="A53" s="248">
        <f>IF(A52="N/A","N/A",IF(EDATE(A52,1)&gt;Inputs!$K$3,"N/A",EDATE(A52,1)))</f>
        <v>38384</v>
      </c>
      <c r="B53" s="262">
        <f t="shared" si="17"/>
        <v>2005</v>
      </c>
      <c r="C53" s="249">
        <f t="shared" ca="1" si="18"/>
        <v>4.327</v>
      </c>
      <c r="D53" s="250">
        <f>IF(A53="N/A"," ",(VLOOKUP(MONTH($A53),Inputs!$A$14:$B$25,2))/1000)</f>
        <v>10.5</v>
      </c>
      <c r="E53" s="304">
        <f t="shared" ca="1" si="19"/>
        <v>45.433500000000002</v>
      </c>
      <c r="F53" s="251">
        <f>IF(A53="N/A"," ",Inputs!$F$6)</f>
        <v>2</v>
      </c>
      <c r="G53" s="251">
        <f ca="1">IF(A53="N/A"," ",Inputs!$F$9/IF(AND('Pricing Inputs'!$AQ$3&gt;=4,'Pricing Inputs'!$AQ$3&lt;=6),16,IF(AND('Pricing Inputs'!$AQ$3&gt;=7,'Pricing Inputs'!$AQ$3&lt;=9),8,24))/(BA53/BW53))</f>
        <v>0</v>
      </c>
      <c r="H53" s="252">
        <f t="shared" ca="1" si="20"/>
        <v>47.433500000000002</v>
      </c>
      <c r="I53" s="255">
        <f>VLOOKUP(A53,ScaledPrice,(IF(AND('Pricing Inputs'!$AQ$3&gt;=1,'Pricing Inputs'!$AQ$3&lt;=6),2,4)))</f>
        <v>35.61610701558039</v>
      </c>
      <c r="J53" s="255">
        <f>IF(A53="N/A"," ",IF(AND('Pricing Inputs'!$AQ$3&gt;=1,'Pricing Inputs'!$AQ$3&lt;=6),I53,(VLOOKUP(A53,ScaledPrice,2))*(2-(VLOOKUP(A53,ScaledPrice,3)))))</f>
        <v>37.88389298441961</v>
      </c>
      <c r="K53" s="255">
        <f>IF(A53="N/A"," ",IF(OR('Pricing Inputs'!$AQ$3=2,'Pricing Inputs'!$AQ$3=3,'Pricing Inputs'!$AQ$3=5,'Pricing Inputs'!$AQ$3=6,'Pricing Inputs'!$AQ$3=8,'Pricing Inputs'!$AQ$3=9),VLOOKUP(A53,ScaledPrice,IF(AND('Pricing Inputs'!$AQ$3&gt;=2,'Pricing Inputs'!$AQ$3&lt;=6),5,6)),0))</f>
        <v>27.180904675382532</v>
      </c>
      <c r="L53" s="255">
        <f>IF(A53="N/A"," ",IF(OR('Pricing Inputs'!$AQ$3=2,'Pricing Inputs'!$AQ$3=3,'Pricing Inputs'!$AQ$3=5,'Pricing Inputs'!$AQ$3=6,'Pricing Inputs'!$AQ$3=8,'Pricing Inputs'!$AQ$3=9),IF(AND('Pricing Inputs'!$AQ$3&gt;=2,'Pricing Inputs'!$AQ$3&lt;=6),K53,(VLOOKUP(A53,ScaledPrice,5))*(2-(VLOOKUP(A53,ScaledPrice,3)))),0))</f>
        <v>28.911595629793243</v>
      </c>
      <c r="M53" s="255">
        <f>IF(A53="N/A"," ",IF(OR('Pricing Inputs'!$AQ$3=3,'Pricing Inputs'!$AQ$3=6,'Pricing Inputs'!$AQ$3=9),(VLOOKUP(A53,ScaledPrice,IF(AND('Pricing Inputs'!$AQ$3&gt;=3,'Pricing Inputs'!$AQ$3&lt;=6),7,8))),0))</f>
        <v>24.759251019305758</v>
      </c>
      <c r="N53" s="255">
        <f>IF(A53="N/A"," ",IF(OR('Pricing Inputs'!$AQ$3=3,'Pricing Inputs'!$AQ$3=6,'Pricing Inputs'!$AQ$3=9),IF(AND('Pricing Inputs'!$AQ$3&gt;=3,'Pricing Inputs'!$AQ$3&lt;=6),M53,(VLOOKUP(A53,ScaledPrice,7))*(2-(VLOOKUP(A53,ScaledPrice,3)))),0))</f>
        <v>26.335747912579002</v>
      </c>
      <c r="O53" s="255">
        <f>IF(A53="N/A"," ",IF(AND('Pricing Inputs'!$AQ$3&gt;=1,'Pricing Inputs'!$AQ$3&lt;=3),VLOOKUP(A53,ScaledPrice,9),0))</f>
        <v>0</v>
      </c>
      <c r="P53" s="320">
        <f ca="1">IF($A53="N/A"," ",IF('Pricing Inputs'!$AN$8=2,(I53-H53),IF('Pricing Inputs'!$AN$3=2,IF((I53-$H53)&gt;0,I53-$H53,0),(_xll.xSPRDOPT(I53,$E53,$BU53,0,$BP53,$BS53,$BT53,($A53-Inputs!$D$1)+15,1,0)))))</f>
        <v>1.4296434357530881</v>
      </c>
      <c r="Q53" s="320">
        <f ca="1">IF($A53="N/A"," ",IF('Pricing Inputs'!$AN$8=2,(J53-$H53),IF('Pricing Inputs'!$AN$3=2,IF((J53-$H53)&gt;0,J53-$H53,0),(_xll.xSPRDOPT(J53,$E53,$BU53,0,$BP53,$BS53,$BT53,($A53-Inputs!$D$1)+15,1,0)))))</f>
        <v>2.0356310647691878</v>
      </c>
      <c r="R53" s="320">
        <f ca="1">IF($A53="N/A"," ",IF('Pricing Inputs'!$AN$8=2,(K53-$H53),IF('Pricing Inputs'!$AN$3=2,IF((K53-$H53)&gt;0,K53-$H53,0),(_xll.xSPRDOPT(K53,$E53,$BU53,0,$BP53,$BS53,$BT53,($A53-Inputs!$D$1)+15,1,0)))))</f>
        <v>0.22720327426948808</v>
      </c>
      <c r="S53" s="320">
        <f ca="1">IF($A53="N/A"," ",IF('Pricing Inputs'!$AN$8=2,(L53-$H53),IF('Pricing Inputs'!$AN$3=2,IF((L53-$H53)&gt;0,L53-$H53,0),(_xll.xSPRDOPT(L53,$E53,$BU53,0,$BP53,$BS53,$BT53,($A53-Inputs!$D$1)+15,1,0)))))</f>
        <v>0.361295720537962</v>
      </c>
      <c r="T53" s="320">
        <f ca="1">IF($A53="N/A"," ",IF('Pricing Inputs'!$AN$8=2,(M53-$H53),IF('Pricing Inputs'!$AN$3=2,IF((M53-$H53)&gt;0,M53-$H53,0),(_xll.xSPRDOPT(M53,$E53,$BU53,0,$BP53,$BS53,$BT53,($A53-Inputs!$D$1)+15,1,0)))))</f>
        <v>0.10701169200373173</v>
      </c>
      <c r="U53" s="320">
        <f ca="1">IF($A53="N/A"," ",IF('Pricing Inputs'!$AN$8=2,(N53-$H53),IF('Pricing Inputs'!$AN$3=2,IF((N53-$H53)&gt;0,N53-$H53,0),(_xll.xSPRDOPT(N53,$E53,$BU53,0,$BP53,$BS53,$BT53,($A53-Inputs!$D$1)+15,1,0)))))</f>
        <v>0.17733304274617617</v>
      </c>
      <c r="V53" s="259">
        <f ca="1">IF($A53="N/A"," ",(IF('Pricing Inputs'!$AN$8=2,(O53-$H53),IF((O53-$H53)&lt;=0,0,(O53-$H53)))))</f>
        <v>0</v>
      </c>
      <c r="W53" s="306">
        <f ca="1">IF($A53="N/A"," ",IF(0&lt;&gt;P53,IF('Pricing Inputs'!$AN$3=2,8*VLOOKUP($A53,NumberofDaysTable,2),(_xll.xSPRDOPT(I53,$E53,$BU53,0,$BP53,$BS53,$BT53,$A53-Inputs!$D$1,1,1))*(8*VLOOKUP($A53,NumberofDaysTable,2))),0))</f>
        <v>37.777946220116107</v>
      </c>
      <c r="X53" s="306">
        <f ca="1">IF($A53="N/A"," ",IF(Q53&lt;&gt;0,IF('Pricing Inputs'!$AN$3=2,8*VLOOKUP($A53,NumberofDaysTable,2),(_xll.xSPRDOPT(J53,$E53,$BU53,0,$BP53,$BS53,$BT53,$A53-Inputs!$D$1,1,1))*(8*VLOOKUP($A53,NumberofDaysTable,2))),0))</f>
        <v>47.392834358912559</v>
      </c>
      <c r="Y53" s="306">
        <f ca="1">IF($A53="N/A"," ",IF(R53&lt;&gt;0,IF('Pricing Inputs'!$AN$3=2,8*VLOOKUP($A53,NumberofDaysTable,3),(_xll.xSPRDOPT(K53,$E53,$BU53,0,$BP53,$BS53,$BT53,$A53-Inputs!$D$1,1,1))*(8*VLOOKUP($A53,NumberofDaysTable,3))),0))</f>
        <v>2.0372495699104762</v>
      </c>
      <c r="Z53" s="306">
        <f ca="1">IF($A53="N/A"," ",IF(S53&lt;&gt;0,IF('Pricing Inputs'!$AN$3=2,8*VLOOKUP($A53,NumberofDaysTable,3),(_xll.xSPRDOPT(L53,$E53,$BU53,0,$BP53,$BS53,$BT53,$A53-Inputs!$D$1,1,1))*(8*VLOOKUP($A53,NumberofDaysTable,3))),0))</f>
        <v>2.8820057169908364</v>
      </c>
      <c r="AA53" s="306">
        <f ca="1">IF($A53="N/A"," ",IF(T53&lt;&gt;0,IF('Pricing Inputs'!$AN$3=2,8*VLOOKUP($A53,NumberofDaysTable,4),(_xll.xSPRDOPT(M53,$E53,$BU53,0,$BP53,$BS53,$BT53,$A53-Inputs!$D$1,1,1))*(8*VLOOKUP($A53,NumberofDaysTable,4))),0))</f>
        <v>1.1403646868013773</v>
      </c>
      <c r="AB53" s="306">
        <f ca="1">IF($A53="N/A"," ",IF(U53&lt;&gt;0,IF('Pricing Inputs'!$AN$3=2,8*VLOOKUP($A53,NumberofDaysTable,4),(_xll.xSPRDOPT(N53,$E53,$BU53,0,$BP53,$BS53,$BT53,$A53-Inputs!$D$1,1,1))*(8*VLOOKUP($A53,NumberofDaysTable,4))),0))</f>
        <v>1.6867183677202418</v>
      </c>
      <c r="AC53" s="306">
        <f t="shared" ca="1" si="21"/>
        <v>0</v>
      </c>
      <c r="AD53" s="274">
        <f t="shared" ref="AD53:AD63" ca="1" si="104">IF($A53="N/A"," ",RANK(P53,$P$52:$V$63))</f>
        <v>31</v>
      </c>
      <c r="AE53" s="275">
        <f t="shared" ref="AE53:AE63" ca="1" si="105">IF($A53="N/A"," ",RANK(Q53,$P$52:$V$63))</f>
        <v>26</v>
      </c>
      <c r="AF53" s="275">
        <f t="shared" ref="AF53:AF63" ca="1" si="106">IF($A53="N/A"," ",RANK(R53,$P$52:$V$63))</f>
        <v>52</v>
      </c>
      <c r="AG53" s="275">
        <f t="shared" ref="AG53:AG63" ca="1" si="107">IF($A53="N/A"," ",RANK(S53,$P$52:$V$63))</f>
        <v>46</v>
      </c>
      <c r="AH53" s="275">
        <f t="shared" ref="AH53:AH63" ca="1" si="108">IF($A53="N/A"," ",RANK(T53,$P$52:$V$63))</f>
        <v>58</v>
      </c>
      <c r="AI53" s="275">
        <f t="shared" ref="AI53:AI63" ca="1" si="109">IF($A53="N/A"," ",RANK(U53,$P$52:$V$63))</f>
        <v>55</v>
      </c>
      <c r="AJ53" s="276">
        <f t="shared" ref="AJ53:AJ63" ca="1" si="110">IF($A53="N/A"," ",RANK(V53,$P$52:$V$63))</f>
        <v>73</v>
      </c>
      <c r="AK53" s="314">
        <f t="shared" ca="1" si="43"/>
        <v>37.777946220116107</v>
      </c>
      <c r="AL53" s="315">
        <f t="shared" ca="1" si="44"/>
        <v>47.392834358912559</v>
      </c>
      <c r="AM53" s="315">
        <f t="shared" ca="1" si="45"/>
        <v>2.0372495699104762</v>
      </c>
      <c r="AN53" s="315">
        <f t="shared" ca="1" si="46"/>
        <v>2.8820057169908364</v>
      </c>
      <c r="AO53" s="315">
        <f t="shared" ca="1" si="47"/>
        <v>1.1403646868013773</v>
      </c>
      <c r="AP53" s="315">
        <f t="shared" ca="1" si="48"/>
        <v>1.6867183677202418</v>
      </c>
      <c r="AQ53" s="315">
        <f t="shared" ca="1" si="49"/>
        <v>0</v>
      </c>
      <c r="AR53" s="276"/>
      <c r="AS53" s="321">
        <f t="shared" ca="1" si="97"/>
        <v>0</v>
      </c>
      <c r="AT53" s="324">
        <f t="shared" ca="1" si="98"/>
        <v>0</v>
      </c>
      <c r="AU53" s="324">
        <f t="shared" ca="1" si="99"/>
        <v>0</v>
      </c>
      <c r="AV53" s="324">
        <f t="shared" ca="1" si="100"/>
        <v>0</v>
      </c>
      <c r="AW53" s="324">
        <f t="shared" ca="1" si="101"/>
        <v>0</v>
      </c>
      <c r="AX53" s="324">
        <f t="shared" ca="1" si="102"/>
        <v>0</v>
      </c>
      <c r="AY53" s="324">
        <f t="shared" ca="1" si="103"/>
        <v>0</v>
      </c>
      <c r="AZ53" s="276"/>
      <c r="BA53" s="267">
        <f ca="1">IF($A53="N/A"," ",(IF(MONTH(A53)&gt;=4,IF(MONTH(A53)&lt;=10,Inputs!$F$13,Inputs!$F$14),Inputs!$F$14))*$BW53)</f>
        <v>180</v>
      </c>
      <c r="BB53" s="268">
        <f t="shared" ca="1" si="64"/>
        <v>41173.730949688936</v>
      </c>
      <c r="BC53" s="268">
        <f t="shared" ca="1" si="65"/>
        <v>58626.174665352606</v>
      </c>
      <c r="BD53" s="268">
        <f t="shared" ca="1" si="31"/>
        <v>1308.6908597922513</v>
      </c>
      <c r="BE53" s="268">
        <f t="shared" ca="1" si="32"/>
        <v>2081.0633502986611</v>
      </c>
      <c r="BF53" s="268">
        <f t="shared" ca="1" si="33"/>
        <v>616.3873459414948</v>
      </c>
      <c r="BG53" s="268">
        <f t="shared" ca="1" si="34"/>
        <v>1021.4383262179748</v>
      </c>
      <c r="BH53" s="268">
        <f t="shared" ca="1" si="41"/>
        <v>0</v>
      </c>
      <c r="BI53" s="268">
        <f t="shared" ca="1" si="36"/>
        <v>104827.48549729191</v>
      </c>
      <c r="BJ53" s="296">
        <f t="shared" ca="1" si="37"/>
        <v>793329.1488563834</v>
      </c>
      <c r="BK53" s="296">
        <f t="shared" ca="1" si="38"/>
        <v>759878.98604502087</v>
      </c>
      <c r="BL53" s="296">
        <f t="shared" ca="1" si="39"/>
        <v>33450.162811362577</v>
      </c>
      <c r="BM53" s="296">
        <f t="shared" ca="1" si="40"/>
        <v>0</v>
      </c>
      <c r="BN53" s="405">
        <f>IF(A53="N/A"," ",(VLOOKUP(A53,PowerVolTable,(IF('Pricing Inputs'!$AT$3=2,7,IF('Pricing Inputs'!$AT$3=1,6,8))),FALSE)))</f>
        <v>0.22317471249999998</v>
      </c>
      <c r="BO53" s="405">
        <f>IF(A53="N/A"," ",(VLOOKUP(A53,IntraPowerVol,(IF('Pricing Inputs'!$AT$3=2,3,IF('Pricing Inputs'!$AT$3=1,2,4))),FALSE)*VLOOKUP(MONTH($A53),Inputs!$A$28:$B$39,2)))</f>
        <v>2.2999999999999998</v>
      </c>
      <c r="BP53" s="406">
        <f t="shared" ca="1" si="15"/>
        <v>0.30538743287850734</v>
      </c>
      <c r="BQ53" s="405">
        <f ca="1">IF($A53="N/A"," ",(VLOOKUP($A53,GasVolTable,(IF('Pricing Inputs'!$AT$3=2,6,IF('Pricing Inputs'!$AT$3=1,7,5))),FALSE)))</f>
        <v>0.16600000000000001</v>
      </c>
      <c r="BR53" s="405">
        <f ca="1">IF($A53="N/A"," ",(VLOOKUP($A53,OmicronVol,(IF('Pricing Inputs'!$AT$3=2,3,IF('Pricing Inputs'!$AT$3=1,4,2))),FALSE)))</f>
        <v>1.45</v>
      </c>
      <c r="BS53" s="406">
        <f ca="1">IF($A53="N/A"," ",IF('Pricing Inputs'!$AN$3=1,(IF(DateToday&gt;$A53,$BR53,((($BQ53^2)*((($A53-1)-DateToday)/((EOMONTH($A53,0)+1)-DateToday-15)))+((($BR53)^2)*((15)/((EOMONTH($A53,0)+1)-DateToday-15))))^0.5)),0.0001))</f>
        <v>0.21158188206384679</v>
      </c>
      <c r="BT53" s="405">
        <f>IF($A53="N/A"," ",IF('Pricing Inputs'!$AN$3=1,(VLOOKUP($A53,CorrelationTable,2,FALSE)),0))</f>
        <v>0.9</v>
      </c>
      <c r="BU53" s="407">
        <f ca="1">IF($A53="N/A"," ",F53+G53+(D53*(VLOOKUP($A53,'Gas Curves'!$B$17:$P$310,14,FALSE))))</f>
        <v>2.6825000000000001</v>
      </c>
      <c r="BV53" s="405">
        <f>IF($A53="N/A"," ",IF('Pricing Inputs'!$AW$3=1,0,(VLOOKUP($A53,InterestRatesTable,2))))</f>
        <v>0</v>
      </c>
      <c r="BW53" s="408">
        <f t="shared" ca="1" si="16"/>
        <v>1</v>
      </c>
    </row>
    <row r="54" spans="1:75">
      <c r="A54" s="248">
        <f>IF(A53="N/A","N/A",IF(EDATE(A53,1)&gt;Inputs!$K$3,"N/A",EDATE(A53,1)))</f>
        <v>38412</v>
      </c>
      <c r="B54" s="262">
        <f t="shared" si="17"/>
        <v>2005</v>
      </c>
      <c r="C54" s="249">
        <f t="shared" ca="1" si="18"/>
        <v>3.6869999999999998</v>
      </c>
      <c r="D54" s="250">
        <f>IF(A54="N/A"," ",(VLOOKUP(MONTH($A54),Inputs!$A$14:$B$25,2))/1000)</f>
        <v>10.5</v>
      </c>
      <c r="E54" s="304">
        <f t="shared" ca="1" si="19"/>
        <v>38.713499999999996</v>
      </c>
      <c r="F54" s="251">
        <f>IF(A54="N/A"," ",Inputs!$F$6)</f>
        <v>2</v>
      </c>
      <c r="G54" s="251">
        <f ca="1">IF(A54="N/A"," ",Inputs!$F$9/IF(AND('Pricing Inputs'!$AQ$3&gt;=4,'Pricing Inputs'!$AQ$3&lt;=6),16,IF(AND('Pricing Inputs'!$AQ$3&gt;=7,'Pricing Inputs'!$AQ$3&lt;=9),8,24))/(BA54/BW54))</f>
        <v>0</v>
      </c>
      <c r="H54" s="252">
        <f t="shared" ca="1" si="20"/>
        <v>40.713499999999996</v>
      </c>
      <c r="I54" s="255">
        <f>VLOOKUP(A54,ScaledPrice,(IF(AND('Pricing Inputs'!$AQ$3&gt;=1,'Pricing Inputs'!$AQ$3&lt;=6),2,4)))</f>
        <v>32.064450000000001</v>
      </c>
      <c r="J54" s="255">
        <f>IF(A54="N/A"," ",IF(AND('Pricing Inputs'!$AQ$3&gt;=1,'Pricing Inputs'!$AQ$3&lt;=6),I54,(VLOOKUP(A54,ScaledPrice,2))*(2-(VLOOKUP(A54,ScaledPrice,3)))))</f>
        <v>33.935549999999999</v>
      </c>
      <c r="K54" s="255">
        <f>IF(A54="N/A"," ",IF(OR('Pricing Inputs'!$AQ$3=2,'Pricing Inputs'!$AQ$3=3,'Pricing Inputs'!$AQ$3=5,'Pricing Inputs'!$AQ$3=6,'Pricing Inputs'!$AQ$3=8,'Pricing Inputs'!$AQ$3=9),VLOOKUP(A54,ScaledPrice,IF(AND('Pricing Inputs'!$AQ$3&gt;=2,'Pricing Inputs'!$AQ$3&lt;=6),5,6)),0))</f>
        <v>20.632744452018738</v>
      </c>
      <c r="L54" s="255">
        <f>IF(A54="N/A"," ",IF(OR('Pricing Inputs'!$AQ$3=2,'Pricing Inputs'!$AQ$3=3,'Pricing Inputs'!$AQ$3=5,'Pricing Inputs'!$AQ$3=6,'Pricing Inputs'!$AQ$3=8,'Pricing Inputs'!$AQ$3=9),IF(AND('Pricing Inputs'!$AQ$3&gt;=2,'Pricing Inputs'!$AQ$3&lt;=6),K54,(VLOOKUP(A54,ScaledPrice,5))*(2-(VLOOKUP(A54,ScaledPrice,3)))),0))</f>
        <v>21.836754754524225</v>
      </c>
      <c r="M54" s="255">
        <f>IF(A54="N/A"," ",IF(OR('Pricing Inputs'!$AQ$3=3,'Pricing Inputs'!$AQ$3=6,'Pricing Inputs'!$AQ$3=9),(VLOOKUP(A54,ScaledPrice,IF(AND('Pricing Inputs'!$AQ$3&gt;=3,'Pricing Inputs'!$AQ$3&lt;=6),7,8))),0))</f>
        <v>20.272990357513429</v>
      </c>
      <c r="N54" s="255">
        <f>IF(A54="N/A"," ",IF(OR('Pricing Inputs'!$AQ$3=3,'Pricing Inputs'!$AQ$3=6,'Pricing Inputs'!$AQ$3=9),IF(AND('Pricing Inputs'!$AQ$3&gt;=3,'Pricing Inputs'!$AQ$3&lt;=6),M54,(VLOOKUP(A54,ScaledPrice,7))*(2-(VLOOKUP(A54,ScaledPrice,3)))),0))</f>
        <v>21.456007445220941</v>
      </c>
      <c r="O54" s="255">
        <f>IF(A54="N/A"," ",IF(AND('Pricing Inputs'!$AQ$3&gt;=1,'Pricing Inputs'!$AQ$3&lt;=3),VLOOKUP(A54,ScaledPrice,9),0))</f>
        <v>0</v>
      </c>
      <c r="P54" s="320">
        <f ca="1">IF($A54="N/A"," ",IF('Pricing Inputs'!$AN$8=2,(I54-H54),IF('Pricing Inputs'!$AN$3=2,IF((I54-$H54)&gt;0,I54-$H54,0),(_xll.xSPRDOPT(I54,$E54,$BU54,0,$BP54,$BS54,$BT54,($A54-Inputs!$D$1)+15,1,0)))))</f>
        <v>0.97317954040775845</v>
      </c>
      <c r="Q54" s="320">
        <f ca="1">IF($A54="N/A"," ",IF('Pricing Inputs'!$AN$8=2,(J54-$H54),IF('Pricing Inputs'!$AN$3=2,IF((J54-$H54)&gt;0,J54-$H54,0),(_xll.xSPRDOPT(J54,$E54,$BU54,0,$BP54,$BS54,$BT54,($A54-Inputs!$D$1)+15,1,0)))))</f>
        <v>1.4415993861983927</v>
      </c>
      <c r="R54" s="320">
        <f ca="1">IF($A54="N/A"," ",IF('Pricing Inputs'!$AN$8=2,(K54-$H54),IF('Pricing Inputs'!$AN$3=2,IF((K54-$H54)&gt;0,K54-$H54,0),(_xll.xSPRDOPT(K54,$E54,$BU54,0,$BP54,$BS54,$BT54,($A54-Inputs!$D$1)+15,1,0)))))</f>
        <v>1.5109780225586397E-2</v>
      </c>
      <c r="S54" s="320">
        <f ca="1">IF($A54="N/A"," ",IF('Pricing Inputs'!$AN$8=2,(L54-$H54),IF('Pricing Inputs'!$AN$3=2,IF((L54-$H54)&gt;0,L54-$H54,0),(_xll.xSPRDOPT(L54,$E54,$BU54,0,$BP54,$BS54,$BT54,($A54-Inputs!$D$1)+15,1,0)))))</f>
        <v>2.9062350233154833E-2</v>
      </c>
      <c r="T54" s="320">
        <f ca="1">IF($A54="N/A"," ",IF('Pricing Inputs'!$AN$8=2,(M54-$H54),IF('Pricing Inputs'!$AN$3=2,IF((M54-$H54)&gt;0,M54-$H54,0),(_xll.xSPRDOPT(M54,$E54,$BU54,0,$BP54,$BS54,$BT54,($A54-Inputs!$D$1)+15,1,0)))))</f>
        <v>1.2243288125654563E-2</v>
      </c>
      <c r="U54" s="320">
        <f ca="1">IF($A54="N/A"," ",IF('Pricing Inputs'!$AN$8=2,(N54-$H54),IF('Pricing Inputs'!$AN$3=2,IF((N54-$H54)&gt;0,N54-$H54,0),(_xll.xSPRDOPT(N54,$E54,$BU54,0,$BP54,$BS54,$BT54,($A54-Inputs!$D$1)+15,1,0)))))</f>
        <v>2.381949273531898E-2</v>
      </c>
      <c r="V54" s="259">
        <f ca="1">IF($A54="N/A"," ",(IF('Pricing Inputs'!$AN$8=2,(O54-$H54),IF((O54-$H54)&lt;=0,0,(O54-$H54)))))</f>
        <v>0</v>
      </c>
      <c r="W54" s="306">
        <f ca="1">IF($A54="N/A"," ",IF(0&lt;&gt;P54,IF('Pricing Inputs'!$AN$3=2,8*VLOOKUP($A54,NumberofDaysTable,2),(_xll.xSPRDOPT(I54,$E54,$BU54,0,$BP54,$BS54,$BT54,$A54-Inputs!$D$1,1,1))*(8*VLOOKUP($A54,NumberofDaysTable,2))),0))</f>
        <v>39.925986476592804</v>
      </c>
      <c r="X54" s="306">
        <f ca="1">IF($A54="N/A"," ",IF(Q54&lt;&gt;0,IF('Pricing Inputs'!$AN$3=2,8*VLOOKUP($A54,NumberofDaysTable,2),(_xll.xSPRDOPT(J54,$E54,$BU54,0,$BP54,$BS54,$BT54,$A54-Inputs!$D$1,1,1))*(8*VLOOKUP($A54,NumberofDaysTable,2))),0))</f>
        <v>51.906927947293859</v>
      </c>
      <c r="Y54" s="306">
        <f ca="1">IF($A54="N/A"," ",IF(R54&lt;&gt;0,IF('Pricing Inputs'!$AN$3=2,8*VLOOKUP($A54,NumberofDaysTable,3),(_xll.xSPRDOPT(K54,$E54,$BU54,0,$BP54,$BS54,$BT54,$A54-Inputs!$D$1,1,1))*(8*VLOOKUP($A54,NumberofDaysTable,3))),0))</f>
        <v>0.26976922084732474</v>
      </c>
      <c r="Z54" s="306">
        <f ca="1">IF($A54="N/A"," ",IF(S54&lt;&gt;0,IF('Pricing Inputs'!$AN$3=2,8*VLOOKUP($A54,NumberofDaysTable,3),(_xll.xSPRDOPT(L54,$E54,$BU54,0,$BP54,$BS54,$BT54,$A54-Inputs!$D$1,1,1))*(8*VLOOKUP($A54,NumberofDaysTable,3))),0))</f>
        <v>0.46541734262804813</v>
      </c>
      <c r="AA54" s="306">
        <f ca="1">IF($A54="N/A"," ",IF(T54&lt;&gt;0,IF('Pricing Inputs'!$AN$3=2,8*VLOOKUP($A54,NumberofDaysTable,4),(_xll.xSPRDOPT(M54,$E54,$BU54,0,$BP54,$BS54,$BT54,$A54-Inputs!$D$1,1,1))*(8*VLOOKUP($A54,NumberofDaysTable,4))),0))</f>
        <v>0.22597427860027267</v>
      </c>
      <c r="AB54" s="306">
        <f ca="1">IF($A54="N/A"," ",IF(U54&lt;&gt;0,IF('Pricing Inputs'!$AN$3=2,8*VLOOKUP($A54,NumberofDaysTable,4),(_xll.xSPRDOPT(N54,$E54,$BU54,0,$BP54,$BS54,$BT54,$A54-Inputs!$D$1,1,1))*(8*VLOOKUP($A54,NumberofDaysTable,4))),0))</f>
        <v>0.39464550534900528</v>
      </c>
      <c r="AC54" s="306">
        <f t="shared" ca="1" si="21"/>
        <v>0</v>
      </c>
      <c r="AD54" s="274">
        <f t="shared" ca="1" si="104"/>
        <v>33</v>
      </c>
      <c r="AE54" s="275">
        <f t="shared" ca="1" si="105"/>
        <v>30</v>
      </c>
      <c r="AF54" s="275">
        <f t="shared" ca="1" si="106"/>
        <v>69</v>
      </c>
      <c r="AG54" s="275">
        <f t="shared" ca="1" si="107"/>
        <v>65</v>
      </c>
      <c r="AH54" s="275">
        <f t="shared" ca="1" si="108"/>
        <v>70</v>
      </c>
      <c r="AI54" s="275">
        <f t="shared" ca="1" si="109"/>
        <v>67</v>
      </c>
      <c r="AJ54" s="276">
        <f t="shared" ca="1" si="110"/>
        <v>73</v>
      </c>
      <c r="AK54" s="314">
        <f t="shared" ca="1" si="43"/>
        <v>39.925986476592804</v>
      </c>
      <c r="AL54" s="315">
        <f t="shared" ca="1" si="44"/>
        <v>51.906927947293859</v>
      </c>
      <c r="AM54" s="315">
        <f t="shared" ca="1" si="45"/>
        <v>0.26976922084732474</v>
      </c>
      <c r="AN54" s="315">
        <f t="shared" ca="1" si="46"/>
        <v>0.46541734262804813</v>
      </c>
      <c r="AO54" s="315">
        <f t="shared" ca="1" si="47"/>
        <v>0.22597427860027267</v>
      </c>
      <c r="AP54" s="315">
        <f t="shared" ca="1" si="48"/>
        <v>0.39464550534900528</v>
      </c>
      <c r="AQ54" s="315">
        <f t="shared" ca="1" si="49"/>
        <v>0</v>
      </c>
      <c r="AR54" s="276"/>
      <c r="AS54" s="321">
        <f t="shared" ca="1" si="97"/>
        <v>0</v>
      </c>
      <c r="AT54" s="324">
        <f t="shared" ca="1" si="98"/>
        <v>0</v>
      </c>
      <c r="AU54" s="324">
        <f t="shared" ca="1" si="99"/>
        <v>0</v>
      </c>
      <c r="AV54" s="324">
        <f t="shared" ca="1" si="100"/>
        <v>0</v>
      </c>
      <c r="AW54" s="324">
        <f t="shared" ca="1" si="101"/>
        <v>0</v>
      </c>
      <c r="AX54" s="324">
        <f t="shared" ca="1" si="102"/>
        <v>0</v>
      </c>
      <c r="AY54" s="324">
        <f t="shared" ca="1" si="103"/>
        <v>0</v>
      </c>
      <c r="AZ54" s="276"/>
      <c r="BA54" s="267">
        <f ca="1">IF($A54="N/A"," ",(IF(MONTH(A54)&gt;=4,IF(MONTH(A54)&lt;=10,Inputs!$F$13,Inputs!$F$14),Inputs!$F$14))*$BW54)</f>
        <v>180</v>
      </c>
      <c r="BB54" s="268">
        <f t="shared" ca="1" si="64"/>
        <v>32231.70637830496</v>
      </c>
      <c r="BC54" s="268">
        <f t="shared" ca="1" si="65"/>
        <v>47745.771670890768</v>
      </c>
      <c r="BD54" s="268">
        <f t="shared" ca="1" si="31"/>
        <v>87.03233409937765</v>
      </c>
      <c r="BE54" s="268">
        <f t="shared" ca="1" si="32"/>
        <v>167.39913734297184</v>
      </c>
      <c r="BF54" s="268">
        <f t="shared" ca="1" si="33"/>
        <v>70.521339603770286</v>
      </c>
      <c r="BG54" s="268">
        <f t="shared" ca="1" si="34"/>
        <v>137.20027815543733</v>
      </c>
      <c r="BH54" s="268">
        <f t="shared" ca="1" si="41"/>
        <v>0</v>
      </c>
      <c r="BI54" s="268">
        <f t="shared" ca="1" si="36"/>
        <v>80439.631138397279</v>
      </c>
      <c r="BJ54" s="296">
        <f t="shared" ca="1" si="37"/>
        <v>682927.01696210087</v>
      </c>
      <c r="BK54" s="296">
        <f t="shared" ca="1" si="38"/>
        <v>649379.07748442888</v>
      </c>
      <c r="BL54" s="296">
        <f t="shared" ca="1" si="39"/>
        <v>33547.939477672073</v>
      </c>
      <c r="BM54" s="296">
        <f t="shared" ca="1" si="40"/>
        <v>0</v>
      </c>
      <c r="BN54" s="405">
        <f>IF(A54="N/A"," ",(VLOOKUP(A54,PowerVolTable,(IF('Pricing Inputs'!$AT$3=2,7,IF('Pricing Inputs'!$AT$3=1,6,8))),FALSE)))</f>
        <v>0.21753425671874999</v>
      </c>
      <c r="BO54" s="405">
        <f>IF(A54="N/A"," ",(VLOOKUP(A54,IntraPowerVol,(IF('Pricing Inputs'!$AT$3=2,3,IF('Pricing Inputs'!$AT$3=1,2,4))),FALSE)*VLOOKUP(MONTH($A54),Inputs!$A$28:$B$39,2)))</f>
        <v>1.4949999999999999</v>
      </c>
      <c r="BP54" s="406">
        <f t="shared" ca="1" si="15"/>
        <v>0.25513643322896629</v>
      </c>
      <c r="BQ54" s="405">
        <f ca="1">IF($A54="N/A"," ",(VLOOKUP($A54,GasVolTable,(IF('Pricing Inputs'!$AT$3=2,6,IF('Pricing Inputs'!$AT$3=1,7,5))),FALSE)))</f>
        <v>0.16400000000000001</v>
      </c>
      <c r="BR54" s="405">
        <f ca="1">IF($A54="N/A"," ",(VLOOKUP($A54,OmicronVol,(IF('Pricing Inputs'!$AT$3=2,3,IF('Pricing Inputs'!$AT$3=1,4,2))),FALSE)))</f>
        <v>1</v>
      </c>
      <c r="BS54" s="406">
        <f ca="1">IF($A54="N/A"," ",IF('Pricing Inputs'!$AN$3=1,(IF(DateToday&gt;$A54,$BR54,((($BQ54^2)*((($A54-1)-DateToday)/((EOMONTH($A54,0)+1)-DateToday-15)))+((($BR54)^2)*((15)/((EOMONTH($A54,0)+1)-DateToday-15))))^0.5)),0.0001))</f>
        <v>0.18653521146631902</v>
      </c>
      <c r="BT54" s="405">
        <f>IF($A54="N/A"," ",IF('Pricing Inputs'!$AN$3=1,(VLOOKUP($A54,CorrelationTable,2,FALSE)),0))</f>
        <v>0.9</v>
      </c>
      <c r="BU54" s="407">
        <f ca="1">IF($A54="N/A"," ",F54+G54+(D54*(VLOOKUP($A54,'Gas Curves'!$B$17:$P$310,14,FALSE))))</f>
        <v>2.6825000000000001</v>
      </c>
      <c r="BV54" s="405">
        <f>IF($A54="N/A"," ",IF('Pricing Inputs'!$AW$3=1,0,(VLOOKUP($A54,InterestRatesTable,2))))</f>
        <v>0</v>
      </c>
      <c r="BW54" s="408">
        <f t="shared" ca="1" si="16"/>
        <v>1</v>
      </c>
    </row>
    <row r="55" spans="1:75">
      <c r="A55" s="248">
        <f>IF(A54="N/A","N/A",IF(EDATE(A54,1)&gt;Inputs!$K$3,"N/A",EDATE(A54,1)))</f>
        <v>38443</v>
      </c>
      <c r="B55" s="262">
        <f t="shared" si="17"/>
        <v>2005</v>
      </c>
      <c r="C55" s="249">
        <f t="shared" ca="1" si="18"/>
        <v>2.7131249999999998</v>
      </c>
      <c r="D55" s="250">
        <f>IF(A55="N/A"," ",(VLOOKUP(MONTH($A55),Inputs!$A$14:$B$25,2))/1000)</f>
        <v>10.5</v>
      </c>
      <c r="E55" s="304">
        <f t="shared" ca="1" si="19"/>
        <v>28.487812499999997</v>
      </c>
      <c r="F55" s="251">
        <f>IF(A55="N/A"," ",Inputs!$F$6)</f>
        <v>2</v>
      </c>
      <c r="G55" s="251">
        <f ca="1">IF(A55="N/A"," ",Inputs!$F$9/IF(AND('Pricing Inputs'!$AQ$3&gt;=4,'Pricing Inputs'!$AQ$3&lt;=6),16,IF(AND('Pricing Inputs'!$AQ$3&gt;=7,'Pricing Inputs'!$AQ$3&lt;=9),8,24))/(BA55/BW55))</f>
        <v>0</v>
      </c>
      <c r="H55" s="252">
        <f t="shared" ca="1" si="20"/>
        <v>30.487812499999997</v>
      </c>
      <c r="I55" s="255">
        <f>VLOOKUP(A55,ScaledPrice,(IF(AND('Pricing Inputs'!$AQ$3&gt;=1,'Pricing Inputs'!$AQ$3&lt;=6),2,4)))</f>
        <v>29.368401065909115</v>
      </c>
      <c r="J55" s="255">
        <f>IF(A55="N/A"," ",IF(AND('Pricing Inputs'!$AQ$3&gt;=1,'Pricing Inputs'!$AQ$3&lt;=6),I55,(VLOOKUP(A55,ScaledPrice,2))*(2-(VLOOKUP(A55,ScaledPrice,3)))))</f>
        <v>34.131598934090881</v>
      </c>
      <c r="K55" s="255">
        <f>IF(A55="N/A"," ",IF(OR('Pricing Inputs'!$AQ$3=2,'Pricing Inputs'!$AQ$3=3,'Pricing Inputs'!$AQ$3=5,'Pricing Inputs'!$AQ$3=6,'Pricing Inputs'!$AQ$3=8,'Pricing Inputs'!$AQ$3=9),VLOOKUP(A55,ScaledPrice,IF(AND('Pricing Inputs'!$AQ$3&gt;=2,'Pricing Inputs'!$AQ$3&lt;=6),5,6)),0))</f>
        <v>20.273446907861029</v>
      </c>
      <c r="L55" s="255">
        <f>IF(A55="N/A"," ",IF(OR('Pricing Inputs'!$AQ$3=2,'Pricing Inputs'!$AQ$3=3,'Pricing Inputs'!$AQ$3=5,'Pricing Inputs'!$AQ$3=6,'Pricing Inputs'!$AQ$3=8,'Pricing Inputs'!$AQ$3=9),IF(AND('Pricing Inputs'!$AQ$3&gt;=2,'Pricing Inputs'!$AQ$3&lt;=6),K55,(VLOOKUP(A55,ScaledPrice,5))*(2-(VLOOKUP(A55,ScaledPrice,3)))),0))</f>
        <v>23.561553702490528</v>
      </c>
      <c r="M55" s="255">
        <f>IF(A55="N/A"," ",IF(OR('Pricing Inputs'!$AQ$3=3,'Pricing Inputs'!$AQ$3=6,'Pricing Inputs'!$AQ$3=9),(VLOOKUP(A55,ScaledPrice,IF(AND('Pricing Inputs'!$AQ$3&gt;=3,'Pricing Inputs'!$AQ$3&lt;=6),7,8))),0))</f>
        <v>19.087147373463317</v>
      </c>
      <c r="N55" s="255">
        <f>IF(A55="N/A"," ",IF(OR('Pricing Inputs'!$AQ$3=3,'Pricing Inputs'!$AQ$3=6,'Pricing Inputs'!$AQ$3=9),IF(AND('Pricing Inputs'!$AQ$3&gt;=3,'Pricing Inputs'!$AQ$3&lt;=6),M55,(VLOOKUP(A55,ScaledPrice,7))*(2-(VLOOKUP(A55,ScaledPrice,3)))),0))</f>
        <v>22.18285079548199</v>
      </c>
      <c r="O55" s="255">
        <f>IF(A55="N/A"," ",IF(AND('Pricing Inputs'!$AQ$3&gt;=1,'Pricing Inputs'!$AQ$3&lt;=3),VLOOKUP(A55,ScaledPrice,9),0))</f>
        <v>0</v>
      </c>
      <c r="P55" s="320">
        <f ca="1">IF($A55="N/A"," ",IF('Pricing Inputs'!$AN$8=2,(I55-H55),IF('Pricing Inputs'!$AN$3=2,IF((I55-$H55)&gt;0,I55-$H55,0),(_xll.xSPRDOPT(I55,$E55,$BU55,0,$BP55,$BS55,$BT55,($A55-Inputs!$D$1)+15,1,0)))))</f>
        <v>2.1625167404979235</v>
      </c>
      <c r="Q55" s="320">
        <f ca="1">IF($A55="N/A"," ",IF('Pricing Inputs'!$AN$8=2,(J55-$H55),IF('Pricing Inputs'!$AN$3=2,IF((J55-$H55)&gt;0,J55-$H55,0),(_xll.xSPRDOPT(J55,$E55,$BU55,0,$BP55,$BS55,$BT55,($A55-Inputs!$D$1)+15,1,0)))))</f>
        <v>4.9140409978242054</v>
      </c>
      <c r="R55" s="320">
        <f ca="1">IF($A55="N/A"," ",IF('Pricing Inputs'!$AN$8=2,(K55-$H55),IF('Pricing Inputs'!$AN$3=2,IF((K55-$H55)&gt;0,K55-$H55,0),(_xll.xSPRDOPT(K55,$E55,$BU55,0,$BP55,$BS55,$BT55,($A55-Inputs!$D$1)+15,1,0)))))</f>
        <v>9.9317527340327644E-2</v>
      </c>
      <c r="S55" s="320">
        <f ca="1">IF($A55="N/A"," ",IF('Pricing Inputs'!$AN$8=2,(L55-$H55),IF('Pricing Inputs'!$AN$3=2,IF((L55-$H55)&gt;0,L55-$H55,0),(_xll.xSPRDOPT(L55,$E55,$BU55,0,$BP55,$BS55,$BT55,($A55-Inputs!$D$1)+15,1,0)))))</f>
        <v>0.42421699955736691</v>
      </c>
      <c r="T55" s="320">
        <f ca="1">IF($A55="N/A"," ",IF('Pricing Inputs'!$AN$8=2,(M55-$H55),IF('Pricing Inputs'!$AN$3=2,IF((M55-$H55)&gt;0,M55-$H55,0),(_xll.xSPRDOPT(M55,$E55,$BU55,0,$BP55,$BS55,$BT55,($A55-Inputs!$D$1)+15,1,0)))))</f>
        <v>5.0937670101877504E-2</v>
      </c>
      <c r="U55" s="320">
        <f ca="1">IF($A55="N/A"," ",IF('Pricing Inputs'!$AN$8=2,(N55-$H55),IF('Pricing Inputs'!$AN$3=2,IF((N55-$H55)&gt;0,N55-$H55,0),(_xll.xSPRDOPT(N55,$E55,$BU55,0,$BP55,$BS55,$BT55,($A55-Inputs!$D$1)+15,1,0)))))</f>
        <v>0.24548107756486162</v>
      </c>
      <c r="V55" s="259">
        <f ca="1">IF($A55="N/A"," ",(IF('Pricing Inputs'!$AN$8=2,(O55-$H55),IF((O55-$H55)&lt;=0,0,(O55-$H55)))))</f>
        <v>0</v>
      </c>
      <c r="W55" s="306">
        <f ca="1">IF($A55="N/A"," ",IF(0&lt;&gt;P55,IF('Pricing Inputs'!$AN$3=2,8*VLOOKUP($A55,NumberofDaysTable,2),(_xll.xSPRDOPT(I55,$E55,$BU55,0,$BP55,$BS55,$BT55,$A55-Inputs!$D$1,1,1))*(8*VLOOKUP($A55,NumberofDaysTable,2))),0))</f>
        <v>76.35397240372366</v>
      </c>
      <c r="X55" s="306">
        <f ca="1">IF($A55="N/A"," ",IF(Q55&lt;&gt;0,IF('Pricing Inputs'!$AN$3=2,8*VLOOKUP($A55,NumberofDaysTable,2),(_xll.xSPRDOPT(J55,$E55,$BU55,0,$BP55,$BS55,$BT55,$A55-Inputs!$D$1,1,1))*(8*VLOOKUP($A55,NumberofDaysTable,2))),0))</f>
        <v>115.91774711146857</v>
      </c>
      <c r="Y55" s="306">
        <f ca="1">IF($A55="N/A"," ",IF(R55&lt;&gt;0,IF('Pricing Inputs'!$AN$3=2,8*VLOOKUP($A55,NumberofDaysTable,3),(_xll.xSPRDOPT(K55,$E55,$BU55,0,$BP55,$BS55,$BT55,$A55-Inputs!$D$1,1,1))*(8*VLOOKUP($A55,NumberofDaysTable,3))),0))</f>
        <v>2.0564686959008887</v>
      </c>
      <c r="Z55" s="306">
        <f ca="1">IF($A55="N/A"," ",IF(S55&lt;&gt;0,IF('Pricing Inputs'!$AN$3=2,8*VLOOKUP($A55,NumberofDaysTable,3),(_xll.xSPRDOPT(L55,$E55,$BU55,0,$BP55,$BS55,$BT55,$A55-Inputs!$D$1,1,1))*(8*VLOOKUP($A55,NumberofDaysTable,3))),0))</f>
        <v>6.210245291787194</v>
      </c>
      <c r="AA55" s="306">
        <f ca="1">IF($A55="N/A"," ",IF(T55&lt;&gt;0,IF('Pricing Inputs'!$AN$3=2,8*VLOOKUP($A55,NumberofDaysTable,4),(_xll.xSPRDOPT(M55,$E55,$BU55,0,$BP55,$BS55,$BT55,$A55-Inputs!$D$1,1,1))*(8*VLOOKUP($A55,NumberofDaysTable,4))),0))</f>
        <v>0.96267891262716276</v>
      </c>
      <c r="AB55" s="306">
        <f ca="1">IF($A55="N/A"," ",IF(U55&lt;&gt;0,IF('Pricing Inputs'!$AN$3=2,8*VLOOKUP($A55,NumberofDaysTable,4),(_xll.xSPRDOPT(N55,$E55,$BU55,0,$BP55,$BS55,$BT55,$A55-Inputs!$D$1,1,1))*(8*VLOOKUP($A55,NumberofDaysTable,4))),0))</f>
        <v>3.3144026673586255</v>
      </c>
      <c r="AC55" s="306">
        <f t="shared" ca="1" si="21"/>
        <v>0</v>
      </c>
      <c r="AD55" s="274">
        <f t="shared" ca="1" si="104"/>
        <v>23</v>
      </c>
      <c r="AE55" s="275">
        <f t="shared" ca="1" si="105"/>
        <v>17</v>
      </c>
      <c r="AF55" s="275">
        <f t="shared" ca="1" si="106"/>
        <v>59</v>
      </c>
      <c r="AG55" s="275">
        <f t="shared" ca="1" si="107"/>
        <v>42</v>
      </c>
      <c r="AH55" s="275">
        <f t="shared" ca="1" si="108"/>
        <v>63</v>
      </c>
      <c r="AI55" s="275">
        <f t="shared" ca="1" si="109"/>
        <v>51</v>
      </c>
      <c r="AJ55" s="276">
        <f t="shared" ca="1" si="110"/>
        <v>73</v>
      </c>
      <c r="AK55" s="314">
        <f t="shared" ca="1" si="43"/>
        <v>76.35397240372366</v>
      </c>
      <c r="AL55" s="315">
        <f t="shared" ca="1" si="44"/>
        <v>115.91774711146857</v>
      </c>
      <c r="AM55" s="315">
        <f t="shared" ca="1" si="45"/>
        <v>2.0564686959008887</v>
      </c>
      <c r="AN55" s="315">
        <f t="shared" ca="1" si="46"/>
        <v>6.210245291787194</v>
      </c>
      <c r="AO55" s="315">
        <f t="shared" ca="1" si="47"/>
        <v>0.96267891262716276</v>
      </c>
      <c r="AP55" s="315">
        <f t="shared" ca="1" si="48"/>
        <v>3.3144026673586255</v>
      </c>
      <c r="AQ55" s="315">
        <f t="shared" ca="1" si="49"/>
        <v>0</v>
      </c>
      <c r="AR55" s="276"/>
      <c r="AS55" s="321">
        <f t="shared" ca="1" si="97"/>
        <v>0</v>
      </c>
      <c r="AT55" s="324">
        <f t="shared" ca="1" si="98"/>
        <v>0</v>
      </c>
      <c r="AU55" s="324">
        <f t="shared" ca="1" si="99"/>
        <v>0</v>
      </c>
      <c r="AV55" s="324">
        <f t="shared" ca="1" si="100"/>
        <v>0</v>
      </c>
      <c r="AW55" s="324">
        <f t="shared" ca="1" si="101"/>
        <v>0</v>
      </c>
      <c r="AX55" s="324">
        <f t="shared" ca="1" si="102"/>
        <v>0</v>
      </c>
      <c r="AY55" s="324">
        <f t="shared" ca="1" si="103"/>
        <v>0</v>
      </c>
      <c r="AZ55" s="276"/>
      <c r="BA55" s="267">
        <f ca="1">IF($A55="N/A"," ",(IF(MONTH(A55)&gt;=4,IF(MONTH(A55)&lt;=10,Inputs!$F$13,Inputs!$F$14),Inputs!$F$14))*$BW55)</f>
        <v>180</v>
      </c>
      <c r="BB55" s="268">
        <f t="shared" ca="1" si="64"/>
        <v>65394.506232657208</v>
      </c>
      <c r="BC55" s="268">
        <f t="shared" ca="1" si="65"/>
        <v>148600.59977420396</v>
      </c>
      <c r="BD55" s="268">
        <f t="shared" ca="1" si="31"/>
        <v>715.08619685035899</v>
      </c>
      <c r="BE55" s="268">
        <f t="shared" ca="1" si="32"/>
        <v>3054.3623968130419</v>
      </c>
      <c r="BF55" s="268">
        <f t="shared" ca="1" si="33"/>
        <v>293.40097978681445</v>
      </c>
      <c r="BG55" s="268">
        <f t="shared" ca="1" si="34"/>
        <v>1413.971006773603</v>
      </c>
      <c r="BH55" s="268">
        <f t="shared" ca="1" si="41"/>
        <v>0</v>
      </c>
      <c r="BI55" s="268">
        <f t="shared" ca="1" si="36"/>
        <v>219471.92658708501</v>
      </c>
      <c r="BJ55" s="296">
        <f t="shared" ca="1" si="37"/>
        <v>1123987.8637687217</v>
      </c>
      <c r="BK55" s="296">
        <f t="shared" ca="1" si="38"/>
        <v>1050254.2783388898</v>
      </c>
      <c r="BL55" s="296">
        <f t="shared" ca="1" si="39"/>
        <v>73733.585429831786</v>
      </c>
      <c r="BM55" s="296">
        <f t="shared" ca="1" si="40"/>
        <v>0</v>
      </c>
      <c r="BN55" s="405">
        <f>IF(A55="N/A"," ",(VLOOKUP(A55,PowerVolTable,(IF('Pricing Inputs'!$AT$3=2,7,IF('Pricing Inputs'!$AT$3=1,6,8))),FALSE)))</f>
        <v>0.19389321281249997</v>
      </c>
      <c r="BO55" s="405">
        <f>IF(A55="N/A"," ",(VLOOKUP(A55,IntraPowerVol,(IF('Pricing Inputs'!$AT$3=2,3,IF('Pricing Inputs'!$AT$3=1,2,4))),FALSE)*VLOOKUP(MONTH($A55),Inputs!$A$28:$B$39,2)))</f>
        <v>1.2649999999999999</v>
      </c>
      <c r="BP55" s="406">
        <f t="shared" ca="1" si="15"/>
        <v>0.22383532775559012</v>
      </c>
      <c r="BQ55" s="405">
        <f ca="1">IF($A55="N/A"," ",(VLOOKUP($A55,GasVolTable,(IF('Pricing Inputs'!$AT$3=2,6,IF('Pricing Inputs'!$AT$3=1,7,5))),FALSE)))</f>
        <v>0.16200000000000001</v>
      </c>
      <c r="BR55" s="405">
        <f ca="1">IF($A55="N/A"," ",(VLOOKUP($A55,OmicronVol,(IF('Pricing Inputs'!$AT$3=2,3,IF('Pricing Inputs'!$AT$3=1,4,2))),FALSE)))</f>
        <v>0.45</v>
      </c>
      <c r="BS55" s="406">
        <f ca="1">IF($A55="N/A"," ",IF('Pricing Inputs'!$AN$3=1,(IF(DateToday&gt;$A55,$BR55,((($BQ55^2)*((($A55-1)-DateToday)/((EOMONTH($A55,0)+1)-DateToday-15)))+((($BR55)^2)*((15)/((EOMONTH($A55,0)+1)-DateToday-15))))^0.5)),0.0001))</f>
        <v>0.16626194937425526</v>
      </c>
      <c r="BT55" s="405">
        <f>IF($A55="N/A"," ",IF('Pricing Inputs'!$AN$3=1,(VLOOKUP($A55,CorrelationTable,2,FALSE)),0))</f>
        <v>0.9</v>
      </c>
      <c r="BU55" s="407">
        <f ca="1">IF($A55="N/A"," ",F55+G55+(D55*(VLOOKUP($A55,'Gas Curves'!$B$17:$P$310,14,FALSE))))</f>
        <v>2.6825000000000001</v>
      </c>
      <c r="BV55" s="405">
        <f>IF($A55="N/A"," ",IF('Pricing Inputs'!$AW$3=1,0,(VLOOKUP($A55,InterestRatesTable,2))))</f>
        <v>0</v>
      </c>
      <c r="BW55" s="408">
        <f t="shared" ca="1" si="16"/>
        <v>1</v>
      </c>
    </row>
    <row r="56" spans="1:75">
      <c r="A56" s="248">
        <f>IF(A55="N/A","N/A",IF(EDATE(A55,1)&gt;Inputs!$K$3,"N/A",EDATE(A55,1)))</f>
        <v>38473</v>
      </c>
      <c r="B56" s="262">
        <f t="shared" si="17"/>
        <v>2005</v>
      </c>
      <c r="C56" s="249">
        <f t="shared" ca="1" si="18"/>
        <v>2.6883750000000002</v>
      </c>
      <c r="D56" s="250">
        <f>IF(A56="N/A"," ",(VLOOKUP(MONTH($A56),Inputs!$A$14:$B$25,2))/1000)</f>
        <v>10.5</v>
      </c>
      <c r="E56" s="304">
        <f t="shared" ca="1" si="19"/>
        <v>28.227937500000003</v>
      </c>
      <c r="F56" s="251">
        <f>IF(A56="N/A"," ",Inputs!$F$6)</f>
        <v>2</v>
      </c>
      <c r="G56" s="251">
        <f ca="1">IF(A56="N/A"," ",Inputs!$F$9/IF(AND('Pricing Inputs'!$AQ$3&gt;=4,'Pricing Inputs'!$AQ$3&lt;=6),16,IF(AND('Pricing Inputs'!$AQ$3&gt;=7,'Pricing Inputs'!$AQ$3&lt;=9),8,24))/(BA56/BW56))</f>
        <v>0</v>
      </c>
      <c r="H56" s="252">
        <f t="shared" ca="1" si="20"/>
        <v>30.227937500000003</v>
      </c>
      <c r="I56" s="255">
        <f>VLOOKUP(A56,ScaledPrice,(IF(AND('Pricing Inputs'!$AQ$3&gt;=1,'Pricing Inputs'!$AQ$3&lt;=6),2,4)))</f>
        <v>32.816996839747567</v>
      </c>
      <c r="J56" s="255">
        <f>IF(A56="N/A"," ",IF(AND('Pricing Inputs'!$AQ$3&gt;=1,'Pricing Inputs'!$AQ$3&lt;=6),I56,(VLOOKUP(A56,ScaledPrice,2))*(2-(VLOOKUP(A56,ScaledPrice,3)))))</f>
        <v>34.683003160252433</v>
      </c>
      <c r="K56" s="255">
        <f>IF(A56="N/A"," ",IF(OR('Pricing Inputs'!$AQ$3=2,'Pricing Inputs'!$AQ$3=3,'Pricing Inputs'!$AQ$3=5,'Pricing Inputs'!$AQ$3=6,'Pricing Inputs'!$AQ$3=8,'Pricing Inputs'!$AQ$3=9),VLOOKUP(A56,ScaledPrice,IF(AND('Pricing Inputs'!$AQ$3&gt;=2,'Pricing Inputs'!$AQ$3&lt;=6),5,6)),0))</f>
        <v>21.423421788903003</v>
      </c>
      <c r="L56" s="255">
        <f>IF(A56="N/A"," ",IF(OR('Pricing Inputs'!$AQ$3=2,'Pricing Inputs'!$AQ$3=3,'Pricing Inputs'!$AQ$3=5,'Pricing Inputs'!$AQ$3=6,'Pricing Inputs'!$AQ$3=8,'Pricing Inputs'!$AQ$3=9),IF(AND('Pricing Inputs'!$AQ$3&gt;=2,'Pricing Inputs'!$AQ$3&lt;=6),K56,(VLOOKUP(A56,ScaledPrice,5))*(2-(VLOOKUP(A56,ScaledPrice,3)))),0))</f>
        <v>22.641578363684882</v>
      </c>
      <c r="M56" s="255">
        <f>IF(A56="N/A"," ",IF(OR('Pricing Inputs'!$AQ$3=3,'Pricing Inputs'!$AQ$3=6,'Pricing Inputs'!$AQ$3=9),(VLOOKUP(A56,ScaledPrice,IF(AND('Pricing Inputs'!$AQ$3&gt;=3,'Pricing Inputs'!$AQ$3&lt;=6),7,8))),0))</f>
        <v>20.579903128949415</v>
      </c>
      <c r="N56" s="255">
        <f>IF(A56="N/A"," ",IF(OR('Pricing Inputs'!$AQ$3=3,'Pricing Inputs'!$AQ$3=6,'Pricing Inputs'!$AQ$3=9),IF(AND('Pricing Inputs'!$AQ$3&gt;=3,'Pricing Inputs'!$AQ$3&lt;=6),M56,(VLOOKUP(A56,ScaledPrice,7))*(2-(VLOOKUP(A56,ScaledPrice,3)))),0))</f>
        <v>21.750096413286908</v>
      </c>
      <c r="O56" s="255">
        <f>IF(A56="N/A"," ",IF(AND('Pricing Inputs'!$AQ$3&gt;=1,'Pricing Inputs'!$AQ$3&lt;=3),VLOOKUP(A56,ScaledPrice,9),0))</f>
        <v>0</v>
      </c>
      <c r="P56" s="320">
        <f ca="1">IF($A56="N/A"," ",IF('Pricing Inputs'!$AN$8=2,(I56-H56),IF('Pricing Inputs'!$AN$3=2,IF((I56-$H56)&gt;0,I56-$H56,0),(_xll.xSPRDOPT(I56,$E56,$BU56,0,$BP56,$BS56,$BT56,($A56-Inputs!$D$1)+15,1,0)))))</f>
        <v>4.7960426078841296</v>
      </c>
      <c r="Q56" s="320">
        <f ca="1">IF($A56="N/A"," ",IF('Pricing Inputs'!$AN$8=2,(J56-$H56),IF('Pricing Inputs'!$AN$3=2,IF((J56-$H56)&gt;0,J56-$H56,0),(_xll.xSPRDOPT(J56,$E56,$BU56,0,$BP56,$BS56,$BT56,($A56-Inputs!$D$1)+15,1,0)))))</f>
        <v>6.0524140102657551</v>
      </c>
      <c r="R56" s="320">
        <f ca="1">IF($A56="N/A"," ",IF('Pricing Inputs'!$AN$8=2,(K56-$H56),IF('Pricing Inputs'!$AN$3=2,IF((K56-$H56)&gt;0,K56-$H56,0),(_xll.xSPRDOPT(K56,$E56,$BU56,0,$BP56,$BS56,$BT56,($A56-Inputs!$D$1)+15,1,0)))))</f>
        <v>0.38791279063669626</v>
      </c>
      <c r="S56" s="320">
        <f ca="1">IF($A56="N/A"," ",IF('Pricing Inputs'!$AN$8=2,(L56-$H56),IF('Pricing Inputs'!$AN$3=2,IF((L56-$H56)&gt;0,L56-$H56,0),(_xll.xSPRDOPT(L56,$E56,$BU56,0,$BP56,$BS56,$BT56,($A56-Inputs!$D$1)+15,1,0)))))</f>
        <v>0.58327021811070867</v>
      </c>
      <c r="T56" s="320">
        <f ca="1">IF($A56="N/A"," ",IF('Pricing Inputs'!$AN$8=2,(M56-$H56),IF('Pricing Inputs'!$AN$3=2,IF((M56-$H56)&gt;0,M56-$H56,0),(_xll.xSPRDOPT(M56,$E56,$BU56,0,$BP56,$BS56,$BT56,($A56-Inputs!$D$1)+15,1,0)))))</f>
        <v>0.28358502053854356</v>
      </c>
      <c r="U56" s="320">
        <f ca="1">IF($A56="N/A"," ",IF('Pricing Inputs'!$AN$8=2,(N56-$H56),IF('Pricing Inputs'!$AN$3=2,IF((N56-$H56)&gt;0,N56-$H56,0),(_xll.xSPRDOPT(N56,$E56,$BU56,0,$BP56,$BS56,$BT56,($A56-Inputs!$D$1)+15,1,0)))))</f>
        <v>0.43487537254482239</v>
      </c>
      <c r="V56" s="259">
        <f ca="1">IF($A56="N/A"," ",(IF('Pricing Inputs'!$AN$8=2,(O56-$H56),IF((O56-$H56)&lt;=0,0,(O56-$H56)))))</f>
        <v>0</v>
      </c>
      <c r="W56" s="306">
        <f ca="1">IF($A56="N/A"," ",IF(0&lt;&gt;P56,IF('Pricing Inputs'!$AN$3=2,8*VLOOKUP($A56,NumberofDaysTable,2),(_xll.xSPRDOPT(I56,$E56,$BU56,0,$BP56,$BS56,$BT56,$A56-Inputs!$D$1,1,1))*(8*VLOOKUP($A56,NumberofDaysTable,2))),0))</f>
        <v>107.36881327687917</v>
      </c>
      <c r="X56" s="306">
        <f ca="1">IF($A56="N/A"," ",IF(Q56&lt;&gt;0,IF('Pricing Inputs'!$AN$3=2,8*VLOOKUP($A56,NumberofDaysTable,2),(_xll.xSPRDOPT(J56,$E56,$BU56,0,$BP56,$BS56,$BT56,$A56-Inputs!$D$1,1,1))*(8*VLOOKUP($A56,NumberofDaysTable,2))),0))</f>
        <v>118.6591653124691</v>
      </c>
      <c r="Y56" s="306">
        <f ca="1">IF($A56="N/A"," ",IF(R56&lt;&gt;0,IF('Pricing Inputs'!$AN$3=2,8*VLOOKUP($A56,NumberofDaysTable,3),(_xll.xSPRDOPT(K56,$E56,$BU56,0,$BP56,$BS56,$BT56,$A56-Inputs!$D$1,1,1))*(8*VLOOKUP($A56,NumberofDaysTable,3))),0))</f>
        <v>4.3755590815593957</v>
      </c>
      <c r="Z56" s="306">
        <f ca="1">IF($A56="N/A"," ",IF(S56&lt;&gt;0,IF('Pricing Inputs'!$AN$3=2,8*VLOOKUP($A56,NumberofDaysTable,3),(_xll.xSPRDOPT(L56,$E56,$BU56,0,$BP56,$BS56,$BT56,$A56-Inputs!$D$1,1,1))*(8*VLOOKUP($A56,NumberofDaysTable,3))),0))</f>
        <v>5.8407437390733712</v>
      </c>
      <c r="AA56" s="306">
        <f ca="1">IF($A56="N/A"," ",IF(T56&lt;&gt;0,IF('Pricing Inputs'!$AN$3=2,8*VLOOKUP($A56,NumberofDaysTable,4),(_xll.xSPRDOPT(M56,$E56,$BU56,0,$BP56,$BS56,$BT56,$A56-Inputs!$D$1,1,1))*(8*VLOOKUP($A56,NumberofDaysTable,4))),0))</f>
        <v>4.3530431368180009</v>
      </c>
      <c r="AB56" s="306">
        <f ca="1">IF($A56="N/A"," ",IF(U56&lt;&gt;0,IF('Pricing Inputs'!$AN$3=2,8*VLOOKUP($A56,NumberofDaysTable,4),(_xll.xSPRDOPT(N56,$E56,$BU56,0,$BP56,$BS56,$BT56,$A56-Inputs!$D$1,1,1))*(8*VLOOKUP($A56,NumberofDaysTable,4))),0))</f>
        <v>5.9364917043163432</v>
      </c>
      <c r="AC56" s="306">
        <f t="shared" ca="1" si="21"/>
        <v>0</v>
      </c>
      <c r="AD56" s="274">
        <f t="shared" ca="1" si="104"/>
        <v>18</v>
      </c>
      <c r="AE56" s="275">
        <f t="shared" ca="1" si="105"/>
        <v>15</v>
      </c>
      <c r="AF56" s="275">
        <f t="shared" ca="1" si="106"/>
        <v>44</v>
      </c>
      <c r="AG56" s="275">
        <f t="shared" ca="1" si="107"/>
        <v>36</v>
      </c>
      <c r="AH56" s="275">
        <f t="shared" ca="1" si="108"/>
        <v>48</v>
      </c>
      <c r="AI56" s="275">
        <f t="shared" ca="1" si="109"/>
        <v>41</v>
      </c>
      <c r="AJ56" s="276">
        <f t="shared" ca="1" si="110"/>
        <v>73</v>
      </c>
      <c r="AK56" s="314">
        <f t="shared" ca="1" si="43"/>
        <v>107.36881327687917</v>
      </c>
      <c r="AL56" s="315">
        <f t="shared" ca="1" si="44"/>
        <v>118.6591653124691</v>
      </c>
      <c r="AM56" s="315">
        <f t="shared" ca="1" si="45"/>
        <v>4.3755590815593957</v>
      </c>
      <c r="AN56" s="315">
        <f t="shared" ca="1" si="46"/>
        <v>5.8407437390733712</v>
      </c>
      <c r="AO56" s="315">
        <f t="shared" ca="1" si="47"/>
        <v>4.3530431368180009</v>
      </c>
      <c r="AP56" s="315">
        <f t="shared" ca="1" si="48"/>
        <v>5.9364917043163432</v>
      </c>
      <c r="AQ56" s="315">
        <f t="shared" ca="1" si="49"/>
        <v>0</v>
      </c>
      <c r="AR56" s="276"/>
      <c r="AS56" s="321">
        <f t="shared" ca="1" si="97"/>
        <v>0</v>
      </c>
      <c r="AT56" s="324">
        <f t="shared" ca="1" si="98"/>
        <v>0</v>
      </c>
      <c r="AU56" s="324">
        <f t="shared" ca="1" si="99"/>
        <v>0</v>
      </c>
      <c r="AV56" s="324">
        <f t="shared" ca="1" si="100"/>
        <v>0</v>
      </c>
      <c r="AW56" s="324">
        <f t="shared" ca="1" si="101"/>
        <v>0</v>
      </c>
      <c r="AX56" s="324">
        <f t="shared" ca="1" si="102"/>
        <v>0</v>
      </c>
      <c r="AY56" s="324">
        <f t="shared" ca="1" si="103"/>
        <v>0</v>
      </c>
      <c r="AZ56" s="276"/>
      <c r="BA56" s="267">
        <f ca="1">IF($A56="N/A"," ",(IF(MONTH(A56)&gt;=4,IF(MONTH(A56)&lt;=10,Inputs!$F$13,Inputs!$F$14),Inputs!$F$14))*$BW56)</f>
        <v>180</v>
      </c>
      <c r="BB56" s="268">
        <f t="shared" ca="1" si="64"/>
        <v>145032.32846241607</v>
      </c>
      <c r="BC56" s="268">
        <f t="shared" ca="1" si="65"/>
        <v>183024.99967043643</v>
      </c>
      <c r="BD56" s="268">
        <f t="shared" ca="1" si="31"/>
        <v>2234.3776740673707</v>
      </c>
      <c r="BE56" s="268">
        <f t="shared" ca="1" si="32"/>
        <v>3359.6364563176821</v>
      </c>
      <c r="BF56" s="268">
        <f t="shared" ca="1" si="33"/>
        <v>2450.1745774530164</v>
      </c>
      <c r="BG56" s="268">
        <f t="shared" ca="1" si="34"/>
        <v>3757.3232187872654</v>
      </c>
      <c r="BH56" s="268">
        <f t="shared" ca="1" si="41"/>
        <v>0</v>
      </c>
      <c r="BI56" s="268">
        <f t="shared" ca="1" si="36"/>
        <v>339858.84005947784</v>
      </c>
      <c r="BJ56" s="296">
        <f t="shared" ca="1" si="37"/>
        <v>1341397.5820695362</v>
      </c>
      <c r="BK56" s="296">
        <f t="shared" ca="1" si="38"/>
        <v>1252645.4082191347</v>
      </c>
      <c r="BL56" s="296">
        <f t="shared" ca="1" si="39"/>
        <v>88752.173850401537</v>
      </c>
      <c r="BM56" s="296">
        <f t="shared" ca="1" si="40"/>
        <v>0</v>
      </c>
      <c r="BN56" s="405">
        <f>IF(A56="N/A"," ",(VLOOKUP(A56,PowerVolTable,(IF('Pricing Inputs'!$AT$3=2,7,IF('Pricing Inputs'!$AT$3=1,6,8))),FALSE)))</f>
        <v>0.22321543781249994</v>
      </c>
      <c r="BO56" s="405">
        <f>IF(A56="N/A"," ",(VLOOKUP(A56,IntraPowerVol,(IF('Pricing Inputs'!$AT$3=2,3,IF('Pricing Inputs'!$AT$3=1,2,4))),FALSE)*VLOOKUP(MONTH($A56),Inputs!$A$28:$B$39,2)))</f>
        <v>1.2649999999999999</v>
      </c>
      <c r="BP56" s="406">
        <f t="shared" ca="1" si="15"/>
        <v>0.24899772613362792</v>
      </c>
      <c r="BQ56" s="405">
        <f ca="1">IF($A56="N/A"," ",(VLOOKUP($A56,GasVolTable,(IF('Pricing Inputs'!$AT$3=2,6,IF('Pricing Inputs'!$AT$3=1,7,5))),FALSE)))</f>
        <v>0.161</v>
      </c>
      <c r="BR56" s="405">
        <f ca="1">IF($A56="N/A"," ",(VLOOKUP($A56,OmicronVol,(IF('Pricing Inputs'!$AT$3=2,3,IF('Pricing Inputs'!$AT$3=1,4,2))),FALSE)))</f>
        <v>0.5</v>
      </c>
      <c r="BS56" s="406">
        <f ca="1">IF($A56="N/A"," ",IF('Pricing Inputs'!$AN$3=1,(IF(DateToday&gt;$A56,$BR56,((($BQ56^2)*((($A56-1)-DateToday)/((EOMONTH($A56,0)+1)-DateToday-15)))+((($BR56)^2)*((15)/((EOMONTH($A56,0)+1)-DateToday-15))))^0.5)),0.0001))</f>
        <v>0.16631574781287944</v>
      </c>
      <c r="BT56" s="405">
        <f>IF($A56="N/A"," ",IF('Pricing Inputs'!$AN$3=1,(VLOOKUP($A56,CorrelationTable,2,FALSE)),0))</f>
        <v>0.9</v>
      </c>
      <c r="BU56" s="407">
        <f ca="1">IF($A56="N/A"," ",F56+G56+(D56*(VLOOKUP($A56,'Gas Curves'!$B$17:$P$310,14,FALSE))))</f>
        <v>2.6825000000000001</v>
      </c>
      <c r="BV56" s="405">
        <f>IF($A56="N/A"," ",IF('Pricing Inputs'!$AW$3=1,0,(VLOOKUP($A56,InterestRatesTable,2))))</f>
        <v>0</v>
      </c>
      <c r="BW56" s="408">
        <f t="shared" ca="1" si="16"/>
        <v>1</v>
      </c>
    </row>
    <row r="57" spans="1:75">
      <c r="A57" s="248">
        <f>IF(A56="N/A","N/A",IF(EDATE(A56,1)&gt;Inputs!$K$3,"N/A",EDATE(A56,1)))</f>
        <v>38504</v>
      </c>
      <c r="B57" s="262">
        <f t="shared" si="17"/>
        <v>2005</v>
      </c>
      <c r="C57" s="249">
        <f t="shared" ca="1" si="18"/>
        <v>2.694375</v>
      </c>
      <c r="D57" s="250">
        <f>IF(A57="N/A"," ",(VLOOKUP(MONTH($A57),Inputs!$A$14:$B$25,2))/1000)</f>
        <v>10.5</v>
      </c>
      <c r="E57" s="304">
        <f t="shared" ca="1" si="19"/>
        <v>28.290937499999998</v>
      </c>
      <c r="F57" s="251">
        <f>IF(A57="N/A"," ",Inputs!$F$6)</f>
        <v>2</v>
      </c>
      <c r="G57" s="251">
        <f ca="1">IF(A57="N/A"," ",Inputs!$F$9/IF(AND('Pricing Inputs'!$AQ$3&gt;=4,'Pricing Inputs'!$AQ$3&lt;=6),16,IF(AND('Pricing Inputs'!$AQ$3&gt;=7,'Pricing Inputs'!$AQ$3&lt;=9),8,24))/(BA57/BW57))</f>
        <v>0</v>
      </c>
      <c r="H57" s="252">
        <f t="shared" ca="1" si="20"/>
        <v>30.290937499999998</v>
      </c>
      <c r="I57" s="255">
        <f>VLOOKUP(A57,ScaledPrice,(IF(AND('Pricing Inputs'!$AQ$3&gt;=1,'Pricing Inputs'!$AQ$3&lt;=6),2,4)))</f>
        <v>55.589271484293079</v>
      </c>
      <c r="J57" s="255">
        <f>IF(A57="N/A"," ",IF(AND('Pricing Inputs'!$AQ$3&gt;=1,'Pricing Inputs'!$AQ$3&lt;=6),I57,(VLOOKUP(A57,ScaledPrice,2))*(2-(VLOOKUP(A57,ScaledPrice,3)))))</f>
        <v>41.910728515706921</v>
      </c>
      <c r="K57" s="255">
        <f>IF(A57="N/A"," ",IF(OR('Pricing Inputs'!$AQ$3=2,'Pricing Inputs'!$AQ$3=3,'Pricing Inputs'!$AQ$3=5,'Pricing Inputs'!$AQ$3=6,'Pricing Inputs'!$AQ$3=8,'Pricing Inputs'!$AQ$3=9),VLOOKUP(A57,ScaledPrice,IF(AND('Pricing Inputs'!$AQ$3&gt;=2,'Pricing Inputs'!$AQ$3&lt;=6),5,6)),0))</f>
        <v>30.170720930611058</v>
      </c>
      <c r="L57" s="255">
        <f>IF(A57="N/A"," ",IF(OR('Pricing Inputs'!$AQ$3=2,'Pricing Inputs'!$AQ$3=3,'Pricing Inputs'!$AQ$3=5,'Pricing Inputs'!$AQ$3=6,'Pricing Inputs'!$AQ$3=8,'Pricing Inputs'!$AQ$3=9),IF(AND('Pricing Inputs'!$AQ$3&gt;=2,'Pricing Inputs'!$AQ$3&lt;=6),K57,(VLOOKUP(A57,ScaledPrice,5))*(2-(VLOOKUP(A57,ScaledPrice,3)))),0))</f>
        <v>22.746779374564721</v>
      </c>
      <c r="M57" s="255">
        <f>IF(A57="N/A"," ",IF(OR('Pricing Inputs'!$AQ$3=3,'Pricing Inputs'!$AQ$3=6,'Pricing Inputs'!$AQ$3=9),(VLOOKUP(A57,ScaledPrice,IF(AND('Pricing Inputs'!$AQ$3&gt;=3,'Pricing Inputs'!$AQ$3&lt;=6),7,8))),0))</f>
        <v>22.740287612897756</v>
      </c>
      <c r="N57" s="255">
        <f>IF(A57="N/A"," ",IF(OR('Pricing Inputs'!$AQ$3=3,'Pricing Inputs'!$AQ$3=6,'Pricing Inputs'!$AQ$3=9),IF(AND('Pricing Inputs'!$AQ$3&gt;=3,'Pricing Inputs'!$AQ$3&lt;=6),M57,(VLOOKUP(A57,ScaledPrice,7))*(2-(VLOOKUP(A57,ScaledPrice,3)))),0))</f>
        <v>17.144711471574897</v>
      </c>
      <c r="O57" s="255">
        <f>IF(A57="N/A"," ",IF(AND('Pricing Inputs'!$AQ$3&gt;=1,'Pricing Inputs'!$AQ$3&lt;=3),VLOOKUP(A57,ScaledPrice,9),0))</f>
        <v>0</v>
      </c>
      <c r="P57" s="320">
        <f ca="1">IF($A57="N/A"," ",IF('Pricing Inputs'!$AN$8=2,(I57-H57),IF('Pricing Inputs'!$AN$3=2,IF((I57-$H57)&gt;0,I57-$H57,0),(_xll.xSPRDOPT(I57,$E57,$BU57,0,$BP57,$BS57,$BT57,($A57-Inputs!$D$1)+15,1,0)))))</f>
        <v>25.868906210533726</v>
      </c>
      <c r="Q57" s="320">
        <f ca="1">IF($A57="N/A"," ",IF('Pricing Inputs'!$AN$8=2,(J57-$H57),IF('Pricing Inputs'!$AN$3=2,IF((J57-$H57)&gt;0,J57-$H57,0),(_xll.xSPRDOPT(J57,$E57,$BU57,0,$BP57,$BS57,$BT57,($A57-Inputs!$D$1)+15,1,0)))))</f>
        <v>13.937835030510596</v>
      </c>
      <c r="R57" s="320">
        <f ca="1">IF($A57="N/A"," ",IF('Pricing Inputs'!$AN$8=2,(K57-$H57),IF('Pricing Inputs'!$AN$3=2,IF((K57-$H57)&gt;0,K57-$H57,0),(_xll.xSPRDOPT(K57,$E57,$BU57,0,$BP57,$BS57,$BT57,($A57-Inputs!$D$1)+15,1,0)))))</f>
        <v>5.6555066428875085</v>
      </c>
      <c r="S57" s="320">
        <f ca="1">IF($A57="N/A"," ",IF('Pricing Inputs'!$AN$8=2,(L57-$H57),IF('Pricing Inputs'!$AN$3=2,IF((L57-$H57)&gt;0,L57-$H57,0),(_xll.xSPRDOPT(L57,$E57,$BU57,0,$BP57,$BS57,$BT57,($A57-Inputs!$D$1)+15,1,0)))))</f>
        <v>2.1359174884952199</v>
      </c>
      <c r="T57" s="320">
        <f ca="1">IF($A57="N/A"," ",IF('Pricing Inputs'!$AN$8=2,(M57-$H57),IF('Pricing Inputs'!$AN$3=2,IF((M57-$H57)&gt;0,M57-$H57,0),(_xll.xSPRDOPT(M57,$E57,$BU57,0,$BP57,$BS57,$BT57,($A57-Inputs!$D$1)+15,1,0)))))</f>
        <v>2.1335919816696594</v>
      </c>
      <c r="U57" s="320">
        <f ca="1">IF($A57="N/A"," ",IF('Pricing Inputs'!$AN$8=2,(N57-$H57),IF('Pricing Inputs'!$AN$3=2,IF((N57-$H57)&gt;0,N57-$H57,0),(_xll.xSPRDOPT(N57,$E57,$BU57,0,$BP57,$BS57,$BT57,($A57-Inputs!$D$1)+15,1,0)))))</f>
        <v>0.64762843379074431</v>
      </c>
      <c r="V57" s="259">
        <f ca="1">IF($A57="N/A"," ",(IF('Pricing Inputs'!$AN$8=2,(O57-$H57),IF((O57-$H57)&lt;=0,0,(O57-$H57)))))</f>
        <v>0</v>
      </c>
      <c r="W57" s="306">
        <f ca="1">IF($A57="N/A"," ",IF(0&lt;&gt;P57,IF('Pricing Inputs'!$AN$3=2,8*VLOOKUP($A57,NumberofDaysTable,2),(_xll.xSPRDOPT(I57,$E57,$BU57,0,$BP57,$BS57,$BT57,$A57-Inputs!$D$1,1,1))*(8*VLOOKUP($A57,NumberofDaysTable,2))),0))</f>
        <v>162.33567240883161</v>
      </c>
      <c r="X57" s="306">
        <f ca="1">IF($A57="N/A"," ",IF(Q57&lt;&gt;0,IF('Pricing Inputs'!$AN$3=2,8*VLOOKUP($A57,NumberofDaysTable,2),(_xll.xSPRDOPT(J57,$E57,$BU57,0,$BP57,$BS57,$BT57,$A57-Inputs!$D$1,1,1))*(8*VLOOKUP($A57,NumberofDaysTable,2))),0))</f>
        <v>141.71388684803671</v>
      </c>
      <c r="Y57" s="306">
        <f ca="1">IF($A57="N/A"," ",IF(R57&lt;&gt;0,IF('Pricing Inputs'!$AN$3=2,8*VLOOKUP($A57,NumberofDaysTable,3),(_xll.xSPRDOPT(K57,$E57,$BU57,0,$BP57,$BS57,$BT57,$A57-Inputs!$D$1,1,1))*(8*VLOOKUP($A57,NumberofDaysTable,3))),0))</f>
        <v>18.569569513552505</v>
      </c>
      <c r="Z57" s="306">
        <f ca="1">IF($A57="N/A"," ",IF(S57&lt;&gt;0,IF('Pricing Inputs'!$AN$3=2,8*VLOOKUP($A57,NumberofDaysTable,3),(_xll.xSPRDOPT(L57,$E57,$BU57,0,$BP57,$BS57,$BT57,$A57-Inputs!$D$1,1,1))*(8*VLOOKUP($A57,NumberofDaysTable,3))),0))</f>
        <v>11.426088636648288</v>
      </c>
      <c r="AA57" s="306">
        <f ca="1">IF($A57="N/A"," ",IF(T57&lt;&gt;0,IF('Pricing Inputs'!$AN$3=2,8*VLOOKUP($A57,NumberofDaysTable,4),(_xll.xSPRDOPT(M57,$E57,$BU57,0,$BP57,$BS57,$BT57,$A57-Inputs!$D$1,1,1))*(8*VLOOKUP($A57,NumberofDaysTable,4))),0))</f>
        <v>11.419206019461086</v>
      </c>
      <c r="AB57" s="306">
        <f ca="1">IF($A57="N/A"," ",IF(U57&lt;&gt;0,IF('Pricing Inputs'!$AN$3=2,8*VLOOKUP($A57,NumberofDaysTable,4),(_xll.xSPRDOPT(N57,$E57,$BU57,0,$BP57,$BS57,$BT57,$A57-Inputs!$D$1,1,1))*(8*VLOOKUP($A57,NumberofDaysTable,4))),0))</f>
        <v>5.5642525107676741</v>
      </c>
      <c r="AC57" s="306">
        <f t="shared" ca="1" si="21"/>
        <v>0</v>
      </c>
      <c r="AD57" s="274">
        <f t="shared" ca="1" si="104"/>
        <v>5</v>
      </c>
      <c r="AE57" s="275">
        <f t="shared" ca="1" si="105"/>
        <v>8</v>
      </c>
      <c r="AF57" s="275">
        <f t="shared" ca="1" si="106"/>
        <v>16</v>
      </c>
      <c r="AG57" s="275">
        <f t="shared" ca="1" si="107"/>
        <v>24</v>
      </c>
      <c r="AH57" s="275">
        <f t="shared" ca="1" si="108"/>
        <v>25</v>
      </c>
      <c r="AI57" s="275">
        <f t="shared" ca="1" si="109"/>
        <v>35</v>
      </c>
      <c r="AJ57" s="276">
        <f t="shared" ca="1" si="110"/>
        <v>73</v>
      </c>
      <c r="AK57" s="314">
        <f t="shared" ca="1" si="43"/>
        <v>162.33567240883161</v>
      </c>
      <c r="AL57" s="315">
        <f t="shared" ca="1" si="44"/>
        <v>141.71388684803671</v>
      </c>
      <c r="AM57" s="315">
        <f t="shared" ca="1" si="45"/>
        <v>18.569569513552505</v>
      </c>
      <c r="AN57" s="315">
        <f t="shared" ca="1" si="46"/>
        <v>11.426088636648288</v>
      </c>
      <c r="AO57" s="315">
        <f t="shared" ca="1" si="47"/>
        <v>11.419206019461086</v>
      </c>
      <c r="AP57" s="315">
        <f t="shared" ca="1" si="48"/>
        <v>5.5642525107676741</v>
      </c>
      <c r="AQ57" s="315">
        <f t="shared" ca="1" si="49"/>
        <v>0</v>
      </c>
      <c r="AR57" s="276"/>
      <c r="AS57" s="321">
        <f t="shared" ca="1" si="97"/>
        <v>0</v>
      </c>
      <c r="AT57" s="324">
        <f t="shared" ca="1" si="98"/>
        <v>0</v>
      </c>
      <c r="AU57" s="324">
        <f t="shared" ca="1" si="99"/>
        <v>0</v>
      </c>
      <c r="AV57" s="324">
        <f t="shared" ca="1" si="100"/>
        <v>0</v>
      </c>
      <c r="AW57" s="324">
        <f t="shared" ca="1" si="101"/>
        <v>0</v>
      </c>
      <c r="AX57" s="324">
        <f t="shared" ca="1" si="102"/>
        <v>0</v>
      </c>
      <c r="AY57" s="324">
        <f t="shared" ca="1" si="103"/>
        <v>0</v>
      </c>
      <c r="AZ57" s="276"/>
      <c r="BA57" s="267">
        <f ca="1">IF($A57="N/A"," ",(IF(MONTH(A57)&gt;=4,IF(MONTH(A57)&lt;=10,Inputs!$F$13,Inputs!$F$14),Inputs!$F$14))*$BW57)</f>
        <v>180</v>
      </c>
      <c r="BB57" s="268">
        <f t="shared" ca="1" si="64"/>
        <v>819526.94874970848</v>
      </c>
      <c r="BC57" s="268">
        <f t="shared" ca="1" si="65"/>
        <v>441550.6137665757</v>
      </c>
      <c r="BD57" s="268">
        <f t="shared" ca="1" si="31"/>
        <v>32575.718263032049</v>
      </c>
      <c r="BE57" s="268">
        <f t="shared" ca="1" si="32"/>
        <v>12302.884733732466</v>
      </c>
      <c r="BF57" s="268">
        <f t="shared" ca="1" si="33"/>
        <v>12289.489814417238</v>
      </c>
      <c r="BG57" s="268">
        <f t="shared" ca="1" si="34"/>
        <v>3730.3397786346873</v>
      </c>
      <c r="BH57" s="268">
        <f t="shared" ca="1" si="41"/>
        <v>0</v>
      </c>
      <c r="BI57" s="268">
        <f t="shared" ca="1" si="36"/>
        <v>1321975.9951061008</v>
      </c>
      <c r="BJ57" s="296">
        <f t="shared" ca="1" si="37"/>
        <v>1913937.7830343999</v>
      </c>
      <c r="BK57" s="296">
        <f t="shared" ca="1" si="38"/>
        <v>1787567.4596969723</v>
      </c>
      <c r="BL57" s="296">
        <f t="shared" ca="1" si="39"/>
        <v>126370.32333742722</v>
      </c>
      <c r="BM57" s="296">
        <f t="shared" ca="1" si="40"/>
        <v>0</v>
      </c>
      <c r="BN57" s="405">
        <f>IF(A57="N/A"," ",(VLOOKUP(A57,PowerVolTable,(IF('Pricing Inputs'!$AT$3=2,7,IF('Pricing Inputs'!$AT$3=1,6,8))),FALSE)))</f>
        <v>0.27984398484374995</v>
      </c>
      <c r="BO57" s="405">
        <f>IF(A57="N/A"," ",(VLOOKUP(A57,IntraPowerVol,(IF('Pricing Inputs'!$AT$3=2,3,IF('Pricing Inputs'!$AT$3=1,2,4))),FALSE)*VLOOKUP(MONTH($A57),Inputs!$A$28:$B$39,2)))</f>
        <v>2.2999999999999998</v>
      </c>
      <c r="BP57" s="406">
        <f t="shared" ca="1" si="15"/>
        <v>0.34458022637596292</v>
      </c>
      <c r="BQ57" s="405">
        <f ca="1">IF($A57="N/A"," ",(VLOOKUP($A57,GasVolTable,(IF('Pricing Inputs'!$AT$3=2,6,IF('Pricing Inputs'!$AT$3=1,7,5))),FALSE)))</f>
        <v>0.16070000000000001</v>
      </c>
      <c r="BR57" s="405">
        <f ca="1">IF($A57="N/A"," ",(VLOOKUP($A57,OmicronVol,(IF('Pricing Inputs'!$AT$3=2,3,IF('Pricing Inputs'!$AT$3=1,4,2))),FALSE)))</f>
        <v>0.5</v>
      </c>
      <c r="BS57" s="406">
        <f ca="1">IF($A57="N/A"," ",IF('Pricing Inputs'!$AN$3=1,(IF(DateToday&gt;$A57,$BR57,((($BQ57^2)*((($A57-1)-DateToday)/((EOMONTH($A57,0)+1)-DateToday-15)))+((($BR57)^2)*((15)/((EOMONTH($A57,0)+1)-DateToday-15))))^0.5)),0.0001))</f>
        <v>0.16598679579054351</v>
      </c>
      <c r="BT57" s="405">
        <f>IF($A57="N/A"," ",IF('Pricing Inputs'!$AN$3=1,(VLOOKUP($A57,CorrelationTable,2,FALSE)),0))</f>
        <v>0.9</v>
      </c>
      <c r="BU57" s="407">
        <f ca="1">IF($A57="N/A"," ",F57+G57+(D57*(VLOOKUP($A57,'Gas Curves'!$B$17:$P$310,14,FALSE))))</f>
        <v>2.6825000000000001</v>
      </c>
      <c r="BV57" s="405">
        <f>IF($A57="N/A"," ",IF('Pricing Inputs'!$AW$3=1,0,(VLOOKUP($A57,InterestRatesTable,2))))</f>
        <v>0</v>
      </c>
      <c r="BW57" s="408">
        <f t="shared" ca="1" si="16"/>
        <v>1</v>
      </c>
    </row>
    <row r="58" spans="1:75">
      <c r="A58" s="248">
        <f>IF(A57="N/A","N/A",IF(EDATE(A57,1)&gt;Inputs!$K$3,"N/A",EDATE(A57,1)))</f>
        <v>38534</v>
      </c>
      <c r="B58" s="262">
        <f t="shared" si="17"/>
        <v>2005</v>
      </c>
      <c r="C58" s="249">
        <f t="shared" ca="1" si="18"/>
        <v>2.7050000000000001</v>
      </c>
      <c r="D58" s="250">
        <f>IF(A58="N/A"," ",(VLOOKUP(MONTH($A58),Inputs!$A$14:$B$25,2))/1000)</f>
        <v>10.5</v>
      </c>
      <c r="E58" s="304">
        <f t="shared" ca="1" si="19"/>
        <v>28.4025</v>
      </c>
      <c r="F58" s="251">
        <f>IF(A58="N/A"," ",Inputs!$F$6)</f>
        <v>2</v>
      </c>
      <c r="G58" s="251">
        <f ca="1">IF(A58="N/A"," ",Inputs!$F$9/IF(AND('Pricing Inputs'!$AQ$3&gt;=4,'Pricing Inputs'!$AQ$3&lt;=6),16,IF(AND('Pricing Inputs'!$AQ$3&gt;=7,'Pricing Inputs'!$AQ$3&lt;=9),8,24))/(BA58/BW58))</f>
        <v>0</v>
      </c>
      <c r="H58" s="252">
        <f t="shared" ca="1" si="20"/>
        <v>30.4025</v>
      </c>
      <c r="I58" s="255">
        <f>VLOOKUP(A58,ScaledPrice,(IF(AND('Pricing Inputs'!$AQ$3&gt;=1,'Pricing Inputs'!$AQ$3&lt;=6),2,4)))</f>
        <v>82.820711562174992</v>
      </c>
      <c r="J58" s="255">
        <f>IF(A58="N/A"," ",IF(AND('Pricing Inputs'!$AQ$3&gt;=1,'Pricing Inputs'!$AQ$3&lt;=6),I58,(VLOOKUP(A58,ScaledPrice,2))*(2-(VLOOKUP(A58,ScaledPrice,3)))))</f>
        <v>56.179288437825015</v>
      </c>
      <c r="K58" s="255">
        <f>IF(A58="N/A"," ",IF(OR('Pricing Inputs'!$AQ$3=2,'Pricing Inputs'!$AQ$3=3,'Pricing Inputs'!$AQ$3=5,'Pricing Inputs'!$AQ$3=6,'Pricing Inputs'!$AQ$3=8,'Pricing Inputs'!$AQ$3=9),VLOOKUP(A58,ScaledPrice,IF(AND('Pricing Inputs'!$AQ$3&gt;=2,'Pricing Inputs'!$AQ$3&lt;=6),5,6)),0))</f>
        <v>47.262919547237409</v>
      </c>
      <c r="L58" s="255">
        <f>IF(A58="N/A"," ",IF(OR('Pricing Inputs'!$AQ$3=2,'Pricing Inputs'!$AQ$3=3,'Pricing Inputs'!$AQ$3=5,'Pricing Inputs'!$AQ$3=6,'Pricing Inputs'!$AQ$3=8,'Pricing Inputs'!$AQ$3=9),IF(AND('Pricing Inputs'!$AQ$3&gt;=2,'Pricing Inputs'!$AQ$3&lt;=6),K58,(VLOOKUP(A58,ScaledPrice,5))*(2-(VLOOKUP(A58,ScaledPrice,3)))),0))</f>
        <v>32.059579537235258</v>
      </c>
      <c r="M58" s="255">
        <f>IF(A58="N/A"," ",IF(OR('Pricing Inputs'!$AQ$3=3,'Pricing Inputs'!$AQ$3=6,'Pricing Inputs'!$AQ$3=9),(VLOOKUP(A58,ScaledPrice,IF(AND('Pricing Inputs'!$AQ$3&gt;=3,'Pricing Inputs'!$AQ$3&lt;=6),7,8))),0))</f>
        <v>34.73405246082681</v>
      </c>
      <c r="N58" s="255">
        <f>IF(A58="N/A"," ",IF(OR('Pricing Inputs'!$AQ$3=3,'Pricing Inputs'!$AQ$3=6,'Pricing Inputs'!$AQ$3=9),IF(AND('Pricing Inputs'!$AQ$3&gt;=3,'Pricing Inputs'!$AQ$3&lt;=6),M58,(VLOOKUP(A58,ScaledPrice,7))*(2-(VLOOKUP(A58,ScaledPrice,3)))),0))</f>
        <v>23.560946471057953</v>
      </c>
      <c r="O58" s="255">
        <f>IF(A58="N/A"," ",IF(AND('Pricing Inputs'!$AQ$3&gt;=1,'Pricing Inputs'!$AQ$3&lt;=3),VLOOKUP(A58,ScaledPrice,9),0))</f>
        <v>0</v>
      </c>
      <c r="P58" s="320">
        <f ca="1">IF($A58="N/A"," ",IF('Pricing Inputs'!$AN$8=2,(I58-H58),IF('Pricing Inputs'!$AN$3=2,IF((I58-$H58)&gt;0,I58-$H58,0),(_xll.xSPRDOPT(I58,$E58,$BU58,0,$BP58,$BS58,$BT58,($A58-Inputs!$D$1)+15,1,0)))))</f>
        <v>53.279954834687288</v>
      </c>
      <c r="Q58" s="320">
        <f ca="1">IF($A58="N/A"," ",IF('Pricing Inputs'!$AN$8=2,(J58-$H58),IF('Pricing Inputs'!$AN$3=2,IF((J58-$H58)&gt;0,J58-$H58,0),(_xll.xSPRDOPT(J58,$E58,$BU58,0,$BP58,$BS58,$BT58,($A58-Inputs!$D$1)+15,1,0)))))</f>
        <v>28.637438365835408</v>
      </c>
      <c r="R58" s="320">
        <f ca="1">IF($A58="N/A"," ",IF('Pricing Inputs'!$AN$8=2,(K58-$H58),IF('Pricing Inputs'!$AN$3=2,IF((K58-$H58)&gt;0,K58-$H58,0),(_xll.xSPRDOPT(K58,$E58,$BU58,0,$BP58,$BS58,$BT58,($A58-Inputs!$D$1)+15,1,0)))))</f>
        <v>21.009478020734978</v>
      </c>
      <c r="S58" s="320">
        <f ca="1">IF($A58="N/A"," ",IF('Pricing Inputs'!$AN$8=2,(L58-$H58),IF('Pricing Inputs'!$AN$3=2,IF((L58-$H58)&gt;0,L58-$H58,0),(_xll.xSPRDOPT(L58,$E58,$BU58,0,$BP58,$BS58,$BT58,($A58-Inputs!$D$1)+15,1,0)))))</f>
        <v>9.5447559853096742</v>
      </c>
      <c r="T58" s="320">
        <f ca="1">IF($A58="N/A"," ",IF('Pricing Inputs'!$AN$8=2,(M58-$H58),IF('Pricing Inputs'!$AN$3=2,IF((M58-$H58)&gt;0,M58-$H58,0),(_xll.xSPRDOPT(M58,$E58,$BU58,0,$BP58,$BS58,$BT58,($A58-Inputs!$D$1)+15,1,0)))))</f>
        <v>11.364716788040038</v>
      </c>
      <c r="U58" s="320">
        <f ca="1">IF($A58="N/A"," ",IF('Pricing Inputs'!$AN$8=2,(N58-$H58),IF('Pricing Inputs'!$AN$3=2,IF((N58-$H58)&gt;0,N58-$H58,0),(_xll.xSPRDOPT(N58,$E58,$BU58,0,$BP58,$BS58,$BT58,($A58-Inputs!$D$1)+15,1,0)))))</f>
        <v>4.5791725577166345</v>
      </c>
      <c r="V58" s="259">
        <f ca="1">IF($A58="N/A"," ",(IF('Pricing Inputs'!$AN$8=2,(O58-$H58),IF((O58-$H58)&lt;=0,0,(O58-$H58)))))</f>
        <v>0</v>
      </c>
      <c r="W58" s="306">
        <f ca="1">IF($A58="N/A"," ",IF(0&lt;&gt;P58,IF('Pricing Inputs'!$AN$3=2,8*VLOOKUP($A58,NumberofDaysTable,2),(_xll.xSPRDOPT(I58,$E58,$BU58,0,$BP58,$BS58,$BT58,$A58-Inputs!$D$1,1,1))*(8*VLOOKUP($A58,NumberofDaysTable,2))),0))</f>
        <v>152.93251473704859</v>
      </c>
      <c r="X58" s="306">
        <f ca="1">IF($A58="N/A"," ",IF(Q58&lt;&gt;0,IF('Pricing Inputs'!$AN$3=2,8*VLOOKUP($A58,NumberofDaysTable,2),(_xll.xSPRDOPT(J58,$E58,$BU58,0,$BP58,$BS58,$BT58,$A58-Inputs!$D$1,1,1))*(8*VLOOKUP($A58,NumberofDaysTable,2))),0))</f>
        <v>140.90050588458578</v>
      </c>
      <c r="Y58" s="306">
        <f ca="1">IF($A58="N/A"," ",IF(R58&lt;&gt;0,IF('Pricing Inputs'!$AN$3=2,8*VLOOKUP($A58,NumberofDaysTable,3),(_xll.xSPRDOPT(K58,$E58,$BU58,0,$BP58,$BS58,$BT58,$A58-Inputs!$D$1,1,1))*(8*VLOOKUP($A58,NumberofDaysTable,3))),0))</f>
        <v>33.085548839499602</v>
      </c>
      <c r="Z58" s="306">
        <f ca="1">IF($A58="N/A"," ",IF(S58&lt;&gt;0,IF('Pricing Inputs'!$AN$3=2,8*VLOOKUP($A58,NumberofDaysTable,3),(_xll.xSPRDOPT(L58,$E58,$BU58,0,$BP58,$BS58,$BT58,$A58-Inputs!$D$1,1,1))*(8*VLOOKUP($A58,NumberofDaysTable,3))),0))</f>
        <v>26.403349872510713</v>
      </c>
      <c r="AA58" s="306">
        <f ca="1">IF($A58="N/A"," ",IF(T58&lt;&gt;0,IF('Pricing Inputs'!$AN$3=2,8*VLOOKUP($A58,NumberofDaysTable,4),(_xll.xSPRDOPT(M58,$E58,$BU58,0,$BP58,$BS58,$BT58,$A58-Inputs!$D$1,1,1))*(8*VLOOKUP($A58,NumberofDaysTable,4))),0))</f>
        <v>27.971642340580289</v>
      </c>
      <c r="AB58" s="306">
        <f ca="1">IF($A58="N/A"," ",IF(U58&lt;&gt;0,IF('Pricing Inputs'!$AN$3=2,8*VLOOKUP($A58,NumberofDaysTable,4),(_xll.xSPRDOPT(N58,$E58,$BU58,0,$BP58,$BS58,$BT58,$A58-Inputs!$D$1,1,1))*(8*VLOOKUP($A58,NumberofDaysTable,4))),0))</f>
        <v>19.842898064739096</v>
      </c>
      <c r="AC58" s="306">
        <f t="shared" ca="1" si="21"/>
        <v>0</v>
      </c>
      <c r="AD58" s="274">
        <f t="shared" ca="1" si="104"/>
        <v>1</v>
      </c>
      <c r="AE58" s="275">
        <f t="shared" ca="1" si="105"/>
        <v>4</v>
      </c>
      <c r="AF58" s="275">
        <f t="shared" ca="1" si="106"/>
        <v>6</v>
      </c>
      <c r="AG58" s="275">
        <f t="shared" ca="1" si="107"/>
        <v>12</v>
      </c>
      <c r="AH58" s="275">
        <f t="shared" ca="1" si="108"/>
        <v>10</v>
      </c>
      <c r="AI58" s="275">
        <f t="shared" ca="1" si="109"/>
        <v>19</v>
      </c>
      <c r="AJ58" s="276">
        <f t="shared" ca="1" si="110"/>
        <v>73</v>
      </c>
      <c r="AK58" s="314">
        <f t="shared" ca="1" si="43"/>
        <v>152.93251473704859</v>
      </c>
      <c r="AL58" s="315">
        <f t="shared" ca="1" si="44"/>
        <v>140.90050588458578</v>
      </c>
      <c r="AM58" s="315">
        <f t="shared" ca="1" si="45"/>
        <v>33.085548839499602</v>
      </c>
      <c r="AN58" s="315">
        <f t="shared" ca="1" si="46"/>
        <v>26.403349872510713</v>
      </c>
      <c r="AO58" s="315">
        <f t="shared" ca="1" si="47"/>
        <v>27.971642340580289</v>
      </c>
      <c r="AP58" s="315">
        <f t="shared" ca="1" si="48"/>
        <v>19.842898064739096</v>
      </c>
      <c r="AQ58" s="315">
        <f t="shared" ca="1" si="49"/>
        <v>0</v>
      </c>
      <c r="AR58" s="276"/>
      <c r="AS58" s="321">
        <f t="shared" ca="1" si="97"/>
        <v>0</v>
      </c>
      <c r="AT58" s="324">
        <f t="shared" ca="1" si="98"/>
        <v>0</v>
      </c>
      <c r="AU58" s="324">
        <f t="shared" ca="1" si="99"/>
        <v>0</v>
      </c>
      <c r="AV58" s="324">
        <f t="shared" ca="1" si="100"/>
        <v>0</v>
      </c>
      <c r="AW58" s="324">
        <f t="shared" ca="1" si="101"/>
        <v>0</v>
      </c>
      <c r="AX58" s="324">
        <f t="shared" ca="1" si="102"/>
        <v>0</v>
      </c>
      <c r="AY58" s="324">
        <f t="shared" ca="1" si="103"/>
        <v>0</v>
      </c>
      <c r="AZ58" s="276"/>
      <c r="BA58" s="267">
        <f ca="1">IF($A58="N/A"," ",(IF(MONTH(A58)&gt;=4,IF(MONTH(A58)&lt;=10,Inputs!$F$13,Inputs!$F$14),Inputs!$F$14))*$BW58)</f>
        <v>180</v>
      </c>
      <c r="BB58" s="268">
        <f t="shared" ca="1" si="64"/>
        <v>1534462.6992389939</v>
      </c>
      <c r="BC58" s="268">
        <f t="shared" ca="1" si="65"/>
        <v>824758.22493605979</v>
      </c>
      <c r="BD58" s="268">
        <f t="shared" ca="1" si="31"/>
        <v>151268.24174929183</v>
      </c>
      <c r="BE58" s="268">
        <f t="shared" ca="1" si="32"/>
        <v>68722.243094229649</v>
      </c>
      <c r="BF58" s="268">
        <f t="shared" ca="1" si="33"/>
        <v>98191.153048665932</v>
      </c>
      <c r="BG58" s="268">
        <f t="shared" ca="1" si="34"/>
        <v>39564.050898671725</v>
      </c>
      <c r="BH58" s="268">
        <f t="shared" ca="1" si="41"/>
        <v>0</v>
      </c>
      <c r="BI58" s="268">
        <f t="shared" ca="1" si="36"/>
        <v>2716966.6129659126</v>
      </c>
      <c r="BJ58" s="296">
        <f t="shared" ca="1" si="37"/>
        <v>2195199.2190984939</v>
      </c>
      <c r="BK58" s="296">
        <f t="shared" ca="1" si="38"/>
        <v>2050790.0935924666</v>
      </c>
      <c r="BL58" s="296">
        <f t="shared" ca="1" si="39"/>
        <v>144409.12550602705</v>
      </c>
      <c r="BM58" s="296">
        <f t="shared" ca="1" si="40"/>
        <v>0</v>
      </c>
      <c r="BN58" s="405">
        <f>IF(A58="N/A"," ",(VLOOKUP(A58,PowerVolTable,(IF('Pricing Inputs'!$AT$3=2,7,IF('Pricing Inputs'!$AT$3=1,6,8))),FALSE)))</f>
        <v>0.33115787859374995</v>
      </c>
      <c r="BO58" s="405">
        <f>IF(A58="N/A"," ",(VLOOKUP(A58,IntraPowerVol,(IF('Pricing Inputs'!$AT$3=2,3,IF('Pricing Inputs'!$AT$3=1,2,4))),FALSE)*VLOOKUP(MONTH($A58),Inputs!$A$28:$B$39,2)))</f>
        <v>3.4499999999999997</v>
      </c>
      <c r="BP58" s="406">
        <f t="shared" ca="1" si="15"/>
        <v>0.44684131801366928</v>
      </c>
      <c r="BQ58" s="405">
        <f ca="1">IF($A58="N/A"," ",(VLOOKUP($A58,GasVolTable,(IF('Pricing Inputs'!$AT$3=2,6,IF('Pricing Inputs'!$AT$3=1,7,5))),FALSE)))</f>
        <v>0.16040000000000001</v>
      </c>
      <c r="BR58" s="405">
        <f ca="1">IF($A58="N/A"," ",(VLOOKUP($A58,OmicronVol,(IF('Pricing Inputs'!$AT$3=2,3,IF('Pricing Inputs'!$AT$3=1,4,2))),FALSE)))</f>
        <v>0.5</v>
      </c>
      <c r="BS58" s="406">
        <f ca="1">IF($A58="N/A"," ",IF('Pricing Inputs'!$AN$3=1,(IF(DateToday&gt;$A58,$BR58,((($BQ58^2)*((($A58-1)-DateToday)/((EOMONTH($A58,0)+1)-DateToday-15)))+((($BR58)^2)*((15)/((EOMONTH($A58,0)+1)-DateToday-15))))^0.5)),0.0001))</f>
        <v>0.16557683999872483</v>
      </c>
      <c r="BT58" s="405">
        <f>IF($A58="N/A"," ",IF('Pricing Inputs'!$AN$3=1,(VLOOKUP($A58,CorrelationTable,2,FALSE)),0))</f>
        <v>0.9</v>
      </c>
      <c r="BU58" s="407">
        <f ca="1">IF($A58="N/A"," ",F58+G58+(D58*(VLOOKUP($A58,'Gas Curves'!$B$17:$P$310,14,FALSE))))</f>
        <v>2.6825000000000001</v>
      </c>
      <c r="BV58" s="405">
        <f>IF($A58="N/A"," ",IF('Pricing Inputs'!$AW$3=1,0,(VLOOKUP($A58,InterestRatesTable,2))))</f>
        <v>0</v>
      </c>
      <c r="BW58" s="408">
        <f t="shared" ca="1" si="16"/>
        <v>1</v>
      </c>
    </row>
    <row r="59" spans="1:75">
      <c r="A59" s="248">
        <f>IF(A58="N/A","N/A",IF(EDATE(A58,1)&gt;Inputs!$K$3,"N/A",EDATE(A58,1)))</f>
        <v>38565</v>
      </c>
      <c r="B59" s="262">
        <f t="shared" si="17"/>
        <v>2005</v>
      </c>
      <c r="C59" s="249">
        <f t="shared" ca="1" si="18"/>
        <v>2.7120000000000002</v>
      </c>
      <c r="D59" s="250">
        <f>IF(A59="N/A"," ",(VLOOKUP(MONTH($A59),Inputs!$A$14:$B$25,2))/1000)</f>
        <v>10.5</v>
      </c>
      <c r="E59" s="304">
        <f t="shared" ca="1" si="19"/>
        <v>28.476000000000003</v>
      </c>
      <c r="F59" s="251">
        <f>IF(A59="N/A"," ",Inputs!$F$6)</f>
        <v>2</v>
      </c>
      <c r="G59" s="251">
        <f ca="1">IF(A59="N/A"," ",Inputs!$F$9/IF(AND('Pricing Inputs'!$AQ$3&gt;=4,'Pricing Inputs'!$AQ$3&lt;=6),16,IF(AND('Pricing Inputs'!$AQ$3&gt;=7,'Pricing Inputs'!$AQ$3&lt;=9),8,24))/(BA59/BW59))</f>
        <v>0</v>
      </c>
      <c r="H59" s="252">
        <f t="shared" ca="1" si="20"/>
        <v>30.476000000000003</v>
      </c>
      <c r="I59" s="255">
        <f>VLOOKUP(A59,ScaledPrice,(IF(AND('Pricing Inputs'!$AQ$3&gt;=1,'Pricing Inputs'!$AQ$3&lt;=6),2,4)))</f>
        <v>72.080381643939702</v>
      </c>
      <c r="J59" s="255">
        <f>IF(A59="N/A"," ",IF(AND('Pricing Inputs'!$AQ$3&gt;=1,'Pricing Inputs'!$AQ$3&lt;=6),I59,(VLOOKUP(A59,ScaledPrice,2))*(2-(VLOOKUP(A59,ScaledPrice,3)))))</f>
        <v>57.919618356060298</v>
      </c>
      <c r="K59" s="255">
        <f>IF(A59="N/A"," ",IF(OR('Pricing Inputs'!$AQ$3=2,'Pricing Inputs'!$AQ$3=3,'Pricing Inputs'!$AQ$3=5,'Pricing Inputs'!$AQ$3=6,'Pricing Inputs'!$AQ$3=8,'Pricing Inputs'!$AQ$3=9),VLOOKUP(A59,ScaledPrice,IF(AND('Pricing Inputs'!$AQ$3&gt;=2,'Pricing Inputs'!$AQ$3&lt;=6),5,6)),0))</f>
        <v>46.489072822715421</v>
      </c>
      <c r="L59" s="255">
        <f>IF(A59="N/A"," ",IF(OR('Pricing Inputs'!$AQ$3=2,'Pricing Inputs'!$AQ$3=3,'Pricing Inputs'!$AQ$3=5,'Pricing Inputs'!$AQ$3=6,'Pricing Inputs'!$AQ$3=8,'Pricing Inputs'!$AQ$3=9),IF(AND('Pricing Inputs'!$AQ$3&gt;=2,'Pricing Inputs'!$AQ$3&lt;=6),K59,(VLOOKUP(A59,ScaledPrice,5))*(2-(VLOOKUP(A59,ScaledPrice,3)))),0))</f>
        <v>37.355925346229903</v>
      </c>
      <c r="M59" s="255">
        <f>IF(A59="N/A"," ",IF(OR('Pricing Inputs'!$AQ$3=3,'Pricing Inputs'!$AQ$3=6,'Pricing Inputs'!$AQ$3=9),(VLOOKUP(A59,ScaledPrice,IF(AND('Pricing Inputs'!$AQ$3&gt;=3,'Pricing Inputs'!$AQ$3&lt;=6),7,8))),0))</f>
        <v>33.98312855339686</v>
      </c>
      <c r="N59" s="255">
        <f>IF(A59="N/A"," ",IF(OR('Pricing Inputs'!$AQ$3=3,'Pricing Inputs'!$AQ$3=6,'Pricing Inputs'!$AQ$3=9),IF(AND('Pricing Inputs'!$AQ$3&gt;=3,'Pricing Inputs'!$AQ$3&lt;=6),M59,(VLOOKUP(A59,ScaledPrice,7))*(2-(VLOOKUP(A59,ScaledPrice,3)))),0))</f>
        <v>27.306873125069934</v>
      </c>
      <c r="O59" s="255">
        <f>IF(A59="N/A"," ",IF(AND('Pricing Inputs'!$AQ$3&gt;=1,'Pricing Inputs'!$AQ$3&lt;=3),VLOOKUP(A59,ScaledPrice,9),0))</f>
        <v>0</v>
      </c>
      <c r="P59" s="320">
        <f ca="1">IF($A59="N/A"," ",IF('Pricing Inputs'!$AN$8=2,(I59-H59),IF('Pricing Inputs'!$AN$3=2,IF((I59-$H59)&gt;0,I59-$H59,0),(_xll.xSPRDOPT(I59,$E59,$BU59,0,$BP59,$BS59,$BT59,($A59-Inputs!$D$1)+15,1,0)))))</f>
        <v>42.969266970684075</v>
      </c>
      <c r="Q59" s="320">
        <f ca="1">IF($A59="N/A"," ",IF('Pricing Inputs'!$AN$8=2,(J59-$H59),IF('Pricing Inputs'!$AN$3=2,IF((J59-$H59)&gt;0,J59-$H59,0),(_xll.xSPRDOPT(J59,$E59,$BU59,0,$BP59,$BS59,$BT59,($A59-Inputs!$D$1)+15,1,0)))))</f>
        <v>30.013064576268793</v>
      </c>
      <c r="R59" s="320">
        <f ca="1">IF($A59="N/A"," ",IF('Pricing Inputs'!$AN$8=2,(K59-$H59),IF('Pricing Inputs'!$AN$3=2,IF((K59-$H59)&gt;0,K59-$H59,0),(_xll.xSPRDOPT(K59,$E59,$BU59,0,$BP59,$BS59,$BT59,($A59-Inputs!$D$1)+15,1,0)))))</f>
        <v>20.204130897261219</v>
      </c>
      <c r="S59" s="320">
        <f ca="1">IF($A59="N/A"," ",IF('Pricing Inputs'!$AN$8=2,(L59-$H59),IF('Pricing Inputs'!$AN$3=2,IF((L59-$H59)&gt;0,L59-$H59,0),(_xll.xSPRDOPT(L59,$E59,$BU59,0,$BP59,$BS59,$BT59,($A59-Inputs!$D$1)+15,1,0)))))</f>
        <v>13.083095014533562</v>
      </c>
      <c r="T59" s="320">
        <f ca="1">IF($A59="N/A"," ",IF('Pricing Inputs'!$AN$8=2,(M59-$H59),IF('Pricing Inputs'!$AN$3=2,IF((M59-$H59)&gt;0,M59-$H59,0),(_xll.xSPRDOPT(M59,$E59,$BU59,0,$BP59,$BS59,$BT59,($A59-Inputs!$D$1)+15,1,0)))))</f>
        <v>10.688923411868467</v>
      </c>
      <c r="U59" s="320">
        <f ca="1">IF($A59="N/A"," ",IF('Pricing Inputs'!$AN$8=2,(N59-$H59),IF('Pricing Inputs'!$AN$3=2,IF((N59-$H59)&gt;0,N59-$H59,0),(_xll.xSPRDOPT(N59,$E59,$BU59,0,$BP59,$BS59,$BT59,($A59-Inputs!$D$1)+15,1,0)))))</f>
        <v>6.4629809951754362</v>
      </c>
      <c r="V59" s="259">
        <f ca="1">IF($A59="N/A"," ",(IF('Pricing Inputs'!$AN$8=2,(O59-$H59),IF((O59-$H59)&lt;=0,0,(O59-$H59)))))</f>
        <v>0</v>
      </c>
      <c r="W59" s="306">
        <f ca="1">IF($A59="N/A"," ",IF(0&lt;&gt;P59,IF('Pricing Inputs'!$AN$3=2,8*VLOOKUP($A59,NumberofDaysTable,2),(_xll.xSPRDOPT(I59,$E59,$BU59,0,$BP59,$BS59,$BT59,$A59-Inputs!$D$1,1,1))*(8*VLOOKUP($A59,NumberofDaysTable,2))),0))</f>
        <v>172.27290448425464</v>
      </c>
      <c r="X59" s="306">
        <f ca="1">IF($A59="N/A"," ",IF(Q59&lt;&gt;0,IF('Pricing Inputs'!$AN$3=2,8*VLOOKUP($A59,NumberofDaysTable,2),(_xll.xSPRDOPT(J59,$E59,$BU59,0,$BP59,$BS59,$BT59,$A59-Inputs!$D$1,1,1))*(8*VLOOKUP($A59,NumberofDaysTable,2))),0))</f>
        <v>163.65034699073962</v>
      </c>
      <c r="Y59" s="306">
        <f ca="1">IF($A59="N/A"," ",IF(R59&lt;&gt;0,IF('Pricing Inputs'!$AN$3=2,8*VLOOKUP($A59,NumberofDaysTable,3),(_xll.xSPRDOPT(K59,$E59,$BU59,0,$BP59,$BS59,$BT59,$A59-Inputs!$D$1,1,1))*(8*VLOOKUP($A59,NumberofDaysTable,3))),0))</f>
        <v>26.278924322856206</v>
      </c>
      <c r="Z59" s="306">
        <f ca="1">IF($A59="N/A"," ",IF(S59&lt;&gt;0,IF('Pricing Inputs'!$AN$3=2,8*VLOOKUP($A59,NumberofDaysTable,3),(_xll.xSPRDOPT(L59,$E59,$BU59,0,$BP59,$BS59,$BT59,$A59-Inputs!$D$1,1,1))*(8*VLOOKUP($A59,NumberofDaysTable,3))),0))</f>
        <v>23.406788521823302</v>
      </c>
      <c r="AA59" s="306">
        <f ca="1">IF($A59="N/A"," ",IF(T59&lt;&gt;0,IF('Pricing Inputs'!$AN$3=2,8*VLOOKUP($A59,NumberofDaysTable,4),(_xll.xSPRDOPT(M59,$E59,$BU59,0,$BP59,$BS59,$BT59,$A59-Inputs!$D$1,1,1))*(8*VLOOKUP($A59,NumberofDaysTable,4))),0))</f>
        <v>21.968263278790769</v>
      </c>
      <c r="AB59" s="306">
        <f ca="1">IF($A59="N/A"," ",IF(U59&lt;&gt;0,IF('Pricing Inputs'!$AN$3=2,8*VLOOKUP($A59,NumberofDaysTable,4),(_xll.xSPRDOPT(N59,$E59,$BU59,0,$BP59,$BS59,$BT59,$A59-Inputs!$D$1,1,1))*(8*VLOOKUP($A59,NumberofDaysTable,4))),0))</f>
        <v>18.31023230371968</v>
      </c>
      <c r="AC59" s="306">
        <f t="shared" ca="1" si="21"/>
        <v>0</v>
      </c>
      <c r="AD59" s="274">
        <f t="shared" ca="1" si="104"/>
        <v>2</v>
      </c>
      <c r="AE59" s="275">
        <f t="shared" ca="1" si="105"/>
        <v>3</v>
      </c>
      <c r="AF59" s="275">
        <f t="shared" ca="1" si="106"/>
        <v>7</v>
      </c>
      <c r="AG59" s="275">
        <f t="shared" ca="1" si="107"/>
        <v>9</v>
      </c>
      <c r="AH59" s="275">
        <f t="shared" ca="1" si="108"/>
        <v>11</v>
      </c>
      <c r="AI59" s="275">
        <f t="shared" ca="1" si="109"/>
        <v>14</v>
      </c>
      <c r="AJ59" s="276">
        <f t="shared" ca="1" si="110"/>
        <v>73</v>
      </c>
      <c r="AK59" s="314">
        <f t="shared" ca="1" si="43"/>
        <v>172.27290448425464</v>
      </c>
      <c r="AL59" s="315">
        <f t="shared" ca="1" si="44"/>
        <v>163.65034699073962</v>
      </c>
      <c r="AM59" s="315">
        <f t="shared" ca="1" si="45"/>
        <v>26.278924322856206</v>
      </c>
      <c r="AN59" s="315">
        <f t="shared" ca="1" si="46"/>
        <v>23.406788521823302</v>
      </c>
      <c r="AO59" s="315">
        <f t="shared" ca="1" si="47"/>
        <v>21.968263278790769</v>
      </c>
      <c r="AP59" s="315">
        <f t="shared" ca="1" si="48"/>
        <v>18.31023230371968</v>
      </c>
      <c r="AQ59" s="315">
        <f t="shared" ca="1" si="49"/>
        <v>0</v>
      </c>
      <c r="AR59" s="276"/>
      <c r="AS59" s="321">
        <f t="shared" ca="1" si="97"/>
        <v>0</v>
      </c>
      <c r="AT59" s="324">
        <f t="shared" ca="1" si="98"/>
        <v>0</v>
      </c>
      <c r="AU59" s="324">
        <f t="shared" ca="1" si="99"/>
        <v>0</v>
      </c>
      <c r="AV59" s="324">
        <f t="shared" ca="1" si="100"/>
        <v>0</v>
      </c>
      <c r="AW59" s="324">
        <f t="shared" ca="1" si="101"/>
        <v>0</v>
      </c>
      <c r="AX59" s="324">
        <f t="shared" ca="1" si="102"/>
        <v>0</v>
      </c>
      <c r="AY59" s="324">
        <f t="shared" ca="1" si="103"/>
        <v>0</v>
      </c>
      <c r="AZ59" s="276"/>
      <c r="BA59" s="267">
        <f ca="1">IF($A59="N/A"," ",(IF(MONTH(A59)&gt;=4,IF(MONTH(A59)&lt;=10,Inputs!$F$13,Inputs!$F$14),Inputs!$F$14))*$BW59)</f>
        <v>180</v>
      </c>
      <c r="BB59" s="268">
        <f t="shared" ca="1" si="64"/>
        <v>1423142.1220690566</v>
      </c>
      <c r="BC59" s="268">
        <f t="shared" ca="1" si="65"/>
        <v>994032.69876602245</v>
      </c>
      <c r="BD59" s="268">
        <f t="shared" ca="1" si="31"/>
        <v>116375.79396822462</v>
      </c>
      <c r="BE59" s="268">
        <f t="shared" ca="1" si="32"/>
        <v>75358.627283713315</v>
      </c>
      <c r="BF59" s="268">
        <f t="shared" ca="1" si="33"/>
        <v>61568.198852362373</v>
      </c>
      <c r="BG59" s="268">
        <f t="shared" ca="1" si="34"/>
        <v>37226.77053221051</v>
      </c>
      <c r="BH59" s="268">
        <f t="shared" ca="1" si="41"/>
        <v>0</v>
      </c>
      <c r="BI59" s="268">
        <f t="shared" ca="1" si="36"/>
        <v>2707704.2114715897</v>
      </c>
      <c r="BJ59" s="296">
        <f t="shared" ca="1" si="37"/>
        <v>2336282.321036214</v>
      </c>
      <c r="BK59" s="296">
        <f t="shared" ca="1" si="38"/>
        <v>2182962.8354714275</v>
      </c>
      <c r="BL59" s="296">
        <f t="shared" ca="1" si="39"/>
        <v>153319.4855647863</v>
      </c>
      <c r="BM59" s="296">
        <f t="shared" ca="1" si="40"/>
        <v>0</v>
      </c>
      <c r="BN59" s="405">
        <f>IF(A59="N/A"," ",(VLOOKUP(A59,PowerVolTable,(IF('Pricing Inputs'!$AT$3=2,7,IF('Pricing Inputs'!$AT$3=1,6,8))),FALSE)))</f>
        <v>0.32584322531249993</v>
      </c>
      <c r="BO59" s="405">
        <f>IF(A59="N/A"," ",(VLOOKUP(A59,IntraPowerVol,(IF('Pricing Inputs'!$AT$3=2,3,IF('Pricing Inputs'!$AT$3=1,2,4))),FALSE)*VLOOKUP(MONTH($A59),Inputs!$A$28:$B$39,2)))</f>
        <v>3.4499999999999997</v>
      </c>
      <c r="BP59" s="406">
        <f t="shared" ca="1" si="15"/>
        <v>0.44136830043160852</v>
      </c>
      <c r="BQ59" s="405">
        <f ca="1">IF($A59="N/A"," ",(VLOOKUP($A59,GasVolTable,(IF('Pricing Inputs'!$AT$3=2,6,IF('Pricing Inputs'!$AT$3=1,7,5))),FALSE)))</f>
        <v>0.16010000000000002</v>
      </c>
      <c r="BR59" s="405">
        <f ca="1">IF($A59="N/A"," ",(VLOOKUP($A59,OmicronVol,(IF('Pricing Inputs'!$AT$3=2,3,IF('Pricing Inputs'!$AT$3=1,4,2))),FALSE)))</f>
        <v>0.6</v>
      </c>
      <c r="BS59" s="406">
        <f ca="1">IF($A59="N/A"," ",IF('Pricing Inputs'!$AN$3=1,(IF(DateToday&gt;$A59,$BR59,((($BQ59^2)*((($A59-1)-DateToday)/((EOMONTH($A59,0)+1)-DateToday-15)))+((($BR59)^2)*((15)/((EOMONTH($A59,0)+1)-DateToday-15))))^0.5)),0.0001))</f>
        <v>0.16769498115660872</v>
      </c>
      <c r="BT59" s="405">
        <f>IF($A59="N/A"," ",IF('Pricing Inputs'!$AN$3=1,(VLOOKUP($A59,CorrelationTable,2,FALSE)),0))</f>
        <v>0.9</v>
      </c>
      <c r="BU59" s="407">
        <f ca="1">IF($A59="N/A"," ",F59+G59+(D59*(VLOOKUP($A59,'Gas Curves'!$B$17:$P$310,14,FALSE))))</f>
        <v>2.6825000000000001</v>
      </c>
      <c r="BV59" s="405">
        <f>IF($A59="N/A"," ",IF('Pricing Inputs'!$AW$3=1,0,(VLOOKUP($A59,InterestRatesTable,2))))</f>
        <v>0</v>
      </c>
      <c r="BW59" s="408">
        <f t="shared" ca="1" si="16"/>
        <v>1</v>
      </c>
    </row>
    <row r="60" spans="1:75">
      <c r="A60" s="248">
        <f>IF(A59="N/A","N/A",IF(EDATE(A59,1)&gt;Inputs!$K$3,"N/A",EDATE(A59,1)))</f>
        <v>38596</v>
      </c>
      <c r="B60" s="262">
        <f t="shared" si="17"/>
        <v>2005</v>
      </c>
      <c r="C60" s="249">
        <f t="shared" ca="1" si="18"/>
        <v>2.7183750000000004</v>
      </c>
      <c r="D60" s="250">
        <f>IF(A60="N/A"," ",(VLOOKUP(MONTH($A60),Inputs!$A$14:$B$25,2))/1000)</f>
        <v>10.5</v>
      </c>
      <c r="E60" s="304">
        <f t="shared" ca="1" si="19"/>
        <v>28.542937500000004</v>
      </c>
      <c r="F60" s="251">
        <f>IF(A60="N/A"," ",Inputs!$F$6)</f>
        <v>2</v>
      </c>
      <c r="G60" s="251">
        <f ca="1">IF(A60="N/A"," ",Inputs!$F$9/IF(AND('Pricing Inputs'!$AQ$3&gt;=4,'Pricing Inputs'!$AQ$3&lt;=6),16,IF(AND('Pricing Inputs'!$AQ$3&gt;=7,'Pricing Inputs'!$AQ$3&lt;=9),8,24))/(BA60/BW60))</f>
        <v>0</v>
      </c>
      <c r="H60" s="252">
        <f t="shared" ca="1" si="20"/>
        <v>30.542937500000004</v>
      </c>
      <c r="I60" s="255">
        <f>VLOOKUP(A60,ScaledPrice,(IF(AND('Pricing Inputs'!$AQ$3&gt;=1,'Pricing Inputs'!$AQ$3&lt;=6),2,4)))</f>
        <v>35.911481698496722</v>
      </c>
      <c r="J60" s="255">
        <f>IF(A60="N/A"," ",IF(AND('Pricing Inputs'!$AQ$3&gt;=1,'Pricing Inputs'!$AQ$3&lt;=6),I60,(VLOOKUP(A60,ScaledPrice,2))*(2-(VLOOKUP(A60,ScaledPrice,3)))))</f>
        <v>29.588518301503282</v>
      </c>
      <c r="K60" s="255">
        <f>IF(A60="N/A"," ",IF(OR('Pricing Inputs'!$AQ$3=2,'Pricing Inputs'!$AQ$3=3,'Pricing Inputs'!$AQ$3=5,'Pricing Inputs'!$AQ$3=6,'Pricing Inputs'!$AQ$3=8,'Pricing Inputs'!$AQ$3=9),VLOOKUP(A60,ScaledPrice,IF(AND('Pricing Inputs'!$AQ$3&gt;=2,'Pricing Inputs'!$AQ$3&lt;=6),5,6)),0))</f>
        <v>25.554719109781715</v>
      </c>
      <c r="L60" s="255">
        <f>IF(A60="N/A"," ",IF(OR('Pricing Inputs'!$AQ$3=2,'Pricing Inputs'!$AQ$3=3,'Pricing Inputs'!$AQ$3=5,'Pricing Inputs'!$AQ$3=6,'Pricing Inputs'!$AQ$3=8,'Pricing Inputs'!$AQ$3=9),IF(AND('Pricing Inputs'!$AQ$3&gt;=2,'Pricing Inputs'!$AQ$3&lt;=6),K60,(VLOOKUP(A60,ScaledPrice,5))*(2-(VLOOKUP(A60,ScaledPrice,3)))),0))</f>
        <v>21.055279211751483</v>
      </c>
      <c r="M60" s="255">
        <f>IF(A60="N/A"," ",IF(OR('Pricing Inputs'!$AQ$3=3,'Pricing Inputs'!$AQ$3=6,'Pricing Inputs'!$AQ$3=9),(VLOOKUP(A60,ScaledPrice,IF(AND('Pricing Inputs'!$AQ$3&gt;=3,'Pricing Inputs'!$AQ$3&lt;=6),7,8))),0))</f>
        <v>26.097504257228152</v>
      </c>
      <c r="N60" s="255">
        <f>IF(A60="N/A"," ",IF(OR('Pricing Inputs'!$AQ$3=3,'Pricing Inputs'!$AQ$3=6,'Pricing Inputs'!$AQ$3=9),IF(AND('Pricing Inputs'!$AQ$3&gt;=3,'Pricing Inputs'!$AQ$3&lt;=6),M60,(VLOOKUP(A60,ScaledPrice,7))*(2-(VLOOKUP(A60,ScaledPrice,3)))),0))</f>
        <v>21.502495742771849</v>
      </c>
      <c r="O60" s="255">
        <f>IF(A60="N/A"," ",IF(AND('Pricing Inputs'!$AQ$3&gt;=1,'Pricing Inputs'!$AQ$3&lt;=3),VLOOKUP(A60,ScaledPrice,9),0))</f>
        <v>0</v>
      </c>
      <c r="P60" s="320">
        <f ca="1">IF($A60="N/A"," ",IF('Pricing Inputs'!$AN$8=2,(I60-H60),IF('Pricing Inputs'!$AN$3=2,IF((I60-$H60)&gt;0,I60-$H60,0),(_xll.xSPRDOPT(I60,$E60,$BU60,0,$BP60,$BS60,$BT60,($A60-Inputs!$D$1)+15,1,0)))))</f>
        <v>7.1413741529426531</v>
      </c>
      <c r="Q60" s="320">
        <f ca="1">IF($A60="N/A"," ",IF('Pricing Inputs'!$AN$8=2,(J60-$H60),IF('Pricing Inputs'!$AN$3=2,IF((J60-$H60)&gt;0,J60-$H60,0),(_xll.xSPRDOPT(J60,$E60,$BU60,0,$BP60,$BS60,$BT60,($A60-Inputs!$D$1)+15,1,0)))))</f>
        <v>3.2186382281595725</v>
      </c>
      <c r="R60" s="320">
        <f ca="1">IF($A60="N/A"," ",IF('Pricing Inputs'!$AN$8=2,(K60-$H60),IF('Pricing Inputs'!$AN$3=2,IF((K60-$H60)&gt;0,K60-$H60,0),(_xll.xSPRDOPT(K60,$E60,$BU60,0,$BP60,$BS60,$BT60,($A60-Inputs!$D$1)+15,1,0)))))</f>
        <v>1.5343086320109474</v>
      </c>
      <c r="S60" s="320">
        <f ca="1">IF($A60="N/A"," ",IF('Pricing Inputs'!$AN$8=2,(L60-$H60),IF('Pricing Inputs'!$AN$3=2,IF((L60-$H60)&gt;0,L60-$H60,0),(_xll.xSPRDOPT(L60,$E60,$BU60,0,$BP60,$BS60,$BT60,($A60-Inputs!$D$1)+15,1,0)))))</f>
        <v>0.46666794200712197</v>
      </c>
      <c r="T60" s="320">
        <f ca="1">IF($A60="N/A"," ",IF('Pricing Inputs'!$AN$8=2,(M60-$H60),IF('Pricing Inputs'!$AN$3=2,IF((M60-$H60)&gt;0,M60-$H60,0),(_xll.xSPRDOPT(M60,$E60,$BU60,0,$BP60,$BS60,$BT60,($A60-Inputs!$D$1)+15,1,0)))))</f>
        <v>1.7200343570924876</v>
      </c>
      <c r="U60" s="320">
        <f ca="1">IF($A60="N/A"," ",IF('Pricing Inputs'!$AN$8=2,(N60-$H60),IF('Pricing Inputs'!$AN$3=2,IF((N60-$H60)&gt;0,N60-$H60,0),(_xll.xSPRDOPT(N60,$E60,$BU60,0,$BP60,$BS60,$BT60,($A60-Inputs!$D$1)+15,1,0)))))</f>
        <v>0.53768166085871494</v>
      </c>
      <c r="V60" s="259">
        <f ca="1">IF($A60="N/A"," ",(IF('Pricing Inputs'!$AN$8=2,(O60-$H60),IF((O60-$H60)&lt;=0,0,(O60-$H60)))))</f>
        <v>0</v>
      </c>
      <c r="W60" s="306">
        <f ca="1">IF($A60="N/A"," ",IF(0&lt;&gt;P60,IF('Pricing Inputs'!$AN$3=2,8*VLOOKUP($A60,NumberofDaysTable,2),(_xll.xSPRDOPT(I60,$E60,$BU60,0,$BP60,$BS60,$BT60,$A60-Inputs!$D$1,1,1))*(8*VLOOKUP($A60,NumberofDaysTable,2))),0))</f>
        <v>121.66093137611566</v>
      </c>
      <c r="X60" s="306">
        <f ca="1">IF($A60="N/A"," ",IF(Q60&lt;&gt;0,IF('Pricing Inputs'!$AN$3=2,8*VLOOKUP($A60,NumberofDaysTable,2),(_xll.xSPRDOPT(J60,$E60,$BU60,0,$BP60,$BS60,$BT60,$A60-Inputs!$D$1,1,1))*(8*VLOOKUP($A60,NumberofDaysTable,2))),0))</f>
        <v>84.43636132939919</v>
      </c>
      <c r="Y60" s="306">
        <f ca="1">IF($A60="N/A"," ",IF(R60&lt;&gt;0,IF('Pricing Inputs'!$AN$3=2,8*VLOOKUP($A60,NumberofDaysTable,3),(_xll.xSPRDOPT(K60,$E60,$BU60,0,$BP60,$BS60,$BT60,$A60-Inputs!$D$1,1,1))*(8*VLOOKUP($A60,NumberofDaysTable,3))),0))</f>
        <v>10.5392390271645</v>
      </c>
      <c r="Z60" s="306">
        <f ca="1">IF($A60="N/A"," ",IF(S60&lt;&gt;0,IF('Pricing Inputs'!$AN$3=2,8*VLOOKUP($A60,NumberofDaysTable,3),(_xll.xSPRDOPT(L60,$E60,$BU60,0,$BP60,$BS60,$BT60,$A60-Inputs!$D$1,1,1))*(8*VLOOKUP($A60,NumberofDaysTable,3))),0))</f>
        <v>4.7951082259611804</v>
      </c>
      <c r="AA60" s="306">
        <f ca="1">IF($A60="N/A"," ",IF(T60&lt;&gt;0,IF('Pricing Inputs'!$AN$3=2,8*VLOOKUP($A60,NumberofDaysTable,4),(_xll.xSPRDOPT(M60,$E60,$BU60,0,$BP60,$BS60,$BT60,$A60-Inputs!$D$1,1,1))*(8*VLOOKUP($A60,NumberofDaysTable,4))),0))</f>
        <v>11.295215760087022</v>
      </c>
      <c r="AB60" s="306">
        <f ca="1">IF($A60="N/A"," ",IF(U60&lt;&gt;0,IF('Pricing Inputs'!$AN$3=2,8*VLOOKUP($A60,NumberofDaysTable,4),(_xll.xSPRDOPT(N60,$E60,$BU60,0,$BP60,$BS60,$BT60,$A60-Inputs!$D$1,1,1))*(8*VLOOKUP($A60,NumberofDaysTable,4))),0))</f>
        <v>5.294285397490353</v>
      </c>
      <c r="AC60" s="306">
        <f t="shared" ca="1" si="21"/>
        <v>0</v>
      </c>
      <c r="AD60" s="274">
        <f t="shared" ca="1" si="104"/>
        <v>13</v>
      </c>
      <c r="AE60" s="275">
        <f t="shared" ca="1" si="105"/>
        <v>20</v>
      </c>
      <c r="AF60" s="275">
        <f t="shared" ca="1" si="106"/>
        <v>29</v>
      </c>
      <c r="AG60" s="275">
        <f t="shared" ca="1" si="107"/>
        <v>40</v>
      </c>
      <c r="AH60" s="275">
        <f t="shared" ca="1" si="108"/>
        <v>28</v>
      </c>
      <c r="AI60" s="275">
        <f t="shared" ca="1" si="109"/>
        <v>38</v>
      </c>
      <c r="AJ60" s="276">
        <f t="shared" ca="1" si="110"/>
        <v>73</v>
      </c>
      <c r="AK60" s="314">
        <f t="shared" ca="1" si="43"/>
        <v>121.66093137611566</v>
      </c>
      <c r="AL60" s="315">
        <f t="shared" ca="1" si="44"/>
        <v>84.43636132939919</v>
      </c>
      <c r="AM60" s="315">
        <f t="shared" ca="1" si="45"/>
        <v>10.5392390271645</v>
      </c>
      <c r="AN60" s="315">
        <f t="shared" ca="1" si="46"/>
        <v>4.7951082259611804</v>
      </c>
      <c r="AO60" s="315">
        <f t="shared" ca="1" si="47"/>
        <v>11.295215760087022</v>
      </c>
      <c r="AP60" s="315">
        <f t="shared" ca="1" si="48"/>
        <v>5.294285397490353</v>
      </c>
      <c r="AQ60" s="315">
        <f t="shared" ca="1" si="49"/>
        <v>0</v>
      </c>
      <c r="AR60" s="276"/>
      <c r="AS60" s="321">
        <f t="shared" ca="1" si="97"/>
        <v>0</v>
      </c>
      <c r="AT60" s="324">
        <f t="shared" ca="1" si="98"/>
        <v>0</v>
      </c>
      <c r="AU60" s="324">
        <f t="shared" ca="1" si="99"/>
        <v>0</v>
      </c>
      <c r="AV60" s="324">
        <f t="shared" ca="1" si="100"/>
        <v>0</v>
      </c>
      <c r="AW60" s="324">
        <f t="shared" ca="1" si="101"/>
        <v>0</v>
      </c>
      <c r="AX60" s="324">
        <f t="shared" ca="1" si="102"/>
        <v>0</v>
      </c>
      <c r="AY60" s="324">
        <f t="shared" ca="1" si="103"/>
        <v>0</v>
      </c>
      <c r="AZ60" s="276"/>
      <c r="BA60" s="267">
        <f ca="1">IF($A60="N/A"," ",(IF(MONTH(A60)&gt;=4,IF(MONTH(A60)&lt;=10,Inputs!$F$13,Inputs!$F$14),Inputs!$F$14))*$BW60)</f>
        <v>180</v>
      </c>
      <c r="BB60" s="268">
        <f t="shared" ca="1" si="64"/>
        <v>215955.15438498583</v>
      </c>
      <c r="BC60" s="268">
        <f t="shared" ca="1" si="65"/>
        <v>97331.620019545473</v>
      </c>
      <c r="BD60" s="268">
        <f t="shared" ca="1" si="31"/>
        <v>8837.6177203830575</v>
      </c>
      <c r="BE60" s="268">
        <f t="shared" ca="1" si="32"/>
        <v>2688.0073459610226</v>
      </c>
      <c r="BF60" s="268">
        <f t="shared" ca="1" si="33"/>
        <v>12384.247371065911</v>
      </c>
      <c r="BG60" s="268">
        <f t="shared" ca="1" si="34"/>
        <v>3871.3079581827474</v>
      </c>
      <c r="BH60" s="268">
        <f t="shared" ca="1" si="41"/>
        <v>0</v>
      </c>
      <c r="BI60" s="268">
        <f t="shared" ca="1" si="36"/>
        <v>341067.95480012399</v>
      </c>
      <c r="BJ60" s="296">
        <f t="shared" ca="1" si="37"/>
        <v>1308575.6706224384</v>
      </c>
      <c r="BK60" s="296">
        <f t="shared" ca="1" si="38"/>
        <v>1222888.0598206001</v>
      </c>
      <c r="BL60" s="296">
        <f t="shared" ca="1" si="39"/>
        <v>85687.61080183844</v>
      </c>
      <c r="BM60" s="296">
        <f t="shared" ca="1" si="40"/>
        <v>0</v>
      </c>
      <c r="BN60" s="405">
        <f>IF(A60="N/A"," ",(VLOOKUP(A60,PowerVolTable,(IF('Pricing Inputs'!$AT$3=2,7,IF('Pricing Inputs'!$AT$3=1,6,8))),FALSE)))</f>
        <v>0.21588488156249999</v>
      </c>
      <c r="BO60" s="405">
        <f>IF(A60="N/A"," ",(VLOOKUP(A60,IntraPowerVol,(IF('Pricing Inputs'!$AT$3=2,3,IF('Pricing Inputs'!$AT$3=1,2,4))),FALSE)*VLOOKUP(MONTH($A60),Inputs!$A$28:$B$39,2)))</f>
        <v>1.7249999999999999</v>
      </c>
      <c r="BP60" s="406">
        <f t="shared" ca="1" si="15"/>
        <v>0.26132433831931412</v>
      </c>
      <c r="BQ60" s="405">
        <f ca="1">IF($A60="N/A"," ",(VLOOKUP($A60,GasVolTable,(IF('Pricing Inputs'!$AT$3=2,6,IF('Pricing Inputs'!$AT$3=1,7,5))),FALSE)))</f>
        <v>0.1598</v>
      </c>
      <c r="BR60" s="405">
        <f ca="1">IF($A60="N/A"," ",(VLOOKUP($A60,OmicronVol,(IF('Pricing Inputs'!$AT$3=2,3,IF('Pricing Inputs'!$AT$3=1,4,2))),FALSE)))</f>
        <v>0.6</v>
      </c>
      <c r="BS60" s="406">
        <f ca="1">IF($A60="N/A"," ",IF('Pricing Inputs'!$AN$3=1,(IF(DateToday&gt;$A60,$BR60,((($BQ60^2)*((($A60-1)-DateToday)/((EOMONTH($A60,0)+1)-DateToday-15)))+((($BR60)^2)*((15)/((EOMONTH($A60,0)+1)-DateToday-15))))^0.5)),0.0001))</f>
        <v>0.16733845422039001</v>
      </c>
      <c r="BT60" s="405">
        <f>IF($A60="N/A"," ",IF('Pricing Inputs'!$AN$3=1,(VLOOKUP($A60,CorrelationTable,2,FALSE)),0))</f>
        <v>0.9</v>
      </c>
      <c r="BU60" s="407">
        <f ca="1">IF($A60="N/A"," ",F60+G60+(D60*(VLOOKUP($A60,'Gas Curves'!$B$17:$P$310,14,FALSE))))</f>
        <v>2.6825000000000001</v>
      </c>
      <c r="BV60" s="405">
        <f>IF($A60="N/A"," ",IF('Pricing Inputs'!$AW$3=1,0,(VLOOKUP($A60,InterestRatesTable,2))))</f>
        <v>0</v>
      </c>
      <c r="BW60" s="408">
        <f t="shared" ca="1" si="16"/>
        <v>1</v>
      </c>
    </row>
    <row r="61" spans="1:75">
      <c r="A61" s="248">
        <f>IF(A60="N/A","N/A",IF(EDATE(A60,1)&gt;Inputs!$K$3,"N/A",EDATE(A60,1)))</f>
        <v>38626</v>
      </c>
      <c r="B61" s="262">
        <f t="shared" si="17"/>
        <v>2005</v>
      </c>
      <c r="C61" s="249">
        <f t="shared" ca="1" si="18"/>
        <v>2.7443750000000002</v>
      </c>
      <c r="D61" s="250">
        <f>IF(A61="N/A"," ",(VLOOKUP(MONTH($A61),Inputs!$A$14:$B$25,2))/1000)</f>
        <v>10.5</v>
      </c>
      <c r="E61" s="304">
        <f t="shared" ca="1" si="19"/>
        <v>28.815937500000004</v>
      </c>
      <c r="F61" s="251">
        <f>IF(A61="N/A"," ",Inputs!$F$6)</f>
        <v>2</v>
      </c>
      <c r="G61" s="251">
        <f ca="1">IF(A61="N/A"," ",Inputs!$F$9/IF(AND('Pricing Inputs'!$AQ$3&gt;=4,'Pricing Inputs'!$AQ$3&lt;=6),16,IF(AND('Pricing Inputs'!$AQ$3&gt;=7,'Pricing Inputs'!$AQ$3&lt;=9),8,24))/(BA61/BW61))</f>
        <v>0</v>
      </c>
      <c r="H61" s="252">
        <f t="shared" ca="1" si="20"/>
        <v>30.815937500000004</v>
      </c>
      <c r="I61" s="255">
        <f>VLOOKUP(A61,ScaledPrice,(IF(AND('Pricing Inputs'!$AQ$3&gt;=1,'Pricing Inputs'!$AQ$3&lt;=6),2,4)))</f>
        <v>30.101212500000003</v>
      </c>
      <c r="J61" s="255">
        <f>IF(A61="N/A"," ",IF(AND('Pricing Inputs'!$AQ$3&gt;=1,'Pricing Inputs'!$AQ$3&lt;=6),I61,(VLOOKUP(A61,ScaledPrice,2))*(2-(VLOOKUP(A61,ScaledPrice,3)))))</f>
        <v>30.898787499999997</v>
      </c>
      <c r="K61" s="255">
        <f>IF(A61="N/A"," ",IF(OR('Pricing Inputs'!$AQ$3=2,'Pricing Inputs'!$AQ$3=3,'Pricing Inputs'!$AQ$3=5,'Pricing Inputs'!$AQ$3=6,'Pricing Inputs'!$AQ$3=8,'Pricing Inputs'!$AQ$3=9),VLOOKUP(A61,ScaledPrice,IF(AND('Pricing Inputs'!$AQ$3&gt;=2,'Pricing Inputs'!$AQ$3&lt;=6),5,6)),0))</f>
        <v>23.09453856791496</v>
      </c>
      <c r="L61" s="255">
        <f>IF(A61="N/A"," ",IF(OR('Pricing Inputs'!$AQ$3=2,'Pricing Inputs'!$AQ$3=3,'Pricing Inputs'!$AQ$3=5,'Pricing Inputs'!$AQ$3=6,'Pricing Inputs'!$AQ$3=8,'Pricing Inputs'!$AQ$3=9),IF(AND('Pricing Inputs'!$AQ$3&gt;=2,'Pricing Inputs'!$AQ$3&lt;=6),K61,(VLOOKUP(A61,ScaledPrice,5))*(2-(VLOOKUP(A61,ScaledPrice,3)))),0))</f>
        <v>23.706461645708082</v>
      </c>
      <c r="M61" s="255">
        <f>IF(A61="N/A"," ",IF(OR('Pricing Inputs'!$AQ$3=3,'Pricing Inputs'!$AQ$3=6,'Pricing Inputs'!$AQ$3=9),(VLOOKUP(A61,ScaledPrice,IF(AND('Pricing Inputs'!$AQ$3&gt;=3,'Pricing Inputs'!$AQ$3&lt;=6),7,8))),0))</f>
        <v>21.121181759347913</v>
      </c>
      <c r="N61" s="255">
        <f>IF(A61="N/A"," ",IF(OR('Pricing Inputs'!$AQ$3=3,'Pricing Inputs'!$AQ$3=6,'Pricing Inputs'!$AQ$3=9),IF(AND('Pricing Inputs'!$AQ$3&gt;=3,'Pricing Inputs'!$AQ$3&lt;=6),M61,(VLOOKUP(A61,ScaledPrice,7))*(2-(VLOOKUP(A61,ScaledPrice,3)))),0))</f>
        <v>21.680817904958722</v>
      </c>
      <c r="O61" s="255">
        <f>IF(A61="N/A"," ",IF(AND('Pricing Inputs'!$AQ$3&gt;=1,'Pricing Inputs'!$AQ$3&lt;=3),VLOOKUP(A61,ScaledPrice,9),0))</f>
        <v>0</v>
      </c>
      <c r="P61" s="320">
        <f ca="1">IF($A61="N/A"," ",IF('Pricing Inputs'!$AN$8=2,(I61-H61),IF('Pricing Inputs'!$AN$3=2,IF((I61-$H61)&gt;0,I61-$H61,0),(_xll.xSPRDOPT(I61,$E61,$BU61,0,$BP61,$BS61,$BT61,($A61-Inputs!$D$1)+15,1,0)))))</f>
        <v>2.506661787105688</v>
      </c>
      <c r="Q61" s="320">
        <f ca="1">IF($A61="N/A"," ",IF('Pricing Inputs'!$AN$8=2,(J61-$H61),IF('Pricing Inputs'!$AN$3=2,IF((J61-$H61)&gt;0,J61-$H61,0),(_xll.xSPRDOPT(J61,$E61,$BU61,0,$BP61,$BS61,$BT61,($A61-Inputs!$D$1)+15,1,0)))))</f>
        <v>2.9080633376719862</v>
      </c>
      <c r="R61" s="320">
        <f ca="1">IF($A61="N/A"," ",IF('Pricing Inputs'!$AN$8=2,(K61-$H61),IF('Pricing Inputs'!$AN$3=2,IF((K61-$H61)&gt;0,K61-$H61,0),(_xll.xSPRDOPT(K61,$E61,$BU61,0,$BP61,$BS61,$BT61,($A61-Inputs!$D$1)+15,1,0)))))</f>
        <v>0.3783303285008604</v>
      </c>
      <c r="S61" s="320">
        <f ca="1">IF($A61="N/A"," ",IF('Pricing Inputs'!$AN$8=2,(L61-$H61),IF('Pricing Inputs'!$AN$3=2,IF((L61-$H61)&gt;0,L61-$H61,0),(_xll.xSPRDOPT(L61,$E61,$BU61,0,$BP61,$BS61,$BT61,($A61-Inputs!$D$1)+15,1,0)))))</f>
        <v>0.47164407046831308</v>
      </c>
      <c r="T61" s="320">
        <f ca="1">IF($A61="N/A"," ",IF('Pricing Inputs'!$AN$8=2,(M61-$H61),IF('Pricing Inputs'!$AN$3=2,IF((M61-$H61)&gt;0,M61-$H61,0),(_xll.xSPRDOPT(M61,$E61,$BU61,0,$BP61,$BS61,$BT61,($A61-Inputs!$D$1)+15,1,0)))))</f>
        <v>0.16766427617236421</v>
      </c>
      <c r="U61" s="320">
        <f ca="1">IF($A61="N/A"," ",IF('Pricing Inputs'!$AN$8=2,(N61-$H61),IF('Pricing Inputs'!$AN$3=2,IF((N61-$H61)&gt;0,N61-$H61,0),(_xll.xSPRDOPT(N61,$E61,$BU61,0,$BP61,$BS61,$BT61,($A61-Inputs!$D$1)+15,1,0)))))</f>
        <v>0.21489597255840132</v>
      </c>
      <c r="V61" s="259">
        <f ca="1">IF($A61="N/A"," ",(IF('Pricing Inputs'!$AN$8=2,(O61-$H61),IF((O61-$H61)&lt;=0,0,(O61-$H61)))))</f>
        <v>0</v>
      </c>
      <c r="W61" s="306">
        <f ca="1">IF($A61="N/A"," ",IF(0&lt;&gt;P61,IF('Pricing Inputs'!$AN$3=2,8*VLOOKUP($A61,NumberofDaysTable,2),(_xll.xSPRDOPT(I61,$E61,$BU61,0,$BP61,$BS61,$BT61,$A61-Inputs!$D$1,1,1))*(8*VLOOKUP($A61,NumberofDaysTable,2))),0))</f>
        <v>81.053102593384793</v>
      </c>
      <c r="X61" s="306">
        <f ca="1">IF($A61="N/A"," ",IF(Q61&lt;&gt;0,IF('Pricing Inputs'!$AN$3=2,8*VLOOKUP($A61,NumberofDaysTable,2),(_xll.xSPRDOPT(J61,$E61,$BU61,0,$BP61,$BS61,$BT61,$A61-Inputs!$D$1,1,1))*(8*VLOOKUP($A61,NumberofDaysTable,2))),0))</f>
        <v>87.889760589180099</v>
      </c>
      <c r="Y61" s="306">
        <f ca="1">IF($A61="N/A"," ",IF(R61&lt;&gt;0,IF('Pricing Inputs'!$AN$3=2,8*VLOOKUP($A61,NumberofDaysTable,3),(_xll.xSPRDOPT(K61,$E61,$BU61,0,$BP61,$BS61,$BT61,$A61-Inputs!$D$1,1,1))*(8*VLOOKUP($A61,NumberofDaysTable,3))),0))</f>
        <v>5.5793396641971409</v>
      </c>
      <c r="Z61" s="306">
        <f ca="1">IF($A61="N/A"," ",IF(S61&lt;&gt;0,IF('Pricing Inputs'!$AN$3=2,8*VLOOKUP($A61,NumberofDaysTable,3),(_xll.xSPRDOPT(L61,$E61,$BU61,0,$BP61,$BS61,$BT61,$A61-Inputs!$D$1,1,1))*(8*VLOOKUP($A61,NumberofDaysTable,3))),0))</f>
        <v>6.5438803359389031</v>
      </c>
      <c r="AA61" s="306">
        <f ca="1">IF($A61="N/A"," ",IF(T61&lt;&gt;0,IF('Pricing Inputs'!$AN$3=2,8*VLOOKUP($A61,NumberofDaysTable,4),(_xll.xSPRDOPT(M61,$E61,$BU61,0,$BP61,$BS61,$BT61,$A61-Inputs!$D$1,1,1))*(8*VLOOKUP($A61,NumberofDaysTable,4))),0))</f>
        <v>3.028669758550115</v>
      </c>
      <c r="AB61" s="306">
        <f ca="1">IF($A61="N/A"," ",IF(U61&lt;&gt;0,IF('Pricing Inputs'!$AN$3=2,8*VLOOKUP($A61,NumberofDaysTable,4),(_xll.xSPRDOPT(N61,$E61,$BU61,0,$BP61,$BS61,$BT61,$A61-Inputs!$D$1,1,1))*(8*VLOOKUP($A61,NumberofDaysTable,4))),0))</f>
        <v>3.6612136408351601</v>
      </c>
      <c r="AC61" s="306">
        <f t="shared" ca="1" si="21"/>
        <v>0</v>
      </c>
      <c r="AD61" s="274">
        <f t="shared" ca="1" si="104"/>
        <v>22</v>
      </c>
      <c r="AE61" s="275">
        <f t="shared" ca="1" si="105"/>
        <v>21</v>
      </c>
      <c r="AF61" s="275">
        <f t="shared" ca="1" si="106"/>
        <v>45</v>
      </c>
      <c r="AG61" s="275">
        <f t="shared" ca="1" si="107"/>
        <v>39</v>
      </c>
      <c r="AH61" s="275">
        <f t="shared" ca="1" si="108"/>
        <v>56</v>
      </c>
      <c r="AI61" s="275">
        <f t="shared" ca="1" si="109"/>
        <v>54</v>
      </c>
      <c r="AJ61" s="276">
        <f t="shared" ca="1" si="110"/>
        <v>73</v>
      </c>
      <c r="AK61" s="314">
        <f t="shared" ca="1" si="43"/>
        <v>81.053102593384793</v>
      </c>
      <c r="AL61" s="315">
        <f t="shared" ca="1" si="44"/>
        <v>87.889760589180099</v>
      </c>
      <c r="AM61" s="315">
        <f t="shared" ca="1" si="45"/>
        <v>5.5793396641971409</v>
      </c>
      <c r="AN61" s="315">
        <f t="shared" ca="1" si="46"/>
        <v>6.5438803359389031</v>
      </c>
      <c r="AO61" s="315">
        <f t="shared" ca="1" si="47"/>
        <v>3.028669758550115</v>
      </c>
      <c r="AP61" s="315">
        <f t="shared" ca="1" si="48"/>
        <v>3.6612136408351601</v>
      </c>
      <c r="AQ61" s="315">
        <f t="shared" ca="1" si="49"/>
        <v>0</v>
      </c>
      <c r="AR61" s="284" t="s">
        <v>1292</v>
      </c>
      <c r="AS61" s="321">
        <f t="shared" ca="1" si="97"/>
        <v>0</v>
      </c>
      <c r="AT61" s="324">
        <f t="shared" ca="1" si="98"/>
        <v>0</v>
      </c>
      <c r="AU61" s="324">
        <f t="shared" ca="1" si="99"/>
        <v>0</v>
      </c>
      <c r="AV61" s="324">
        <f t="shared" ca="1" si="100"/>
        <v>0</v>
      </c>
      <c r="AW61" s="324">
        <f t="shared" ca="1" si="101"/>
        <v>0</v>
      </c>
      <c r="AX61" s="324">
        <f t="shared" ca="1" si="102"/>
        <v>0</v>
      </c>
      <c r="AY61" s="324">
        <f t="shared" ca="1" si="103"/>
        <v>0</v>
      </c>
      <c r="AZ61" s="283" t="s">
        <v>1304</v>
      </c>
      <c r="BA61" s="267">
        <f ca="1">IF($A61="N/A"," ",(IF(MONTH(A61)&gt;=4,IF(MONTH(A61)&lt;=10,Inputs!$F$13,Inputs!$F$14),Inputs!$F$14))*$BW61)</f>
        <v>180</v>
      </c>
      <c r="BB61" s="268">
        <f t="shared" ca="1" si="64"/>
        <v>75801.452442075999</v>
      </c>
      <c r="BC61" s="268">
        <f t="shared" ca="1" si="65"/>
        <v>87939.835331200869</v>
      </c>
      <c r="BD61" s="268">
        <f t="shared" ca="1" si="31"/>
        <v>2723.9783652061951</v>
      </c>
      <c r="BE61" s="268">
        <f t="shared" ca="1" si="32"/>
        <v>3395.837307371854</v>
      </c>
      <c r="BF61" s="268">
        <f t="shared" ca="1" si="33"/>
        <v>1207.1827884410222</v>
      </c>
      <c r="BG61" s="268">
        <f t="shared" ca="1" si="34"/>
        <v>1547.2510024204894</v>
      </c>
      <c r="BH61" s="268">
        <f t="shared" ca="1" si="41"/>
        <v>0</v>
      </c>
      <c r="BI61" s="268">
        <f t="shared" ca="1" si="36"/>
        <v>172615.53723671642</v>
      </c>
      <c r="BJ61" s="296">
        <f t="shared" ca="1" si="37"/>
        <v>1041457.7036602184</v>
      </c>
      <c r="BK61" s="296">
        <f t="shared" ca="1" si="38"/>
        <v>973865.55569066748</v>
      </c>
      <c r="BL61" s="296">
        <f t="shared" ca="1" si="39"/>
        <v>67592.147969551035</v>
      </c>
      <c r="BM61" s="296">
        <f t="shared" ca="1" si="40"/>
        <v>0</v>
      </c>
      <c r="BN61" s="405">
        <f>IF(A61="N/A"," ",(VLOOKUP(A61,PowerVolTable,(IF('Pricing Inputs'!$AT$3=2,7,IF('Pricing Inputs'!$AT$3=1,6,8))),FALSE)))</f>
        <v>0.19719196312499998</v>
      </c>
      <c r="BO61" s="405">
        <f>IF(A61="N/A"," ",(VLOOKUP(A61,IntraPowerVol,(IF('Pricing Inputs'!$AT$3=2,3,IF('Pricing Inputs'!$AT$3=1,2,4))),FALSE)*VLOOKUP(MONTH($A61),Inputs!$A$28:$B$39,2)))</f>
        <v>1.2649999999999999</v>
      </c>
      <c r="BP61" s="406">
        <f t="shared" ca="1" si="15"/>
        <v>0.22415055454290114</v>
      </c>
      <c r="BQ61" s="405">
        <f ca="1">IF($A61="N/A"," ",(VLOOKUP($A61,GasVolTable,(IF('Pricing Inputs'!$AT$3=2,6,IF('Pricing Inputs'!$AT$3=1,7,5))),FALSE)))</f>
        <v>0.1595</v>
      </c>
      <c r="BR61" s="405">
        <f ca="1">IF($A61="N/A"," ",(VLOOKUP($A61,OmicronVol,(IF('Pricing Inputs'!$AT$3=2,3,IF('Pricing Inputs'!$AT$3=1,4,2))),FALSE)))</f>
        <v>0.65</v>
      </c>
      <c r="BS61" s="406">
        <f ca="1">IF($A61="N/A"," ",IF('Pricing Inputs'!$AN$3=1,(IF(DateToday&gt;$A61,$BR61,((($BQ61^2)*((($A61-1)-DateToday)/((EOMONTH($A61,0)+1)-DateToday-15)))+((($BR61)^2)*((15)/((EOMONTH($A61,0)+1)-DateToday-15))))^0.5)),0.0001))</f>
        <v>0.16826686240305419</v>
      </c>
      <c r="BT61" s="405">
        <f>IF($A61="N/A"," ",IF('Pricing Inputs'!$AN$3=1,(VLOOKUP($A61,CorrelationTable,2,FALSE)),0))</f>
        <v>0.9</v>
      </c>
      <c r="BU61" s="407">
        <f ca="1">IF($A61="N/A"," ",F61+G61+(D61*(VLOOKUP($A61,'Gas Curves'!$B$17:$P$310,14,FALSE))))</f>
        <v>2.6825000000000001</v>
      </c>
      <c r="BV61" s="405">
        <f>IF($A61="N/A"," ",IF('Pricing Inputs'!$AW$3=1,0,(VLOOKUP($A61,InterestRatesTable,2))))</f>
        <v>0</v>
      </c>
      <c r="BW61" s="408">
        <f t="shared" ca="1" si="16"/>
        <v>1</v>
      </c>
    </row>
    <row r="62" spans="1:75">
      <c r="A62" s="248">
        <f>IF(A61="N/A","N/A",IF(EDATE(A61,1)&gt;Inputs!$K$3,"N/A",EDATE(A61,1)))</f>
        <v>38657</v>
      </c>
      <c r="B62" s="262">
        <f t="shared" si="17"/>
        <v>2005</v>
      </c>
      <c r="C62" s="249">
        <f t="shared" ca="1" si="18"/>
        <v>3.6574999999999998</v>
      </c>
      <c r="D62" s="250">
        <f>IF(A62="N/A"," ",(VLOOKUP(MONTH($A62),Inputs!$A$14:$B$25,2))/1000)</f>
        <v>10.5</v>
      </c>
      <c r="E62" s="304">
        <f t="shared" ca="1" si="19"/>
        <v>38.403749999999995</v>
      </c>
      <c r="F62" s="251">
        <f>IF(A62="N/A"," ",Inputs!$F$6)</f>
        <v>2</v>
      </c>
      <c r="G62" s="251">
        <f ca="1">IF(A62="N/A"," ",Inputs!$F$9/IF(AND('Pricing Inputs'!$AQ$3&gt;=4,'Pricing Inputs'!$AQ$3&lt;=6),16,IF(AND('Pricing Inputs'!$AQ$3&gt;=7,'Pricing Inputs'!$AQ$3&lt;=9),8,24))/(BA62/BW62))</f>
        <v>0</v>
      </c>
      <c r="H62" s="252">
        <f t="shared" ca="1" si="20"/>
        <v>40.403749999999995</v>
      </c>
      <c r="I62" s="255">
        <f>VLOOKUP(A62,ScaledPrice,(IF(AND('Pricing Inputs'!$AQ$3&gt;=1,'Pricing Inputs'!$AQ$3&lt;=6),2,4)))</f>
        <v>30.542321874999999</v>
      </c>
      <c r="J62" s="255">
        <f>IF(A62="N/A"," ",IF(AND('Pricing Inputs'!$AQ$3&gt;=1,'Pricing Inputs'!$AQ$3&lt;=6),I62,(VLOOKUP(A62,ScaledPrice,2))*(2-(VLOOKUP(A62,ScaledPrice,3)))))</f>
        <v>31.207678125000001</v>
      </c>
      <c r="K62" s="255">
        <f>IF(A62="N/A"," ",IF(OR('Pricing Inputs'!$AQ$3=2,'Pricing Inputs'!$AQ$3=3,'Pricing Inputs'!$AQ$3=5,'Pricing Inputs'!$AQ$3=6,'Pricing Inputs'!$AQ$3=8,'Pricing Inputs'!$AQ$3=9),VLOOKUP(A62,ScaledPrice,IF(AND('Pricing Inputs'!$AQ$3&gt;=2,'Pricing Inputs'!$AQ$3&lt;=6),5,6)),0))</f>
        <v>24.14179038856506</v>
      </c>
      <c r="L62" s="255">
        <f>IF(A62="N/A"," ",IF(OR('Pricing Inputs'!$AQ$3=2,'Pricing Inputs'!$AQ$3=3,'Pricing Inputs'!$AQ$3=5,'Pricing Inputs'!$AQ$3=6,'Pricing Inputs'!$AQ$3=8,'Pricing Inputs'!$AQ$3=9),IF(AND('Pricing Inputs'!$AQ$3&gt;=2,'Pricing Inputs'!$AQ$3&lt;=6),K62,(VLOOKUP(A62,ScaledPrice,5))*(2-(VLOOKUP(A62,ScaledPrice,3)))),0))</f>
        <v>24.66771278526306</v>
      </c>
      <c r="M62" s="255">
        <f>IF(A62="N/A"," ",IF(OR('Pricing Inputs'!$AQ$3=3,'Pricing Inputs'!$AQ$3=6,'Pricing Inputs'!$AQ$3=9),(VLOOKUP(A62,ScaledPrice,IF(AND('Pricing Inputs'!$AQ$3&gt;=3,'Pricing Inputs'!$AQ$3&lt;=6),7,8))),0))</f>
        <v>22.16309133136749</v>
      </c>
      <c r="N62" s="255">
        <f>IF(A62="N/A"," ",IF(OR('Pricing Inputs'!$AQ$3=3,'Pricing Inputs'!$AQ$3=6,'Pricing Inputs'!$AQ$3=9),IF(AND('Pricing Inputs'!$AQ$3&gt;=3,'Pricing Inputs'!$AQ$3&lt;=6),M62,(VLOOKUP(A62,ScaledPrice,7))*(2-(VLOOKUP(A62,ScaledPrice,3)))),0))</f>
        <v>22.645908302421567</v>
      </c>
      <c r="O62" s="255">
        <f>IF(A62="N/A"," ",IF(AND('Pricing Inputs'!$AQ$3&gt;=1,'Pricing Inputs'!$AQ$3&lt;=3),VLOOKUP(A62,ScaledPrice,9),0))</f>
        <v>0</v>
      </c>
      <c r="P62" s="320">
        <f ca="1">IF($A62="N/A"," ",IF('Pricing Inputs'!$AN$8=2,(I62-H62),IF('Pricing Inputs'!$AN$3=2,IF((I62-$H62)&gt;0,I62-$H62,0),(_xll.xSPRDOPT(I62,$E62,$BU62,0,$BP62,$BS62,$BT62,($A62-Inputs!$D$1)+15,1,0)))))</f>
        <v>0.57638691679775822</v>
      </c>
      <c r="Q62" s="320">
        <f ca="1">IF($A62="N/A"," ",IF('Pricing Inputs'!$AN$8=2,(J62-$H62),IF('Pricing Inputs'!$AN$3=2,IF((J62-$H62)&gt;0,J62-$H62,0),(_xll.xSPRDOPT(J62,$E62,$BU62,0,$BP62,$BS62,$BT62,($A62-Inputs!$D$1)+15,1,0)))))</f>
        <v>0.68716406224531801</v>
      </c>
      <c r="R62" s="320">
        <f ca="1">IF($A62="N/A"," ",IF('Pricing Inputs'!$AN$8=2,(K62-$H62),IF('Pricing Inputs'!$AN$3=2,IF((K62-$H62)&gt;0,K62-$H62,0),(_xll.xSPRDOPT(K62,$E62,$BU62,0,$BP62,$BS62,$BT62,($A62-Inputs!$D$1)+15,1,0)))))</f>
        <v>5.9600045688009577E-2</v>
      </c>
      <c r="S62" s="320">
        <f ca="1">IF($A62="N/A"," ",IF('Pricing Inputs'!$AN$8=2,(L62-$H62),IF('Pricing Inputs'!$AN$3=2,IF((L62-$H62)&gt;0,L62-$H62,0),(_xll.xSPRDOPT(L62,$E62,$BU62,0,$BP62,$BS62,$BT62,($A62-Inputs!$D$1)+15,1,0)))))</f>
        <v>7.544804832696983E-2</v>
      </c>
      <c r="T62" s="320">
        <f ca="1">IF($A62="N/A"," ",IF('Pricing Inputs'!$AN$8=2,(M62-$H62),IF('Pricing Inputs'!$AN$3=2,IF((M62-$H62)&gt;0,M62-$H62,0),(_xll.xSPRDOPT(M62,$E62,$BU62,0,$BP62,$BS62,$BT62,($A62-Inputs!$D$1)+15,1,0)))))</f>
        <v>2.2066737297073872E-2</v>
      </c>
      <c r="U62" s="320">
        <f ca="1">IF($A62="N/A"," ",IF('Pricing Inputs'!$AN$8=2,(N62-$H62),IF('Pricing Inputs'!$AN$3=2,IF((N62-$H62)&gt;0,N62-$H62,0),(_xll.xSPRDOPT(N62,$E62,$BU62,0,$BP62,$BS62,$BT62,($A62-Inputs!$D$1)+15,1,0)))))</f>
        <v>2.859637090032727E-2</v>
      </c>
      <c r="V62" s="259">
        <f ca="1">IF($A62="N/A"," ",(IF('Pricing Inputs'!$AN$8=2,(O62-$H62),IF((O62-$H62)&lt;=0,0,(O62-$H62)))))</f>
        <v>0</v>
      </c>
      <c r="W62" s="306">
        <f ca="1">IF($A62="N/A"," ",IF(0&lt;&gt;P62,IF('Pricing Inputs'!$AN$3=2,8*VLOOKUP($A62,NumberofDaysTable,2),(_xll.xSPRDOPT(I62,$E62,$BU62,0,$BP62,$BS62,$BT62,$A62-Inputs!$D$1,1,1))*(8*VLOOKUP($A62,NumberofDaysTable,2))),0))</f>
        <v>26.056299852741414</v>
      </c>
      <c r="X62" s="306">
        <f ca="1">IF($A62="N/A"," ",IF(Q62&lt;&gt;0,IF('Pricing Inputs'!$AN$3=2,8*VLOOKUP($A62,NumberofDaysTable,2),(_xll.xSPRDOPT(J62,$E62,$BU62,0,$BP62,$BS62,$BT62,$A62-Inputs!$D$1,1,1))*(8*VLOOKUP($A62,NumberofDaysTable,2))),0))</f>
        <v>29.547177215389397</v>
      </c>
      <c r="Y62" s="306">
        <f ca="1">IF($A62="N/A"," ",IF(R62&lt;&gt;0,IF('Pricing Inputs'!$AN$3=2,8*VLOOKUP($A62,NumberofDaysTable,3),(_xll.xSPRDOPT(K62,$E62,$BU62,0,$BP62,$BS62,$BT62,$A62-Inputs!$D$1,1,1))*(8*VLOOKUP($A62,NumberofDaysTable,3))),0))</f>
        <v>0.85918555782586226</v>
      </c>
      <c r="Z62" s="306">
        <f ca="1">IF($A62="N/A"," ",IF(S62&lt;&gt;0,IF('Pricing Inputs'!$AN$3=2,8*VLOOKUP($A62,NumberofDaysTable,3),(_xll.xSPRDOPT(L62,$E62,$BU62,0,$BP62,$BS62,$BT62,$A62-Inputs!$D$1,1,1))*(8*VLOOKUP($A62,NumberofDaysTable,3))),0))</f>
        <v>1.0398665442151986</v>
      </c>
      <c r="AA62" s="306">
        <f ca="1">IF($A62="N/A"," ",IF(T62&lt;&gt;0,IF('Pricing Inputs'!$AN$3=2,8*VLOOKUP($A62,NumberofDaysTable,4),(_xll.xSPRDOPT(M62,$E62,$BU62,0,$BP62,$BS62,$BT62,$A62-Inputs!$D$1,1,1))*(8*VLOOKUP($A62,NumberofDaysTable,4))),0))</f>
        <v>0.3785665775638265</v>
      </c>
      <c r="AB62" s="306">
        <f ca="1">IF($A62="N/A"," ",IF(U62&lt;&gt;0,IF('Pricing Inputs'!$AN$3=2,8*VLOOKUP($A62,NumberofDaysTable,4),(_xll.xSPRDOPT(N62,$E62,$BU62,0,$BP62,$BS62,$BT62,$A62-Inputs!$D$1,1,1))*(8*VLOOKUP($A62,NumberofDaysTable,4))),0))</f>
        <v>0.46983528603902003</v>
      </c>
      <c r="AC62" s="306">
        <f t="shared" ca="1" si="21"/>
        <v>0</v>
      </c>
      <c r="AD62" s="274">
        <f t="shared" ca="1" si="104"/>
        <v>37</v>
      </c>
      <c r="AE62" s="275">
        <f t="shared" ca="1" si="105"/>
        <v>34</v>
      </c>
      <c r="AF62" s="275">
        <f t="shared" ca="1" si="106"/>
        <v>61</v>
      </c>
      <c r="AG62" s="275">
        <f t="shared" ca="1" si="107"/>
        <v>60</v>
      </c>
      <c r="AH62" s="275">
        <f t="shared" ca="1" si="108"/>
        <v>68</v>
      </c>
      <c r="AI62" s="275">
        <f t="shared" ca="1" si="109"/>
        <v>66</v>
      </c>
      <c r="AJ62" s="276">
        <f t="shared" ca="1" si="110"/>
        <v>73</v>
      </c>
      <c r="AK62" s="314">
        <f t="shared" ca="1" si="43"/>
        <v>26.056299852741414</v>
      </c>
      <c r="AL62" s="315">
        <f t="shared" ca="1" si="44"/>
        <v>29.547177215389397</v>
      </c>
      <c r="AM62" s="315">
        <f t="shared" ca="1" si="45"/>
        <v>0.85918555782586226</v>
      </c>
      <c r="AN62" s="315">
        <f t="shared" ca="1" si="46"/>
        <v>1.0398665442151986</v>
      </c>
      <c r="AO62" s="315">
        <f t="shared" ca="1" si="47"/>
        <v>0.3785665775638265</v>
      </c>
      <c r="AP62" s="315">
        <f t="shared" ca="1" si="48"/>
        <v>0.46983528603902003</v>
      </c>
      <c r="AQ62" s="315">
        <f t="shared" ca="1" si="49"/>
        <v>0</v>
      </c>
      <c r="AR62" s="276">
        <f ca="1">SUM(AK52:AQ63)</f>
        <v>2416.387603171936</v>
      </c>
      <c r="AS62" s="321">
        <f t="shared" ca="1" si="97"/>
        <v>0</v>
      </c>
      <c r="AT62" s="324">
        <f t="shared" ca="1" si="98"/>
        <v>0</v>
      </c>
      <c r="AU62" s="324">
        <f t="shared" ca="1" si="99"/>
        <v>0</v>
      </c>
      <c r="AV62" s="324">
        <f t="shared" ca="1" si="100"/>
        <v>0</v>
      </c>
      <c r="AW62" s="324">
        <f t="shared" ca="1" si="101"/>
        <v>0</v>
      </c>
      <c r="AX62" s="324">
        <f t="shared" ca="1" si="102"/>
        <v>0</v>
      </c>
      <c r="AY62" s="324">
        <f t="shared" ca="1" si="103"/>
        <v>0</v>
      </c>
      <c r="AZ62" s="276">
        <f ca="1">SUM(AS52:AY63)</f>
        <v>0</v>
      </c>
      <c r="BA62" s="267">
        <f ca="1">IF($A62="N/A"," ",(IF(MONTH(A62)&gt;=4,IF(MONTH(A62)&lt;=10,Inputs!$F$13,Inputs!$F$14),Inputs!$F$14))*$BW62)</f>
        <v>180</v>
      </c>
      <c r="BB62" s="268">
        <f t="shared" ca="1" si="64"/>
        <v>17429.940363964208</v>
      </c>
      <c r="BC62" s="268">
        <f t="shared" ca="1" si="65"/>
        <v>20779.841242298418</v>
      </c>
      <c r="BD62" s="268">
        <f t="shared" ca="1" si="31"/>
        <v>343.29626316293519</v>
      </c>
      <c r="BE62" s="268">
        <f t="shared" ca="1" si="32"/>
        <v>434.58075836334621</v>
      </c>
      <c r="BF62" s="268">
        <f t="shared" ca="1" si="33"/>
        <v>158.88050853893188</v>
      </c>
      <c r="BG62" s="268">
        <f t="shared" ca="1" si="34"/>
        <v>205.89387048235633</v>
      </c>
      <c r="BH62" s="268">
        <f t="shared" ca="1" si="41"/>
        <v>0</v>
      </c>
      <c r="BI62" s="268">
        <f t="shared" ca="1" si="36"/>
        <v>39352.433006810192</v>
      </c>
      <c r="BJ62" s="296">
        <f t="shared" ca="1" si="37"/>
        <v>424367.35735605756</v>
      </c>
      <c r="BK62" s="296">
        <f t="shared" ca="1" si="38"/>
        <v>403361.02218389866</v>
      </c>
      <c r="BL62" s="296">
        <f t="shared" ca="1" si="39"/>
        <v>21006.335172158899</v>
      </c>
      <c r="BM62" s="296">
        <f t="shared" ca="1" si="40"/>
        <v>0</v>
      </c>
      <c r="BN62" s="405">
        <f>IF(A62="N/A"," ",(VLOOKUP(A62,PowerVolTable,(IF('Pricing Inputs'!$AT$3=2,7,IF('Pricing Inputs'!$AT$3=1,6,8))),FALSE)))</f>
        <v>0.19719196312499998</v>
      </c>
      <c r="BO62" s="405">
        <f>IF(A62="N/A"," ",(VLOOKUP(A62,IntraPowerVol,(IF('Pricing Inputs'!$AT$3=2,3,IF('Pricing Inputs'!$AT$3=1,2,4))),FALSE)*VLOOKUP(MONTH($A62),Inputs!$A$28:$B$39,2)))</f>
        <v>1.4375</v>
      </c>
      <c r="BP62" s="406">
        <f t="shared" ca="1" si="15"/>
        <v>0.23119798179018597</v>
      </c>
      <c r="BQ62" s="405">
        <f ca="1">IF($A62="N/A"," ",(VLOOKUP($A62,GasVolTable,(IF('Pricing Inputs'!$AT$3=2,6,IF('Pricing Inputs'!$AT$3=1,7,5))),FALSE)))</f>
        <v>0.1595</v>
      </c>
      <c r="BR62" s="405">
        <f ca="1">IF($A62="N/A"," ",(VLOOKUP($A62,OmicronVol,(IF('Pricing Inputs'!$AT$3=2,3,IF('Pricing Inputs'!$AT$3=1,4,2))),FALSE)))</f>
        <v>0.95</v>
      </c>
      <c r="BS62" s="406">
        <f ca="1">IF($A62="N/A"," ",IF('Pricing Inputs'!$AN$3=1,(IF(DateToday&gt;$A62,$BR62,((($BQ62^2)*((($A62-1)-DateToday)/((EOMONTH($A62,0)+1)-DateToday-15)))+((($BR62)^2)*((15)/((EOMONTH($A62,0)+1)-DateToday-15))))^0.5)),0.0001))</f>
        <v>0.17815114598381826</v>
      </c>
      <c r="BT62" s="405">
        <f>IF($A62="N/A"," ",IF('Pricing Inputs'!$AN$3=1,(VLOOKUP($A62,CorrelationTable,2,FALSE)),0))</f>
        <v>0.9</v>
      </c>
      <c r="BU62" s="407">
        <f ca="1">IF($A62="N/A"," ",F62+G62+(D62*(VLOOKUP($A62,'Gas Curves'!$B$17:$P$310,14,FALSE))))</f>
        <v>2.6825000000000001</v>
      </c>
      <c r="BV62" s="405">
        <f>IF($A62="N/A"," ",IF('Pricing Inputs'!$AW$3=1,0,(VLOOKUP($A62,InterestRatesTable,2))))</f>
        <v>0</v>
      </c>
      <c r="BW62" s="408">
        <f t="shared" ca="1" si="16"/>
        <v>1</v>
      </c>
    </row>
    <row r="63" spans="1:75">
      <c r="A63" s="248">
        <f>IF(A62="N/A","N/A",IF(EDATE(A62,1)&gt;Inputs!$K$3,"N/A",EDATE(A62,1)))</f>
        <v>38687</v>
      </c>
      <c r="B63" s="262">
        <f t="shared" si="17"/>
        <v>2005</v>
      </c>
      <c r="C63" s="249">
        <f t="shared" ca="1" si="18"/>
        <v>4.0964999999999998</v>
      </c>
      <c r="D63" s="250">
        <f>IF(A63="N/A"," ",(VLOOKUP(MONTH($A63),Inputs!$A$14:$B$25,2))/1000)</f>
        <v>10.5</v>
      </c>
      <c r="E63" s="304">
        <f t="shared" ca="1" si="19"/>
        <v>43.013249999999999</v>
      </c>
      <c r="F63" s="251">
        <f>IF(A63="N/A"," ",Inputs!$F$6)</f>
        <v>2</v>
      </c>
      <c r="G63" s="251">
        <f ca="1">IF(A63="N/A"," ",Inputs!$F$9/IF(AND('Pricing Inputs'!$AQ$3&gt;=4,'Pricing Inputs'!$AQ$3&lt;=6),16,IF(AND('Pricing Inputs'!$AQ$3&gt;=7,'Pricing Inputs'!$AQ$3&lt;=9),8,24))/(BA63/BW63))</f>
        <v>0</v>
      </c>
      <c r="H63" s="252">
        <f t="shared" ca="1" si="20"/>
        <v>45.013249999999999</v>
      </c>
      <c r="I63" s="255">
        <f>VLOOKUP(A63,ScaledPrice,(IF(AND('Pricing Inputs'!$AQ$3&gt;=1,'Pricing Inputs'!$AQ$3&lt;=6),2,4)))</f>
        <v>30.08947293827686</v>
      </c>
      <c r="J63" s="255">
        <f>IF(A63="N/A"," ",IF(AND('Pricing Inputs'!$AQ$3&gt;=1,'Pricing Inputs'!$AQ$3&lt;=6),I63,(VLOOKUP(A63,ScaledPrice,2))*(2-(VLOOKUP(A63,ScaledPrice,3)))))</f>
        <v>31.410527061723137</v>
      </c>
      <c r="K63" s="255">
        <f>IF(A63="N/A"," ",IF(OR('Pricing Inputs'!$AQ$3=2,'Pricing Inputs'!$AQ$3=3,'Pricing Inputs'!$AQ$3=5,'Pricing Inputs'!$AQ$3=6,'Pricing Inputs'!$AQ$3=8,'Pricing Inputs'!$AQ$3=9),VLOOKUP(A63,ScaledPrice,IF(AND('Pricing Inputs'!$AQ$3&gt;=2,'Pricing Inputs'!$AQ$3&lt;=6),5,6)),0))</f>
        <v>25.299618686523949</v>
      </c>
      <c r="L63" s="255">
        <f>IF(A63="N/A"," ",IF(OR('Pricing Inputs'!$AQ$3=2,'Pricing Inputs'!$AQ$3=3,'Pricing Inputs'!$AQ$3=5,'Pricing Inputs'!$AQ$3=6,'Pricing Inputs'!$AQ$3=8,'Pricing Inputs'!$AQ$3=9),IF(AND('Pricing Inputs'!$AQ$3&gt;=2,'Pricing Inputs'!$AQ$3&lt;=6),K63,(VLOOKUP(A63,ScaledPrice,5))*(2-(VLOOKUP(A63,ScaledPrice,3)))),0))</f>
        <v>26.410378109130338</v>
      </c>
      <c r="M63" s="255">
        <f>IF(A63="N/A"," ",IF(OR('Pricing Inputs'!$AQ$3=3,'Pricing Inputs'!$AQ$3=6,'Pricing Inputs'!$AQ$3=9),(VLOOKUP(A63,ScaledPrice,IF(AND('Pricing Inputs'!$AQ$3&gt;=3,'Pricing Inputs'!$AQ$3&lt;=6),7,8))),0))</f>
        <v>21.869908852489161</v>
      </c>
      <c r="N63" s="255">
        <f>IF(A63="N/A"," ",IF(OR('Pricing Inputs'!$AQ$3=3,'Pricing Inputs'!$AQ$3=6,'Pricing Inputs'!$AQ$3=9),IF(AND('Pricing Inputs'!$AQ$3&gt;=3,'Pricing Inputs'!$AQ$3&lt;=6),M63,(VLOOKUP(A63,ScaledPrice,7))*(2-(VLOOKUP(A63,ScaledPrice,3)))),0))</f>
        <v>22.830089621631927</v>
      </c>
      <c r="O63" s="255">
        <f>IF(A63="N/A"," ",IF(AND('Pricing Inputs'!$AQ$3&gt;=1,'Pricing Inputs'!$AQ$3&lt;=3),VLOOKUP(A63,ScaledPrice,9),0))</f>
        <v>0</v>
      </c>
      <c r="P63" s="320">
        <f ca="1">IF($A63="N/A"," ",IF('Pricing Inputs'!$AN$8=2,(I63-H63),IF('Pricing Inputs'!$AN$3=2,IF((I63-$H63)&gt;0,I63-$H63,0),(_xll.xSPRDOPT(I63,$E63,$BU63,0,$BP63,$BS63,$BT63,($A63-Inputs!$D$1)+15,1,0)))))</f>
        <v>0.22039870032656267</v>
      </c>
      <c r="Q63" s="320">
        <f ca="1">IF($A63="N/A"," ",IF('Pricing Inputs'!$AN$8=2,(J63-$H63),IF('Pricing Inputs'!$AN$3=2,IF((J63-$H63)&gt;0,J63-$H63,0),(_xll.xSPRDOPT(J63,$E63,$BU63,0,$BP63,$BS63,$BT63,($A63-Inputs!$D$1)+15,1,0)))))</f>
        <v>0.32945714017504296</v>
      </c>
      <c r="R63" s="320">
        <f ca="1">IF($A63="N/A"," ",IF('Pricing Inputs'!$AN$8=2,(K63-$H63),IF('Pricing Inputs'!$AN$3=2,IF((K63-$H63)&gt;0,K63-$H63,0),(_xll.xSPRDOPT(K63,$E63,$BU63,0,$BP63,$BS63,$BT63,($A63-Inputs!$D$1)+15,1,0)))))</f>
        <v>3.4750719087458533E-2</v>
      </c>
      <c r="S63" s="320">
        <f ca="1">IF($A63="N/A"," ",IF('Pricing Inputs'!$AN$8=2,(L63-$H63),IF('Pricing Inputs'!$AN$3=2,IF((L63-$H63)&gt;0,L63-$H63,0),(_xll.xSPRDOPT(L63,$E63,$BU63,0,$BP63,$BS63,$BT63,($A63-Inputs!$D$1)+15,1,0)))))</f>
        <v>5.6850043133552582E-2</v>
      </c>
      <c r="T63" s="320">
        <f ca="1">IF($A63="N/A"," ",IF('Pricing Inputs'!$AN$8=2,(M63-$H63),IF('Pricing Inputs'!$AN$3=2,IF((M63-$H63)&gt;0,M63-$H63,0),(_xll.xSPRDOPT(M63,$E63,$BU63,0,$BP63,$BS63,$BT63,($A63-Inputs!$D$1)+15,1,0)))))</f>
        <v>5.4964573011762894E-3</v>
      </c>
      <c r="U63" s="320">
        <f ca="1">IF($A63="N/A"," ",IF('Pricing Inputs'!$AN$8=2,(N63-$H63),IF('Pricing Inputs'!$AN$3=2,IF((N63-$H63)&gt;0,N63-$H63,0),(_xll.xSPRDOPT(N63,$E63,$BU63,0,$BP63,$BS63,$BT63,($A63-Inputs!$D$1)+15,1,0)))))</f>
        <v>9.7433253748790555E-3</v>
      </c>
      <c r="V63" s="259">
        <f ca="1">IF($A63="N/A"," ",(IF('Pricing Inputs'!$AN$8=2,(O63-$H63),IF((O63-$H63)&lt;=0,0,(O63-$H63)))))</f>
        <v>0</v>
      </c>
      <c r="W63" s="306">
        <f ca="1">IF($A63="N/A"," ",IF(0&lt;&gt;P63,IF('Pricing Inputs'!$AN$3=2,8*VLOOKUP($A63,NumberofDaysTable,2),(_xll.xSPRDOPT(I63,$E63,$BU63,0,$BP63,$BS63,$BT63,$A63-Inputs!$D$1,1,1))*(8*VLOOKUP($A63,NumberofDaysTable,2))),0))</f>
        <v>11.682600445297849</v>
      </c>
      <c r="X63" s="306">
        <f ca="1">IF($A63="N/A"," ",IF(Q63&lt;&gt;0,IF('Pricing Inputs'!$AN$3=2,8*VLOOKUP($A63,NumberofDaysTable,2),(_xll.xSPRDOPT(J63,$E63,$BU63,0,$BP63,$BS63,$BT63,$A63-Inputs!$D$1,1,1))*(8*VLOOKUP($A63,NumberofDaysTable,2))),0))</f>
        <v>15.888236760993696</v>
      </c>
      <c r="Y63" s="306">
        <f ca="1">IF($A63="N/A"," ",IF(R63&lt;&gt;0,IF('Pricing Inputs'!$AN$3=2,8*VLOOKUP($A63,NumberofDaysTable,3),(_xll.xSPRDOPT(K63,$E63,$BU63,0,$BP63,$BS63,$BT63,$A63-Inputs!$D$1,1,1))*(8*VLOOKUP($A63,NumberofDaysTable,3))),0))</f>
        <v>0.63052289659476535</v>
      </c>
      <c r="Z63" s="306">
        <f ca="1">IF($A63="N/A"," ",IF(S63&lt;&gt;0,IF('Pricing Inputs'!$AN$3=2,8*VLOOKUP($A63,NumberofDaysTable,3),(_xll.xSPRDOPT(L63,$E63,$BU63,0,$BP63,$BS63,$BT63,$A63-Inputs!$D$1,1,1))*(8*VLOOKUP($A63,NumberofDaysTable,3))),0))</f>
        <v>0.94525964475290958</v>
      </c>
      <c r="AA63" s="306">
        <f ca="1">IF($A63="N/A"," ",IF(T63&lt;&gt;0,IF('Pricing Inputs'!$AN$3=2,8*VLOOKUP($A63,NumberofDaysTable,4),(_xll.xSPRDOPT(M63,$E63,$BU63,0,$BP63,$BS63,$BT63,$A63-Inputs!$D$1,1,1))*(8*VLOOKUP($A63,NumberofDaysTable,4))),0))</f>
        <v>0.1059932929968225</v>
      </c>
      <c r="AB63" s="306">
        <f ca="1">IF($A63="N/A"," ",IF(U63&lt;&gt;0,IF('Pricing Inputs'!$AN$3=2,8*VLOOKUP($A63,NumberofDaysTable,4),(_xll.xSPRDOPT(N63,$E63,$BU63,0,$BP63,$BS63,$BT63,$A63-Inputs!$D$1,1,1))*(8*VLOOKUP($A63,NumberofDaysTable,4))),0))</f>
        <v>0.17310570159024272</v>
      </c>
      <c r="AC63" s="306">
        <f t="shared" ca="1" si="21"/>
        <v>0</v>
      </c>
      <c r="AD63" s="277">
        <f t="shared" ca="1" si="104"/>
        <v>53</v>
      </c>
      <c r="AE63" s="278">
        <f t="shared" ca="1" si="105"/>
        <v>47</v>
      </c>
      <c r="AF63" s="278">
        <f t="shared" ca="1" si="106"/>
        <v>64</v>
      </c>
      <c r="AG63" s="278">
        <f t="shared" ca="1" si="107"/>
        <v>62</v>
      </c>
      <c r="AH63" s="278">
        <f t="shared" ca="1" si="108"/>
        <v>72</v>
      </c>
      <c r="AI63" s="278">
        <f t="shared" ca="1" si="109"/>
        <v>71</v>
      </c>
      <c r="AJ63" s="279">
        <f t="shared" ca="1" si="110"/>
        <v>73</v>
      </c>
      <c r="AK63" s="316">
        <f t="shared" ca="1" si="43"/>
        <v>11.682600445297849</v>
      </c>
      <c r="AL63" s="317">
        <f t="shared" ca="1" si="44"/>
        <v>15.888236760993696</v>
      </c>
      <c r="AM63" s="317">
        <f t="shared" ca="1" si="45"/>
        <v>0.63052289659476535</v>
      </c>
      <c r="AN63" s="317">
        <f t="shared" ca="1" si="46"/>
        <v>0.94525964475290958</v>
      </c>
      <c r="AO63" s="317">
        <f t="shared" ca="1" si="47"/>
        <v>0.1059932929968225</v>
      </c>
      <c r="AP63" s="317">
        <f t="shared" ca="1" si="48"/>
        <v>0.17310570159024272</v>
      </c>
      <c r="AQ63" s="317">
        <f t="shared" ca="1" si="49"/>
        <v>0</v>
      </c>
      <c r="AR63" s="279">
        <f ca="1">IF(($AP$2-AR62)&gt;=0,$AP$2-AR62,0)</f>
        <v>0</v>
      </c>
      <c r="AS63" s="325">
        <f t="shared" ca="1" si="97"/>
        <v>0</v>
      </c>
      <c r="AT63" s="326">
        <f t="shared" ca="1" si="98"/>
        <v>0</v>
      </c>
      <c r="AU63" s="326">
        <f t="shared" ca="1" si="99"/>
        <v>0</v>
      </c>
      <c r="AV63" s="326">
        <f t="shared" ca="1" si="100"/>
        <v>0</v>
      </c>
      <c r="AW63" s="326">
        <f t="shared" ca="1" si="101"/>
        <v>0</v>
      </c>
      <c r="AX63" s="326">
        <f t="shared" ca="1" si="102"/>
        <v>0</v>
      </c>
      <c r="AY63" s="326">
        <f t="shared" ca="1" si="103"/>
        <v>0</v>
      </c>
      <c r="AZ63" s="285">
        <f ca="1">AR62+AZ62</f>
        <v>2416.387603171936</v>
      </c>
      <c r="BA63" s="267">
        <f ca="1">IF($A63="N/A"," ",(IF(MONTH(A63)&gt;=4,IF(MONTH(A63)&lt;=10,Inputs!$F$13,Inputs!$F$14),Inputs!$F$14))*$BW63)</f>
        <v>180</v>
      </c>
      <c r="BB63" s="268">
        <f t="shared" ca="1" si="64"/>
        <v>6664.8566978752551</v>
      </c>
      <c r="BC63" s="268">
        <f t="shared" ca="1" si="65"/>
        <v>9962.7839188932994</v>
      </c>
      <c r="BD63" s="268">
        <f t="shared" ca="1" si="31"/>
        <v>250.20517742970145</v>
      </c>
      <c r="BE63" s="268">
        <f t="shared" ca="1" si="32"/>
        <v>409.32031056157859</v>
      </c>
      <c r="BF63" s="268">
        <f t="shared" ca="1" si="33"/>
        <v>39.574492568469282</v>
      </c>
      <c r="BG63" s="268">
        <f t="shared" ca="1" si="34"/>
        <v>70.151942699129194</v>
      </c>
      <c r="BH63" s="268">
        <f t="shared" ca="1" si="41"/>
        <v>0</v>
      </c>
      <c r="BI63" s="268">
        <f t="shared" ca="1" si="36"/>
        <v>17396.892540027435</v>
      </c>
      <c r="BJ63" s="296">
        <f t="shared" ca="1" si="37"/>
        <v>238418.50215123309</v>
      </c>
      <c r="BK63" s="296">
        <f t="shared" ca="1" si="38"/>
        <v>227825.24340403161</v>
      </c>
      <c r="BL63" s="296">
        <f t="shared" ca="1" si="39"/>
        <v>10593.25874720146</v>
      </c>
      <c r="BM63" s="296">
        <f t="shared" ca="1" si="40"/>
        <v>0</v>
      </c>
      <c r="BN63" s="405">
        <f>IF(A63="N/A"," ",(VLOOKUP(A63,PowerVolTable,(IF('Pricing Inputs'!$AT$3=2,7,IF('Pricing Inputs'!$AT$3=1,6,8))),FALSE)))</f>
        <v>0.20422929712499999</v>
      </c>
      <c r="BO63" s="405">
        <f>IF(A63="N/A"," ",(VLOOKUP(A63,IntraPowerVol,(IF('Pricing Inputs'!$AT$3=2,3,IF('Pricing Inputs'!$AT$3=1,2,4))),FALSE)*VLOOKUP(MONTH($A63),Inputs!$A$28:$B$39,2)))</f>
        <v>1.4375</v>
      </c>
      <c r="BP63" s="406">
        <f t="shared" ca="1" si="15"/>
        <v>0.2366916712250241</v>
      </c>
      <c r="BQ63" s="405">
        <f ca="1">IF($A63="N/A"," ",(VLOOKUP($A63,GasVolTable,(IF('Pricing Inputs'!$AT$3=2,6,IF('Pricing Inputs'!$AT$3=1,7,5))),FALSE)))</f>
        <v>0.1595</v>
      </c>
      <c r="BR63" s="405">
        <f ca="1">IF($A63="N/A"," ",(VLOOKUP($A63,OmicronVol,(IF('Pricing Inputs'!$AT$3=2,3,IF('Pricing Inputs'!$AT$3=1,4,2))),FALSE)))</f>
        <v>1.25</v>
      </c>
      <c r="BS63" s="406">
        <f ca="1">IF($A63="N/A"," ",IF('Pricing Inputs'!$AN$3=1,(IF(DateToday&gt;$A63,$BR63,((($BQ63^2)*((($A63-1)-DateToday)/((EOMONTH($A63,0)+1)-DateToday-15)))+((($BR63)^2)*((15)/((EOMONTH($A63,0)+1)-DateToday-15))))^0.5)),0.0001))</f>
        <v>0.19055756508110833</v>
      </c>
      <c r="BT63" s="405">
        <f>IF($A63="N/A"," ",IF('Pricing Inputs'!$AN$3=1,(VLOOKUP($A63,CorrelationTable,2,FALSE)),0))</f>
        <v>0.9</v>
      </c>
      <c r="BU63" s="407">
        <f ca="1">IF($A63="N/A"," ",F63+G63+(D63*(VLOOKUP($A63,'Gas Curves'!$B$17:$P$310,14,FALSE))))</f>
        <v>2.6825000000000001</v>
      </c>
      <c r="BV63" s="405">
        <f>IF($A63="N/A"," ",IF('Pricing Inputs'!$AW$3=1,0,(VLOOKUP($A63,InterestRatesTable,2))))</f>
        <v>0</v>
      </c>
      <c r="BW63" s="408">
        <f t="shared" ca="1" si="16"/>
        <v>1</v>
      </c>
    </row>
    <row r="64" spans="1:75">
      <c r="A64" s="248">
        <f>IF(A63="N/A","N/A",IF(EDATE(A63,1)&gt;Inputs!$K$3,"N/A",EDATE(A63,1)))</f>
        <v>38718</v>
      </c>
      <c r="B64" s="262">
        <f t="shared" si="17"/>
        <v>2006</v>
      </c>
      <c r="C64" s="249">
        <f t="shared" ca="1" si="18"/>
        <v>4.6150000000000002</v>
      </c>
      <c r="D64" s="250">
        <f>IF(A64="N/A"," ",(VLOOKUP(MONTH($A64),Inputs!$A$14:$B$25,2))/1000)</f>
        <v>10.5</v>
      </c>
      <c r="E64" s="304">
        <f t="shared" ca="1" si="19"/>
        <v>48.457500000000003</v>
      </c>
      <c r="F64" s="251">
        <f>IF(A64="N/A"," ",Inputs!$F$6)</f>
        <v>2</v>
      </c>
      <c r="G64" s="251">
        <f ca="1">IF(A64="N/A"," ",Inputs!$F$9/IF(AND('Pricing Inputs'!$AQ$3&gt;=4,'Pricing Inputs'!$AQ$3&lt;=6),16,IF(AND('Pricing Inputs'!$AQ$3&gt;=7,'Pricing Inputs'!$AQ$3&lt;=9),8,24))/(BA64/BW64))</f>
        <v>0</v>
      </c>
      <c r="H64" s="252">
        <f t="shared" ca="1" si="20"/>
        <v>50.457500000000003</v>
      </c>
      <c r="I64" s="255">
        <f>VLOOKUP(A64,ScaledPrice,(IF(AND('Pricing Inputs'!$AQ$3&gt;=1,'Pricing Inputs'!$AQ$3&lt;=6),2,4)))</f>
        <v>35.713021592493533</v>
      </c>
      <c r="J64" s="255">
        <f>IF(A64="N/A"," ",IF(AND('Pricing Inputs'!$AQ$3&gt;=1,'Pricing Inputs'!$AQ$3&lt;=6),I64,(VLOOKUP(A64,ScaledPrice,2))*(2-(VLOOKUP(A64,ScaledPrice,3)))))</f>
        <v>37.98697840750647</v>
      </c>
      <c r="K64" s="255">
        <f>IF(A64="N/A"," ",IF(OR('Pricing Inputs'!$AQ$3=2,'Pricing Inputs'!$AQ$3=3,'Pricing Inputs'!$AQ$3=5,'Pricing Inputs'!$AQ$3=6,'Pricing Inputs'!$AQ$3=8,'Pricing Inputs'!$AQ$3=9),VLOOKUP(A64,ScaledPrice,IF(AND('Pricing Inputs'!$AQ$3&gt;=2,'Pricing Inputs'!$AQ$3&lt;=6),5,6)),0))</f>
        <v>28.346300762144139</v>
      </c>
      <c r="L64" s="255">
        <f>IF(A64="N/A"," ",IF(OR('Pricing Inputs'!$AQ$3=2,'Pricing Inputs'!$AQ$3=3,'Pricing Inputs'!$AQ$3=5,'Pricing Inputs'!$AQ$3=6,'Pricing Inputs'!$AQ$3=8,'Pricing Inputs'!$AQ$3=9),IF(AND('Pricing Inputs'!$AQ$3&gt;=2,'Pricing Inputs'!$AQ$3&lt;=6),K64,(VLOOKUP(A64,ScaledPrice,5))*(2-(VLOOKUP(A64,ScaledPrice,3)))),0))</f>
        <v>30.151196033510153</v>
      </c>
      <c r="M64" s="255">
        <f>IF(A64="N/A"," ",IF(OR('Pricing Inputs'!$AQ$3=3,'Pricing Inputs'!$AQ$3=6,'Pricing Inputs'!$AQ$3=9),(VLOOKUP(A64,ScaledPrice,IF(AND('Pricing Inputs'!$AQ$3&gt;=3,'Pricing Inputs'!$AQ$3&lt;=6),7,8))),0))</f>
        <v>26.896218105700171</v>
      </c>
      <c r="N64" s="255">
        <f>IF(A64="N/A"," ",IF(OR('Pricing Inputs'!$AQ$3=3,'Pricing Inputs'!$AQ$3=6,'Pricing Inputs'!$AQ$3=9),IF(AND('Pricing Inputs'!$AQ$3&gt;=3,'Pricing Inputs'!$AQ$3&lt;=6),M64,(VLOOKUP(A64,ScaledPrice,7))*(2-(VLOOKUP(A64,ScaledPrice,3)))),0))</f>
        <v>28.608782199475606</v>
      </c>
      <c r="O64" s="255">
        <f>IF(A64="N/A"," ",IF(AND('Pricing Inputs'!$AQ$3&gt;=1,'Pricing Inputs'!$AQ$3&lt;=3),VLOOKUP(A64,ScaledPrice,9),0))</f>
        <v>0</v>
      </c>
      <c r="P64" s="320">
        <f ca="1">IF($A64="N/A"," ",IF('Pricing Inputs'!$AN$8=2,(I64-H64),IF('Pricing Inputs'!$AN$3=2,IF((I64-$H64)&gt;0,I64-$H64,0),(_xll.xSPRDOPT(I64,$E64,$BU64,0,$BP64,$BS64,$BT64,($A64-Inputs!$D$1)+15,1,0)))))</f>
        <v>1.2070319412838502</v>
      </c>
      <c r="Q64" s="320">
        <f ca="1">IF($A64="N/A"," ",IF('Pricing Inputs'!$AN$8=2,(J64-$H64),IF('Pricing Inputs'!$AN$3=2,IF((J64-$H64)&gt;0,J64-$H64,0),(_xll.xSPRDOPT(J64,$E64,$BU64,0,$BP64,$BS64,$BT64,($A64-Inputs!$D$1)+15,1,0)))))</f>
        <v>1.7245177195934958</v>
      </c>
      <c r="R64" s="320">
        <f ca="1">IF($A64="N/A"," ",IF('Pricing Inputs'!$AN$8=2,(K64-$H64),IF('Pricing Inputs'!$AN$3=2,IF((K64-$H64)&gt;0,K64-$H64,0),(_xll.xSPRDOPT(K64,$E64,$BU64,0,$BP64,$BS64,$BT64,($A64-Inputs!$D$1)+15,1,0)))))</f>
        <v>0.25861582424255353</v>
      </c>
      <c r="S64" s="320">
        <f ca="1">IF($A64="N/A"," ",IF('Pricing Inputs'!$AN$8=2,(L64-$H64),IF('Pricing Inputs'!$AN$3=2,IF((L64-$H64)&gt;0,L64-$H64,0),(_xll.xSPRDOPT(L64,$E64,$BU64,0,$BP64,$BS64,$BT64,($A64-Inputs!$D$1)+15,1,0)))))</f>
        <v>0.40336024040172003</v>
      </c>
      <c r="T64" s="320">
        <f ca="1">IF($A64="N/A"," ",IF('Pricing Inputs'!$AN$8=2,(M64-$H64),IF('Pricing Inputs'!$AN$3=2,IF((M64-$H64)&gt;0,M64-$H64,0),(_xll.xSPRDOPT(M64,$E64,$BU64,0,$BP64,$BS64,$BT64,($A64-Inputs!$D$1)+15,1,0)))))</f>
        <v>0.17375769543904737</v>
      </c>
      <c r="U64" s="320">
        <f ca="1">IF($A64="N/A"," ",IF('Pricing Inputs'!$AN$8=2,(N64-$H64),IF('Pricing Inputs'!$AN$3=2,IF((N64-$H64)&gt;0,N64-$H64,0),(_xll.xSPRDOPT(N64,$E64,$BU64,0,$BP64,$BS64,$BT64,($A64-Inputs!$D$1)+15,1,0)))))</f>
        <v>0.27679611028701545</v>
      </c>
      <c r="V64" s="259">
        <f ca="1">IF($A64="N/A"," ",(IF('Pricing Inputs'!$AN$8=2,(O64-$H64),IF((O64-$H64)&lt;=0,0,(O64-$H64)))))</f>
        <v>0</v>
      </c>
      <c r="W64" s="306">
        <f ca="1">IF($A64="N/A"," ",IF(0&lt;&gt;P64,IF('Pricing Inputs'!$AN$3=2,8*VLOOKUP($A64,NumberofDaysTable,2),(_xll.xSPRDOPT(I64,$E64,$BU64,0,$BP64,$BS64,$BT64,$A64-Inputs!$D$1,1,1))*(8*VLOOKUP($A64,NumberofDaysTable,2))),0))</f>
        <v>33.645486948135478</v>
      </c>
      <c r="X64" s="306">
        <f ca="1">IF($A64="N/A"," ",IF(Q64&lt;&gt;0,IF('Pricing Inputs'!$AN$3=2,8*VLOOKUP($A64,NumberofDaysTable,2),(_xll.xSPRDOPT(J64,$E64,$BU64,0,$BP64,$BS64,$BT64,$A64-Inputs!$D$1,1,1))*(8*VLOOKUP($A64,NumberofDaysTable,2))),0))</f>
        <v>42.529092065647191</v>
      </c>
      <c r="Y64" s="306">
        <f ca="1">IF($A64="N/A"," ",IF(R64&lt;&gt;0,IF('Pricing Inputs'!$AN$3=2,8*VLOOKUP($A64,NumberofDaysTable,3),(_xll.xSPRDOPT(K64,$E64,$BU64,0,$BP64,$BS64,$BT64,$A64-Inputs!$D$1,1,1))*(8*VLOOKUP($A64,NumberofDaysTable,3))),0))</f>
        <v>2.1336333785211727</v>
      </c>
      <c r="Z64" s="306">
        <f ca="1">IF($A64="N/A"," ",IF(S64&lt;&gt;0,IF('Pricing Inputs'!$AN$3=2,8*VLOOKUP($A64,NumberofDaysTable,3),(_xll.xSPRDOPT(L64,$E64,$BU64,0,$BP64,$BS64,$BT64,$A64-Inputs!$D$1,1,1))*(8*VLOOKUP($A64,NumberofDaysTable,3))),0))</f>
        <v>2.9662204096584652</v>
      </c>
      <c r="AA64" s="306">
        <f ca="1">IF($A64="N/A"," ",IF(T64&lt;&gt;0,IF('Pricing Inputs'!$AN$3=2,8*VLOOKUP($A64,NumberofDaysTable,4),(_xll.xSPRDOPT(M64,$E64,$BU64,0,$BP64,$BS64,$BT64,$A64-Inputs!$D$1,1,1))*(8*VLOOKUP($A64,NumberofDaysTable,4))),0))</f>
        <v>1.9730491337845097</v>
      </c>
      <c r="AB64" s="306">
        <f ca="1">IF($A64="N/A"," ",IF(U64&lt;&gt;0,IF('Pricing Inputs'!$AN$3=2,8*VLOOKUP($A64,NumberofDaysTable,4),(_xll.xSPRDOPT(N64,$E64,$BU64,0,$BP64,$BS64,$BT64,$A64-Inputs!$D$1,1,1))*(8*VLOOKUP($A64,NumberofDaysTable,4))),0))</f>
        <v>2.8062758726527743</v>
      </c>
      <c r="AC64" s="306">
        <f t="shared" ca="1" si="21"/>
        <v>0</v>
      </c>
      <c r="AD64" s="271">
        <f t="shared" ref="AD64:AJ64" ca="1" si="111">IF($A64="N/A"," ",RANK(P64,$P$64:$V$75))</f>
        <v>32</v>
      </c>
      <c r="AE64" s="272">
        <f t="shared" ca="1" si="111"/>
        <v>27</v>
      </c>
      <c r="AF64" s="272">
        <f t="shared" ca="1" si="111"/>
        <v>50</v>
      </c>
      <c r="AG64" s="272">
        <f t="shared" ca="1" si="111"/>
        <v>43</v>
      </c>
      <c r="AH64" s="272">
        <f t="shared" ca="1" si="111"/>
        <v>56</v>
      </c>
      <c r="AI64" s="272">
        <f t="shared" ca="1" si="111"/>
        <v>48</v>
      </c>
      <c r="AJ64" s="273">
        <f t="shared" ca="1" si="111"/>
        <v>73</v>
      </c>
      <c r="AK64" s="312">
        <f t="shared" ca="1" si="43"/>
        <v>33.645486948135478</v>
      </c>
      <c r="AL64" s="313">
        <f t="shared" ca="1" si="44"/>
        <v>42.529092065647191</v>
      </c>
      <c r="AM64" s="313">
        <f t="shared" ca="1" si="45"/>
        <v>2.1336333785211727</v>
      </c>
      <c r="AN64" s="313">
        <f t="shared" ca="1" si="46"/>
        <v>2.9662204096584652</v>
      </c>
      <c r="AO64" s="313">
        <f t="shared" ca="1" si="47"/>
        <v>1.9730491337845097</v>
      </c>
      <c r="AP64" s="313">
        <f t="shared" ca="1" si="48"/>
        <v>2.8062758726527743</v>
      </c>
      <c r="AQ64" s="313">
        <f t="shared" ca="1" si="49"/>
        <v>0</v>
      </c>
      <c r="AR64" s="273"/>
      <c r="AS64" s="327">
        <f t="shared" ref="AS64:AS75" ca="1" si="112">IF($A64="N/A"," ",IF(AND(AD64=$AJ$2+1,AK64=0),MIN($AR$75,W64),0))</f>
        <v>0</v>
      </c>
      <c r="AT64" s="322">
        <f t="shared" ref="AT64:AT75" ca="1" si="113">IF($A64="N/A"," ",IF(AND(AE64=$AJ$2+1,AL64=0),MIN($AR$75,X64),0))</f>
        <v>0</v>
      </c>
      <c r="AU64" s="322">
        <f t="shared" ref="AU64:AU75" ca="1" si="114">IF($A64="N/A"," ",IF(AND(AF64=$AJ$2+1,AM64=0),MIN($AR$75,Y64),0))</f>
        <v>0</v>
      </c>
      <c r="AV64" s="322">
        <f t="shared" ref="AV64:AV75" ca="1" si="115">IF($A64="N/A"," ",IF(AND(AG64=$AJ$2+1,AN64=0),MIN($AR$75,Z64),0))</f>
        <v>0</v>
      </c>
      <c r="AW64" s="322">
        <f t="shared" ref="AW64:AW75" ca="1" si="116">IF($A64="N/A"," ",IF(AND(AH64=$AJ$2+1,AO64=0),MIN($AR$75,AA64),0))</f>
        <v>0</v>
      </c>
      <c r="AX64" s="322">
        <f t="shared" ref="AX64:AX75" ca="1" si="117">IF($A64="N/A"," ",IF(AND(AI64=$AJ$2+1,AP64=0),MIN($AR$75,AB64),0))</f>
        <v>0</v>
      </c>
      <c r="AY64" s="322">
        <f t="shared" ref="AY64:AY75" ca="1" si="118">IF($A64="N/A"," ",IF(AND(AJ64=$AJ$2+1,AQ64=0),MIN($AR$75,AC64),0))</f>
        <v>0</v>
      </c>
      <c r="AZ64" s="273"/>
      <c r="BA64" s="267">
        <f ca="1">IF($A64="N/A"," ",(IF(MONTH(A64)&gt;=4,IF(MONTH(A64)&lt;=10,Inputs!$F$13,Inputs!$F$14),Inputs!$F$14))*$BW64)</f>
        <v>180</v>
      </c>
      <c r="BB64" s="268">
        <f t="shared" ca="1" si="64"/>
        <v>36500.645904423625</v>
      </c>
      <c r="BC64" s="268">
        <f t="shared" ca="1" si="65"/>
        <v>52149.41584050731</v>
      </c>
      <c r="BD64" s="268">
        <f t="shared" ca="1" si="31"/>
        <v>1489.6271476371082</v>
      </c>
      <c r="BE64" s="268">
        <f t="shared" ca="1" si="32"/>
        <v>2323.3549847139075</v>
      </c>
      <c r="BF64" s="268">
        <f t="shared" ca="1" si="33"/>
        <v>1501.2664885933693</v>
      </c>
      <c r="BG64" s="268">
        <f t="shared" ca="1" si="34"/>
        <v>2391.5183928798133</v>
      </c>
      <c r="BH64" s="268">
        <f t="shared" ca="1" si="41"/>
        <v>0</v>
      </c>
      <c r="BI64" s="268">
        <f t="shared" ca="1" si="36"/>
        <v>96355.828758755117</v>
      </c>
      <c r="BJ64" s="296">
        <f t="shared" ca="1" si="37"/>
        <v>781570.34723111812</v>
      </c>
      <c r="BK64" s="296">
        <f t="shared" ca="1" si="38"/>
        <v>750590.9944200943</v>
      </c>
      <c r="BL64" s="296">
        <f t="shared" ca="1" si="39"/>
        <v>30979.352811023855</v>
      </c>
      <c r="BM64" s="296">
        <f t="shared" ca="1" si="40"/>
        <v>0</v>
      </c>
      <c r="BN64" s="405">
        <f>IF(A64="N/A"," ",(VLOOKUP(A64,PowerVolTable,(IF('Pricing Inputs'!$AT$3=2,7,IF('Pricing Inputs'!$AT$3=1,6,8))),FALSE)))</f>
        <v>0.21975378625</v>
      </c>
      <c r="BO64" s="405">
        <f>IF(A64="N/A"," ",(VLOOKUP(A64,IntraPowerVol,(IF('Pricing Inputs'!$AT$3=2,3,IF('Pricing Inputs'!$AT$3=1,2,4))),FALSE)*VLOOKUP(MONTH($A64),Inputs!$A$28:$B$39,2)))</f>
        <v>2.2999999999999998</v>
      </c>
      <c r="BP64" s="406">
        <f t="shared" ca="1" si="15"/>
        <v>0.29132095406118352</v>
      </c>
      <c r="BQ64" s="405">
        <f ca="1">IF($A64="N/A"," ",(VLOOKUP($A64,GasVolTable,(IF('Pricing Inputs'!$AT$3=2,6,IF('Pricing Inputs'!$AT$3=1,7,5))),FALSE)))</f>
        <v>0.1595</v>
      </c>
      <c r="BR64" s="405">
        <f ca="1">IF($A64="N/A"," ",(VLOOKUP($A64,OmicronVol,(IF('Pricing Inputs'!$AT$3=2,3,IF('Pricing Inputs'!$AT$3=1,4,2))),FALSE)))</f>
        <v>1.45</v>
      </c>
      <c r="BS64" s="406">
        <f ca="1">IF($A64="N/A"," ",IF('Pricing Inputs'!$AN$3=1,(IF(DateToday&gt;$A64,$BR64,((($BQ64^2)*((($A64-1)-DateToday)/((EOMONTH($A64,0)+1)-DateToday-15)))+((($BR64)^2)*((15)/((EOMONTH($A64,0)+1)-DateToday-15))))^0.5)),0.0001))</f>
        <v>0.19981970506410268</v>
      </c>
      <c r="BT64" s="405">
        <f>IF($A64="N/A"," ",IF('Pricing Inputs'!$AN$3=1,(VLOOKUP($A64,CorrelationTable,2,FALSE)),0))</f>
        <v>0.9</v>
      </c>
      <c r="BU64" s="407">
        <f ca="1">IF($A64="N/A"," ",F64+G64+(D64*(VLOOKUP($A64,'Gas Curves'!$B$17:$P$310,14,FALSE))))</f>
        <v>2.6825000000000001</v>
      </c>
      <c r="BV64" s="405">
        <f>IF($A64="N/A"," ",IF('Pricing Inputs'!$AW$3=1,0,(VLOOKUP($A64,InterestRatesTable,2))))</f>
        <v>0</v>
      </c>
      <c r="BW64" s="408">
        <f t="shared" ca="1" si="16"/>
        <v>1</v>
      </c>
    </row>
    <row r="65" spans="1:75">
      <c r="A65" s="248">
        <f>IF(A64="N/A","N/A",IF(EDATE(A64,1)&gt;Inputs!$K$3,"N/A",EDATE(A64,1)))</f>
        <v>38749</v>
      </c>
      <c r="B65" s="262">
        <f t="shared" si="17"/>
        <v>2006</v>
      </c>
      <c r="C65" s="249">
        <f t="shared" ca="1" si="18"/>
        <v>4.3970000000000002</v>
      </c>
      <c r="D65" s="250">
        <f>IF(A65="N/A"," ",(VLOOKUP(MONTH($A65),Inputs!$A$14:$B$25,2))/1000)</f>
        <v>10.5</v>
      </c>
      <c r="E65" s="304">
        <f t="shared" ca="1" si="19"/>
        <v>46.168500000000002</v>
      </c>
      <c r="F65" s="251">
        <f>IF(A65="N/A"," ",Inputs!$F$6)</f>
        <v>2</v>
      </c>
      <c r="G65" s="251">
        <f ca="1">IF(A65="N/A"," ",Inputs!$F$9/IF(AND('Pricing Inputs'!$AQ$3&gt;=4,'Pricing Inputs'!$AQ$3&lt;=6),16,IF(AND('Pricing Inputs'!$AQ$3&gt;=7,'Pricing Inputs'!$AQ$3&lt;=9),8,24))/(BA65/BW65))</f>
        <v>0</v>
      </c>
      <c r="H65" s="252">
        <f t="shared" ca="1" si="20"/>
        <v>48.168500000000002</v>
      </c>
      <c r="I65" s="255">
        <f>VLOOKUP(A65,ScaledPrice,(IF(AND('Pricing Inputs'!$AQ$3&gt;=1,'Pricing Inputs'!$AQ$3&lt;=6),2,4)))</f>
        <v>35.713021592493533</v>
      </c>
      <c r="J65" s="255">
        <f>IF(A65="N/A"," ",IF(AND('Pricing Inputs'!$AQ$3&gt;=1,'Pricing Inputs'!$AQ$3&lt;=6),I65,(VLOOKUP(A65,ScaledPrice,2))*(2-(VLOOKUP(A65,ScaledPrice,3)))))</f>
        <v>37.98697840750647</v>
      </c>
      <c r="K65" s="255">
        <f>IF(A65="N/A"," ",IF(OR('Pricing Inputs'!$AQ$3=2,'Pricing Inputs'!$AQ$3=3,'Pricing Inputs'!$AQ$3=5,'Pricing Inputs'!$AQ$3=6,'Pricing Inputs'!$AQ$3=8,'Pricing Inputs'!$AQ$3=9),VLOOKUP(A65,ScaledPrice,IF(AND('Pricing Inputs'!$AQ$3&gt;=2,'Pricing Inputs'!$AQ$3&lt;=6),5,6)),0))</f>
        <v>27.374733829208818</v>
      </c>
      <c r="L65" s="255">
        <f>IF(A65="N/A"," ",IF(OR('Pricing Inputs'!$AQ$3=2,'Pricing Inputs'!$AQ$3=3,'Pricing Inputs'!$AQ$3=5,'Pricing Inputs'!$AQ$3=6,'Pricing Inputs'!$AQ$3=8,'Pricing Inputs'!$AQ$3=9),IF(AND('Pricing Inputs'!$AQ$3&gt;=2,'Pricing Inputs'!$AQ$3&lt;=6),K65,(VLOOKUP(A65,ScaledPrice,5))*(2-(VLOOKUP(A65,ScaledPrice,3)))),0))</f>
        <v>29.117766475966956</v>
      </c>
      <c r="M65" s="255">
        <f>IF(A65="N/A"," ",IF(OR('Pricing Inputs'!$AQ$3=3,'Pricing Inputs'!$AQ$3=6,'Pricing Inputs'!$AQ$3=9),(VLOOKUP(A65,ScaledPrice,IF(AND('Pricing Inputs'!$AQ$3&gt;=3,'Pricing Inputs'!$AQ$3&lt;=6),7,8))),0))</f>
        <v>24.953080173132044</v>
      </c>
      <c r="N65" s="255">
        <f>IF(A65="N/A"," ",IF(OR('Pricing Inputs'!$AQ$3=3,'Pricing Inputs'!$AQ$3=6,'Pricing Inputs'!$AQ$3=9),IF(AND('Pricing Inputs'!$AQ$3&gt;=3,'Pricing Inputs'!$AQ$3&lt;=6),M65,(VLOOKUP(A65,ScaledPrice,7))*(2-(VLOOKUP(A65,ScaledPrice,3)))),0))</f>
        <v>26.541918758752715</v>
      </c>
      <c r="O65" s="255">
        <f>IF(A65="N/A"," ",IF(AND('Pricing Inputs'!$AQ$3&gt;=1,'Pricing Inputs'!$AQ$3&lt;=3),VLOOKUP(A65,ScaledPrice,9),0))</f>
        <v>0</v>
      </c>
      <c r="P65" s="320">
        <f ca="1">IF($A65="N/A"," ",IF('Pricing Inputs'!$AN$8=2,(I65-H65),IF('Pricing Inputs'!$AN$3=2,IF((I65-$H65)&gt;0,I65-$H65,0),(_xll.xSPRDOPT(I65,$E65,$BU65,0,$BP65,$BS65,$BT65,($A65-Inputs!$D$1)+15,1,0)))))</f>
        <v>1.4029812753433517</v>
      </c>
      <c r="Q65" s="320">
        <f ca="1">IF($A65="N/A"," ",IF('Pricing Inputs'!$AN$8=2,(J65-$H65),IF('Pricing Inputs'!$AN$3=2,IF((J65-$H65)&gt;0,J65-$H65,0),(_xll.xSPRDOPT(J65,$E65,$BU65,0,$BP65,$BS65,$BT65,($A65-Inputs!$D$1)+15,1,0)))))</f>
        <v>1.994306617928749</v>
      </c>
      <c r="R65" s="320">
        <f ca="1">IF($A65="N/A"," ",IF('Pricing Inputs'!$AN$8=2,(K65-$H65),IF('Pricing Inputs'!$AN$3=2,IF((K65-$H65)&gt;0,K65-$H65,0),(_xll.xSPRDOPT(K65,$E65,$BU65,0,$BP65,$BS65,$BT65,($A65-Inputs!$D$1)+15,1,0)))))</f>
        <v>0.23407054990361797</v>
      </c>
      <c r="S65" s="320">
        <f ca="1">IF($A65="N/A"," ",IF('Pricing Inputs'!$AN$8=2,(L65-$H65),IF('Pricing Inputs'!$AN$3=2,IF((L65-$H65)&gt;0,L65-$H65,0),(_xll.xSPRDOPT(L65,$E65,$BU65,0,$BP65,$BS65,$BT65,($A65-Inputs!$D$1)+15,1,0)))))</f>
        <v>0.3698024154473864</v>
      </c>
      <c r="T65" s="320">
        <f ca="1">IF($A65="N/A"," ",IF('Pricing Inputs'!$AN$8=2,(M65-$H65),IF('Pricing Inputs'!$AN$3=2,IF((M65-$H65)&gt;0,M65-$H65,0),(_xll.xSPRDOPT(M65,$E65,$BU65,0,$BP65,$BS65,$BT65,($A65-Inputs!$D$1)+15,1,0)))))</f>
        <v>0.11215043366772184</v>
      </c>
      <c r="U65" s="320">
        <f ca="1">IF($A65="N/A"," ",IF('Pricing Inputs'!$AN$8=2,(N65-$H65),IF('Pricing Inputs'!$AN$3=2,IF((N65-$H65)&gt;0,N65-$H65,0),(_xll.xSPRDOPT(N65,$E65,$BU65,0,$BP65,$BS65,$BT65,($A65-Inputs!$D$1)+15,1,0)))))</f>
        <v>0.18435752696749588</v>
      </c>
      <c r="V65" s="259">
        <f ca="1">IF($A65="N/A"," ",(IF('Pricing Inputs'!$AN$8=2,(O65-$H65),IF((O65-$H65)&lt;=0,0,(O65-$H65)))))</f>
        <v>0</v>
      </c>
      <c r="W65" s="306">
        <f ca="1">IF($A65="N/A"," ",IF(0&lt;&gt;P65,IF('Pricing Inputs'!$AN$3=2,8*VLOOKUP($A65,NumberofDaysTable,2),(_xll.xSPRDOPT(I65,$E65,$BU65,0,$BP65,$BS65,$BT65,$A65-Inputs!$D$1,1,1))*(8*VLOOKUP($A65,NumberofDaysTable,2))),0))</f>
        <v>36.801533336789831</v>
      </c>
      <c r="X65" s="306">
        <f ca="1">IF($A65="N/A"," ",IF(Q65&lt;&gt;0,IF('Pricing Inputs'!$AN$3=2,8*VLOOKUP($A65,NumberofDaysTable,2),(_xll.xSPRDOPT(J65,$E65,$BU65,0,$BP65,$BS65,$BT65,$A65-Inputs!$D$1,1,1))*(8*VLOOKUP($A65,NumberofDaysTable,2))),0))</f>
        <v>46.140922210770086</v>
      </c>
      <c r="Y65" s="306">
        <f ca="1">IF($A65="N/A"," ",IF(R65&lt;&gt;0,IF('Pricing Inputs'!$AN$3=2,8*VLOOKUP($A65,NumberofDaysTable,3),(_xll.xSPRDOPT(K65,$E65,$BU65,0,$BP65,$BS65,$BT65,$A65-Inputs!$D$1,1,1))*(8*VLOOKUP($A65,NumberofDaysTable,3))),0))</f>
        <v>2.0590813224588733</v>
      </c>
      <c r="Z65" s="306">
        <f ca="1">IF($A65="N/A"," ",IF(S65&lt;&gt;0,IF('Pricing Inputs'!$AN$3=2,8*VLOOKUP($A65,NumberofDaysTable,3),(_xll.xSPRDOPT(L65,$E65,$BU65,0,$BP65,$BS65,$BT65,$A65-Inputs!$D$1,1,1))*(8*VLOOKUP($A65,NumberofDaysTable,3))),0))</f>
        <v>2.895366090689075</v>
      </c>
      <c r="AA65" s="306">
        <f ca="1">IF($A65="N/A"," ",IF(T65&lt;&gt;0,IF('Pricing Inputs'!$AN$3=2,8*VLOOKUP($A65,NumberofDaysTable,4),(_xll.xSPRDOPT(M65,$E65,$BU65,0,$BP65,$BS65,$BT65,$A65-Inputs!$D$1,1,1))*(8*VLOOKUP($A65,NumberofDaysTable,4))),0))</f>
        <v>1.1704333521376795</v>
      </c>
      <c r="AB65" s="306">
        <f ca="1">IF($A65="N/A"," ",IF(U65&lt;&gt;0,IF('Pricing Inputs'!$AN$3=2,8*VLOOKUP($A65,NumberofDaysTable,4),(_xll.xSPRDOPT(N65,$E65,$BU65,0,$BP65,$BS65,$BT65,$A65-Inputs!$D$1,1,1))*(8*VLOOKUP($A65,NumberofDaysTable,4))),0))</f>
        <v>1.7177815950880888</v>
      </c>
      <c r="AC65" s="306">
        <f t="shared" ca="1" si="21"/>
        <v>0</v>
      </c>
      <c r="AD65" s="274">
        <f t="shared" ref="AD65:AD75" ca="1" si="119">IF($A65="N/A"," ",RANK(P65,$P$64:$V$75))</f>
        <v>31</v>
      </c>
      <c r="AE65" s="275">
        <f t="shared" ref="AE65:AE75" ca="1" si="120">IF($A65="N/A"," ",RANK(Q65,$P$64:$V$75))</f>
        <v>26</v>
      </c>
      <c r="AF65" s="275">
        <f t="shared" ref="AF65:AF75" ca="1" si="121">IF($A65="N/A"," ",RANK(R65,$P$64:$V$75))</f>
        <v>52</v>
      </c>
      <c r="AG65" s="275">
        <f t="shared" ref="AG65:AG75" ca="1" si="122">IF($A65="N/A"," ",RANK(S65,$P$64:$V$75))</f>
        <v>45</v>
      </c>
      <c r="AH65" s="275">
        <f t="shared" ref="AH65:AH75" ca="1" si="123">IF($A65="N/A"," ",RANK(T65,$P$64:$V$75))</f>
        <v>58</v>
      </c>
      <c r="AI65" s="275">
        <f t="shared" ref="AI65:AI75" ca="1" si="124">IF($A65="N/A"," ",RANK(U65,$P$64:$V$75))</f>
        <v>55</v>
      </c>
      <c r="AJ65" s="276">
        <f t="shared" ref="AJ65:AJ75" ca="1" si="125">IF($A65="N/A"," ",RANK(V65,$P$64:$V$75))</f>
        <v>73</v>
      </c>
      <c r="AK65" s="314">
        <f t="shared" ca="1" si="43"/>
        <v>36.801533336789831</v>
      </c>
      <c r="AL65" s="315">
        <f t="shared" ca="1" si="44"/>
        <v>46.140922210770086</v>
      </c>
      <c r="AM65" s="315">
        <f t="shared" ca="1" si="45"/>
        <v>2.0590813224588733</v>
      </c>
      <c r="AN65" s="315">
        <f t="shared" ca="1" si="46"/>
        <v>2.895366090689075</v>
      </c>
      <c r="AO65" s="315">
        <f t="shared" ca="1" si="47"/>
        <v>1.1704333521376795</v>
      </c>
      <c r="AP65" s="315">
        <f t="shared" ca="1" si="48"/>
        <v>1.7177815950880888</v>
      </c>
      <c r="AQ65" s="315">
        <f t="shared" ca="1" si="49"/>
        <v>0</v>
      </c>
      <c r="AR65" s="276"/>
      <c r="AS65" s="321">
        <f t="shared" ca="1" si="112"/>
        <v>0</v>
      </c>
      <c r="AT65" s="324">
        <f t="shared" ca="1" si="113"/>
        <v>0</v>
      </c>
      <c r="AU65" s="324">
        <f t="shared" ca="1" si="114"/>
        <v>0</v>
      </c>
      <c r="AV65" s="324">
        <f t="shared" ca="1" si="115"/>
        <v>0</v>
      </c>
      <c r="AW65" s="324">
        <f t="shared" ca="1" si="116"/>
        <v>0</v>
      </c>
      <c r="AX65" s="324">
        <f t="shared" ca="1" si="117"/>
        <v>0</v>
      </c>
      <c r="AY65" s="324">
        <f t="shared" ca="1" si="118"/>
        <v>0</v>
      </c>
      <c r="AZ65" s="276"/>
      <c r="BA65" s="267">
        <f ca="1">IF($A65="N/A"," ",(IF(MONTH(A65)&gt;=4,IF(MONTH(A65)&lt;=10,Inputs!$F$13,Inputs!$F$14),Inputs!$F$14))*$BW65)</f>
        <v>180</v>
      </c>
      <c r="BB65" s="268">
        <f t="shared" ca="1" si="64"/>
        <v>40405.860729888533</v>
      </c>
      <c r="BC65" s="268">
        <f t="shared" ca="1" si="65"/>
        <v>57436.03059634797</v>
      </c>
      <c r="BD65" s="268">
        <f t="shared" ca="1" si="31"/>
        <v>1348.2463674448395</v>
      </c>
      <c r="BE65" s="268">
        <f t="shared" ca="1" si="32"/>
        <v>2130.0619129769457</v>
      </c>
      <c r="BF65" s="268">
        <f t="shared" ca="1" si="33"/>
        <v>645.98649792607785</v>
      </c>
      <c r="BG65" s="268">
        <f t="shared" ca="1" si="34"/>
        <v>1061.8993553327764</v>
      </c>
      <c r="BH65" s="268">
        <f t="shared" ca="1" si="41"/>
        <v>0</v>
      </c>
      <c r="BI65" s="268">
        <f t="shared" ca="1" si="36"/>
        <v>103028.08545991714</v>
      </c>
      <c r="BJ65" s="296">
        <f t="shared" ca="1" si="37"/>
        <v>787136.93135069439</v>
      </c>
      <c r="BK65" s="296">
        <f t="shared" ca="1" si="38"/>
        <v>754454.28890383814</v>
      </c>
      <c r="BL65" s="296">
        <f t="shared" ca="1" si="39"/>
        <v>32682.642446856109</v>
      </c>
      <c r="BM65" s="296">
        <f t="shared" ca="1" si="40"/>
        <v>0</v>
      </c>
      <c r="BN65" s="405">
        <f>IF(A65="N/A"," ",(VLOOKUP(A65,PowerVolTable,(IF('Pricing Inputs'!$AT$3=2,7,IF('Pricing Inputs'!$AT$3=1,6,8))),FALSE)))</f>
        <v>0.21201597687499998</v>
      </c>
      <c r="BO65" s="405">
        <f>IF(A65="N/A"," ",(VLOOKUP(A65,IntraPowerVol,(IF('Pricing Inputs'!$AT$3=2,3,IF('Pricing Inputs'!$AT$3=1,2,4))),FALSE)*VLOOKUP(MONTH($A65),Inputs!$A$28:$B$39,2)))</f>
        <v>2.2999999999999998</v>
      </c>
      <c r="BP65" s="406">
        <f t="shared" ca="1" si="15"/>
        <v>0.28485820113286131</v>
      </c>
      <c r="BQ65" s="405">
        <f ca="1">IF($A65="N/A"," ",(VLOOKUP($A65,GasVolTable,(IF('Pricing Inputs'!$AT$3=2,6,IF('Pricing Inputs'!$AT$3=1,7,5))),FALSE)))</f>
        <v>0.1595</v>
      </c>
      <c r="BR65" s="405">
        <f ca="1">IF($A65="N/A"," ",(VLOOKUP($A65,OmicronVol,(IF('Pricing Inputs'!$AT$3=2,3,IF('Pricing Inputs'!$AT$3=1,4,2))),FALSE)))</f>
        <v>1.45</v>
      </c>
      <c r="BS65" s="406">
        <f ca="1">IF($A65="N/A"," ",IF('Pricing Inputs'!$AN$3=1,(IF(DateToday&gt;$A65,$BR65,((($BQ65^2)*((($A65-1)-DateToday)/((EOMONTH($A65,0)+1)-DateToday-15)))+((($BR65)^2)*((15)/((EOMONTH($A65,0)+1)-DateToday-15))))^0.5)),0.0001))</f>
        <v>0.19944045895120344</v>
      </c>
      <c r="BT65" s="405">
        <f>IF($A65="N/A"," ",IF('Pricing Inputs'!$AN$3=1,(VLOOKUP($A65,CorrelationTable,2,FALSE)),0))</f>
        <v>0.9</v>
      </c>
      <c r="BU65" s="407">
        <f ca="1">IF($A65="N/A"," ",F65+G65+(D65*(VLOOKUP($A65,'Gas Curves'!$B$17:$P$310,14,FALSE))))</f>
        <v>2.6825000000000001</v>
      </c>
      <c r="BV65" s="405">
        <f>IF($A65="N/A"," ",IF('Pricing Inputs'!$AW$3=1,0,(VLOOKUP($A65,InterestRatesTable,2))))</f>
        <v>0</v>
      </c>
      <c r="BW65" s="408">
        <f t="shared" ca="1" si="16"/>
        <v>1</v>
      </c>
    </row>
    <row r="66" spans="1:75">
      <c r="A66" s="248">
        <f>IF(A65="N/A","N/A",IF(EDATE(A65,1)&gt;Inputs!$K$3,"N/A",EDATE(A65,1)))</f>
        <v>38777</v>
      </c>
      <c r="B66" s="262">
        <f t="shared" si="17"/>
        <v>2006</v>
      </c>
      <c r="C66" s="249">
        <f t="shared" ca="1" si="18"/>
        <v>3.7469999999999999</v>
      </c>
      <c r="D66" s="250">
        <f>IF(A66="N/A"," ",(VLOOKUP(MONTH($A66),Inputs!$A$14:$B$25,2))/1000)</f>
        <v>10.5</v>
      </c>
      <c r="E66" s="304">
        <f t="shared" ca="1" si="19"/>
        <v>39.343499999999999</v>
      </c>
      <c r="F66" s="251">
        <f>IF(A66="N/A"," ",Inputs!$F$6)</f>
        <v>2</v>
      </c>
      <c r="G66" s="251">
        <f ca="1">IF(A66="N/A"," ",Inputs!$F$9/IF(AND('Pricing Inputs'!$AQ$3&gt;=4,'Pricing Inputs'!$AQ$3&lt;=6),16,IF(AND('Pricing Inputs'!$AQ$3&gt;=7,'Pricing Inputs'!$AQ$3&lt;=9),8,24))/(BA66/BW66))</f>
        <v>0</v>
      </c>
      <c r="H66" s="252">
        <f t="shared" ca="1" si="20"/>
        <v>41.343499999999999</v>
      </c>
      <c r="I66" s="255">
        <f>VLOOKUP(A66,ScaledPrice,(IF(AND('Pricing Inputs'!$AQ$3&gt;=1,'Pricing Inputs'!$AQ$3&lt;=6),2,4)))</f>
        <v>32.161615000000005</v>
      </c>
      <c r="J66" s="255">
        <f>IF(A66="N/A"," ",IF(AND('Pricing Inputs'!$AQ$3&gt;=1,'Pricing Inputs'!$AQ$3&lt;=6),I66,(VLOOKUP(A66,ScaledPrice,2))*(2-(VLOOKUP(A66,ScaledPrice,3)))))</f>
        <v>34.038384999999998</v>
      </c>
      <c r="K66" s="255">
        <f>IF(A66="N/A"," ",IF(OR('Pricing Inputs'!$AQ$3=2,'Pricing Inputs'!$AQ$3=3,'Pricing Inputs'!$AQ$3=5,'Pricing Inputs'!$AQ$3=6,'Pricing Inputs'!$AQ$3=8,'Pricing Inputs'!$AQ$3=9),VLOOKUP(A66,ScaledPrice,IF(AND('Pricing Inputs'!$AQ$3&gt;=2,'Pricing Inputs'!$AQ$3&lt;=6),5,6)),0))</f>
        <v>20.827074452018739</v>
      </c>
      <c r="L66" s="255">
        <f>IF(A66="N/A"," ",IF(OR('Pricing Inputs'!$AQ$3=2,'Pricing Inputs'!$AQ$3=3,'Pricing Inputs'!$AQ$3=5,'Pricing Inputs'!$AQ$3=6,'Pricing Inputs'!$AQ$3=8,'Pricing Inputs'!$AQ$3=9),IF(AND('Pricing Inputs'!$AQ$3&gt;=2,'Pricing Inputs'!$AQ$3&lt;=6),K66,(VLOOKUP(A66,ScaledPrice,5))*(2-(VLOOKUP(A66,ScaledPrice,3)))),0))</f>
        <v>22.042424754524223</v>
      </c>
      <c r="M66" s="255">
        <f>IF(A66="N/A"," ",IF(OR('Pricing Inputs'!$AQ$3=3,'Pricing Inputs'!$AQ$3=6,'Pricing Inputs'!$AQ$3=9),(VLOOKUP(A66,ScaledPrice,IF(AND('Pricing Inputs'!$AQ$3&gt;=3,'Pricing Inputs'!$AQ$3&lt;=6),7,8))),0))</f>
        <v>20.467320357513426</v>
      </c>
      <c r="N66" s="255">
        <f>IF(A66="N/A"," ",IF(OR('Pricing Inputs'!$AQ$3=3,'Pricing Inputs'!$AQ$3=6,'Pricing Inputs'!$AQ$3=9),IF(AND('Pricing Inputs'!$AQ$3&gt;=3,'Pricing Inputs'!$AQ$3&lt;=6),M66,(VLOOKUP(A66,ScaledPrice,7))*(2-(VLOOKUP(A66,ScaledPrice,3)))),0))</f>
        <v>21.661677445220942</v>
      </c>
      <c r="O66" s="255">
        <f>IF(A66="N/A"," ",IF(AND('Pricing Inputs'!$AQ$3&gt;=1,'Pricing Inputs'!$AQ$3&lt;=3),VLOOKUP(A66,ScaledPrice,9),0))</f>
        <v>0</v>
      </c>
      <c r="P66" s="320">
        <f ca="1">IF($A66="N/A"," ",IF('Pricing Inputs'!$AN$8=2,(I66-H66),IF('Pricing Inputs'!$AN$3=2,IF((I66-$H66)&gt;0,I66-$H66,0),(_xll.xSPRDOPT(I66,$E66,$BU66,0,$BP66,$BS66,$BT66,($A66-Inputs!$D$1)+15,1,0)))))</f>
        <v>0.95481764953748849</v>
      </c>
      <c r="Q66" s="320">
        <f ca="1">IF($A66="N/A"," ",IF('Pricing Inputs'!$AN$8=2,(J66-$H66),IF('Pricing Inputs'!$AN$3=2,IF((J66-$H66)&gt;0,J66-$H66,0),(_xll.xSPRDOPT(J66,$E66,$BU66,0,$BP66,$BS66,$BT66,($A66-Inputs!$D$1)+15,1,0)))))</f>
        <v>1.4100484735467675</v>
      </c>
      <c r="R66" s="320">
        <f ca="1">IF($A66="N/A"," ",IF('Pricing Inputs'!$AN$8=2,(K66-$H66),IF('Pricing Inputs'!$AN$3=2,IF((K66-$H66)&gt;0,K66-$H66,0),(_xll.xSPRDOPT(K66,$E66,$BU66,0,$BP66,$BS66,$BT66,($A66-Inputs!$D$1)+15,1,0)))))</f>
        <v>1.7010723700523596E-2</v>
      </c>
      <c r="S66" s="320">
        <f ca="1">IF($A66="N/A"," ",IF('Pricing Inputs'!$AN$8=2,(L66-$H66),IF('Pricing Inputs'!$AN$3=2,IF((L66-$H66)&gt;0,L66-$H66,0),(_xll.xSPRDOPT(L66,$E66,$BU66,0,$BP66,$BS66,$BT66,($A66-Inputs!$D$1)+15,1,0)))))</f>
        <v>3.2177582496095272E-2</v>
      </c>
      <c r="T66" s="320">
        <f ca="1">IF($A66="N/A"," ",IF('Pricing Inputs'!$AN$8=2,(M66-$H66),IF('Pricing Inputs'!$AN$3=2,IF((M66-$H66)&gt;0,M66-$H66,0),(_xll.xSPRDOPT(M66,$E66,$BU66,0,$BP66,$BS66,$BT66,($A66-Inputs!$D$1)+15,1,0)))))</f>
        <v>1.3886314594361689E-2</v>
      </c>
      <c r="U66" s="320">
        <f ca="1">IF($A66="N/A"," ",IF('Pricing Inputs'!$AN$8=2,(N66-$H66),IF('Pricing Inputs'!$AN$3=2,IF((N66-$H66)&gt;0,N66-$H66,0),(_xll.xSPRDOPT(N66,$E66,$BU66,0,$BP66,$BS66,$BT66,($A66-Inputs!$D$1)+15,1,0)))))</f>
        <v>2.6554054761129851E-2</v>
      </c>
      <c r="V66" s="259">
        <f ca="1">IF($A66="N/A"," ",(IF('Pricing Inputs'!$AN$8=2,(O66-$H66),IF((O66-$H66)&lt;=0,0,(O66-$H66)))))</f>
        <v>0</v>
      </c>
      <c r="W66" s="306">
        <f ca="1">IF($A66="N/A"," ",IF(0&lt;&gt;P66,IF('Pricing Inputs'!$AN$3=2,8*VLOOKUP($A66,NumberofDaysTable,2),(_xll.xSPRDOPT(I66,$E66,$BU66,0,$BP66,$BS66,$BT66,$A66-Inputs!$D$1,1,1))*(8*VLOOKUP($A66,NumberofDaysTable,2))),0))</f>
        <v>38.742156060158578</v>
      </c>
      <c r="X66" s="306">
        <f ca="1">IF($A66="N/A"," ",IF(Q66&lt;&gt;0,IF('Pricing Inputs'!$AN$3=2,8*VLOOKUP($A66,NumberofDaysTable,2),(_xll.xSPRDOPT(J66,$E66,$BU66,0,$BP66,$BS66,$BT66,$A66-Inputs!$D$1,1,1))*(8*VLOOKUP($A66,NumberofDaysTable,2))),0))</f>
        <v>50.295313354484207</v>
      </c>
      <c r="Y66" s="306">
        <f ca="1">IF($A66="N/A"," ",IF(R66&lt;&gt;0,IF('Pricing Inputs'!$AN$3=2,8*VLOOKUP($A66,NumberofDaysTable,3),(_xll.xSPRDOPT(K66,$E66,$BU66,0,$BP66,$BS66,$BT66,$A66-Inputs!$D$1,1,1))*(8*VLOOKUP($A66,NumberofDaysTable,3))),0))</f>
        <v>0.29466759075849314</v>
      </c>
      <c r="Z66" s="306">
        <f ca="1">IF($A66="N/A"," ",IF(S66&lt;&gt;0,IF('Pricing Inputs'!$AN$3=2,8*VLOOKUP($A66,NumberofDaysTable,3),(_xll.xSPRDOPT(L66,$E66,$BU66,0,$BP66,$BS66,$BT66,$A66-Inputs!$D$1,1,1))*(8*VLOOKUP($A66,NumberofDaysTable,3))),0))</f>
        <v>0.50001627320711506</v>
      </c>
      <c r="AA66" s="306">
        <f ca="1">IF($A66="N/A"," ",IF(T66&lt;&gt;0,IF('Pricing Inputs'!$AN$3=2,8*VLOOKUP($A66,NumberofDaysTable,4),(_xll.xSPRDOPT(M66,$E66,$BU66,0,$BP66,$BS66,$BT66,$A66-Inputs!$D$1,1,1))*(8*VLOOKUP($A66,NumberofDaysTable,4))),0))</f>
        <v>0.24859183780869368</v>
      </c>
      <c r="AB66" s="306">
        <f ca="1">IF($A66="N/A"," ",IF(U66&lt;&gt;0,IF('Pricing Inputs'!$AN$3=2,8*VLOOKUP($A66,NumberofDaysTable,4),(_xll.xSPRDOPT(N66,$E66,$BU66,0,$BP66,$BS66,$BT66,$A66-Inputs!$D$1,1,1))*(8*VLOOKUP($A66,NumberofDaysTable,4))),0))</f>
        <v>0.42674254561329811</v>
      </c>
      <c r="AC66" s="306">
        <f t="shared" ca="1" si="21"/>
        <v>0</v>
      </c>
      <c r="AD66" s="274">
        <f t="shared" ca="1" si="119"/>
        <v>33</v>
      </c>
      <c r="AE66" s="275">
        <f t="shared" ca="1" si="120"/>
        <v>30</v>
      </c>
      <c r="AF66" s="275">
        <f t="shared" ca="1" si="121"/>
        <v>69</v>
      </c>
      <c r="AG66" s="275">
        <f t="shared" ca="1" si="122"/>
        <v>65</v>
      </c>
      <c r="AH66" s="275">
        <f t="shared" ca="1" si="123"/>
        <v>70</v>
      </c>
      <c r="AI66" s="275">
        <f t="shared" ca="1" si="124"/>
        <v>67</v>
      </c>
      <c r="AJ66" s="276">
        <f t="shared" ca="1" si="125"/>
        <v>73</v>
      </c>
      <c r="AK66" s="314">
        <f t="shared" ca="1" si="43"/>
        <v>38.742156060158578</v>
      </c>
      <c r="AL66" s="315">
        <f t="shared" ca="1" si="44"/>
        <v>50.295313354484207</v>
      </c>
      <c r="AM66" s="315">
        <f t="shared" ca="1" si="45"/>
        <v>0.29466759075849314</v>
      </c>
      <c r="AN66" s="315">
        <f t="shared" ca="1" si="46"/>
        <v>0.50001627320711506</v>
      </c>
      <c r="AO66" s="315">
        <f t="shared" ca="1" si="47"/>
        <v>0.24859183780869368</v>
      </c>
      <c r="AP66" s="315">
        <f t="shared" ca="1" si="48"/>
        <v>0.42674254561329811</v>
      </c>
      <c r="AQ66" s="315">
        <f t="shared" ca="1" si="49"/>
        <v>0</v>
      </c>
      <c r="AR66" s="276"/>
      <c r="AS66" s="321">
        <f t="shared" ca="1" si="112"/>
        <v>0</v>
      </c>
      <c r="AT66" s="324">
        <f t="shared" ca="1" si="113"/>
        <v>0</v>
      </c>
      <c r="AU66" s="324">
        <f t="shared" ca="1" si="114"/>
        <v>0</v>
      </c>
      <c r="AV66" s="324">
        <f t="shared" ca="1" si="115"/>
        <v>0</v>
      </c>
      <c r="AW66" s="324">
        <f t="shared" ca="1" si="116"/>
        <v>0</v>
      </c>
      <c r="AX66" s="324">
        <f t="shared" ca="1" si="117"/>
        <v>0</v>
      </c>
      <c r="AY66" s="324">
        <f t="shared" ca="1" si="118"/>
        <v>0</v>
      </c>
      <c r="AZ66" s="276"/>
      <c r="BA66" s="267">
        <f ca="1">IF($A66="N/A"," ",(IF(MONTH(A66)&gt;=4,IF(MONTH(A66)&lt;=10,Inputs!$F$13,Inputs!$F$14),Inputs!$F$14))*$BW66)</f>
        <v>180</v>
      </c>
      <c r="BB66" s="268">
        <f t="shared" ca="1" si="64"/>
        <v>31623.560552681618</v>
      </c>
      <c r="BC66" s="268">
        <f t="shared" ca="1" si="65"/>
        <v>46700.805443868943</v>
      </c>
      <c r="BD66" s="268">
        <f t="shared" ca="1" si="31"/>
        <v>97.981768515015915</v>
      </c>
      <c r="BE66" s="268">
        <f t="shared" ca="1" si="32"/>
        <v>185.34287517750877</v>
      </c>
      <c r="BF66" s="268">
        <f t="shared" ca="1" si="33"/>
        <v>79.985172063523322</v>
      </c>
      <c r="BG66" s="268">
        <f t="shared" ca="1" si="34"/>
        <v>152.95135542410793</v>
      </c>
      <c r="BH66" s="268">
        <f t="shared" ca="1" si="41"/>
        <v>0</v>
      </c>
      <c r="BI66" s="268">
        <f t="shared" ca="1" si="36"/>
        <v>78840.627167730723</v>
      </c>
      <c r="BJ66" s="296">
        <f t="shared" ca="1" si="37"/>
        <v>673541.33690792741</v>
      </c>
      <c r="BK66" s="296">
        <f t="shared" ca="1" si="38"/>
        <v>640958.64134959644</v>
      </c>
      <c r="BL66" s="296">
        <f t="shared" ca="1" si="39"/>
        <v>32582.695558330932</v>
      </c>
      <c r="BM66" s="296">
        <f t="shared" ca="1" si="40"/>
        <v>0</v>
      </c>
      <c r="BN66" s="405">
        <f>IF(A66="N/A"," ",(VLOOKUP(A66,PowerVolTable,(IF('Pricing Inputs'!$AT$3=2,7,IF('Pricing Inputs'!$AT$3=1,6,8))),FALSE)))</f>
        <v>0.20665754388281249</v>
      </c>
      <c r="BO66" s="405">
        <f>IF(A66="N/A"," ",(VLOOKUP(A66,IntraPowerVol,(IF('Pricing Inputs'!$AT$3=2,3,IF('Pricing Inputs'!$AT$3=1,2,4))),FALSE)*VLOOKUP(MONTH($A66),Inputs!$A$28:$B$39,2)))</f>
        <v>1.4949999999999999</v>
      </c>
      <c r="BP66" s="406">
        <f t="shared" ca="1" si="15"/>
        <v>0.23994913259594938</v>
      </c>
      <c r="BQ66" s="405">
        <f ca="1">IF($A66="N/A"," ",(VLOOKUP($A66,GasVolTable,(IF('Pricing Inputs'!$AT$3=2,6,IF('Pricing Inputs'!$AT$3=1,7,5))),FALSE)))</f>
        <v>0.1585</v>
      </c>
      <c r="BR66" s="405">
        <f ca="1">IF($A66="N/A"," ",(VLOOKUP($A66,OmicronVol,(IF('Pricing Inputs'!$AT$3=2,3,IF('Pricing Inputs'!$AT$3=1,4,2))),FALSE)))</f>
        <v>1</v>
      </c>
      <c r="BS66" s="406">
        <f ca="1">IF($A66="N/A"," ",IF('Pricing Inputs'!$AN$3=1,(IF(DateToday&gt;$A66,$BR66,((($BQ66^2)*((($A66-1)-DateToday)/((EOMONTH($A66,0)+1)-DateToday-15)))+((($BR66)^2)*((15)/((EOMONTH($A66,0)+1)-DateToday-15))))^0.5)),0.0001))</f>
        <v>0.17812436349713703</v>
      </c>
      <c r="BT66" s="405">
        <f>IF($A66="N/A"," ",IF('Pricing Inputs'!$AN$3=1,(VLOOKUP($A66,CorrelationTable,2,FALSE)),0))</f>
        <v>0.9</v>
      </c>
      <c r="BU66" s="407">
        <f ca="1">IF($A66="N/A"," ",F66+G66+(D66*(VLOOKUP($A66,'Gas Curves'!$B$17:$P$310,14,FALSE))))</f>
        <v>2.6825000000000001</v>
      </c>
      <c r="BV66" s="405">
        <f>IF($A66="N/A"," ",IF('Pricing Inputs'!$AW$3=1,0,(VLOOKUP($A66,InterestRatesTable,2))))</f>
        <v>0</v>
      </c>
      <c r="BW66" s="408">
        <f t="shared" ca="1" si="16"/>
        <v>1</v>
      </c>
    </row>
    <row r="67" spans="1:75">
      <c r="A67" s="248">
        <f>IF(A66="N/A","N/A",IF(EDATE(A66,1)&gt;Inputs!$K$3,"N/A",EDATE(A66,1)))</f>
        <v>38808</v>
      </c>
      <c r="B67" s="262">
        <f t="shared" si="17"/>
        <v>2006</v>
      </c>
      <c r="C67" s="249">
        <f t="shared" ca="1" si="18"/>
        <v>2.7756250000000002</v>
      </c>
      <c r="D67" s="250">
        <f>IF(A67="N/A"," ",(VLOOKUP(MONTH($A67),Inputs!$A$14:$B$25,2))/1000)</f>
        <v>10.5</v>
      </c>
      <c r="E67" s="304">
        <f t="shared" ca="1" si="19"/>
        <v>29.144062500000004</v>
      </c>
      <c r="F67" s="251">
        <f>IF(A67="N/A"," ",Inputs!$F$6)</f>
        <v>2</v>
      </c>
      <c r="G67" s="251">
        <f ca="1">IF(A67="N/A"," ",Inputs!$F$9/IF(AND('Pricing Inputs'!$AQ$3&gt;=4,'Pricing Inputs'!$AQ$3&lt;=6),16,IF(AND('Pricing Inputs'!$AQ$3&gt;=7,'Pricing Inputs'!$AQ$3&lt;=9),8,24))/(BA67/BW67))</f>
        <v>0</v>
      </c>
      <c r="H67" s="252">
        <f t="shared" ca="1" si="20"/>
        <v>31.144062500000004</v>
      </c>
      <c r="I67" s="255">
        <f>VLOOKUP(A67,ScaledPrice,(IF(AND('Pricing Inputs'!$AQ$3&gt;=1,'Pricing Inputs'!$AQ$3&lt;=6),2,4)))</f>
        <v>29.460899966904108</v>
      </c>
      <c r="J67" s="255">
        <f>IF(A67="N/A"," ",IF(AND('Pricing Inputs'!$AQ$3&gt;=1,'Pricing Inputs'!$AQ$3&lt;=6),I67,(VLOOKUP(A67,ScaledPrice,2))*(2-(VLOOKUP(A67,ScaledPrice,3)))))</f>
        <v>34.239100033095895</v>
      </c>
      <c r="K67" s="255">
        <f>IF(A67="N/A"," ",IF(OR('Pricing Inputs'!$AQ$3=2,'Pricing Inputs'!$AQ$3=3,'Pricing Inputs'!$AQ$3=5,'Pricing Inputs'!$AQ$3=6,'Pricing Inputs'!$AQ$3=8,'Pricing Inputs'!$AQ$3=9),VLOOKUP(A67,ScaledPrice,IF(AND('Pricing Inputs'!$AQ$3&gt;=2,'Pricing Inputs'!$AQ$3&lt;=6),5,6)),0))</f>
        <v>20.458444709851008</v>
      </c>
      <c r="L67" s="255">
        <f>IF(A67="N/A"," ",IF(OR('Pricing Inputs'!$AQ$3=2,'Pricing Inputs'!$AQ$3=3,'Pricing Inputs'!$AQ$3=5,'Pricing Inputs'!$AQ$3=6,'Pricing Inputs'!$AQ$3=8,'Pricing Inputs'!$AQ$3=9),IF(AND('Pricing Inputs'!$AQ$3&gt;=2,'Pricing Inputs'!$AQ$3&lt;=6),K67,(VLOOKUP(A67,ScaledPrice,5))*(2-(VLOOKUP(A67,ScaledPrice,3)))),0))</f>
        <v>23.776555900500547</v>
      </c>
      <c r="M67" s="255">
        <f>IF(A67="N/A"," ",IF(OR('Pricing Inputs'!$AQ$3=3,'Pricing Inputs'!$AQ$3=6,'Pricing Inputs'!$AQ$3=9),(VLOOKUP(A67,ScaledPrice,IF(AND('Pricing Inputs'!$AQ$3&gt;=3,'Pricing Inputs'!$AQ$3&lt;=6),7,8))),0))</f>
        <v>19.272145175453296</v>
      </c>
      <c r="N67" s="255">
        <f>IF(A67="N/A"," ",IF(OR('Pricing Inputs'!$AQ$3=3,'Pricing Inputs'!$AQ$3=6,'Pricing Inputs'!$AQ$3=9),IF(AND('Pricing Inputs'!$AQ$3&gt;=3,'Pricing Inputs'!$AQ$3&lt;=6),M67,(VLOOKUP(A67,ScaledPrice,7))*(2-(VLOOKUP(A67,ScaledPrice,3)))),0))</f>
        <v>22.397852993492009</v>
      </c>
      <c r="O67" s="255">
        <f>IF(A67="N/A"," ",IF(AND('Pricing Inputs'!$AQ$3&gt;=1,'Pricing Inputs'!$AQ$3&lt;=3),VLOOKUP(A67,ScaledPrice,9),0))</f>
        <v>0</v>
      </c>
      <c r="P67" s="320">
        <f ca="1">IF($A67="N/A"," ",IF('Pricing Inputs'!$AN$8=2,(I67-H67),IF('Pricing Inputs'!$AN$3=2,IF((I67-$H67)&gt;0,I67-$H67,0),(_xll.xSPRDOPT(I67,$E67,$BU67,0,$BP67,$BS67,$BT67,($A67-Inputs!$D$1)+15,1,0)))))</f>
        <v>2.0044750016066057</v>
      </c>
      <c r="Q67" s="320">
        <f ca="1">IF($A67="N/A"," ",IF('Pricing Inputs'!$AN$8=2,(J67-$H67),IF('Pricing Inputs'!$AN$3=2,IF((J67-$H67)&gt;0,J67-$H67,0),(_xll.xSPRDOPT(J67,$E67,$BU67,0,$BP67,$BS67,$BT67,($A67-Inputs!$D$1)+15,1,0)))))</f>
        <v>4.6338679035871388</v>
      </c>
      <c r="R67" s="320">
        <f ca="1">IF($A67="N/A"," ",IF('Pricing Inputs'!$AN$8=2,(K67-$H67),IF('Pricing Inputs'!$AN$3=2,IF((K67-$H67)&gt;0,K67-$H67,0),(_xll.xSPRDOPT(K67,$E67,$BU67,0,$BP67,$BS67,$BT67,($A67-Inputs!$D$1)+15,1,0)))))</f>
        <v>9.4600894913579744E-2</v>
      </c>
      <c r="S67" s="320">
        <f ca="1">IF($A67="N/A"," ",IF('Pricing Inputs'!$AN$8=2,(L67-$H67),IF('Pricing Inputs'!$AN$3=2,IF((L67-$H67)&gt;0,L67-$H67,0),(_xll.xSPRDOPT(L67,$E67,$BU67,0,$BP67,$BS67,$BT67,($A67-Inputs!$D$1)+15,1,0)))))</f>
        <v>0.40443918640318793</v>
      </c>
      <c r="T67" s="320">
        <f ca="1">IF($A67="N/A"," ",IF('Pricing Inputs'!$AN$8=2,(M67-$H67),IF('Pricing Inputs'!$AN$3=2,IF((M67-$H67)&gt;0,M67-$H67,0),(_xll.xSPRDOPT(M67,$E67,$BU67,0,$BP67,$BS67,$BT67,($A67-Inputs!$D$1)+15,1,0)))))</f>
        <v>4.8892711016272912E-2</v>
      </c>
      <c r="U67" s="320">
        <f ca="1">IF($A67="N/A"," ",IF('Pricing Inputs'!$AN$8=2,(N67-$H67),IF('Pricing Inputs'!$AN$3=2,IF((N67-$H67)&gt;0,N67-$H67,0),(_xll.xSPRDOPT(N67,$E67,$BU67,0,$BP67,$BS67,$BT67,($A67-Inputs!$D$1)+15,1,0)))))</f>
        <v>0.23504939760260296</v>
      </c>
      <c r="V67" s="259">
        <f ca="1">IF($A67="N/A"," ",(IF('Pricing Inputs'!$AN$8=2,(O67-$H67),IF((O67-$H67)&lt;=0,0,(O67-$H67)))))</f>
        <v>0</v>
      </c>
      <c r="W67" s="306">
        <f ca="1">IF($A67="N/A"," ",IF(0&lt;&gt;P67,IF('Pricing Inputs'!$AN$3=2,8*VLOOKUP($A67,NumberofDaysTable,2),(_xll.xSPRDOPT(I67,$E67,$BU67,0,$BP67,$BS67,$BT67,$A67-Inputs!$D$1,1,1))*(8*VLOOKUP($A67,NumberofDaysTable,2))),0))</f>
        <v>68.441451063176515</v>
      </c>
      <c r="X67" s="306">
        <f ca="1">IF($A67="N/A"," ",IF(Q67&lt;&gt;0,IF('Pricing Inputs'!$AN$3=2,8*VLOOKUP($A67,NumberofDaysTable,2),(_xll.xSPRDOPT(J67,$E67,$BU67,0,$BP67,$BS67,$BT67,$A67-Inputs!$D$1,1,1))*(8*VLOOKUP($A67,NumberofDaysTable,2))),0))</f>
        <v>106.1636953418968</v>
      </c>
      <c r="Y67" s="306">
        <f ca="1">IF($A67="N/A"," ",IF(R67&lt;&gt;0,IF('Pricing Inputs'!$AN$3=2,8*VLOOKUP($A67,NumberofDaysTable,3),(_xll.xSPRDOPT(K67,$E67,$BU67,0,$BP67,$BS67,$BT67,$A67-Inputs!$D$1,1,1))*(8*VLOOKUP($A67,NumberofDaysTable,3))),0))</f>
        <v>1.9430481465282763</v>
      </c>
      <c r="Z67" s="306">
        <f ca="1">IF($A67="N/A"," ",IF(S67&lt;&gt;0,IF('Pricing Inputs'!$AN$3=2,8*VLOOKUP($A67,NumberofDaysTable,3),(_xll.xSPRDOPT(L67,$E67,$BU67,0,$BP67,$BS67,$BT67,$A67-Inputs!$D$1,1,1))*(8*VLOOKUP($A67,NumberofDaysTable,3))),0))</f>
        <v>5.8883429850937761</v>
      </c>
      <c r="AA67" s="306">
        <f ca="1">IF($A67="N/A"," ",IF(T67&lt;&gt;0,IF('Pricing Inputs'!$AN$3=2,8*VLOOKUP($A67,NumberofDaysTable,4),(_xll.xSPRDOPT(M67,$E67,$BU67,0,$BP67,$BS67,$BT67,$A67-Inputs!$D$1,1,1))*(8*VLOOKUP($A67,NumberofDaysTable,4))),0))</f>
        <v>1.1435216587734223</v>
      </c>
      <c r="AB67" s="306">
        <f ca="1">IF($A67="N/A"," ",IF(U67&lt;&gt;0,IF('Pricing Inputs'!$AN$3=2,8*VLOOKUP($A67,NumberofDaysTable,4),(_xll.xSPRDOPT(N67,$E67,$BU67,0,$BP67,$BS67,$BT67,$A67-Inputs!$D$1,1,1))*(8*VLOOKUP($A67,NumberofDaysTable,4))),0))</f>
        <v>3.935564638990463</v>
      </c>
      <c r="AC67" s="306">
        <f t="shared" ca="1" si="21"/>
        <v>0</v>
      </c>
      <c r="AD67" s="274">
        <f t="shared" ca="1" si="119"/>
        <v>25</v>
      </c>
      <c r="AE67" s="275">
        <f t="shared" ca="1" si="120"/>
        <v>17</v>
      </c>
      <c r="AF67" s="275">
        <f t="shared" ca="1" si="121"/>
        <v>59</v>
      </c>
      <c r="AG67" s="275">
        <f t="shared" ca="1" si="122"/>
        <v>42</v>
      </c>
      <c r="AH67" s="275">
        <f t="shared" ca="1" si="123"/>
        <v>63</v>
      </c>
      <c r="AI67" s="275">
        <f t="shared" ca="1" si="124"/>
        <v>51</v>
      </c>
      <c r="AJ67" s="276">
        <f t="shared" ca="1" si="125"/>
        <v>73</v>
      </c>
      <c r="AK67" s="314">
        <f t="shared" ca="1" si="43"/>
        <v>68.441451063176515</v>
      </c>
      <c r="AL67" s="315">
        <f t="shared" ca="1" si="44"/>
        <v>106.1636953418968</v>
      </c>
      <c r="AM67" s="315">
        <f t="shared" ca="1" si="45"/>
        <v>1.9430481465282763</v>
      </c>
      <c r="AN67" s="315">
        <f t="shared" ca="1" si="46"/>
        <v>5.8883429850937761</v>
      </c>
      <c r="AO67" s="315">
        <f t="shared" ca="1" si="47"/>
        <v>1.1435216587734223</v>
      </c>
      <c r="AP67" s="315">
        <f t="shared" ca="1" si="48"/>
        <v>3.935564638990463</v>
      </c>
      <c r="AQ67" s="315">
        <f t="shared" ca="1" si="49"/>
        <v>0</v>
      </c>
      <c r="AR67" s="276"/>
      <c r="AS67" s="321">
        <f t="shared" ca="1" si="112"/>
        <v>0</v>
      </c>
      <c r="AT67" s="324">
        <f t="shared" ca="1" si="113"/>
        <v>0</v>
      </c>
      <c r="AU67" s="324">
        <f t="shared" ca="1" si="114"/>
        <v>0</v>
      </c>
      <c r="AV67" s="324">
        <f t="shared" ca="1" si="115"/>
        <v>0</v>
      </c>
      <c r="AW67" s="324">
        <f t="shared" ca="1" si="116"/>
        <v>0</v>
      </c>
      <c r="AX67" s="324">
        <f t="shared" ca="1" si="117"/>
        <v>0</v>
      </c>
      <c r="AY67" s="324">
        <f t="shared" ca="1" si="118"/>
        <v>0</v>
      </c>
      <c r="AZ67" s="276"/>
      <c r="BA67" s="267">
        <f ca="1">IF($A67="N/A"," ",(IF(MONTH(A67)&gt;=4,IF(MONTH(A67)&lt;=10,Inputs!$F$13,Inputs!$F$14),Inputs!$F$14))*$BW67)</f>
        <v>180</v>
      </c>
      <c r="BB67" s="268">
        <f t="shared" ca="1" si="64"/>
        <v>57728.880046270242</v>
      </c>
      <c r="BC67" s="268">
        <f t="shared" ca="1" si="65"/>
        <v>133455.3956233096</v>
      </c>
      <c r="BD67" s="268">
        <f t="shared" ca="1" si="31"/>
        <v>681.12644337777419</v>
      </c>
      <c r="BE67" s="268">
        <f t="shared" ca="1" si="32"/>
        <v>2911.9621421029533</v>
      </c>
      <c r="BF67" s="268">
        <f t="shared" ca="1" si="33"/>
        <v>352.02751931716494</v>
      </c>
      <c r="BG67" s="268">
        <f t="shared" ca="1" si="34"/>
        <v>1692.3556627387413</v>
      </c>
      <c r="BH67" s="268">
        <f t="shared" ca="1" si="41"/>
        <v>0</v>
      </c>
      <c r="BI67" s="268">
        <f t="shared" ca="1" si="36"/>
        <v>196821.74743711646</v>
      </c>
      <c r="BJ67" s="296">
        <f t="shared" ca="1" si="37"/>
        <v>1051199.6955168399</v>
      </c>
      <c r="BK67" s="296">
        <f t="shared" ca="1" si="38"/>
        <v>983694.07093643444</v>
      </c>
      <c r="BL67" s="296">
        <f t="shared" ca="1" si="39"/>
        <v>67505.624580405318</v>
      </c>
      <c r="BM67" s="296">
        <f t="shared" ca="1" si="40"/>
        <v>0</v>
      </c>
      <c r="BN67" s="405">
        <f>IF(A67="N/A"," ",(VLOOKUP(A67,PowerVolTable,(IF('Pricing Inputs'!$AT$3=2,7,IF('Pricing Inputs'!$AT$3=1,6,8))),FALSE)))</f>
        <v>0.18419855217187495</v>
      </c>
      <c r="BO67" s="405">
        <f>IF(A67="N/A"," ",(VLOOKUP(A67,IntraPowerVol,(IF('Pricing Inputs'!$AT$3=2,3,IF('Pricing Inputs'!$AT$3=1,2,4))),FALSE)*VLOOKUP(MONTH($A67),Inputs!$A$28:$B$39,2)))</f>
        <v>1.2649999999999999</v>
      </c>
      <c r="BP67" s="406">
        <f t="shared" ca="1" si="15"/>
        <v>0.21076357442147031</v>
      </c>
      <c r="BQ67" s="405">
        <f ca="1">IF($A67="N/A"," ",(VLOOKUP($A67,GasVolTable,(IF('Pricing Inputs'!$AT$3=2,6,IF('Pricing Inputs'!$AT$3=1,7,5))),FALSE)))</f>
        <v>0.1575</v>
      </c>
      <c r="BR67" s="405">
        <f ca="1">IF($A67="N/A"," ",(VLOOKUP($A67,OmicronVol,(IF('Pricing Inputs'!$AT$3=2,3,IF('Pricing Inputs'!$AT$3=1,4,2))),FALSE)))</f>
        <v>0.45</v>
      </c>
      <c r="BS67" s="406">
        <f ca="1">IF($A67="N/A"," ",IF('Pricing Inputs'!$AN$3=1,(IF(DateToday&gt;$A67,$BR67,((($BQ67^2)*((($A67-1)-DateToday)/((EOMONTH($A67,0)+1)-DateToday-15)))+((($BR67)^2)*((15)/((EOMONTH($A67,0)+1)-DateToday-15))))^0.5)),0.0001))</f>
        <v>0.16120545313867579</v>
      </c>
      <c r="BT67" s="405">
        <f>IF($A67="N/A"," ",IF('Pricing Inputs'!$AN$3=1,(VLOOKUP($A67,CorrelationTable,2,FALSE)),0))</f>
        <v>0.9</v>
      </c>
      <c r="BU67" s="407">
        <f ca="1">IF($A67="N/A"," ",F67+G67+(D67*(VLOOKUP($A67,'Gas Curves'!$B$17:$P$310,14,FALSE))))</f>
        <v>2.6825000000000001</v>
      </c>
      <c r="BV67" s="405">
        <f>IF($A67="N/A"," ",IF('Pricing Inputs'!$AW$3=1,0,(VLOOKUP($A67,InterestRatesTable,2))))</f>
        <v>0</v>
      </c>
      <c r="BW67" s="408">
        <f t="shared" ca="1" si="16"/>
        <v>1</v>
      </c>
    </row>
    <row r="68" spans="1:75">
      <c r="A68" s="248">
        <f>IF(A67="N/A","N/A",IF(EDATE(A67,1)&gt;Inputs!$K$3,"N/A",EDATE(A67,1)))</f>
        <v>38838</v>
      </c>
      <c r="B68" s="262">
        <f t="shared" si="17"/>
        <v>2006</v>
      </c>
      <c r="C68" s="249">
        <f t="shared" ca="1" si="18"/>
        <v>2.7508750000000002</v>
      </c>
      <c r="D68" s="250">
        <f>IF(A68="N/A"," ",(VLOOKUP(MONTH($A68),Inputs!$A$14:$B$25,2))/1000)</f>
        <v>10.5</v>
      </c>
      <c r="E68" s="304">
        <f t="shared" ca="1" si="19"/>
        <v>28.884187500000003</v>
      </c>
      <c r="F68" s="251">
        <f>IF(A68="N/A"," ",Inputs!$F$6)</f>
        <v>2</v>
      </c>
      <c r="G68" s="251">
        <f ca="1">IF(A68="N/A"," ",Inputs!$F$9/IF(AND('Pricing Inputs'!$AQ$3&gt;=4,'Pricing Inputs'!$AQ$3&lt;=6),16,IF(AND('Pricing Inputs'!$AQ$3&gt;=7,'Pricing Inputs'!$AQ$3&lt;=9),8,24))/(BA68/BW68))</f>
        <v>0</v>
      </c>
      <c r="H68" s="252">
        <f t="shared" ca="1" si="20"/>
        <v>30.884187500000003</v>
      </c>
      <c r="I68" s="255">
        <f>VLOOKUP(A68,ScaledPrice,(IF(AND('Pricing Inputs'!$AQ$3&gt;=1,'Pricing Inputs'!$AQ$3&lt;=6),2,4)))</f>
        <v>32.914232385939414</v>
      </c>
      <c r="J68" s="255">
        <f>IF(A68="N/A"," ",IF(AND('Pricing Inputs'!$AQ$3&gt;=1,'Pricing Inputs'!$AQ$3&lt;=6),I68,(VLOOKUP(A68,ScaledPrice,2))*(2-(VLOOKUP(A68,ScaledPrice,3)))))</f>
        <v>34.785767614060589</v>
      </c>
      <c r="K68" s="255">
        <f>IF(A68="N/A"," ",IF(OR('Pricing Inputs'!$AQ$3=2,'Pricing Inputs'!$AQ$3=3,'Pricing Inputs'!$AQ$3=5,'Pricing Inputs'!$AQ$3=6,'Pricing Inputs'!$AQ$3=8,'Pricing Inputs'!$AQ$3=9),VLOOKUP(A68,ScaledPrice,IF(AND('Pricing Inputs'!$AQ$3&gt;=2,'Pricing Inputs'!$AQ$3&lt;=6),5,6)),0))</f>
        <v>21.617892881286693</v>
      </c>
      <c r="L68" s="255">
        <f>IF(A68="N/A"," ",IF(OR('Pricing Inputs'!$AQ$3=2,'Pricing Inputs'!$AQ$3=3,'Pricing Inputs'!$AQ$3=5,'Pricing Inputs'!$AQ$3=6,'Pricing Inputs'!$AQ$3=8,'Pricing Inputs'!$AQ$3=9),IF(AND('Pricing Inputs'!$AQ$3&gt;=2,'Pricing Inputs'!$AQ$3&lt;=6),K68,(VLOOKUP(A68,ScaledPrice,5))*(2-(VLOOKUP(A68,ScaledPrice,3)))),0))</f>
        <v>22.847107271301191</v>
      </c>
      <c r="M68" s="255">
        <f>IF(A68="N/A"," ",IF(OR('Pricing Inputs'!$AQ$3=3,'Pricing Inputs'!$AQ$3=6,'Pricing Inputs'!$AQ$3=9),(VLOOKUP(A68,ScaledPrice,IF(AND('Pricing Inputs'!$AQ$3&gt;=3,'Pricing Inputs'!$AQ$3&lt;=6),7,8))),0))</f>
        <v>20.774374221333101</v>
      </c>
      <c r="N68" s="255">
        <f>IF(A68="N/A"," ",IF(OR('Pricing Inputs'!$AQ$3=3,'Pricing Inputs'!$AQ$3=6,'Pricing Inputs'!$AQ$3=9),IF(AND('Pricing Inputs'!$AQ$3&gt;=3,'Pricing Inputs'!$AQ$3&lt;=6),M68,(VLOOKUP(A68,ScaledPrice,7))*(2-(VLOOKUP(A68,ScaledPrice,3)))),0))</f>
        <v>21.95562532090322</v>
      </c>
      <c r="O68" s="255">
        <f>IF(A68="N/A"," ",IF(AND('Pricing Inputs'!$AQ$3&gt;=1,'Pricing Inputs'!$AQ$3&lt;=3),VLOOKUP(A68,ScaledPrice,9),0))</f>
        <v>0</v>
      </c>
      <c r="P68" s="320">
        <f ca="1">IF($A68="N/A"," ",IF('Pricing Inputs'!$AN$8=2,(I68-H68),IF('Pricing Inputs'!$AN$3=2,IF((I68-$H68)&gt;0,I68-$H68,0),(_xll.xSPRDOPT(I68,$E68,$BU68,0,$BP68,$BS68,$BT68,($A68-Inputs!$D$1)+15,1,0)))))</f>
        <v>4.5510829402121136</v>
      </c>
      <c r="Q68" s="320">
        <f ca="1">IF($A68="N/A"," ",IF('Pricing Inputs'!$AN$8=2,(J68-$H68),IF('Pricing Inputs'!$AN$3=2,IF((J68-$H68)&gt;0,J68-$H68,0),(_xll.xSPRDOPT(J68,$E68,$BU68,0,$BP68,$BS68,$BT68,($A68-Inputs!$D$1)+15,1,0)))))</f>
        <v>5.7692624287847396</v>
      </c>
      <c r="R68" s="320">
        <f ca="1">IF($A68="N/A"," ",IF('Pricing Inputs'!$AN$8=2,(K68-$H68),IF('Pricing Inputs'!$AN$3=2,IF((K68-$H68)&gt;0,K68-$H68,0),(_xll.xSPRDOPT(K68,$E68,$BU68,0,$BP68,$BS68,$BT68,($A68-Inputs!$D$1)+15,1,0)))))</f>
        <v>0.37218390412576191</v>
      </c>
      <c r="S68" s="320">
        <f ca="1">IF($A68="N/A"," ",IF('Pricing Inputs'!$AN$8=2,(L68-$H68),IF('Pricing Inputs'!$AN$3=2,IF((L68-$H68)&gt;0,L68-$H68,0),(_xll.xSPRDOPT(L68,$E68,$BU68,0,$BP68,$BS68,$BT68,($A68-Inputs!$D$1)+15,1,0)))))</f>
        <v>0.56038711203475056</v>
      </c>
      <c r="T68" s="320">
        <f ca="1">IF($A68="N/A"," ",IF('Pricing Inputs'!$AN$8=2,(M68-$H68),IF('Pricing Inputs'!$AN$3=2,IF((M68-$H68)&gt;0,M68-$H68,0),(_xll.xSPRDOPT(M68,$E68,$BU68,0,$BP68,$BS68,$BT68,($A68-Inputs!$D$1)+15,1,0)))))</f>
        <v>0.27267183766572817</v>
      </c>
      <c r="U68" s="320">
        <f ca="1">IF($A68="N/A"," ",IF('Pricing Inputs'!$AN$8=2,(N68-$H68),IF('Pricing Inputs'!$AN$3=2,IF((N68-$H68)&gt;0,N68-$H68,0),(_xll.xSPRDOPT(N68,$E68,$BU68,0,$BP68,$BS68,$BT68,($A68-Inputs!$D$1)+15,1,0)))))</f>
        <v>0.41854275828631454</v>
      </c>
      <c r="V68" s="259">
        <f ca="1">IF($A68="N/A"," ",(IF('Pricing Inputs'!$AN$8=2,(O68-$H68),IF((O68-$H68)&lt;=0,0,(O68-$H68)))))</f>
        <v>0</v>
      </c>
      <c r="W68" s="306">
        <f ca="1">IF($A68="N/A"," ",IF(0&lt;&gt;P68,IF('Pricing Inputs'!$AN$3=2,8*VLOOKUP($A68,NumberofDaysTable,2),(_xll.xSPRDOPT(I68,$E68,$BU68,0,$BP68,$BS68,$BT68,$A68-Inputs!$D$1,1,1))*(8*VLOOKUP($A68,NumberofDaysTable,2))),0))</f>
        <v>108.42312948660165</v>
      </c>
      <c r="X68" s="306">
        <f ca="1">IF($A68="N/A"," ",IF(Q68&lt;&gt;0,IF('Pricing Inputs'!$AN$3=2,8*VLOOKUP($A68,NumberofDaysTable,2),(_xll.xSPRDOPT(J68,$E68,$BU68,0,$BP68,$BS68,$BT68,$A68-Inputs!$D$1,1,1))*(8*VLOOKUP($A68,NumberofDaysTable,2))),0))</f>
        <v>120.46688193674521</v>
      </c>
      <c r="Y68" s="306">
        <f ca="1">IF($A68="N/A"," ",IF(R68&lt;&gt;0,IF('Pricing Inputs'!$AN$3=2,8*VLOOKUP($A68,NumberofDaysTable,3),(_xll.xSPRDOPT(K68,$E68,$BU68,0,$BP68,$BS68,$BT68,$A68-Inputs!$D$1,1,1))*(8*VLOOKUP($A68,NumberofDaysTable,3))),0))</f>
        <v>4.1771864340600979</v>
      </c>
      <c r="Z68" s="306">
        <f ca="1">IF($A68="N/A"," ",IF(S68&lt;&gt;0,IF('Pricing Inputs'!$AN$3=2,8*VLOOKUP($A68,NumberofDaysTable,3),(_xll.xSPRDOPT(L68,$E68,$BU68,0,$BP68,$BS68,$BT68,$A68-Inputs!$D$1,1,1))*(8*VLOOKUP($A68,NumberofDaysTable,3))),0))</f>
        <v>5.5872928514734381</v>
      </c>
      <c r="AA68" s="306">
        <f ca="1">IF($A68="N/A"," ",IF(T68&lt;&gt;0,IF('Pricing Inputs'!$AN$3=2,8*VLOOKUP($A68,NumberofDaysTable,4),(_xll.xSPRDOPT(M68,$E68,$BU68,0,$BP68,$BS68,$BT68,$A68-Inputs!$D$1,1,1))*(8*VLOOKUP($A68,NumberofDaysTable,4))),0))</f>
        <v>3.3276979733164529</v>
      </c>
      <c r="AB68" s="306">
        <f ca="1">IF($A68="N/A"," ",IF(U68&lt;&gt;0,IF('Pricing Inputs'!$AN$3=2,8*VLOOKUP($A68,NumberofDaysTable,4),(_xll.xSPRDOPT(N68,$E68,$BU68,0,$BP68,$BS68,$BT68,$A68-Inputs!$D$1,1,1))*(8*VLOOKUP($A68,NumberofDaysTable,4))),0))</f>
        <v>4.5452323905232204</v>
      </c>
      <c r="AC68" s="306">
        <f t="shared" ca="1" si="21"/>
        <v>0</v>
      </c>
      <c r="AD68" s="274">
        <f t="shared" ca="1" si="119"/>
        <v>18</v>
      </c>
      <c r="AE68" s="275">
        <f t="shared" ca="1" si="120"/>
        <v>15</v>
      </c>
      <c r="AF68" s="275">
        <f t="shared" ca="1" si="121"/>
        <v>44</v>
      </c>
      <c r="AG68" s="275">
        <f t="shared" ca="1" si="122"/>
        <v>36</v>
      </c>
      <c r="AH68" s="275">
        <f t="shared" ca="1" si="123"/>
        <v>49</v>
      </c>
      <c r="AI68" s="275">
        <f t="shared" ca="1" si="124"/>
        <v>41</v>
      </c>
      <c r="AJ68" s="276">
        <f t="shared" ca="1" si="125"/>
        <v>73</v>
      </c>
      <c r="AK68" s="314">
        <f t="shared" ca="1" si="43"/>
        <v>108.42312948660165</v>
      </c>
      <c r="AL68" s="315">
        <f t="shared" ca="1" si="44"/>
        <v>120.46688193674521</v>
      </c>
      <c r="AM68" s="315">
        <f t="shared" ca="1" si="45"/>
        <v>4.1771864340600979</v>
      </c>
      <c r="AN68" s="315">
        <f t="shared" ca="1" si="46"/>
        <v>5.5872928514734381</v>
      </c>
      <c r="AO68" s="315">
        <f t="shared" ca="1" si="47"/>
        <v>3.3276979733164529</v>
      </c>
      <c r="AP68" s="315">
        <f t="shared" ca="1" si="48"/>
        <v>4.5452323905232204</v>
      </c>
      <c r="AQ68" s="315">
        <f t="shared" ca="1" si="49"/>
        <v>0</v>
      </c>
      <c r="AR68" s="276"/>
      <c r="AS68" s="321">
        <f t="shared" ca="1" si="112"/>
        <v>0</v>
      </c>
      <c r="AT68" s="324">
        <f t="shared" ca="1" si="113"/>
        <v>0</v>
      </c>
      <c r="AU68" s="324">
        <f t="shared" ca="1" si="114"/>
        <v>0</v>
      </c>
      <c r="AV68" s="324">
        <f t="shared" ca="1" si="115"/>
        <v>0</v>
      </c>
      <c r="AW68" s="324">
        <f t="shared" ca="1" si="116"/>
        <v>0</v>
      </c>
      <c r="AX68" s="324">
        <f t="shared" ca="1" si="117"/>
        <v>0</v>
      </c>
      <c r="AY68" s="324">
        <f t="shared" ca="1" si="118"/>
        <v>0</v>
      </c>
      <c r="AZ68" s="276"/>
      <c r="BA68" s="267">
        <f ca="1">IF($A68="N/A"," ",(IF(MONTH(A68)&gt;=4,IF(MONTH(A68)&lt;=10,Inputs!$F$13,Inputs!$F$14),Inputs!$F$14))*$BW68)</f>
        <v>180</v>
      </c>
      <c r="BB68" s="268">
        <f t="shared" ca="1" si="64"/>
        <v>144178.30754591976</v>
      </c>
      <c r="BC68" s="268">
        <f t="shared" ca="1" si="65"/>
        <v>182770.23374390055</v>
      </c>
      <c r="BD68" s="268">
        <f t="shared" ca="1" si="31"/>
        <v>2143.7792877643888</v>
      </c>
      <c r="BE68" s="268">
        <f t="shared" ca="1" si="32"/>
        <v>3227.829765320163</v>
      </c>
      <c r="BF68" s="268">
        <f t="shared" ca="1" si="33"/>
        <v>1963.2372311932429</v>
      </c>
      <c r="BG68" s="268">
        <f t="shared" ca="1" si="34"/>
        <v>3013.5078596614649</v>
      </c>
      <c r="BH68" s="268">
        <f t="shared" ca="1" si="41"/>
        <v>0</v>
      </c>
      <c r="BI68" s="268">
        <f t="shared" ca="1" si="36"/>
        <v>337296.89543375961</v>
      </c>
      <c r="BJ68" s="296">
        <f t="shared" ca="1" si="37"/>
        <v>1370483.837334241</v>
      </c>
      <c r="BK68" s="296">
        <f t="shared" ca="1" si="38"/>
        <v>1281733.9657480617</v>
      </c>
      <c r="BL68" s="296">
        <f t="shared" ca="1" si="39"/>
        <v>88749.87158617923</v>
      </c>
      <c r="BM68" s="296">
        <f t="shared" ca="1" si="40"/>
        <v>0</v>
      </c>
      <c r="BN68" s="405">
        <f>IF(A68="N/A"," ",(VLOOKUP(A68,PowerVolTable,(IF('Pricing Inputs'!$AT$3=2,7,IF('Pricing Inputs'!$AT$3=1,6,8))),FALSE)))</f>
        <v>0.21205466592187494</v>
      </c>
      <c r="BO68" s="405">
        <f>IF(A68="N/A"," ",(VLOOKUP(A68,IntraPowerVol,(IF('Pricing Inputs'!$AT$3=2,3,IF('Pricing Inputs'!$AT$3=1,2,4))),FALSE)*VLOOKUP(MONTH($A68),Inputs!$A$28:$B$39,2)))</f>
        <v>1.2649999999999999</v>
      </c>
      <c r="BP68" s="406">
        <f t="shared" ref="BP68:BP131" ca="1" si="126">IF($A68="N/A"," ",(IF(DateToday&gt;$A68,$BO68,((($BN68^2)*((($A68-1)-DateToday)/((EOMONTH($A68,0)+1)-DateToday-15)))+((($BO68)^2)*((15)/((EOMONTH($A68,0)+1)-DateToday-15))))^0.5)))</f>
        <v>0.23498541284376351</v>
      </c>
      <c r="BQ68" s="405">
        <f ca="1">IF($A68="N/A"," ",(VLOOKUP($A68,GasVolTable,(IF('Pricing Inputs'!$AT$3=2,6,IF('Pricing Inputs'!$AT$3=1,7,5))),FALSE)))</f>
        <v>0.1575</v>
      </c>
      <c r="BR68" s="405">
        <f ca="1">IF($A68="N/A"," ",(VLOOKUP($A68,OmicronVol,(IF('Pricing Inputs'!$AT$3=2,3,IF('Pricing Inputs'!$AT$3=1,4,2))),FALSE)))</f>
        <v>0.5</v>
      </c>
      <c r="BS68" s="406">
        <f ca="1">IF($A68="N/A"," ",IF('Pricing Inputs'!$AN$3=1,(IF(DateToday&gt;$A68,$BR68,((($BQ68^2)*((($A68-1)-DateToday)/((EOMONTH($A68,0)+1)-DateToday-15)))+((($BR68)^2)*((15)/((EOMONTH($A68,0)+1)-DateToday-15))))^0.5)),0.0001))</f>
        <v>0.16209379687527625</v>
      </c>
      <c r="BT68" s="405">
        <f>IF($A68="N/A"," ",IF('Pricing Inputs'!$AN$3=1,(VLOOKUP($A68,CorrelationTable,2,FALSE)),0))</f>
        <v>0.9</v>
      </c>
      <c r="BU68" s="407">
        <f ca="1">IF($A68="N/A"," ",F68+G68+(D68*(VLOOKUP($A68,'Gas Curves'!$B$17:$P$310,14,FALSE))))</f>
        <v>2.6825000000000001</v>
      </c>
      <c r="BV68" s="405">
        <f>IF($A68="N/A"," ",IF('Pricing Inputs'!$AW$3=1,0,(VLOOKUP($A68,InterestRatesTable,2))))</f>
        <v>0</v>
      </c>
      <c r="BW68" s="408">
        <f t="shared" ref="BW68:BW131" ca="1" si="127">IF($A68="N/A"," ",(1+BV68/2)^(-2*((EOMONTH(A68,0)+20)-DateToday)/365.25))</f>
        <v>1</v>
      </c>
    </row>
    <row r="69" spans="1:75">
      <c r="A69" s="248">
        <f>IF(A68="N/A","N/A",IF(EDATE(A68,1)&gt;Inputs!$K$3,"N/A",EDATE(A68,1)))</f>
        <v>38869</v>
      </c>
      <c r="B69" s="262">
        <f t="shared" ref="B69:B132" si="128">IF(A69="N/A"," ",YEAR(A69))</f>
        <v>2006</v>
      </c>
      <c r="C69" s="249">
        <f t="shared" ref="C69:C132" ca="1" si="129">IF(A69="N/A"," ",VLOOKUP(A69,ScaledPrice,10))</f>
        <v>2.756875</v>
      </c>
      <c r="D69" s="250">
        <f>IF(A69="N/A"," ",(VLOOKUP(MONTH($A69),Inputs!$A$14:$B$25,2))/1000)</f>
        <v>10.5</v>
      </c>
      <c r="E69" s="304">
        <f t="shared" ref="E69:E132" ca="1" si="130">IF($A69="N/A"," ",C69*D69)</f>
        <v>28.947187499999998</v>
      </c>
      <c r="F69" s="251">
        <f>IF(A69="N/A"," ",Inputs!$F$6)</f>
        <v>2</v>
      </c>
      <c r="G69" s="251">
        <f ca="1">IF(A69="N/A"," ",Inputs!$F$9/IF(AND('Pricing Inputs'!$AQ$3&gt;=4,'Pricing Inputs'!$AQ$3&lt;=6),16,IF(AND('Pricing Inputs'!$AQ$3&gt;=7,'Pricing Inputs'!$AQ$3&lt;=9),8,24))/(BA69/BW69))</f>
        <v>0</v>
      </c>
      <c r="H69" s="252">
        <f t="shared" ref="H69:H132" ca="1" si="131">IF(A69="N/A"," ",(C69*D69)+F69+G69)</f>
        <v>30.947187499999998</v>
      </c>
      <c r="I69" s="255">
        <f>VLOOKUP(A69,ScaledPrice,(IF(AND('Pricing Inputs'!$AQ$3&gt;=1,'Pricing Inputs'!$AQ$3&lt;=6),2,4)))</f>
        <v>55.874344671392016</v>
      </c>
      <c r="J69" s="255">
        <f>IF(A69="N/A"," ",IF(AND('Pricing Inputs'!$AQ$3&gt;=1,'Pricing Inputs'!$AQ$3&lt;=6),I69,(VLOOKUP(A69,ScaledPrice,2))*(2-(VLOOKUP(A69,ScaledPrice,3)))))</f>
        <v>42.125655328607984</v>
      </c>
      <c r="K69" s="255">
        <f>IF(A69="N/A"," ",IF(OR('Pricing Inputs'!$AQ$3=2,'Pricing Inputs'!$AQ$3=3,'Pricing Inputs'!$AQ$3=5,'Pricing Inputs'!$AQ$3=6,'Pricing Inputs'!$AQ$3=8,'Pricing Inputs'!$AQ$3=9),VLOOKUP(A69,ScaledPrice,IF(AND('Pricing Inputs'!$AQ$3&gt;=2,'Pricing Inputs'!$AQ$3&lt;=6),5,6)),0))</f>
        <v>30.398779480290209</v>
      </c>
      <c r="L69" s="255">
        <f>IF(A69="N/A"," ",IF(OR('Pricing Inputs'!$AQ$3=2,'Pricing Inputs'!$AQ$3=3,'Pricing Inputs'!$AQ$3=5,'Pricing Inputs'!$AQ$3=6,'Pricing Inputs'!$AQ$3=8,'Pricing Inputs'!$AQ$3=9),IF(AND('Pricing Inputs'!$AQ$3&gt;=2,'Pricing Inputs'!$AQ$3&lt;=6),K69,(VLOOKUP(A69,ScaledPrice,5))*(2-(VLOOKUP(A69,ScaledPrice,3)))),0))</f>
        <v>22.918720824885568</v>
      </c>
      <c r="M69" s="255">
        <f>IF(A69="N/A"," ",IF(OR('Pricing Inputs'!$AQ$3=3,'Pricing Inputs'!$AQ$3=6,'Pricing Inputs'!$AQ$3=9),(VLOOKUP(A69,ScaledPrice,IF(AND('Pricing Inputs'!$AQ$3&gt;=3,'Pricing Inputs'!$AQ$3&lt;=6),7,8))),0))</f>
        <v>22.968346162576907</v>
      </c>
      <c r="N69" s="255">
        <f>IF(A69="N/A"," ",IF(OR('Pricing Inputs'!$AQ$3=3,'Pricing Inputs'!$AQ$3=6,'Pricing Inputs'!$AQ$3=9),IF(AND('Pricing Inputs'!$AQ$3&gt;=3,'Pricing Inputs'!$AQ$3&lt;=6),M69,(VLOOKUP(A69,ScaledPrice,7))*(2-(VLOOKUP(A69,ScaledPrice,3)))),0))</f>
        <v>17.316652921895745</v>
      </c>
      <c r="O69" s="255">
        <f>IF(A69="N/A"," ",IF(AND('Pricing Inputs'!$AQ$3&gt;=1,'Pricing Inputs'!$AQ$3&lt;=3),VLOOKUP(A69,ScaledPrice,9),0))</f>
        <v>0</v>
      </c>
      <c r="P69" s="320">
        <f ca="1">IF($A69="N/A"," ",IF('Pricing Inputs'!$AN$8=2,(I69-H69),IF('Pricing Inputs'!$AN$3=2,IF((I69-$H69)&gt;0,I69-$H69,0),(_xll.xSPRDOPT(I69,$E69,$BU69,0,$BP69,$BS69,$BT69,($A69-Inputs!$D$1)+15,1,0)))))</f>
        <v>25.609498349930643</v>
      </c>
      <c r="Q69" s="320">
        <f ca="1">IF($A69="N/A"," ",IF('Pricing Inputs'!$AN$8=2,(J69-$H69),IF('Pricing Inputs'!$AN$3=2,IF((J69-$H69)&gt;0,J69-$H69,0),(_xll.xSPRDOPT(J69,$E69,$BU69,0,$BP69,$BS69,$BT69,($A69-Inputs!$D$1)+15,1,0)))))</f>
        <v>13.711444508697708</v>
      </c>
      <c r="R69" s="320">
        <f ca="1">IF($A69="N/A"," ",IF('Pricing Inputs'!$AN$8=2,(K69-$H69),IF('Pricing Inputs'!$AN$3=2,IF((K69-$H69)&gt;0,K69-$H69,0),(_xll.xSPRDOPT(K69,$E69,$BU69,0,$BP69,$BS69,$BT69,($A69-Inputs!$D$1)+15,1,0)))))</f>
        <v>5.5541636893623298</v>
      </c>
      <c r="S69" s="320">
        <f ca="1">IF($A69="N/A"," ",IF('Pricing Inputs'!$AN$8=2,(L69-$H69),IF('Pricing Inputs'!$AN$3=2,IF((L69-$H69)&gt;0,L69-$H69,0),(_xll.xSPRDOPT(L69,$E69,$BU69,0,$BP69,$BS69,$BT69,($A69-Inputs!$D$1)+15,1,0)))))</f>
        <v>2.081838134125221</v>
      </c>
      <c r="T69" s="320">
        <f ca="1">IF($A69="N/A"," ",IF('Pricing Inputs'!$AN$8=2,(M69-$H69),IF('Pricing Inputs'!$AN$3=2,IF((M69-$H69)&gt;0,M69-$H69,0),(_xll.xSPRDOPT(M69,$E69,$BU69,0,$BP69,$BS69,$BT69,($A69-Inputs!$D$1)+15,1,0)))))</f>
        <v>2.0992065308980252</v>
      </c>
      <c r="U69" s="320">
        <f ca="1">IF($A69="N/A"," ",IF('Pricing Inputs'!$AN$8=2,(N69-$H69),IF('Pricing Inputs'!$AN$3=2,IF((N69-$H69)&gt;0,N69-$H69,0),(_xll.xSPRDOPT(N69,$E69,$BU69,0,$BP69,$BS69,$BT69,($A69-Inputs!$D$1)+15,1,0)))))</f>
        <v>0.63328473225071058</v>
      </c>
      <c r="V69" s="259">
        <f ca="1">IF($A69="N/A"," ",(IF('Pricing Inputs'!$AN$8=2,(O69-$H69),IF((O69-$H69)&lt;=0,0,(O69-$H69)))))</f>
        <v>0</v>
      </c>
      <c r="W69" s="306">
        <f ca="1">IF($A69="N/A"," ",IF(0&lt;&gt;P69,IF('Pricing Inputs'!$AN$3=2,8*VLOOKUP($A69,NumberofDaysTable,2),(_xll.xSPRDOPT(I69,$E69,$BU69,0,$BP69,$BS69,$BT69,$A69-Inputs!$D$1,1,1))*(8*VLOOKUP($A69,NumberofDaysTable,2))),0))</f>
        <v>161.44270591021251</v>
      </c>
      <c r="X69" s="306">
        <f ca="1">IF($A69="N/A"," ",IF(Q69&lt;&gt;0,IF('Pricing Inputs'!$AN$3=2,8*VLOOKUP($A69,NumberofDaysTable,2),(_xll.xSPRDOPT(J69,$E69,$BU69,0,$BP69,$BS69,$BT69,$A69-Inputs!$D$1,1,1))*(8*VLOOKUP($A69,NumberofDaysTable,2))),0))</f>
        <v>140.1274448471226</v>
      </c>
      <c r="Y69" s="306">
        <f ca="1">IF($A69="N/A"," ",IF(R69&lt;&gt;0,IF('Pricing Inputs'!$AN$3=2,8*VLOOKUP($A69,NumberofDaysTable,3),(_xll.xSPRDOPT(K69,$E69,$BU69,0,$BP69,$BS69,$BT69,$A69-Inputs!$D$1,1,1))*(8*VLOOKUP($A69,NumberofDaysTable,3))),0))</f>
        <v>18.248795576631704</v>
      </c>
      <c r="Z69" s="306">
        <f ca="1">IF($A69="N/A"," ",IF(S69&lt;&gt;0,IF('Pricing Inputs'!$AN$3=2,8*VLOOKUP($A69,NumberofDaysTable,3),(_xll.xSPRDOPT(L69,$E69,$BU69,0,$BP69,$BS69,$BT69,$A69-Inputs!$D$1,1,1))*(8*VLOOKUP($A69,NumberofDaysTable,3))),0))</f>
        <v>11.139213610167207</v>
      </c>
      <c r="AA69" s="306">
        <f ca="1">IF($A69="N/A"," ",IF(T69&lt;&gt;0,IF('Pricing Inputs'!$AN$3=2,8*VLOOKUP($A69,NumberofDaysTable,4),(_xll.xSPRDOPT(M69,$E69,$BU69,0,$BP69,$BS69,$BT69,$A69-Inputs!$D$1,1,1))*(8*VLOOKUP($A69,NumberofDaysTable,4))),0))</f>
        <v>11.190816786869496</v>
      </c>
      <c r="AB69" s="306">
        <f ca="1">IF($A69="N/A"," ",IF(U69&lt;&gt;0,IF('Pricing Inputs'!$AN$3=2,8*VLOOKUP($A69,NumberofDaysTable,4),(_xll.xSPRDOPT(N69,$E69,$BU69,0,$BP69,$BS69,$BT69,$A69-Inputs!$D$1,1,1))*(8*VLOOKUP($A69,NumberofDaysTable,4))),0))</f>
        <v>5.4188463857173979</v>
      </c>
      <c r="AC69" s="306">
        <f t="shared" ref="AC69:AC132" ca="1" si="132">IF($A69="N/A"," ",(IF(V69&lt;&gt;0,(8*VLOOKUP($A69,NumberofDaysTable,6)),0)))</f>
        <v>0</v>
      </c>
      <c r="AD69" s="274">
        <f t="shared" ca="1" si="119"/>
        <v>5</v>
      </c>
      <c r="AE69" s="275">
        <f t="shared" ca="1" si="120"/>
        <v>8</v>
      </c>
      <c r="AF69" s="275">
        <f t="shared" ca="1" si="121"/>
        <v>16</v>
      </c>
      <c r="AG69" s="275">
        <f t="shared" ca="1" si="122"/>
        <v>24</v>
      </c>
      <c r="AH69" s="275">
        <f t="shared" ca="1" si="123"/>
        <v>23</v>
      </c>
      <c r="AI69" s="275">
        <f t="shared" ca="1" si="124"/>
        <v>35</v>
      </c>
      <c r="AJ69" s="276">
        <f t="shared" ca="1" si="125"/>
        <v>73</v>
      </c>
      <c r="AK69" s="314">
        <f t="shared" ca="1" si="43"/>
        <v>161.44270591021251</v>
      </c>
      <c r="AL69" s="315">
        <f t="shared" ca="1" si="44"/>
        <v>140.1274448471226</v>
      </c>
      <c r="AM69" s="315">
        <f t="shared" ca="1" si="45"/>
        <v>18.248795576631704</v>
      </c>
      <c r="AN69" s="315">
        <f t="shared" ca="1" si="46"/>
        <v>11.139213610167207</v>
      </c>
      <c r="AO69" s="315">
        <f t="shared" ca="1" si="47"/>
        <v>11.190816786869496</v>
      </c>
      <c r="AP69" s="315">
        <f t="shared" ca="1" si="48"/>
        <v>5.4188463857173979</v>
      </c>
      <c r="AQ69" s="315">
        <f t="shared" ca="1" si="49"/>
        <v>0</v>
      </c>
      <c r="AR69" s="276"/>
      <c r="AS69" s="321">
        <f t="shared" ca="1" si="112"/>
        <v>0</v>
      </c>
      <c r="AT69" s="324">
        <f t="shared" ca="1" si="113"/>
        <v>0</v>
      </c>
      <c r="AU69" s="324">
        <f t="shared" ca="1" si="114"/>
        <v>0</v>
      </c>
      <c r="AV69" s="324">
        <f t="shared" ca="1" si="115"/>
        <v>0</v>
      </c>
      <c r="AW69" s="324">
        <f t="shared" ca="1" si="116"/>
        <v>0</v>
      </c>
      <c r="AX69" s="324">
        <f t="shared" ca="1" si="117"/>
        <v>0</v>
      </c>
      <c r="AY69" s="324">
        <f t="shared" ca="1" si="118"/>
        <v>0</v>
      </c>
      <c r="AZ69" s="276"/>
      <c r="BA69" s="267">
        <f ca="1">IF($A69="N/A"," ",(IF(MONTH(A69)&gt;=4,IF(MONTH(A69)&lt;=10,Inputs!$F$13,Inputs!$F$14),Inputs!$F$14))*$BW69)</f>
        <v>180</v>
      </c>
      <c r="BB69" s="268">
        <f t="shared" ca="1" si="64"/>
        <v>811308.90772580274</v>
      </c>
      <c r="BC69" s="268">
        <f t="shared" ca="1" si="65"/>
        <v>434378.56203554338</v>
      </c>
      <c r="BD69" s="268">
        <f t="shared" ref="BD69:BD132" ca="1" si="133">IF($A69="N/A"," ",(IF(AM69&gt;0,($BA69*(8*(VLOOKUP($A69,NumberofDaysTable,3)))*R69),0)+IF(AU69&gt;0,($BA69*((AU69))*R69),0)))</f>
        <v>31991.982850727021</v>
      </c>
      <c r="BE69" s="268">
        <f t="shared" ref="BE69:BE132" ca="1" si="134">IF($A69="N/A"," ",(IF(AN69&gt;0,($BA69*(8*(VLOOKUP($A69,NumberofDaysTable,3)))*S69),0)+IF(AV69&gt;0,($BA69*((AV69))*S69),0)))</f>
        <v>11991.387652561272</v>
      </c>
      <c r="BF69" s="268">
        <f t="shared" ref="BF69:BF132" ca="1" si="135">IF($A69="N/A"," ",(IF(AO69&gt;0,($BA69*(8*(VLOOKUP($A69,NumberofDaysTable,4)+VLOOKUP($A69,NumberofDaysTable,5)))*T69),0)+IF(AW69&gt;0,($BA69*((AW69))*T69),0)))</f>
        <v>12091.429617972626</v>
      </c>
      <c r="BG69" s="268">
        <f t="shared" ref="BG69:BG132" ca="1" si="136">IF($A69="N/A"," ",(IF(AP69&gt;0,($BA69*(8*(VLOOKUP($A69,NumberofDaysTable,4)+VLOOKUP($A69,NumberofDaysTable,5)))*U69),0)+IF(AX69&gt;0,($BA69*((AX69))*U69),0)))</f>
        <v>3647.7200577640929</v>
      </c>
      <c r="BH69" s="268">
        <f t="shared" ca="1" si="41"/>
        <v>0</v>
      </c>
      <c r="BI69" s="268">
        <f t="shared" ref="BI69:BI132" ca="1" si="137">IF($A69="N/A"," ",SUM(BB69:BH69))</f>
        <v>1305409.9899403709</v>
      </c>
      <c r="BJ69" s="296">
        <f t="shared" ref="BJ69:BJ132" ca="1" si="138">IF($A69="N/A"," ",(H69*(SUM(AK69:AQ69)+SUM(AS69:AY69))*BA69))</f>
        <v>1936124.3863727995</v>
      </c>
      <c r="BK69" s="296">
        <f t="shared" ref="BK69:BK132" ca="1" si="139">IF($A69="N/A"," ",((C69*D69)*(SUM($AK69:$AQ69)+SUM($AS69:$AY69))*$BA69))</f>
        <v>1810999.9700507799</v>
      </c>
      <c r="BL69" s="296">
        <f t="shared" ref="BL69:BL132" ca="1" si="140">IF($A69="N/A"," ",(F69*(SUM($AK69:$AQ69)+SUM($AS69:$AY69))*$BA69))</f>
        <v>125124.41632201953</v>
      </c>
      <c r="BM69" s="296">
        <f t="shared" ref="BM69:BM132" ca="1" si="141">IF($A69="N/A"," ",(G69*(SUM($AK69:$AQ69)+SUM($AS69:$AY69))*$BA69))</f>
        <v>0</v>
      </c>
      <c r="BN69" s="405">
        <f>IF(A69="N/A"," ",(VLOOKUP(A69,PowerVolTable,(IF('Pricing Inputs'!$AT$3=2,7,IF('Pricing Inputs'!$AT$3=1,6,8))),FALSE)))</f>
        <v>0.26585178560156242</v>
      </c>
      <c r="BO69" s="405">
        <f>IF(A69="N/A"," ",(VLOOKUP(A69,IntraPowerVol,(IF('Pricing Inputs'!$AT$3=2,3,IF('Pricing Inputs'!$AT$3=1,2,4))),FALSE)*VLOOKUP(MONTH($A69),Inputs!$A$28:$B$39,2)))</f>
        <v>2.2999999999999998</v>
      </c>
      <c r="BP69" s="406">
        <f t="shared" ca="1" si="126"/>
        <v>0.32362002604024176</v>
      </c>
      <c r="BQ69" s="405">
        <f ca="1">IF($A69="N/A"," ",(VLOOKUP($A69,GasVolTable,(IF('Pricing Inputs'!$AT$3=2,6,IF('Pricing Inputs'!$AT$3=1,7,5))),FALSE)))</f>
        <v>0.1575</v>
      </c>
      <c r="BR69" s="405">
        <f ca="1">IF($A69="N/A"," ",(VLOOKUP($A69,OmicronVol,(IF('Pricing Inputs'!$AT$3=2,3,IF('Pricing Inputs'!$AT$3=1,4,2))),FALSE)))</f>
        <v>0.5</v>
      </c>
      <c r="BS69" s="406">
        <f ca="1">IF($A69="N/A"," ",IF('Pricing Inputs'!$AN$3=1,(IF(DateToday&gt;$A69,$BR69,((($BQ69^2)*((($A69-1)-DateToday)/((EOMONTH($A69,0)+1)-DateToday-15)))+((($BR69)^2)*((15)/((EOMONTH($A69,0)+1)-DateToday-15))))^0.5)),0.0001))</f>
        <v>0.16206795987412903</v>
      </c>
      <c r="BT69" s="405">
        <f>IF($A69="N/A"," ",IF('Pricing Inputs'!$AN$3=1,(VLOOKUP($A69,CorrelationTable,2,FALSE)),0))</f>
        <v>0.9</v>
      </c>
      <c r="BU69" s="407">
        <f ca="1">IF($A69="N/A"," ",F69+G69+(D69*(VLOOKUP($A69,'Gas Curves'!$B$17:$P$310,14,FALSE))))</f>
        <v>2.6825000000000001</v>
      </c>
      <c r="BV69" s="405">
        <f>IF($A69="N/A"," ",IF('Pricing Inputs'!$AW$3=1,0,(VLOOKUP($A69,InterestRatesTable,2))))</f>
        <v>0</v>
      </c>
      <c r="BW69" s="408">
        <f t="shared" ca="1" si="127"/>
        <v>1</v>
      </c>
    </row>
    <row r="70" spans="1:75">
      <c r="A70" s="248">
        <f>IF(A69="N/A","N/A",IF(EDATE(A69,1)&gt;Inputs!$K$3,"N/A",EDATE(A69,1)))</f>
        <v>38899</v>
      </c>
      <c r="B70" s="262">
        <f t="shared" si="128"/>
        <v>2006</v>
      </c>
      <c r="C70" s="249">
        <f t="shared" ca="1" si="129"/>
        <v>2.7674999999999996</v>
      </c>
      <c r="D70" s="250">
        <f>IF(A70="N/A"," ",(VLOOKUP(MONTH($A70),Inputs!$A$14:$B$25,2))/1000)</f>
        <v>10.5</v>
      </c>
      <c r="E70" s="304">
        <f t="shared" ca="1" si="130"/>
        <v>29.058749999999996</v>
      </c>
      <c r="F70" s="251">
        <f>IF(A70="N/A"," ",Inputs!$F$6)</f>
        <v>2</v>
      </c>
      <c r="G70" s="251">
        <f ca="1">IF(A70="N/A"," ",Inputs!$F$9/IF(AND('Pricing Inputs'!$AQ$3&gt;=4,'Pricing Inputs'!$AQ$3&lt;=6),16,IF(AND('Pricing Inputs'!$AQ$3&gt;=7,'Pricing Inputs'!$AQ$3&lt;=9),8,24))/(BA70/BW70))</f>
        <v>0</v>
      </c>
      <c r="H70" s="252">
        <f t="shared" ca="1" si="131"/>
        <v>31.058749999999996</v>
      </c>
      <c r="I70" s="255">
        <f>VLOOKUP(A70,ScaledPrice,(IF(AND('Pricing Inputs'!$AQ$3&gt;=1,'Pricing Inputs'!$AQ$3&lt;=6),2,4)))</f>
        <v>83.416544019456822</v>
      </c>
      <c r="J70" s="255">
        <f>IF(A70="N/A"," ",IF(AND('Pricing Inputs'!$AQ$3&gt;=1,'Pricing Inputs'!$AQ$3&lt;=6),I70,(VLOOKUP(A70,ScaledPrice,2))*(2-(VLOOKUP(A70,ScaledPrice,3)))))</f>
        <v>56.583455980543178</v>
      </c>
      <c r="K70" s="255">
        <f>IF(A70="N/A"," ",IF(OR('Pricing Inputs'!$AQ$3=2,'Pricing Inputs'!$AQ$3=3,'Pricing Inputs'!$AQ$3=5,'Pricing Inputs'!$AQ$3=6,'Pricing Inputs'!$AQ$3=8,'Pricing Inputs'!$AQ$3=9),VLOOKUP(A70,ScaledPrice,IF(AND('Pricing Inputs'!$AQ$3&gt;=2,'Pricing Inputs'!$AQ$3&lt;=6),5,6)),0))</f>
        <v>47.501252530150147</v>
      </c>
      <c r="L70" s="255">
        <f>IF(A70="N/A"," ",IF(OR('Pricing Inputs'!$AQ$3=2,'Pricing Inputs'!$AQ$3=3,'Pricing Inputs'!$AQ$3=5,'Pricing Inputs'!$AQ$3=6,'Pricing Inputs'!$AQ$3=8,'Pricing Inputs'!$AQ$3=9),IF(AND('Pricing Inputs'!$AQ$3&gt;=2,'Pricing Inputs'!$AQ$3&lt;=6),K70,(VLOOKUP(A70,ScaledPrice,5))*(2-(VLOOKUP(A70,ScaledPrice,3)))),0))</f>
        <v>32.221246554322526</v>
      </c>
      <c r="M70" s="255">
        <f>IF(A70="N/A"," ",IF(OR('Pricing Inputs'!$AQ$3=3,'Pricing Inputs'!$AQ$3=6,'Pricing Inputs'!$AQ$3=9),(VLOOKUP(A70,ScaledPrice,IF(AND('Pricing Inputs'!$AQ$3&gt;=3,'Pricing Inputs'!$AQ$3&lt;=6),7,8))),0))</f>
        <v>34.972385443739547</v>
      </c>
      <c r="N70" s="255">
        <f>IF(A70="N/A"," ",IF(OR('Pricing Inputs'!$AQ$3=3,'Pricing Inputs'!$AQ$3=6,'Pricing Inputs'!$AQ$3=9),IF(AND('Pricing Inputs'!$AQ$3&gt;=3,'Pricing Inputs'!$AQ$3&lt;=6),M70,(VLOOKUP(A70,ScaledPrice,7))*(2-(VLOOKUP(A70,ScaledPrice,3)))),0))</f>
        <v>23.722613488145218</v>
      </c>
      <c r="O70" s="255">
        <f>IF(A70="N/A"," ",IF(AND('Pricing Inputs'!$AQ$3&gt;=1,'Pricing Inputs'!$AQ$3&lt;=3),VLOOKUP(A70,ScaledPrice,9),0))</f>
        <v>0</v>
      </c>
      <c r="P70" s="320">
        <f ca="1">IF($A70="N/A"," ",IF('Pricing Inputs'!$AN$8=2,(I70-H70),IF('Pricing Inputs'!$AN$3=2,IF((I70-$H70)&gt;0,I70-$H70,0),(_xll.xSPRDOPT(I70,$E70,$BU70,0,$BP70,$BS70,$BT70,($A70-Inputs!$D$1)+15,1,0)))))</f>
        <v>53.315302401728324</v>
      </c>
      <c r="Q70" s="320">
        <f ca="1">IF($A70="N/A"," ",IF('Pricing Inputs'!$AN$8=2,(J70-$H70),IF('Pricing Inputs'!$AN$3=2,IF((J70-$H70)&gt;0,J70-$H70,0),(_xll.xSPRDOPT(J70,$E70,$BU70,0,$BP70,$BS70,$BT70,($A70-Inputs!$D$1)+15,1,0)))))</f>
        <v>28.568342472102792</v>
      </c>
      <c r="R70" s="320">
        <f ca="1">IF($A70="N/A"," ",IF('Pricing Inputs'!$AN$8=2,(K70-$H70),IF('Pricing Inputs'!$AN$3=2,IF((K70-$H70)&gt;0,K70-$H70,0),(_xll.xSPRDOPT(K70,$E70,$BU70,0,$BP70,$BS70,$BT70,($A70-Inputs!$D$1)+15,1,0)))))</f>
        <v>20.84019498304729</v>
      </c>
      <c r="S70" s="320">
        <f ca="1">IF($A70="N/A"," ",IF('Pricing Inputs'!$AN$8=2,(L70-$H70),IF('Pricing Inputs'!$AN$3=2,IF((L70-$H70)&gt;0,L70-$H70,0),(_xll.xSPRDOPT(L70,$E70,$BU70,0,$BP70,$BS70,$BT70,($A70-Inputs!$D$1)+15,1,0)))))</f>
        <v>9.4186841514860795</v>
      </c>
      <c r="T70" s="320">
        <f ca="1">IF($A70="N/A"," ",IF('Pricing Inputs'!$AN$8=2,(M70-$H70),IF('Pricing Inputs'!$AN$3=2,IF((M70-$H70)&gt;0,M70-$H70,0),(_xll.xSPRDOPT(M70,$E70,$BU70,0,$BP70,$BS70,$BT70,($A70-Inputs!$D$1)+15,1,0)))))</f>
        <v>11.271432715630654</v>
      </c>
      <c r="U70" s="320">
        <f ca="1">IF($A70="N/A"," ",IF('Pricing Inputs'!$AN$8=2,(N70-$H70),IF('Pricing Inputs'!$AN$3=2,IF((N70-$H70)&gt;0,N70-$H70,0),(_xll.xSPRDOPT(N70,$E70,$BU70,0,$BP70,$BS70,$BT70,($A70-Inputs!$D$1)+15,1,0)))))</f>
        <v>4.5176469915140638</v>
      </c>
      <c r="V70" s="259">
        <f ca="1">IF($A70="N/A"," ",(IF('Pricing Inputs'!$AN$8=2,(O70-$H70),IF((O70-$H70)&lt;=0,0,(O70-$H70)))))</f>
        <v>0</v>
      </c>
      <c r="W70" s="306">
        <f ca="1">IF($A70="N/A"," ",IF(0&lt;&gt;P70,IF('Pricing Inputs'!$AN$3=2,8*VLOOKUP($A70,NumberofDaysTable,2),(_xll.xSPRDOPT(I70,$E70,$BU70,0,$BP70,$BS70,$BT70,$A70-Inputs!$D$1,1,1))*(8*VLOOKUP($A70,NumberofDaysTable,2))),0))</f>
        <v>152.62472732670537</v>
      </c>
      <c r="X70" s="306">
        <f ca="1">IF($A70="N/A"," ",IF(Q70&lt;&gt;0,IF('Pricing Inputs'!$AN$3=2,8*VLOOKUP($A70,NumberofDaysTable,2),(_xll.xSPRDOPT(J70,$E70,$BU70,0,$BP70,$BS70,$BT70,$A70-Inputs!$D$1,1,1))*(8*VLOOKUP($A70,NumberofDaysTable,2))),0))</f>
        <v>140.28531865398978</v>
      </c>
      <c r="Y70" s="306">
        <f ca="1">IF($A70="N/A"," ",IF(R70&lt;&gt;0,IF('Pricing Inputs'!$AN$3=2,8*VLOOKUP($A70,NumberofDaysTable,3),(_xll.xSPRDOPT(K70,$E70,$BU70,0,$BP70,$BS70,$BT70,$A70-Inputs!$D$1,1,1))*(8*VLOOKUP($A70,NumberofDaysTable,3))),0))</f>
        <v>32.862893625717042</v>
      </c>
      <c r="Z70" s="306">
        <f ca="1">IF($A70="N/A"," ",IF(S70&lt;&gt;0,IF('Pricing Inputs'!$AN$3=2,8*VLOOKUP($A70,NumberofDaysTable,3),(_xll.xSPRDOPT(L70,$E70,$BU70,0,$BP70,$BS70,$BT70,$A70-Inputs!$D$1,1,1))*(8*VLOOKUP($A70,NumberofDaysTable,3))),0))</f>
        <v>26.098426791417957</v>
      </c>
      <c r="AA70" s="306">
        <f ca="1">IF($A70="N/A"," ",IF(T70&lt;&gt;0,IF('Pricing Inputs'!$AN$3=2,8*VLOOKUP($A70,NumberofDaysTable,4),(_xll.xSPRDOPT(M70,$E70,$BU70,0,$BP70,$BS70,$BT70,$A70-Inputs!$D$1,1,1))*(8*VLOOKUP($A70,NumberofDaysTable,4))),0))</f>
        <v>27.714184992029626</v>
      </c>
      <c r="AB70" s="306">
        <f ca="1">IF($A70="N/A"," ",IF(U70&lt;&gt;0,IF('Pricing Inputs'!$AN$3=2,8*VLOOKUP($A70,NumberofDaysTable,4),(_xll.xSPRDOPT(N70,$E70,$BU70,0,$BP70,$BS70,$BT70,$A70-Inputs!$D$1,1,1))*(8*VLOOKUP($A70,NumberofDaysTable,4))),0))</f>
        <v>19.560430583361278</v>
      </c>
      <c r="AC70" s="306">
        <f t="shared" ca="1" si="132"/>
        <v>0</v>
      </c>
      <c r="AD70" s="274">
        <f t="shared" ca="1" si="119"/>
        <v>1</v>
      </c>
      <c r="AE70" s="275">
        <f t="shared" ca="1" si="120"/>
        <v>4</v>
      </c>
      <c r="AF70" s="275">
        <f t="shared" ca="1" si="121"/>
        <v>6</v>
      </c>
      <c r="AG70" s="275">
        <f t="shared" ca="1" si="122"/>
        <v>12</v>
      </c>
      <c r="AH70" s="275">
        <f t="shared" ca="1" si="123"/>
        <v>10</v>
      </c>
      <c r="AI70" s="275">
        <f t="shared" ca="1" si="124"/>
        <v>19</v>
      </c>
      <c r="AJ70" s="276">
        <f t="shared" ca="1" si="125"/>
        <v>73</v>
      </c>
      <c r="AK70" s="314">
        <f t="shared" ca="1" si="43"/>
        <v>152.62472732670537</v>
      </c>
      <c r="AL70" s="315">
        <f t="shared" ca="1" si="44"/>
        <v>140.28531865398978</v>
      </c>
      <c r="AM70" s="315">
        <f t="shared" ca="1" si="45"/>
        <v>32.862893625717042</v>
      </c>
      <c r="AN70" s="315">
        <f t="shared" ca="1" si="46"/>
        <v>26.098426791417957</v>
      </c>
      <c r="AO70" s="315">
        <f t="shared" ca="1" si="47"/>
        <v>27.714184992029626</v>
      </c>
      <c r="AP70" s="315">
        <f t="shared" ca="1" si="48"/>
        <v>19.560430583361278</v>
      </c>
      <c r="AQ70" s="315">
        <f t="shared" ca="1" si="49"/>
        <v>0</v>
      </c>
      <c r="AR70" s="276"/>
      <c r="AS70" s="321">
        <f t="shared" ca="1" si="112"/>
        <v>0</v>
      </c>
      <c r="AT70" s="324">
        <f t="shared" ca="1" si="113"/>
        <v>0</v>
      </c>
      <c r="AU70" s="324">
        <f t="shared" ca="1" si="114"/>
        <v>0</v>
      </c>
      <c r="AV70" s="324">
        <f t="shared" ca="1" si="115"/>
        <v>0</v>
      </c>
      <c r="AW70" s="324">
        <f t="shared" ca="1" si="116"/>
        <v>0</v>
      </c>
      <c r="AX70" s="324">
        <f t="shared" ca="1" si="117"/>
        <v>0</v>
      </c>
      <c r="AY70" s="324">
        <f t="shared" ca="1" si="118"/>
        <v>0</v>
      </c>
      <c r="AZ70" s="276"/>
      <c r="BA70" s="267">
        <f ca="1">IF($A70="N/A"," ",(IF(MONTH(A70)&gt;=4,IF(MONTH(A70)&lt;=10,Inputs!$F$13,Inputs!$F$14),Inputs!$F$14))*$BW70)</f>
        <v>180</v>
      </c>
      <c r="BB70" s="268">
        <f t="shared" ca="1" si="64"/>
        <v>1535480.7091697757</v>
      </c>
      <c r="BC70" s="268">
        <f t="shared" ca="1" si="65"/>
        <v>822768.26319656044</v>
      </c>
      <c r="BD70" s="268">
        <f t="shared" ca="1" si="133"/>
        <v>150049.40387794049</v>
      </c>
      <c r="BE70" s="268">
        <f t="shared" ca="1" si="134"/>
        <v>67814.525890699777</v>
      </c>
      <c r="BF70" s="268">
        <f t="shared" ca="1" si="135"/>
        <v>97385.17866304885</v>
      </c>
      <c r="BG70" s="268">
        <f t="shared" ca="1" si="136"/>
        <v>39032.470006681513</v>
      </c>
      <c r="BH70" s="268">
        <f t="shared" ca="1" si="41"/>
        <v>0</v>
      </c>
      <c r="BI70" s="268">
        <f t="shared" ca="1" si="137"/>
        <v>2712530.5508047068</v>
      </c>
      <c r="BJ70" s="296">
        <f t="shared" ca="1" si="138"/>
        <v>2231455.5481699402</v>
      </c>
      <c r="BK70" s="296">
        <f t="shared" ca="1" si="139"/>
        <v>2087762.9946595805</v>
      </c>
      <c r="BL70" s="296">
        <f t="shared" ca="1" si="140"/>
        <v>143692.55351035958</v>
      </c>
      <c r="BM70" s="296">
        <f t="shared" ca="1" si="141"/>
        <v>0</v>
      </c>
      <c r="BN70" s="405">
        <f>IF(A70="N/A"," ",(VLOOKUP(A70,PowerVolTable,(IF('Pricing Inputs'!$AT$3=2,7,IF('Pricing Inputs'!$AT$3=1,6,8))),FALSE)))</f>
        <v>0.31459998466406242</v>
      </c>
      <c r="BO70" s="405">
        <f>IF(A70="N/A"," ",(VLOOKUP(A70,IntraPowerVol,(IF('Pricing Inputs'!$AT$3=2,3,IF('Pricing Inputs'!$AT$3=1,2,4))),FALSE)*VLOOKUP(MONTH($A70),Inputs!$A$28:$B$39,2)))</f>
        <v>3.4499999999999997</v>
      </c>
      <c r="BP70" s="406">
        <f t="shared" ca="1" si="126"/>
        <v>0.41826041439838291</v>
      </c>
      <c r="BQ70" s="405">
        <f ca="1">IF($A70="N/A"," ",(VLOOKUP($A70,GasVolTable,(IF('Pricing Inputs'!$AT$3=2,6,IF('Pricing Inputs'!$AT$3=1,7,5))),FALSE)))</f>
        <v>0.1575</v>
      </c>
      <c r="BR70" s="405">
        <f ca="1">IF($A70="N/A"," ",(VLOOKUP($A70,OmicronVol,(IF('Pricing Inputs'!$AT$3=2,3,IF('Pricing Inputs'!$AT$3=1,4,2))),FALSE)))</f>
        <v>0.5</v>
      </c>
      <c r="BS70" s="406">
        <f ca="1">IF($A70="N/A"," ",IF('Pricing Inputs'!$AN$3=1,(IF(DateToday&gt;$A70,$BR70,((($BQ70^2)*((($A70-1)-DateToday)/((EOMONTH($A70,0)+1)-DateToday-15)))+((($BR70)^2)*((15)/((EOMONTH($A70,0)+1)-DateToday-15))))^0.5)),0.0001))</f>
        <v>0.16197508896702695</v>
      </c>
      <c r="BT70" s="405">
        <f>IF($A70="N/A"," ",IF('Pricing Inputs'!$AN$3=1,(VLOOKUP($A70,CorrelationTable,2,FALSE)),0))</f>
        <v>0.9</v>
      </c>
      <c r="BU70" s="407">
        <f ca="1">IF($A70="N/A"," ",F70+G70+(D70*(VLOOKUP($A70,'Gas Curves'!$B$17:$P$310,14,FALSE))))</f>
        <v>2.6825000000000001</v>
      </c>
      <c r="BV70" s="405">
        <f>IF($A70="N/A"," ",IF('Pricing Inputs'!$AW$3=1,0,(VLOOKUP($A70,InterestRatesTable,2))))</f>
        <v>0</v>
      </c>
      <c r="BW70" s="408">
        <f t="shared" ca="1" si="127"/>
        <v>1</v>
      </c>
    </row>
    <row r="71" spans="1:75">
      <c r="A71" s="248">
        <f>IF(A70="N/A","N/A",IF(EDATE(A70,1)&gt;Inputs!$K$3,"N/A",EDATE(A70,1)))</f>
        <v>38930</v>
      </c>
      <c r="B71" s="262">
        <f t="shared" si="128"/>
        <v>2006</v>
      </c>
      <c r="C71" s="249">
        <f t="shared" ca="1" si="129"/>
        <v>2.7745000000000002</v>
      </c>
      <c r="D71" s="250">
        <f>IF(A71="N/A"," ",(VLOOKUP(MONTH($A71),Inputs!$A$14:$B$25,2))/1000)</f>
        <v>10.5</v>
      </c>
      <c r="E71" s="304">
        <f t="shared" ca="1" si="130"/>
        <v>29.132250000000003</v>
      </c>
      <c r="F71" s="251">
        <f>IF(A71="N/A"," ",Inputs!$F$6)</f>
        <v>2</v>
      </c>
      <c r="G71" s="251">
        <f ca="1">IF(A71="N/A"," ",Inputs!$F$9/IF(AND('Pricing Inputs'!$AQ$3&gt;=4,'Pricing Inputs'!$AQ$3&lt;=6),16,IF(AND('Pricing Inputs'!$AQ$3&gt;=7,'Pricing Inputs'!$AQ$3&lt;=9),8,24))/(BA71/BW71))</f>
        <v>0</v>
      </c>
      <c r="H71" s="252">
        <f t="shared" ca="1" si="131"/>
        <v>31.132250000000003</v>
      </c>
      <c r="I71" s="255">
        <f>VLOOKUP(A71,ScaledPrice,(IF(AND('Pricing Inputs'!$AQ$3&gt;=1,'Pricing Inputs'!$AQ$3&lt;=6),2,4)))</f>
        <v>72.63484611812386</v>
      </c>
      <c r="J71" s="255">
        <f>IF(A71="N/A"," ",IF(AND('Pricing Inputs'!$AQ$3&gt;=1,'Pricing Inputs'!$AQ$3&lt;=6),I71,(VLOOKUP(A71,ScaledPrice,2))*(2-(VLOOKUP(A71,ScaledPrice,3)))))</f>
        <v>58.365153881876147</v>
      </c>
      <c r="K71" s="255">
        <f>IF(A71="N/A"," ",IF(OR('Pricing Inputs'!$AQ$3=2,'Pricing Inputs'!$AQ$3=3,'Pricing Inputs'!$AQ$3=5,'Pricing Inputs'!$AQ$3=6,'Pricing Inputs'!$AQ$3=8,'Pricing Inputs'!$AQ$3=9),VLOOKUP(A71,ScaledPrice,IF(AND('Pricing Inputs'!$AQ$3&gt;=2,'Pricing Inputs'!$AQ$3&lt;=6),5,6)),0))</f>
        <v>46.710858612389082</v>
      </c>
      <c r="L71" s="255">
        <f>IF(A71="N/A"," ",IF(OR('Pricing Inputs'!$AQ$3=2,'Pricing Inputs'!$AQ$3=3,'Pricing Inputs'!$AQ$3=5,'Pricing Inputs'!$AQ$3=6,'Pricing Inputs'!$AQ$3=8,'Pricing Inputs'!$AQ$3=9),IF(AND('Pricing Inputs'!$AQ$3&gt;=2,'Pricing Inputs'!$AQ$3&lt;=6),K71,(VLOOKUP(A71,ScaledPrice,5))*(2-(VLOOKUP(A71,ScaledPrice,3)))),0))</f>
        <v>37.534139556556248</v>
      </c>
      <c r="M71" s="255">
        <f>IF(A71="N/A"," ",IF(OR('Pricing Inputs'!$AQ$3=3,'Pricing Inputs'!$AQ$3=6,'Pricing Inputs'!$AQ$3=9),(VLOOKUP(A71,ScaledPrice,IF(AND('Pricing Inputs'!$AQ$3&gt;=3,'Pricing Inputs'!$AQ$3&lt;=6),7,8))),0))</f>
        <v>34.20491434307052</v>
      </c>
      <c r="N71" s="255">
        <f>IF(A71="N/A"," ",IF(OR('Pricing Inputs'!$AQ$3=3,'Pricing Inputs'!$AQ$3=6,'Pricing Inputs'!$AQ$3=9),IF(AND('Pricing Inputs'!$AQ$3&gt;=3,'Pricing Inputs'!$AQ$3&lt;=6),M71,(VLOOKUP(A71,ScaledPrice,7))*(2-(VLOOKUP(A71,ScaledPrice,3)))),0))</f>
        <v>27.485087335396276</v>
      </c>
      <c r="O71" s="255">
        <f>IF(A71="N/A"," ",IF(AND('Pricing Inputs'!$AQ$3&gt;=1,'Pricing Inputs'!$AQ$3&lt;=3),VLOOKUP(A71,ScaledPrice,9),0))</f>
        <v>0</v>
      </c>
      <c r="P71" s="320">
        <f ca="1">IF($A71="N/A"," ",IF('Pricing Inputs'!$AN$8=2,(I71-H71),IF('Pricing Inputs'!$AN$3=2,IF((I71-$H71)&gt;0,I71-$H71,0),(_xll.xSPRDOPT(I71,$E71,$BU71,0,$BP71,$BS71,$BT71,($A71-Inputs!$D$1)+15,1,0)))))</f>
        <v>42.976828197674486</v>
      </c>
      <c r="Q71" s="320">
        <f ca="1">IF($A71="N/A"," ",IF('Pricing Inputs'!$AN$8=2,(J71-$H71),IF('Pricing Inputs'!$AN$3=2,IF((J71-$H71)&gt;0,J71-$H71,0),(_xll.xSPRDOPT(J71,$E71,$BU71,0,$BP71,$BS71,$BT71,($A71-Inputs!$D$1)+15,1,0)))))</f>
        <v>29.960854481374135</v>
      </c>
      <c r="R71" s="320">
        <f ca="1">IF($A71="N/A"," ",IF('Pricing Inputs'!$AN$8=2,(K71-$H71),IF('Pricing Inputs'!$AN$3=2,IF((K71-$H71)&gt;0,K71-$H71,0),(_xll.xSPRDOPT(K71,$E71,$BU71,0,$BP71,$BS71,$BT71,($A71-Inputs!$D$1)+15,1,0)))))</f>
        <v>20.011817570579638</v>
      </c>
      <c r="S71" s="320">
        <f ca="1">IF($A71="N/A"," ",IF('Pricing Inputs'!$AN$8=2,(L71-$H71),IF('Pricing Inputs'!$AN$3=2,IF((L71-$H71)&gt;0,L71-$H71,0),(_xll.xSPRDOPT(L71,$E71,$BU71,0,$BP71,$BS71,$BT71,($A71-Inputs!$D$1)+15,1,0)))))</f>
        <v>12.916262175192578</v>
      </c>
      <c r="T71" s="320">
        <f ca="1">IF($A71="N/A"," ",IF('Pricing Inputs'!$AN$8=2,(M71-$H71),IF('Pricing Inputs'!$AN$3=2,IF((M71-$H71)&gt;0,M71-$H71,0),(_xll.xSPRDOPT(M71,$E71,$BU71,0,$BP71,$BS71,$BT71,($A71-Inputs!$D$1)+15,1,0)))))</f>
        <v>10.576666673393532</v>
      </c>
      <c r="U71" s="320">
        <f ca="1">IF($A71="N/A"," ",IF('Pricing Inputs'!$AN$8=2,(N71-$H71),IF('Pricing Inputs'!$AN$3=2,IF((N71-$H71)&gt;0,N71-$H71,0),(_xll.xSPRDOPT(N71,$E71,$BU71,0,$BP71,$BS71,$BT71,($A71-Inputs!$D$1)+15,1,0)))))</f>
        <v>6.3724689903506562</v>
      </c>
      <c r="V71" s="259">
        <f ca="1">IF($A71="N/A"," ",(IF('Pricing Inputs'!$AN$8=2,(O71-$H71),IF((O71-$H71)&lt;=0,0,(O71-$H71)))))</f>
        <v>0</v>
      </c>
      <c r="W71" s="306">
        <f ca="1">IF($A71="N/A"," ",IF(0&lt;&gt;P71,IF('Pricing Inputs'!$AN$3=2,8*VLOOKUP($A71,NumberofDaysTable,2),(_xll.xSPRDOPT(I71,$E71,$BU71,0,$BP71,$BS71,$BT71,$A71-Inputs!$D$1,1,1))*(8*VLOOKUP($A71,NumberofDaysTable,2))),0))</f>
        <v>171.84445307735746</v>
      </c>
      <c r="X71" s="306">
        <f ca="1">IF($A71="N/A"," ",IF(Q71&lt;&gt;0,IF('Pricing Inputs'!$AN$3=2,8*VLOOKUP($A71,NumberofDaysTable,2),(_xll.xSPRDOPT(J71,$E71,$BU71,0,$BP71,$BS71,$BT71,$A71-Inputs!$D$1,1,1))*(8*VLOOKUP($A71,NumberofDaysTable,2))),0))</f>
        <v>163.01449136087169</v>
      </c>
      <c r="Y71" s="306">
        <f ca="1">IF($A71="N/A"," ",IF(R71&lt;&gt;0,IF('Pricing Inputs'!$AN$3=2,8*VLOOKUP($A71,NumberofDaysTable,3),(_xll.xSPRDOPT(K71,$E71,$BU71,0,$BP71,$BS71,$BT71,$A71-Inputs!$D$1,1,1))*(8*VLOOKUP($A71,NumberofDaysTable,3))),0))</f>
        <v>26.093820408757246</v>
      </c>
      <c r="Z71" s="306">
        <f ca="1">IF($A71="N/A"," ",IF(S71&lt;&gt;0,IF('Pricing Inputs'!$AN$3=2,8*VLOOKUP($A71,NumberofDaysTable,3),(_xll.xSPRDOPT(L71,$E71,$BU71,0,$BP71,$BS71,$BT71,$A71-Inputs!$D$1,1,1))*(8*VLOOKUP($A71,NumberofDaysTable,3))),0))</f>
        <v>23.175144715074065</v>
      </c>
      <c r="AA71" s="306">
        <f ca="1">IF($A71="N/A"," ",IF(T71&lt;&gt;0,IF('Pricing Inputs'!$AN$3=2,8*VLOOKUP($A71,NumberofDaysTable,4),(_xll.xSPRDOPT(M71,$E71,$BU71,0,$BP71,$BS71,$BT71,$A71-Inputs!$D$1,1,1))*(8*VLOOKUP($A71,NumberofDaysTable,4))),0))</f>
        <v>21.747654895612069</v>
      </c>
      <c r="AB71" s="306">
        <f ca="1">IF($A71="N/A"," ",IF(U71&lt;&gt;0,IF('Pricing Inputs'!$AN$3=2,8*VLOOKUP($A71,NumberofDaysTable,4),(_xll.xSPRDOPT(N71,$E71,$BU71,0,$BP71,$BS71,$BT71,$A71-Inputs!$D$1,1,1))*(8*VLOOKUP($A71,NumberofDaysTable,4))),0))</f>
        <v>18.067142060040801</v>
      </c>
      <c r="AC71" s="306">
        <f t="shared" ca="1" si="132"/>
        <v>0</v>
      </c>
      <c r="AD71" s="274">
        <f t="shared" ca="1" si="119"/>
        <v>2</v>
      </c>
      <c r="AE71" s="275">
        <f t="shared" ca="1" si="120"/>
        <v>3</v>
      </c>
      <c r="AF71" s="275">
        <f t="shared" ca="1" si="121"/>
        <v>7</v>
      </c>
      <c r="AG71" s="275">
        <f t="shared" ca="1" si="122"/>
        <v>9</v>
      </c>
      <c r="AH71" s="275">
        <f t="shared" ca="1" si="123"/>
        <v>11</v>
      </c>
      <c r="AI71" s="275">
        <f t="shared" ca="1" si="124"/>
        <v>14</v>
      </c>
      <c r="AJ71" s="276">
        <f t="shared" ca="1" si="125"/>
        <v>73</v>
      </c>
      <c r="AK71" s="314">
        <f t="shared" ca="1" si="43"/>
        <v>171.84445307735746</v>
      </c>
      <c r="AL71" s="315">
        <f t="shared" ca="1" si="44"/>
        <v>163.01449136087169</v>
      </c>
      <c r="AM71" s="315">
        <f t="shared" ca="1" si="45"/>
        <v>26.093820408757246</v>
      </c>
      <c r="AN71" s="315">
        <f t="shared" ca="1" si="46"/>
        <v>23.175144715074065</v>
      </c>
      <c r="AO71" s="315">
        <f t="shared" ca="1" si="47"/>
        <v>21.747654895612069</v>
      </c>
      <c r="AP71" s="315">
        <f t="shared" ca="1" si="48"/>
        <v>18.067142060040801</v>
      </c>
      <c r="AQ71" s="315">
        <f t="shared" ca="1" si="49"/>
        <v>0</v>
      </c>
      <c r="AR71" s="276"/>
      <c r="AS71" s="321">
        <f t="shared" ca="1" si="112"/>
        <v>0</v>
      </c>
      <c r="AT71" s="324">
        <f t="shared" ca="1" si="113"/>
        <v>0</v>
      </c>
      <c r="AU71" s="324">
        <f t="shared" ca="1" si="114"/>
        <v>0</v>
      </c>
      <c r="AV71" s="324">
        <f t="shared" ca="1" si="115"/>
        <v>0</v>
      </c>
      <c r="AW71" s="324">
        <f t="shared" ca="1" si="116"/>
        <v>0</v>
      </c>
      <c r="AX71" s="324">
        <f t="shared" ca="1" si="117"/>
        <v>0</v>
      </c>
      <c r="AY71" s="324">
        <f t="shared" ca="1" si="118"/>
        <v>0</v>
      </c>
      <c r="AZ71" s="276"/>
      <c r="BA71" s="267">
        <f ca="1">IF($A71="N/A"," ",(IF(MONTH(A71)&gt;=4,IF(MONTH(A71)&lt;=10,Inputs!$F$13,Inputs!$F$14),Inputs!$F$14))*$BW71)</f>
        <v>180</v>
      </c>
      <c r="BB71" s="268">
        <f t="shared" ca="1" si="64"/>
        <v>1423392.5499069791</v>
      </c>
      <c r="BC71" s="268">
        <f t="shared" ca="1" si="65"/>
        <v>992303.50042311137</v>
      </c>
      <c r="BD71" s="268">
        <f t="shared" ca="1" si="133"/>
        <v>115268.06920653871</v>
      </c>
      <c r="BE71" s="268">
        <f t="shared" ca="1" si="134"/>
        <v>74397.670129109247</v>
      </c>
      <c r="BF71" s="268">
        <f t="shared" ca="1" si="135"/>
        <v>60921.60003874675</v>
      </c>
      <c r="BG71" s="268">
        <f t="shared" ca="1" si="136"/>
        <v>36705.42138441978</v>
      </c>
      <c r="BH71" s="268">
        <f t="shared" ca="1" si="41"/>
        <v>0</v>
      </c>
      <c r="BI71" s="268">
        <f t="shared" ca="1" si="137"/>
        <v>2702988.8110889047</v>
      </c>
      <c r="BJ71" s="296">
        <f t="shared" ca="1" si="138"/>
        <v>2375692.2584974947</v>
      </c>
      <c r="BK71" s="296">
        <f t="shared" ca="1" si="139"/>
        <v>2223072.8841511183</v>
      </c>
      <c r="BL71" s="296">
        <f t="shared" ca="1" si="140"/>
        <v>152619.3743463768</v>
      </c>
      <c r="BM71" s="296">
        <f t="shared" ca="1" si="141"/>
        <v>0</v>
      </c>
      <c r="BN71" s="405">
        <f>IF(A71="N/A"," ",(VLOOKUP(A71,PowerVolTable,(IF('Pricing Inputs'!$AT$3=2,7,IF('Pricing Inputs'!$AT$3=1,6,8))),FALSE)))</f>
        <v>0.30955106404687494</v>
      </c>
      <c r="BO71" s="405">
        <f>IF(A71="N/A"," ",(VLOOKUP(A71,IntraPowerVol,(IF('Pricing Inputs'!$AT$3=2,3,IF('Pricing Inputs'!$AT$3=1,2,4))),FALSE)*VLOOKUP(MONTH($A71),Inputs!$A$28:$B$39,2)))</f>
        <v>3.4499999999999997</v>
      </c>
      <c r="BP71" s="406">
        <f t="shared" ca="1" si="126"/>
        <v>0.41329756687507496</v>
      </c>
      <c r="BQ71" s="405">
        <f ca="1">IF($A71="N/A"," ",(VLOOKUP($A71,GasVolTable,(IF('Pricing Inputs'!$AT$3=2,6,IF('Pricing Inputs'!$AT$3=1,7,5))),FALSE)))</f>
        <v>0.1575</v>
      </c>
      <c r="BR71" s="405">
        <f ca="1">IF($A71="N/A"," ",(VLOOKUP($A71,OmicronVol,(IF('Pricing Inputs'!$AT$3=2,3,IF('Pricing Inputs'!$AT$3=1,4,2))),FALSE)))</f>
        <v>0.6</v>
      </c>
      <c r="BS71" s="406">
        <f ca="1">IF($A71="N/A"," ",IF('Pricing Inputs'!$AN$3=1,(IF(DateToday&gt;$A71,$BR71,((($BQ71^2)*((($A71-1)-DateToday)/((EOMONTH($A71,0)+1)-DateToday-15)))+((($BR71)^2)*((15)/((EOMONTH($A71,0)+1)-DateToday-15))))^0.5)),0.0001))</f>
        <v>0.16406276456406937</v>
      </c>
      <c r="BT71" s="405">
        <f>IF($A71="N/A"," ",IF('Pricing Inputs'!$AN$3=1,(VLOOKUP($A71,CorrelationTable,2,FALSE)),0))</f>
        <v>0.9</v>
      </c>
      <c r="BU71" s="407">
        <f ca="1">IF($A71="N/A"," ",F71+G71+(D71*(VLOOKUP($A71,'Gas Curves'!$B$17:$P$310,14,FALSE))))</f>
        <v>2.6825000000000001</v>
      </c>
      <c r="BV71" s="405">
        <f>IF($A71="N/A"," ",IF('Pricing Inputs'!$AW$3=1,0,(VLOOKUP($A71,InterestRatesTable,2))))</f>
        <v>0</v>
      </c>
      <c r="BW71" s="408">
        <f t="shared" ca="1" si="127"/>
        <v>1</v>
      </c>
    </row>
    <row r="72" spans="1:75">
      <c r="A72" s="248">
        <f>IF(A71="N/A","N/A",IF(EDATE(A71,1)&gt;Inputs!$K$3,"N/A",EDATE(A71,1)))</f>
        <v>38961</v>
      </c>
      <c r="B72" s="262">
        <f t="shared" si="128"/>
        <v>2006</v>
      </c>
      <c r="C72" s="249">
        <f t="shared" ca="1" si="129"/>
        <v>2.780875</v>
      </c>
      <c r="D72" s="250">
        <f>IF(A72="N/A"," ",(VLOOKUP(MONTH($A72),Inputs!$A$14:$B$25,2))/1000)</f>
        <v>10.5</v>
      </c>
      <c r="E72" s="304">
        <f t="shared" ca="1" si="130"/>
        <v>29.199187500000001</v>
      </c>
      <c r="F72" s="251">
        <f>IF(A72="N/A"," ",Inputs!$F$6)</f>
        <v>2</v>
      </c>
      <c r="G72" s="251">
        <f ca="1">IF(A72="N/A"," ",Inputs!$F$9/IF(AND('Pricing Inputs'!$AQ$3&gt;=4,'Pricing Inputs'!$AQ$3&lt;=6),16,IF(AND('Pricing Inputs'!$AQ$3&gt;=7,'Pricing Inputs'!$AQ$3&lt;=9),8,24))/(BA72/BW72))</f>
        <v>0</v>
      </c>
      <c r="H72" s="252">
        <f t="shared" ca="1" si="131"/>
        <v>31.199187500000001</v>
      </c>
      <c r="I72" s="255">
        <f>VLOOKUP(A72,ScaledPrice,(IF(AND('Pricing Inputs'!$AQ$3&gt;=1,'Pricing Inputs'!$AQ$3&lt;=6),2,4)))</f>
        <v>36.021135077728772</v>
      </c>
      <c r="J72" s="255">
        <f>IF(A72="N/A"," ",IF(AND('Pricing Inputs'!$AQ$3&gt;=1,'Pricing Inputs'!$AQ$3&lt;=6),I72,(VLOOKUP(A72,ScaledPrice,2))*(2-(VLOOKUP(A72,ScaledPrice,3)))))</f>
        <v>29.678864922271231</v>
      </c>
      <c r="K72" s="255">
        <f>IF(A72="N/A"," ",IF(OR('Pricing Inputs'!$AQ$3=2,'Pricing Inputs'!$AQ$3=3,'Pricing Inputs'!$AQ$3=5,'Pricing Inputs'!$AQ$3=6,'Pricing Inputs'!$AQ$3=8,'Pricing Inputs'!$AQ$3=9),VLOOKUP(A72,ScaledPrice,IF(AND('Pricing Inputs'!$AQ$3&gt;=2,'Pricing Inputs'!$AQ$3&lt;=6),5,6)),0))</f>
        <v>25.774025868245815</v>
      </c>
      <c r="L72" s="255">
        <f>IF(A72="N/A"," ",IF(OR('Pricing Inputs'!$AQ$3=2,'Pricing Inputs'!$AQ$3=3,'Pricing Inputs'!$AQ$3=5,'Pricing Inputs'!$AQ$3=6,'Pricing Inputs'!$AQ$3=8,'Pricing Inputs'!$AQ$3=9),IF(AND('Pricing Inputs'!$AQ$3&gt;=2,'Pricing Inputs'!$AQ$3&lt;=6),K72,(VLOOKUP(A72,ScaledPrice,5))*(2-(VLOOKUP(A72,ScaledPrice,3)))),0))</f>
        <v>21.235972453287381</v>
      </c>
      <c r="M72" s="255">
        <f>IF(A72="N/A"," ",IF(OR('Pricing Inputs'!$AQ$3=3,'Pricing Inputs'!$AQ$3=6,'Pricing Inputs'!$AQ$3=9),(VLOOKUP(A72,ScaledPrice,IF(AND('Pricing Inputs'!$AQ$3&gt;=3,'Pricing Inputs'!$AQ$3&lt;=6),7,8))),0))</f>
        <v>26.316811015692252</v>
      </c>
      <c r="N72" s="255">
        <f>IF(A72="N/A"," ",IF(OR('Pricing Inputs'!$AQ$3=3,'Pricing Inputs'!$AQ$3=6,'Pricing Inputs'!$AQ$3=9),IF(AND('Pricing Inputs'!$AQ$3&gt;=3,'Pricing Inputs'!$AQ$3&lt;=6),M72,(VLOOKUP(A72,ScaledPrice,7))*(2-(VLOOKUP(A72,ScaledPrice,3)))),0))</f>
        <v>21.683188984307748</v>
      </c>
      <c r="O72" s="255">
        <f>IF(A72="N/A"," ",IF(AND('Pricing Inputs'!$AQ$3&gt;=1,'Pricing Inputs'!$AQ$3&lt;=3),VLOOKUP(A72,ScaledPrice,9),0))</f>
        <v>0</v>
      </c>
      <c r="P72" s="320">
        <f ca="1">IF($A72="N/A"," ",IF('Pricing Inputs'!$AN$8=2,(I72-H72),IF('Pricing Inputs'!$AN$3=2,IF((I72-$H72)&gt;0,I72-$H72,0),(_xll.xSPRDOPT(I72,$E72,$BU72,0,$BP72,$BS72,$BT72,($A72-Inputs!$D$1)+15,1,0)))))</f>
        <v>6.8084627272751908</v>
      </c>
      <c r="Q72" s="320">
        <f ca="1">IF($A72="N/A"," ",IF('Pricing Inputs'!$AN$8=2,(J72-$H72),IF('Pricing Inputs'!$AN$3=2,IF((J72-$H72)&gt;0,J72-$H72,0),(_xll.xSPRDOPT(J72,$E72,$BU72,0,$BP72,$BS72,$BT72,($A72-Inputs!$D$1)+15,1,0)))))</f>
        <v>3.0038425435913827</v>
      </c>
      <c r="R72" s="320">
        <f ca="1">IF($A72="N/A"," ",IF('Pricing Inputs'!$AN$8=2,(K72-$H72),IF('Pricing Inputs'!$AN$3=2,IF((K72-$H72)&gt;0,K72-$H72,0),(_xll.xSPRDOPT(K72,$E72,$BU72,0,$BP72,$BS72,$BT72,($A72-Inputs!$D$1)+15,1,0)))))</f>
        <v>1.447695994240312</v>
      </c>
      <c r="S72" s="320">
        <f ca="1">IF($A72="N/A"," ",IF('Pricing Inputs'!$AN$8=2,(L72-$H72),IF('Pricing Inputs'!$AN$3=2,IF((L72-$H72)&gt;0,L72-$H72,0),(_xll.xSPRDOPT(L72,$E72,$BU72,0,$BP72,$BS72,$BT72,($A72-Inputs!$D$1)+15,1,0)))))</f>
        <v>0.42982945130805317</v>
      </c>
      <c r="T72" s="320">
        <f ca="1">IF($A72="N/A"," ",IF('Pricing Inputs'!$AN$8=2,(M72-$H72),IF('Pricing Inputs'!$AN$3=2,IF((M72-$H72)&gt;0,M72-$H72,0),(_xll.xSPRDOPT(M72,$E72,$BU72,0,$BP72,$BS72,$BT72,($A72-Inputs!$D$1)+15,1,0)))))</f>
        <v>1.6251442695014935</v>
      </c>
      <c r="U72" s="320">
        <f ca="1">IF($A72="N/A"," ",IF('Pricing Inputs'!$AN$8=2,(N72-$H72),IF('Pricing Inputs'!$AN$3=2,IF((N72-$H72)&gt;0,N72-$H72,0),(_xll.xSPRDOPT(N72,$E72,$BU72,0,$BP72,$BS72,$BT72,($A72-Inputs!$D$1)+15,1,0)))))</f>
        <v>0.49605308523070463</v>
      </c>
      <c r="V72" s="259">
        <f ca="1">IF($A72="N/A"," ",(IF('Pricing Inputs'!$AN$8=2,(O72-$H72),IF((O72-$H72)&lt;=0,0,(O72-$H72)))))</f>
        <v>0</v>
      </c>
      <c r="W72" s="306">
        <f ca="1">IF($A72="N/A"," ",IF(0&lt;&gt;P72,IF('Pricing Inputs'!$AN$3=2,8*VLOOKUP($A72,NumberofDaysTable,2),(_xll.xSPRDOPT(I72,$E72,$BU72,0,$BP72,$BS72,$BT72,$A72-Inputs!$D$1,1,1))*(8*VLOOKUP($A72,NumberofDaysTable,2))),0))</f>
        <v>113.00199863082285</v>
      </c>
      <c r="X72" s="306">
        <f ca="1">IF($A72="N/A"," ",IF(Q72&lt;&gt;0,IF('Pricing Inputs'!$AN$3=2,8*VLOOKUP($A72,NumberofDaysTable,2),(_xll.xSPRDOPT(J72,$E72,$BU72,0,$BP72,$BS72,$BT72,$A72-Inputs!$D$1,1,1))*(8*VLOOKUP($A72,NumberofDaysTable,2))),0))</f>
        <v>76.841822922159537</v>
      </c>
      <c r="Y72" s="306">
        <f ca="1">IF($A72="N/A"," ",IF(R72&lt;&gt;0,IF('Pricing Inputs'!$AN$3=2,8*VLOOKUP($A72,NumberofDaysTable,3),(_xll.xSPRDOPT(K72,$E72,$BU72,0,$BP72,$BS72,$BT72,$A72-Inputs!$D$1,1,1))*(8*VLOOKUP($A72,NumberofDaysTable,3))),0))</f>
        <v>12.579188872594786</v>
      </c>
      <c r="Z72" s="306">
        <f ca="1">IF($A72="N/A"," ",IF(S72&lt;&gt;0,IF('Pricing Inputs'!$AN$3=2,8*VLOOKUP($A72,NumberofDaysTable,3),(_xll.xSPRDOPT(L72,$E72,$BU72,0,$BP72,$BS72,$BT72,$A72-Inputs!$D$1,1,1))*(8*VLOOKUP($A72,NumberofDaysTable,3))),0))</f>
        <v>5.5884077279327808</v>
      </c>
      <c r="AA72" s="306">
        <f ca="1">IF($A72="N/A"," ",IF(T72&lt;&gt;0,IF('Pricing Inputs'!$AN$3=2,8*VLOOKUP($A72,NumberofDaysTable,4),(_xll.xSPRDOPT(M72,$E72,$BU72,0,$BP72,$BS72,$BT72,$A72-Inputs!$D$1,1,1))*(8*VLOOKUP($A72,NumberofDaysTable,4))),0))</f>
        <v>10.803486756099447</v>
      </c>
      <c r="AB72" s="306">
        <f ca="1">IF($A72="N/A"," ",IF(U72&lt;&gt;0,IF('Pricing Inputs'!$AN$3=2,8*VLOOKUP($A72,NumberofDaysTable,4),(_xll.xSPRDOPT(N72,$E72,$BU72,0,$BP72,$BS72,$BT72,$A72-Inputs!$D$1,1,1))*(8*VLOOKUP($A72,NumberofDaysTable,4))),0))</f>
        <v>4.9459203889856038</v>
      </c>
      <c r="AC72" s="306">
        <f t="shared" ca="1" si="132"/>
        <v>0</v>
      </c>
      <c r="AD72" s="274">
        <f t="shared" ca="1" si="119"/>
        <v>13</v>
      </c>
      <c r="AE72" s="275">
        <f t="shared" ca="1" si="120"/>
        <v>20</v>
      </c>
      <c r="AF72" s="275">
        <f t="shared" ca="1" si="121"/>
        <v>29</v>
      </c>
      <c r="AG72" s="275">
        <f t="shared" ca="1" si="122"/>
        <v>40</v>
      </c>
      <c r="AH72" s="275">
        <f t="shared" ca="1" si="123"/>
        <v>28</v>
      </c>
      <c r="AI72" s="275">
        <f t="shared" ca="1" si="124"/>
        <v>38</v>
      </c>
      <c r="AJ72" s="276">
        <f t="shared" ca="1" si="125"/>
        <v>73</v>
      </c>
      <c r="AK72" s="314">
        <f t="shared" ca="1" si="43"/>
        <v>113.00199863082285</v>
      </c>
      <c r="AL72" s="315">
        <f t="shared" ca="1" si="44"/>
        <v>76.841822922159537</v>
      </c>
      <c r="AM72" s="315">
        <f t="shared" ca="1" si="45"/>
        <v>12.579188872594786</v>
      </c>
      <c r="AN72" s="315">
        <f t="shared" ca="1" si="46"/>
        <v>5.5884077279327808</v>
      </c>
      <c r="AO72" s="315">
        <f t="shared" ca="1" si="47"/>
        <v>10.803486756099447</v>
      </c>
      <c r="AP72" s="315">
        <f t="shared" ca="1" si="48"/>
        <v>4.9459203889856038</v>
      </c>
      <c r="AQ72" s="315">
        <f t="shared" ca="1" si="49"/>
        <v>0</v>
      </c>
      <c r="AR72" s="276"/>
      <c r="AS72" s="321">
        <f t="shared" ca="1" si="112"/>
        <v>0</v>
      </c>
      <c r="AT72" s="324">
        <f t="shared" ca="1" si="113"/>
        <v>0</v>
      </c>
      <c r="AU72" s="324">
        <f t="shared" ca="1" si="114"/>
        <v>0</v>
      </c>
      <c r="AV72" s="324">
        <f t="shared" ca="1" si="115"/>
        <v>0</v>
      </c>
      <c r="AW72" s="324">
        <f t="shared" ca="1" si="116"/>
        <v>0</v>
      </c>
      <c r="AX72" s="324">
        <f t="shared" ca="1" si="117"/>
        <v>0</v>
      </c>
      <c r="AY72" s="324">
        <f t="shared" ca="1" si="118"/>
        <v>0</v>
      </c>
      <c r="AZ72" s="276"/>
      <c r="BA72" s="267">
        <f ca="1">IF($A72="N/A"," ",(IF(MONTH(A72)&gt;=4,IF(MONTH(A72)&lt;=10,Inputs!$F$13,Inputs!$F$14),Inputs!$F$14))*$BW72)</f>
        <v>180</v>
      </c>
      <c r="BB72" s="268">
        <f t="shared" ca="1" si="64"/>
        <v>196083.72654552548</v>
      </c>
      <c r="BC72" s="268">
        <f t="shared" ca="1" si="65"/>
        <v>86510.665255431828</v>
      </c>
      <c r="BD72" s="268">
        <f t="shared" ca="1" si="133"/>
        <v>10423.411158530247</v>
      </c>
      <c r="BE72" s="268">
        <f t="shared" ca="1" si="134"/>
        <v>3094.772049417983</v>
      </c>
      <c r="BF72" s="268">
        <f t="shared" ca="1" si="135"/>
        <v>11701.038740410753</v>
      </c>
      <c r="BG72" s="268">
        <f t="shared" ca="1" si="136"/>
        <v>3571.5822136610732</v>
      </c>
      <c r="BH72" s="268">
        <f t="shared" ca="1" si="41"/>
        <v>0</v>
      </c>
      <c r="BI72" s="268">
        <f t="shared" ca="1" si="137"/>
        <v>311385.19596297742</v>
      </c>
      <c r="BJ72" s="296">
        <f t="shared" ca="1" si="138"/>
        <v>1256608.0698562097</v>
      </c>
      <c r="BK72" s="296">
        <f t="shared" ca="1" si="139"/>
        <v>1176054.1727487154</v>
      </c>
      <c r="BL72" s="296">
        <f t="shared" ca="1" si="140"/>
        <v>80553.897107494195</v>
      </c>
      <c r="BM72" s="296">
        <f t="shared" ca="1" si="141"/>
        <v>0</v>
      </c>
      <c r="BN72" s="405">
        <f>IF(A72="N/A"," ",(VLOOKUP(A72,PowerVolTable,(IF('Pricing Inputs'!$AT$3=2,7,IF('Pricing Inputs'!$AT$3=1,6,8))),FALSE)))</f>
        <v>0.20509063748437498</v>
      </c>
      <c r="BO72" s="405">
        <f>IF(A72="N/A"," ",(VLOOKUP(A72,IntraPowerVol,(IF('Pricing Inputs'!$AT$3=2,3,IF('Pricing Inputs'!$AT$3=1,2,4))),FALSE)*VLOOKUP(MONTH($A72),Inputs!$A$28:$B$39,2)))</f>
        <v>1.7249999999999999</v>
      </c>
      <c r="BP72" s="406">
        <f t="shared" ca="1" si="126"/>
        <v>0.24589378185657165</v>
      </c>
      <c r="BQ72" s="405">
        <f ca="1">IF($A72="N/A"," ",(VLOOKUP($A72,GasVolTable,(IF('Pricing Inputs'!$AT$3=2,6,IF('Pricing Inputs'!$AT$3=1,7,5))),FALSE)))</f>
        <v>0.1575</v>
      </c>
      <c r="BR72" s="405">
        <f ca="1">IF($A72="N/A"," ",(VLOOKUP($A72,OmicronVol,(IF('Pricing Inputs'!$AT$3=2,3,IF('Pricing Inputs'!$AT$3=1,4,2))),FALSE)))</f>
        <v>0.6</v>
      </c>
      <c r="BS72" s="406">
        <f ca="1">IF($A72="N/A"," ",IF('Pricing Inputs'!$AN$3=1,(IF(DateToday&gt;$A72,$BR72,((($BQ72^2)*((($A72-1)-DateToday)/((EOMONTH($A72,0)+1)-DateToday-15)))+((($BR72)^2)*((15)/((EOMONTH($A72,0)+1)-DateToday-15))))^0.5)),0.0001))</f>
        <v>0.16401363822709145</v>
      </c>
      <c r="BT72" s="405">
        <f>IF($A72="N/A"," ",IF('Pricing Inputs'!$AN$3=1,(VLOOKUP($A72,CorrelationTable,2,FALSE)),0))</f>
        <v>0.9</v>
      </c>
      <c r="BU72" s="407">
        <f ca="1">IF($A72="N/A"," ",F72+G72+(D72*(VLOOKUP($A72,'Gas Curves'!$B$17:$P$310,14,FALSE))))</f>
        <v>2.6825000000000001</v>
      </c>
      <c r="BV72" s="405">
        <f>IF($A72="N/A"," ",IF('Pricing Inputs'!$AW$3=1,0,(VLOOKUP($A72,InterestRatesTable,2))))</f>
        <v>0</v>
      </c>
      <c r="BW72" s="408">
        <f t="shared" ca="1" si="127"/>
        <v>1</v>
      </c>
    </row>
    <row r="73" spans="1:75">
      <c r="A73" s="248">
        <f>IF(A72="N/A","N/A",IF(EDATE(A72,1)&gt;Inputs!$K$3,"N/A",EDATE(A72,1)))</f>
        <v>38991</v>
      </c>
      <c r="B73" s="262">
        <f t="shared" si="128"/>
        <v>2006</v>
      </c>
      <c r="C73" s="249">
        <f t="shared" ca="1" si="129"/>
        <v>2.8068749999999998</v>
      </c>
      <c r="D73" s="250">
        <f>IF(A73="N/A"," ",(VLOOKUP(MONTH($A73),Inputs!$A$14:$B$25,2))/1000)</f>
        <v>10.5</v>
      </c>
      <c r="E73" s="304">
        <f t="shared" ca="1" si="130"/>
        <v>29.472187499999997</v>
      </c>
      <c r="F73" s="251">
        <f>IF(A73="N/A"," ",Inputs!$F$6)</f>
        <v>2</v>
      </c>
      <c r="G73" s="251">
        <f ca="1">IF(A73="N/A"," ",Inputs!$F$9/IF(AND('Pricing Inputs'!$AQ$3&gt;=4,'Pricing Inputs'!$AQ$3&lt;=6),16,IF(AND('Pricing Inputs'!$AQ$3&gt;=7,'Pricing Inputs'!$AQ$3&lt;=9),8,24))/(BA73/BW73))</f>
        <v>0</v>
      </c>
      <c r="H73" s="252">
        <f t="shared" ca="1" si="131"/>
        <v>31.472187499999997</v>
      </c>
      <c r="I73" s="255">
        <f>VLOOKUP(A73,ScaledPrice,(IF(AND('Pricing Inputs'!$AQ$3&gt;=1,'Pricing Inputs'!$AQ$3&lt;=6),2,4)))</f>
        <v>30.199905000000005</v>
      </c>
      <c r="J73" s="255">
        <f>IF(A73="N/A"," ",IF(AND('Pricing Inputs'!$AQ$3&gt;=1,'Pricing Inputs'!$AQ$3&lt;=6),I73,(VLOOKUP(A73,ScaledPrice,2))*(2-(VLOOKUP(A73,ScaledPrice,3)))))</f>
        <v>31.000094999999998</v>
      </c>
      <c r="K73" s="255">
        <f>IF(A73="N/A"," ",IF(OR('Pricing Inputs'!$AQ$3=2,'Pricing Inputs'!$AQ$3=3,'Pricing Inputs'!$AQ$3=5,'Pricing Inputs'!$AQ$3=6,'Pricing Inputs'!$AQ$3=8,'Pricing Inputs'!$AQ$3=9),VLOOKUP(A73,ScaledPrice,IF(AND('Pricing Inputs'!$AQ$3&gt;=2,'Pricing Inputs'!$AQ$3&lt;=6),5,6)),0))</f>
        <v>23.29192356791496</v>
      </c>
      <c r="L73" s="255">
        <f>IF(A73="N/A"," ",IF(OR('Pricing Inputs'!$AQ$3=2,'Pricing Inputs'!$AQ$3=3,'Pricing Inputs'!$AQ$3=5,'Pricing Inputs'!$AQ$3=6,'Pricing Inputs'!$AQ$3=8,'Pricing Inputs'!$AQ$3=9),IF(AND('Pricing Inputs'!$AQ$3&gt;=2,'Pricing Inputs'!$AQ$3&lt;=6),K73,(VLOOKUP(A73,ScaledPrice,5))*(2-(VLOOKUP(A73,ScaledPrice,3)))),0))</f>
        <v>23.90907664570808</v>
      </c>
      <c r="M73" s="255">
        <f>IF(A73="N/A"," ",IF(OR('Pricing Inputs'!$AQ$3=3,'Pricing Inputs'!$AQ$3=6,'Pricing Inputs'!$AQ$3=9),(VLOOKUP(A73,ScaledPrice,IF(AND('Pricing Inputs'!$AQ$3&gt;=3,'Pricing Inputs'!$AQ$3&lt;=6),7,8))),0))</f>
        <v>21.318566759347913</v>
      </c>
      <c r="N73" s="255">
        <f>IF(A73="N/A"," ",IF(OR('Pricing Inputs'!$AQ$3=3,'Pricing Inputs'!$AQ$3=6,'Pricing Inputs'!$AQ$3=9),IF(AND('Pricing Inputs'!$AQ$3&gt;=3,'Pricing Inputs'!$AQ$3&lt;=6),M73,(VLOOKUP(A73,ScaledPrice,7))*(2-(VLOOKUP(A73,ScaledPrice,3)))),0))</f>
        <v>21.88343290495872</v>
      </c>
      <c r="O73" s="255">
        <f>IF(A73="N/A"," ",IF(AND('Pricing Inputs'!$AQ$3&gt;=1,'Pricing Inputs'!$AQ$3&lt;=3),VLOOKUP(A73,ScaledPrice,9),0))</f>
        <v>0</v>
      </c>
      <c r="P73" s="320">
        <f ca="1">IF($A73="N/A"," ",IF('Pricing Inputs'!$AN$8=2,(I73-H73),IF('Pricing Inputs'!$AN$3=2,IF((I73-$H73)&gt;0,I73-$H73,0),(_xll.xSPRDOPT(I73,$E73,$BU73,0,$BP73,$BS73,$BT73,($A73-Inputs!$D$1)+15,1,0)))))</f>
        <v>2.3102972994567144</v>
      </c>
      <c r="Q73" s="320">
        <f ca="1">IF($A73="N/A"," ",IF('Pricing Inputs'!$AN$8=2,(J73-$H73),IF('Pricing Inputs'!$AN$3=2,IF((J73-$H73)&gt;0,J73-$H73,0),(_xll.xSPRDOPT(J73,$E73,$BU73,0,$BP73,$BS73,$BT73,($A73-Inputs!$D$1)+15,1,0)))))</f>
        <v>2.6913172097211353</v>
      </c>
      <c r="R73" s="320">
        <f ca="1">IF($A73="N/A"," ",IF('Pricing Inputs'!$AN$8=2,(K73-$H73),IF('Pricing Inputs'!$AN$3=2,IF((K73-$H73)&gt;0,K73-$H73,0),(_xll.xSPRDOPT(K73,$E73,$BU73,0,$BP73,$BS73,$BT73,($A73-Inputs!$D$1)+15,1,0)))))</f>
        <v>0.34821896028738314</v>
      </c>
      <c r="S73" s="320">
        <f ca="1">IF($A73="N/A"," ",IF('Pricing Inputs'!$AN$8=2,(L73-$H73),IF('Pricing Inputs'!$AN$3=2,IF((L73-$H73)&gt;0,L73-$H73,0),(_xll.xSPRDOPT(L73,$E73,$BU73,0,$BP73,$BS73,$BT73,($A73-Inputs!$D$1)+15,1,0)))))</f>
        <v>0.43558946154684308</v>
      </c>
      <c r="T73" s="320">
        <f ca="1">IF($A73="N/A"," ",IF('Pricing Inputs'!$AN$8=2,(M73-$H73),IF('Pricing Inputs'!$AN$3=2,IF((M73-$H73)&gt;0,M73-$H73,0),(_xll.xSPRDOPT(M73,$E73,$BU73,0,$BP73,$BS73,$BT73,($A73-Inputs!$D$1)+15,1,0)))))</f>
        <v>0.15368886781377547</v>
      </c>
      <c r="U73" s="320">
        <f ca="1">IF($A73="N/A"," ",IF('Pricing Inputs'!$AN$8=2,(N73-$H73),IF('Pricing Inputs'!$AN$3=2,IF((N73-$H73)&gt;0,N73-$H73,0),(_xll.xSPRDOPT(N73,$E73,$BU73,0,$BP73,$BS73,$BT73,($A73-Inputs!$D$1)+15,1,0)))))</f>
        <v>0.19762213289079206</v>
      </c>
      <c r="V73" s="259">
        <f ca="1">IF($A73="N/A"," ",(IF('Pricing Inputs'!$AN$8=2,(O73-$H73),IF((O73-$H73)&lt;=0,0,(O73-$H73)))))</f>
        <v>0</v>
      </c>
      <c r="W73" s="306">
        <f ca="1">IF($A73="N/A"," ",IF(0&lt;&gt;P73,IF('Pricing Inputs'!$AN$3=2,8*VLOOKUP($A73,NumberofDaysTable,2),(_xll.xSPRDOPT(I73,$E73,$BU73,0,$BP73,$BS73,$BT73,$A73-Inputs!$D$1,1,1))*(8*VLOOKUP($A73,NumberofDaysTable,2))),0))</f>
        <v>80.146790327329128</v>
      </c>
      <c r="X73" s="306">
        <f ca="1">IF($A73="N/A"," ",IF(Q73&lt;&gt;0,IF('Pricing Inputs'!$AN$3=2,8*VLOOKUP($A73,NumberofDaysTable,2),(_xll.xSPRDOPT(J73,$E73,$BU73,0,$BP73,$BS73,$BT73,$A73-Inputs!$D$1,1,1))*(8*VLOOKUP($A73,NumberofDaysTable,2))),0))</f>
        <v>87.295812820105695</v>
      </c>
      <c r="Y73" s="306">
        <f ca="1">IF($A73="N/A"," ",IF(R73&lt;&gt;0,IF('Pricing Inputs'!$AN$3=2,8*VLOOKUP($A73,NumberofDaysTable,3),(_xll.xSPRDOPT(K73,$E73,$BU73,0,$BP73,$BS73,$BT73,$A73-Inputs!$D$1,1,1))*(8*VLOOKUP($A73,NumberofDaysTable,3))),0))</f>
        <v>4.138865588212437</v>
      </c>
      <c r="Z73" s="306">
        <f ca="1">IF($A73="N/A"," ",IF(S73&lt;&gt;0,IF('Pricing Inputs'!$AN$3=2,8*VLOOKUP($A73,NumberofDaysTable,3),(_xll.xSPRDOPT(L73,$E73,$BU73,0,$BP73,$BS73,$BT73,$A73-Inputs!$D$1,1,1))*(8*VLOOKUP($A73,NumberofDaysTable,3))),0))</f>
        <v>4.8723735540729347</v>
      </c>
      <c r="AA73" s="306">
        <f ca="1">IF($A73="N/A"," ",IF(T73&lt;&gt;0,IF('Pricing Inputs'!$AN$3=2,8*VLOOKUP($A73,NumberofDaysTable,4),(_xll.xSPRDOPT(M73,$E73,$BU73,0,$BP73,$BS73,$BT73,$A73-Inputs!$D$1,1,1))*(8*VLOOKUP($A73,NumberofDaysTable,4))),0))</f>
        <v>2.7895008732633442</v>
      </c>
      <c r="AB73" s="306">
        <f ca="1">IF($A73="N/A"," ",IF(U73&lt;&gt;0,IF('Pricing Inputs'!$AN$3=2,8*VLOOKUP($A73,NumberofDaysTable,4),(_xll.xSPRDOPT(N73,$E73,$BU73,0,$BP73,$BS73,$BT73,$A73-Inputs!$D$1,1,1))*(8*VLOOKUP($A73,NumberofDaysTable,4))),0))</f>
        <v>3.3837997764713674</v>
      </c>
      <c r="AC73" s="306">
        <f t="shared" ca="1" si="132"/>
        <v>0</v>
      </c>
      <c r="AD73" s="274">
        <f t="shared" ca="1" si="119"/>
        <v>22</v>
      </c>
      <c r="AE73" s="275">
        <f t="shared" ca="1" si="120"/>
        <v>21</v>
      </c>
      <c r="AF73" s="275">
        <f t="shared" ca="1" si="121"/>
        <v>46</v>
      </c>
      <c r="AG73" s="275">
        <f t="shared" ca="1" si="122"/>
        <v>39</v>
      </c>
      <c r="AH73" s="275">
        <f t="shared" ca="1" si="123"/>
        <v>57</v>
      </c>
      <c r="AI73" s="275">
        <f t="shared" ca="1" si="124"/>
        <v>54</v>
      </c>
      <c r="AJ73" s="276">
        <f t="shared" ca="1" si="125"/>
        <v>73</v>
      </c>
      <c r="AK73" s="314">
        <f t="shared" ca="1" si="43"/>
        <v>80.146790327329128</v>
      </c>
      <c r="AL73" s="315">
        <f t="shared" ca="1" si="44"/>
        <v>87.295812820105695</v>
      </c>
      <c r="AM73" s="315">
        <f t="shared" ca="1" si="45"/>
        <v>4.138865588212437</v>
      </c>
      <c r="AN73" s="315">
        <f t="shared" ca="1" si="46"/>
        <v>4.8723735540729347</v>
      </c>
      <c r="AO73" s="315">
        <f t="shared" ca="1" si="47"/>
        <v>2.7895008732633442</v>
      </c>
      <c r="AP73" s="315">
        <f t="shared" ca="1" si="48"/>
        <v>3.3837997764713674</v>
      </c>
      <c r="AQ73" s="315">
        <f t="shared" ca="1" si="49"/>
        <v>0</v>
      </c>
      <c r="AR73" s="284" t="s">
        <v>1292</v>
      </c>
      <c r="AS73" s="321">
        <f t="shared" ca="1" si="112"/>
        <v>0</v>
      </c>
      <c r="AT73" s="324">
        <f t="shared" ca="1" si="113"/>
        <v>0</v>
      </c>
      <c r="AU73" s="324">
        <f t="shared" ca="1" si="114"/>
        <v>0</v>
      </c>
      <c r="AV73" s="324">
        <f t="shared" ca="1" si="115"/>
        <v>0</v>
      </c>
      <c r="AW73" s="324">
        <f t="shared" ca="1" si="116"/>
        <v>0</v>
      </c>
      <c r="AX73" s="324">
        <f t="shared" ca="1" si="117"/>
        <v>0</v>
      </c>
      <c r="AY73" s="324">
        <f t="shared" ca="1" si="118"/>
        <v>0</v>
      </c>
      <c r="AZ73" s="283" t="s">
        <v>1304</v>
      </c>
      <c r="BA73" s="267">
        <f ca="1">IF($A73="N/A"," ",(IF(MONTH(A73)&gt;=4,IF(MONTH(A73)&lt;=10,Inputs!$F$13,Inputs!$F$14),Inputs!$F$14))*$BW73)</f>
        <v>180</v>
      </c>
      <c r="BB73" s="268">
        <f t="shared" ca="1" si="64"/>
        <v>73190.218446788713</v>
      </c>
      <c r="BC73" s="268">
        <f t="shared" ca="1" si="65"/>
        <v>85260.92920396557</v>
      </c>
      <c r="BD73" s="268">
        <f t="shared" ca="1" si="133"/>
        <v>2005.7412112553268</v>
      </c>
      <c r="BE73" s="268">
        <f t="shared" ca="1" si="134"/>
        <v>2508.9952985098162</v>
      </c>
      <c r="BF73" s="268">
        <f t="shared" ca="1" si="135"/>
        <v>1106.5598482591834</v>
      </c>
      <c r="BG73" s="268">
        <f t="shared" ca="1" si="136"/>
        <v>1422.8793568137028</v>
      </c>
      <c r="BH73" s="268">
        <f t="shared" ca="1" si="41"/>
        <v>0</v>
      </c>
      <c r="BI73" s="268">
        <f t="shared" ca="1" si="137"/>
        <v>165495.32336559228</v>
      </c>
      <c r="BJ73" s="296">
        <f t="shared" ca="1" si="138"/>
        <v>1034581.6233323686</v>
      </c>
      <c r="BK73" s="296">
        <f t="shared" ca="1" si="139"/>
        <v>968835.85187416477</v>
      </c>
      <c r="BL73" s="296">
        <f t="shared" ca="1" si="140"/>
        <v>65745.771458203759</v>
      </c>
      <c r="BM73" s="296">
        <f t="shared" ca="1" si="141"/>
        <v>0</v>
      </c>
      <c r="BN73" s="405">
        <f>IF(A73="N/A"," ",(VLOOKUP(A73,PowerVolTable,(IF('Pricing Inputs'!$AT$3=2,7,IF('Pricing Inputs'!$AT$3=1,6,8))),FALSE)))</f>
        <v>0.18733236496874997</v>
      </c>
      <c r="BO73" s="405">
        <f>IF(A73="N/A"," ",(VLOOKUP(A73,IntraPowerVol,(IF('Pricing Inputs'!$AT$3=2,3,IF('Pricing Inputs'!$AT$3=1,2,4))),FALSE)*VLOOKUP(MONTH($A73),Inputs!$A$28:$B$39,2)))</f>
        <v>1.2649999999999999</v>
      </c>
      <c r="BP73" s="406">
        <f t="shared" ca="1" si="126"/>
        <v>0.2115789237503653</v>
      </c>
      <c r="BQ73" s="405">
        <f ca="1">IF($A73="N/A"," ",(VLOOKUP($A73,GasVolTable,(IF('Pricing Inputs'!$AT$3=2,6,IF('Pricing Inputs'!$AT$3=1,7,5))),FALSE)))</f>
        <v>0.1575</v>
      </c>
      <c r="BR73" s="405">
        <f ca="1">IF($A73="N/A"," ",(VLOOKUP($A73,OmicronVol,(IF('Pricing Inputs'!$AT$3=2,3,IF('Pricing Inputs'!$AT$3=1,4,2))),FALSE)))</f>
        <v>0.65</v>
      </c>
      <c r="BS73" s="406">
        <f ca="1">IF($A73="N/A"," ",IF('Pricing Inputs'!$AN$3=1,(IF(DateToday&gt;$A73,$BR73,((($BQ73^2)*((($A73-1)-DateToday)/((EOMONTH($A73,0)+1)-DateToday-15)))+((($BR73)^2)*((15)/((EOMONTH($A73,0)+1)-DateToday-15))))^0.5)),0.0001))</f>
        <v>0.1650781417144645</v>
      </c>
      <c r="BT73" s="405">
        <f>IF($A73="N/A"," ",IF('Pricing Inputs'!$AN$3=1,(VLOOKUP($A73,CorrelationTable,2,FALSE)),0))</f>
        <v>0.9</v>
      </c>
      <c r="BU73" s="407">
        <f ca="1">IF($A73="N/A"," ",F73+G73+(D73*(VLOOKUP($A73,'Gas Curves'!$B$17:$P$310,14,FALSE))))</f>
        <v>2.6825000000000001</v>
      </c>
      <c r="BV73" s="405">
        <f>IF($A73="N/A"," ",IF('Pricing Inputs'!$AW$3=1,0,(VLOOKUP($A73,InterestRatesTable,2))))</f>
        <v>0</v>
      </c>
      <c r="BW73" s="408">
        <f t="shared" ca="1" si="127"/>
        <v>1</v>
      </c>
    </row>
    <row r="74" spans="1:75">
      <c r="A74" s="248">
        <f>IF(A73="N/A","N/A",IF(EDATE(A73,1)&gt;Inputs!$K$3,"N/A",EDATE(A73,1)))</f>
        <v>39022</v>
      </c>
      <c r="B74" s="262">
        <f t="shared" si="128"/>
        <v>2006</v>
      </c>
      <c r="C74" s="249">
        <f t="shared" ca="1" si="129"/>
        <v>3.7124999999999999</v>
      </c>
      <c r="D74" s="250">
        <f>IF(A74="N/A"," ",(VLOOKUP(MONTH($A74),Inputs!$A$14:$B$25,2))/1000)</f>
        <v>10.5</v>
      </c>
      <c r="E74" s="304">
        <f t="shared" ca="1" si="130"/>
        <v>38.981249999999996</v>
      </c>
      <c r="F74" s="251">
        <f>IF(A74="N/A"," ",Inputs!$F$6)</f>
        <v>2</v>
      </c>
      <c r="G74" s="251">
        <f ca="1">IF(A74="N/A"," ",Inputs!$F$9/IF(AND('Pricing Inputs'!$AQ$3&gt;=4,'Pricing Inputs'!$AQ$3&lt;=6),16,IF(AND('Pricing Inputs'!$AQ$3&gt;=7,'Pricing Inputs'!$AQ$3&lt;=9),8,24))/(BA74/BW74))</f>
        <v>0</v>
      </c>
      <c r="H74" s="252">
        <f t="shared" ca="1" si="131"/>
        <v>40.981249999999996</v>
      </c>
      <c r="I74" s="255">
        <f>VLOOKUP(A74,ScaledPrice,(IF(AND('Pricing Inputs'!$AQ$3&gt;=1,'Pricing Inputs'!$AQ$3&lt;=6),2,4)))</f>
        <v>30.641244375000003</v>
      </c>
      <c r="J74" s="255">
        <f>IF(A74="N/A"," ",IF(AND('Pricing Inputs'!$AQ$3&gt;=1,'Pricing Inputs'!$AQ$3&lt;=6),I74,(VLOOKUP(A74,ScaledPrice,2))*(2-(VLOOKUP(A74,ScaledPrice,3)))))</f>
        <v>31.308755625</v>
      </c>
      <c r="K74" s="255">
        <f>IF(A74="N/A"," ",IF(OR('Pricing Inputs'!$AQ$3=2,'Pricing Inputs'!$AQ$3=3,'Pricing Inputs'!$AQ$3=5,'Pricing Inputs'!$AQ$3=6,'Pricing Inputs'!$AQ$3=8,'Pricing Inputs'!$AQ$3=9),VLOOKUP(A74,ScaledPrice,IF(AND('Pricing Inputs'!$AQ$3&gt;=2,'Pricing Inputs'!$AQ$3&lt;=6),5,6)),0))</f>
        <v>24.33963538856506</v>
      </c>
      <c r="L74" s="255">
        <f>IF(A74="N/A"," ",IF(OR('Pricing Inputs'!$AQ$3=2,'Pricing Inputs'!$AQ$3=3,'Pricing Inputs'!$AQ$3=5,'Pricing Inputs'!$AQ$3=6,'Pricing Inputs'!$AQ$3=8,'Pricing Inputs'!$AQ$3=9),IF(AND('Pricing Inputs'!$AQ$3&gt;=2,'Pricing Inputs'!$AQ$3&lt;=6),K74,(VLOOKUP(A74,ScaledPrice,5))*(2-(VLOOKUP(A74,ScaledPrice,3)))),0))</f>
        <v>24.869867785263057</v>
      </c>
      <c r="M74" s="255">
        <f>IF(A74="N/A"," ",IF(OR('Pricing Inputs'!$AQ$3=3,'Pricing Inputs'!$AQ$3=6,'Pricing Inputs'!$AQ$3=9),(VLOOKUP(A74,ScaledPrice,IF(AND('Pricing Inputs'!$AQ$3&gt;=3,'Pricing Inputs'!$AQ$3&lt;=6),7,8))),0))</f>
        <v>22.36093633136749</v>
      </c>
      <c r="N74" s="255">
        <f>IF(A74="N/A"," ",IF(OR('Pricing Inputs'!$AQ$3=3,'Pricing Inputs'!$AQ$3=6,'Pricing Inputs'!$AQ$3=9),IF(AND('Pricing Inputs'!$AQ$3&gt;=3,'Pricing Inputs'!$AQ$3&lt;=6),M74,(VLOOKUP(A74,ScaledPrice,7))*(2-(VLOOKUP(A74,ScaledPrice,3)))),0))</f>
        <v>22.848063302421565</v>
      </c>
      <c r="O74" s="255">
        <f>IF(A74="N/A"," ",IF(AND('Pricing Inputs'!$AQ$3&gt;=1,'Pricing Inputs'!$AQ$3&lt;=3),VLOOKUP(A74,ScaledPrice,9),0))</f>
        <v>0</v>
      </c>
      <c r="P74" s="320">
        <f ca="1">IF($A74="N/A"," ",IF('Pricing Inputs'!$AN$8=2,(I74-H74),IF('Pricing Inputs'!$AN$3=2,IF((I74-$H74)&gt;0,I74-$H74,0),(_xll.xSPRDOPT(I74,$E74,$BU74,0,$BP74,$BS74,$BT74,($A74-Inputs!$D$1)+15,1,0)))))</f>
        <v>0.54016981363966665</v>
      </c>
      <c r="Q74" s="320">
        <f ca="1">IF($A74="N/A"," ",IF('Pricing Inputs'!$AN$8=2,(J74-$H74),IF('Pricing Inputs'!$AN$3=2,IF((J74-$H74)&gt;0,J74-$H74,0),(_xll.xSPRDOPT(J74,$E74,$BU74,0,$BP74,$BS74,$BT74,($A74-Inputs!$D$1)+15,1,0)))))</f>
        <v>0.64510223646516307</v>
      </c>
      <c r="R74" s="320">
        <f ca="1">IF($A74="N/A"," ",IF('Pricing Inputs'!$AN$8=2,(K74-$H74),IF('Pricing Inputs'!$AN$3=2,IF((K74-$H74)&gt;0,K74-$H74,0),(_xll.xSPRDOPT(K74,$E74,$BU74,0,$BP74,$BS74,$BT74,($A74-Inputs!$D$1)+15,1,0)))))</f>
        <v>5.7978618670666504E-2</v>
      </c>
      <c r="S74" s="320">
        <f ca="1">IF($A74="N/A"," ",IF('Pricing Inputs'!$AN$8=2,(L74-$H74),IF('Pricing Inputs'!$AN$3=2,IF((L74-$H74)&gt;0,L74-$H74,0),(_xll.xSPRDOPT(L74,$E74,$BU74,0,$BP74,$BS74,$BT74,($A74-Inputs!$D$1)+15,1,0)))))</f>
        <v>7.3404895306799334E-2</v>
      </c>
      <c r="T74" s="320">
        <f ca="1">IF($A74="N/A"," ",IF('Pricing Inputs'!$AN$8=2,(M74-$H74),IF('Pricing Inputs'!$AN$3=2,IF((M74-$H74)&gt;0,M74-$H74,0),(_xll.xSPRDOPT(M74,$E74,$BU74,0,$BP74,$BS74,$BT74,($A74-Inputs!$D$1)+15,1,0)))))</f>
        <v>2.1656485632220297E-2</v>
      </c>
      <c r="U74" s="320">
        <f ca="1">IF($A74="N/A"," ",IF('Pricing Inputs'!$AN$8=2,(N74-$H74),IF('Pricing Inputs'!$AN$3=2,IF((N74-$H74)&gt;0,N74-$H74,0),(_xll.xSPRDOPT(N74,$E74,$BU74,0,$BP74,$BS74,$BT74,($A74-Inputs!$D$1)+15,1,0)))))</f>
        <v>2.8056926093262283E-2</v>
      </c>
      <c r="V74" s="259">
        <f ca="1">IF($A74="N/A"," ",(IF('Pricing Inputs'!$AN$8=2,(O74-$H74),IF((O74-$H74)&lt;=0,0,(O74-$H74)))))</f>
        <v>0</v>
      </c>
      <c r="W74" s="306">
        <f ca="1">IF($A74="N/A"," ",IF(0&lt;&gt;P74,IF('Pricing Inputs'!$AN$3=2,8*VLOOKUP($A74,NumberofDaysTable,2),(_xll.xSPRDOPT(I74,$E74,$BU74,0,$BP74,$BS74,$BT74,$A74-Inputs!$D$1,1,1))*(8*VLOOKUP($A74,NumberofDaysTable,2))),0))</f>
        <v>24.59419525935521</v>
      </c>
      <c r="X74" s="306">
        <f ca="1">IF($A74="N/A"," ",IF(Q74&lt;&gt;0,IF('Pricing Inputs'!$AN$3=2,8*VLOOKUP($A74,NumberofDaysTable,2),(_xll.xSPRDOPT(J74,$E74,$BU74,0,$BP74,$BS74,$BT74,$A74-Inputs!$D$1,1,1))*(8*VLOOKUP($A74,NumberofDaysTable,2))),0))</f>
        <v>27.944771235092873</v>
      </c>
      <c r="Y74" s="306">
        <f ca="1">IF($A74="N/A"," ",IF(R74&lt;&gt;0,IF('Pricing Inputs'!$AN$3=2,8*VLOOKUP($A74,NumberofDaysTable,3),(_xll.xSPRDOPT(K74,$E74,$BU74,0,$BP74,$BS74,$BT74,$A74-Inputs!$D$1,1,1))*(8*VLOOKUP($A74,NumberofDaysTable,3))),0))</f>
        <v>0.83146916854907649</v>
      </c>
      <c r="Z74" s="306">
        <f ca="1">IF($A74="N/A"," ",IF(S74&lt;&gt;0,IF('Pricing Inputs'!$AN$3=2,8*VLOOKUP($A74,NumberofDaysTable,3),(_xll.xSPRDOPT(L74,$E74,$BU74,0,$BP74,$BS74,$BT74,$A74-Inputs!$D$1,1,1))*(8*VLOOKUP($A74,NumberofDaysTable,3))),0))</f>
        <v>1.0064884539137107</v>
      </c>
      <c r="AA74" s="306">
        <f ca="1">IF($A74="N/A"," ",IF(T74&lt;&gt;0,IF('Pricing Inputs'!$AN$3=2,8*VLOOKUP($A74,NumberofDaysTable,4),(_xll.xSPRDOPT(M74,$E74,$BU74,0,$BP74,$BS74,$BT74,$A74-Inputs!$D$1,1,1))*(8*VLOOKUP($A74,NumberofDaysTable,4))),0))</f>
        <v>0.36905260386562516</v>
      </c>
      <c r="AB74" s="306">
        <f ca="1">IF($A74="N/A"," ",IF(U74&lt;&gt;0,IF('Pricing Inputs'!$AN$3=2,8*VLOOKUP($A74,NumberofDaysTable,4),(_xll.xSPRDOPT(N74,$E74,$BU74,0,$BP74,$BS74,$BT74,$A74-Inputs!$D$1,1,1))*(8*VLOOKUP($A74,NumberofDaysTable,4))),0))</f>
        <v>0.45788911044406455</v>
      </c>
      <c r="AC74" s="306">
        <f t="shared" ca="1" si="132"/>
        <v>0</v>
      </c>
      <c r="AD74" s="274">
        <f t="shared" ca="1" si="119"/>
        <v>37</v>
      </c>
      <c r="AE74" s="275">
        <f t="shared" ca="1" si="120"/>
        <v>34</v>
      </c>
      <c r="AF74" s="275">
        <f t="shared" ca="1" si="121"/>
        <v>62</v>
      </c>
      <c r="AG74" s="275">
        <f t="shared" ca="1" si="122"/>
        <v>60</v>
      </c>
      <c r="AH74" s="275">
        <f t="shared" ca="1" si="123"/>
        <v>68</v>
      </c>
      <c r="AI74" s="275">
        <f t="shared" ca="1" si="124"/>
        <v>66</v>
      </c>
      <c r="AJ74" s="276">
        <f t="shared" ca="1" si="125"/>
        <v>73</v>
      </c>
      <c r="AK74" s="314">
        <f t="shared" ca="1" si="43"/>
        <v>24.59419525935521</v>
      </c>
      <c r="AL74" s="315">
        <f t="shared" ca="1" si="44"/>
        <v>27.944771235092873</v>
      </c>
      <c r="AM74" s="315">
        <f t="shared" ca="1" si="45"/>
        <v>0.83146916854907649</v>
      </c>
      <c r="AN74" s="315">
        <f t="shared" ca="1" si="46"/>
        <v>1.0064884539137107</v>
      </c>
      <c r="AO74" s="315">
        <f t="shared" ca="1" si="47"/>
        <v>0.36905260386562516</v>
      </c>
      <c r="AP74" s="315">
        <f t="shared" ca="1" si="48"/>
        <v>0.45788911044406455</v>
      </c>
      <c r="AQ74" s="315">
        <f t="shared" ca="1" si="49"/>
        <v>0</v>
      </c>
      <c r="AR74" s="276">
        <f ca="1">SUM(AK64:AQ75)</f>
        <v>2360.8770950548374</v>
      </c>
      <c r="AS74" s="321">
        <f t="shared" ca="1" si="112"/>
        <v>0</v>
      </c>
      <c r="AT74" s="324">
        <f t="shared" ca="1" si="113"/>
        <v>0</v>
      </c>
      <c r="AU74" s="324">
        <f t="shared" ca="1" si="114"/>
        <v>0</v>
      </c>
      <c r="AV74" s="324">
        <f t="shared" ca="1" si="115"/>
        <v>0</v>
      </c>
      <c r="AW74" s="324">
        <f t="shared" ca="1" si="116"/>
        <v>0</v>
      </c>
      <c r="AX74" s="324">
        <f t="shared" ca="1" si="117"/>
        <v>0</v>
      </c>
      <c r="AY74" s="324">
        <f t="shared" ca="1" si="118"/>
        <v>0</v>
      </c>
      <c r="AZ74" s="276">
        <f ca="1">SUM(AS64:AY75)</f>
        <v>0</v>
      </c>
      <c r="BA74" s="267">
        <f ca="1">IF($A74="N/A"," ",(IF(MONTH(A74)&gt;=4,IF(MONTH(A74)&lt;=10,Inputs!$F$13,Inputs!$F$14),Inputs!$F$14))*$BW74)</f>
        <v>180</v>
      </c>
      <c r="BB74" s="268">
        <f t="shared" ca="1" si="64"/>
        <v>16334.73516446352</v>
      </c>
      <c r="BC74" s="268">
        <f t="shared" ca="1" si="65"/>
        <v>19507.89163070653</v>
      </c>
      <c r="BD74" s="268">
        <f t="shared" ca="1" si="133"/>
        <v>333.95684354303904</v>
      </c>
      <c r="BE74" s="268">
        <f t="shared" ca="1" si="134"/>
        <v>422.81219696716414</v>
      </c>
      <c r="BF74" s="268">
        <f t="shared" ca="1" si="135"/>
        <v>155.92669655198614</v>
      </c>
      <c r="BG74" s="268">
        <f t="shared" ca="1" si="136"/>
        <v>202.00986787148844</v>
      </c>
      <c r="BH74" s="268">
        <f t="shared" ca="1" si="41"/>
        <v>0</v>
      </c>
      <c r="BI74" s="268">
        <f t="shared" ca="1" si="137"/>
        <v>36957.332400103725</v>
      </c>
      <c r="BJ74" s="296">
        <f t="shared" ca="1" si="138"/>
        <v>407218.21678722737</v>
      </c>
      <c r="BK74" s="296">
        <f t="shared" ca="1" si="139"/>
        <v>387344.82508798793</v>
      </c>
      <c r="BL74" s="296">
        <f t="shared" ca="1" si="140"/>
        <v>19873.391699239401</v>
      </c>
      <c r="BM74" s="296">
        <f t="shared" ca="1" si="141"/>
        <v>0</v>
      </c>
      <c r="BN74" s="405">
        <f>IF(A74="N/A"," ",(VLOOKUP(A74,PowerVolTable,(IF('Pricing Inputs'!$AT$3=2,7,IF('Pricing Inputs'!$AT$3=1,6,8))),FALSE)))</f>
        <v>0.18733236496874997</v>
      </c>
      <c r="BO74" s="405">
        <f>IF(A74="N/A"," ",(VLOOKUP(A74,IntraPowerVol,(IF('Pricing Inputs'!$AT$3=2,3,IF('Pricing Inputs'!$AT$3=1,2,4))),FALSE)*VLOOKUP(MONTH($A74),Inputs!$A$28:$B$39,2)))</f>
        <v>1.4375</v>
      </c>
      <c r="BP74" s="406">
        <f t="shared" ca="1" si="126"/>
        <v>0.21798096319641155</v>
      </c>
      <c r="BQ74" s="405">
        <f ca="1">IF($A74="N/A"," ",(VLOOKUP($A74,GasVolTable,(IF('Pricing Inputs'!$AT$3=2,6,IF('Pricing Inputs'!$AT$3=1,7,5))),FALSE)))</f>
        <v>0.1575</v>
      </c>
      <c r="BR74" s="405">
        <f ca="1">IF($A74="N/A"," ",(VLOOKUP($A74,OmicronVol,(IF('Pricing Inputs'!$AT$3=2,3,IF('Pricing Inputs'!$AT$3=1,4,2))),FALSE)))</f>
        <v>0.95</v>
      </c>
      <c r="BS74" s="406">
        <f ca="1">IF($A74="N/A"," ",IF('Pricing Inputs'!$AN$3=1,(IF(DateToday&gt;$A74,$BR74,((($BQ74^2)*((($A74-1)-DateToday)/((EOMONTH($A74,0)+1)-DateToday-15)))+((($BR74)^2)*((15)/((EOMONTH($A74,0)+1)-DateToday-15))))^0.5)),0.0001))</f>
        <v>0.17369444494307132</v>
      </c>
      <c r="BT74" s="405">
        <f>IF($A74="N/A"," ",IF('Pricing Inputs'!$AN$3=1,(VLOOKUP($A74,CorrelationTable,2,FALSE)),0))</f>
        <v>0.9</v>
      </c>
      <c r="BU74" s="407">
        <f ca="1">IF($A74="N/A"," ",F74+G74+(D74*(VLOOKUP($A74,'Gas Curves'!$B$17:$P$310,14,FALSE))))</f>
        <v>2.6825000000000001</v>
      </c>
      <c r="BV74" s="405">
        <f>IF($A74="N/A"," ",IF('Pricing Inputs'!$AW$3=1,0,(VLOOKUP($A74,InterestRatesTable,2))))</f>
        <v>0</v>
      </c>
      <c r="BW74" s="408">
        <f t="shared" ca="1" si="127"/>
        <v>1</v>
      </c>
    </row>
    <row r="75" spans="1:75">
      <c r="A75" s="248">
        <f>IF(A74="N/A","N/A",IF(EDATE(A74,1)&gt;Inputs!$K$3,"N/A",EDATE(A74,1)))</f>
        <v>39052</v>
      </c>
      <c r="B75" s="262">
        <f t="shared" si="128"/>
        <v>2006</v>
      </c>
      <c r="C75" s="249">
        <f t="shared" ca="1" si="129"/>
        <v>4.1515000000000004</v>
      </c>
      <c r="D75" s="250">
        <f>IF(A75="N/A"," ",(VLOOKUP(MONTH($A75),Inputs!$A$14:$B$25,2))/1000)</f>
        <v>10.5</v>
      </c>
      <c r="E75" s="304">
        <f t="shared" ca="1" si="130"/>
        <v>43.590750000000007</v>
      </c>
      <c r="F75" s="251">
        <f>IF(A75="N/A"," ",Inputs!$F$6)</f>
        <v>2</v>
      </c>
      <c r="G75" s="251">
        <f ca="1">IF(A75="N/A"," ",Inputs!$F$9/IF(AND('Pricing Inputs'!$AQ$3&gt;=4,'Pricing Inputs'!$AQ$3&lt;=6),16,IF(AND('Pricing Inputs'!$AQ$3&gt;=7,'Pricing Inputs'!$AQ$3&lt;=9),8,24))/(BA75/BW75))</f>
        <v>0</v>
      </c>
      <c r="H75" s="252">
        <f t="shared" ca="1" si="131"/>
        <v>45.590750000000007</v>
      </c>
      <c r="I75" s="255">
        <f>VLOOKUP(A75,ScaledPrice,(IF(AND('Pricing Inputs'!$AQ$3&gt;=1,'Pricing Inputs'!$AQ$3&lt;=6),2,4)))</f>
        <v>30.187324882791582</v>
      </c>
      <c r="J75" s="255">
        <f>IF(A75="N/A"," ",IF(AND('Pricing Inputs'!$AQ$3&gt;=1,'Pricing Inputs'!$AQ$3&lt;=6),I75,(VLOOKUP(A75,ScaledPrice,2))*(2-(VLOOKUP(A75,ScaledPrice,3)))))</f>
        <v>31.512675117208417</v>
      </c>
      <c r="K75" s="255">
        <f>IF(A75="N/A"," ",IF(OR('Pricing Inputs'!$AQ$3=2,'Pricing Inputs'!$AQ$3=3,'Pricing Inputs'!$AQ$3=5,'Pricing Inputs'!$AQ$3=6,'Pricing Inputs'!$AQ$3=8,'Pricing Inputs'!$AQ$3=9),VLOOKUP(A75,ScaledPrice,IF(AND('Pricing Inputs'!$AQ$3&gt;=2,'Pricing Inputs'!$AQ$3&lt;=6),5,6)),0))</f>
        <v>25.495322575553391</v>
      </c>
      <c r="L75" s="255">
        <f>IF(A75="N/A"," ",IF(OR('Pricing Inputs'!$AQ$3=2,'Pricing Inputs'!$AQ$3=3,'Pricing Inputs'!$AQ$3=5,'Pricing Inputs'!$AQ$3=6,'Pricing Inputs'!$AQ$3=8,'Pricing Inputs'!$AQ$3=9),IF(AND('Pricing Inputs'!$AQ$3&gt;=2,'Pricing Inputs'!$AQ$3&lt;=6),K75,(VLOOKUP(A75,ScaledPrice,5))*(2-(VLOOKUP(A75,ScaledPrice,3)))),0))</f>
        <v>26.614674220100895</v>
      </c>
      <c r="M75" s="255">
        <f>IF(A75="N/A"," ",IF(OR('Pricing Inputs'!$AQ$3=3,'Pricing Inputs'!$AQ$3=6,'Pricing Inputs'!$AQ$3=9),(VLOOKUP(A75,ScaledPrice,IF(AND('Pricing Inputs'!$AQ$3&gt;=3,'Pricing Inputs'!$AQ$3&lt;=6),7,8))),0))</f>
        <v>22.065612741518603</v>
      </c>
      <c r="N75" s="255">
        <f>IF(A75="N/A"," ",IF(OR('Pricing Inputs'!$AQ$3=3,'Pricing Inputs'!$AQ$3=6,'Pricing Inputs'!$AQ$3=9),IF(AND('Pricing Inputs'!$AQ$3&gt;=3,'Pricing Inputs'!$AQ$3&lt;=6),M75,(VLOOKUP(A75,ScaledPrice,7))*(2-(VLOOKUP(A75,ScaledPrice,3)))),0))</f>
        <v>23.03438573260248</v>
      </c>
      <c r="O75" s="255">
        <f>IF(A75="N/A"," ",IF(AND('Pricing Inputs'!$AQ$3&gt;=1,'Pricing Inputs'!$AQ$3&lt;=3),VLOOKUP(A75,ScaledPrice,9),0))</f>
        <v>0</v>
      </c>
      <c r="P75" s="320">
        <f ca="1">IF($A75="N/A"," ",IF('Pricing Inputs'!$AN$8=2,(I75-H75),IF('Pricing Inputs'!$AN$3=2,IF((I75-$H75)&gt;0,I75-$H75,0),(_xll.xSPRDOPT(I75,$E75,$BU75,0,$BP75,$BS75,$BT75,($A75-Inputs!$D$1)+15,1,0)))))</f>
        <v>0.21315152367196169</v>
      </c>
      <c r="Q75" s="320">
        <f ca="1">IF($A75="N/A"," ",IF('Pricing Inputs'!$AN$8=2,(J75-$H75),IF('Pricing Inputs'!$AN$3=2,IF((J75-$H75)&gt;0,J75-$H75,0),(_xll.xSPRDOPT(J75,$E75,$BU75,0,$BP75,$BS75,$BT75,($A75-Inputs!$D$1)+15,1,0)))))</f>
        <v>0.31837038820029046</v>
      </c>
      <c r="R75" s="320">
        <f ca="1">IF($A75="N/A"," ",IF('Pricing Inputs'!$AN$8=2,(K75-$H75),IF('Pricing Inputs'!$AN$3=2,IF((K75-$H75)&gt;0,K75-$H75,0),(_xll.xSPRDOPT(K75,$E75,$BU75,0,$BP75,$BS75,$BT75,($A75-Inputs!$D$1)+15,1,0)))))</f>
        <v>3.5658225036902504E-2</v>
      </c>
      <c r="S75" s="320">
        <f ca="1">IF($A75="N/A"," ",IF('Pricing Inputs'!$AN$8=2,(L75-$H75),IF('Pricing Inputs'!$AN$3=2,IF((L75-$H75)&gt;0,L75-$H75,0),(_xll.xSPRDOPT(L75,$E75,$BU75,0,$BP75,$BS75,$BT75,($A75-Inputs!$D$1)+15,1,0)))))</f>
        <v>5.8053917224394999E-2</v>
      </c>
      <c r="T75" s="320">
        <f ca="1">IF($A75="N/A"," ",IF('Pricing Inputs'!$AN$8=2,(M75-$H75),IF('Pricing Inputs'!$AN$3=2,IF((M75-$H75)&gt;0,M75-$H75,0),(_xll.xSPRDOPT(M75,$E75,$BU75,0,$BP75,$BS75,$BT75,($A75-Inputs!$D$1)+15,1,0)))))</f>
        <v>5.8483259617478599E-3</v>
      </c>
      <c r="U75" s="320">
        <f ca="1">IF($A75="N/A"," ",IF('Pricing Inputs'!$AN$8=2,(N75-$H75),IF('Pricing Inputs'!$AN$3=2,IF((N75-$H75)&gt;0,N75-$H75,0),(_xll.xSPRDOPT(N75,$E75,$BU75,0,$BP75,$BS75,$BT75,($A75-Inputs!$D$1)+15,1,0)))))</f>
        <v>1.0292587186966027E-2</v>
      </c>
      <c r="V75" s="259">
        <f ca="1">IF($A75="N/A"," ",(IF('Pricing Inputs'!$AN$8=2,(O75-$H75),IF((O75-$H75)&lt;=0,0,(O75-$H75)))))</f>
        <v>0</v>
      </c>
      <c r="W75" s="306">
        <f ca="1">IF($A75="N/A"," ",IF(0&lt;&gt;P75,IF('Pricing Inputs'!$AN$3=2,8*VLOOKUP($A75,NumberofDaysTable,2),(_xll.xSPRDOPT(I75,$E75,$BU75,0,$BP75,$BS75,$BT75,$A75-Inputs!$D$1,1,1))*(8*VLOOKUP($A75,NumberofDaysTable,2))),0))</f>
        <v>10.716372201238414</v>
      </c>
      <c r="X75" s="306">
        <f ca="1">IF($A75="N/A"," ",IF(Q75&lt;&gt;0,IF('Pricing Inputs'!$AN$3=2,8*VLOOKUP($A75,NumberofDaysTable,2),(_xll.xSPRDOPT(J75,$E75,$BU75,0,$BP75,$BS75,$BT75,$A75-Inputs!$D$1,1,1))*(8*VLOOKUP($A75,NumberofDaysTable,2))),0))</f>
        <v>14.570643030674308</v>
      </c>
      <c r="Y75" s="306">
        <f ca="1">IF($A75="N/A"," ",IF(R75&lt;&gt;0,IF('Pricing Inputs'!$AN$3=2,8*VLOOKUP($A75,NumberofDaysTable,3),(_xll.xSPRDOPT(K75,$E75,$BU75,0,$BP75,$BS75,$BT75,$A75-Inputs!$D$1,1,1))*(8*VLOOKUP($A75,NumberofDaysTable,3))),0))</f>
        <v>0.63759824918736618</v>
      </c>
      <c r="Z75" s="306">
        <f ca="1">IF($A75="N/A"," ",IF(S75&lt;&gt;0,IF('Pricing Inputs'!$AN$3=2,8*VLOOKUP($A75,NumberofDaysTable,3),(_xll.xSPRDOPT(L75,$E75,$BU75,0,$BP75,$BS75,$BT75,$A75-Inputs!$D$1,1,1))*(8*VLOOKUP($A75,NumberofDaysTable,3))),0))</f>
        <v>0.95137833401625238</v>
      </c>
      <c r="AA75" s="306">
        <f ca="1">IF($A75="N/A"," ",IF(T75&lt;&gt;0,IF('Pricing Inputs'!$AN$3=2,8*VLOOKUP($A75,NumberofDaysTable,4),(_xll.xSPRDOPT(M75,$E75,$BU75,0,$BP75,$BS75,$BT75,$A75-Inputs!$D$1,1,1))*(8*VLOOKUP($A75,NumberofDaysTable,4))),0))</f>
        <v>0.13861701272890448</v>
      </c>
      <c r="AB75" s="306">
        <f ca="1">IF($A75="N/A"," ",IF(U75&lt;&gt;0,IF('Pricing Inputs'!$AN$3=2,8*VLOOKUP($A75,NumberofDaysTable,4),(_xll.xSPRDOPT(N75,$E75,$BU75,0,$BP75,$BS75,$BT75,$A75-Inputs!$D$1,1,1))*(8*VLOOKUP($A75,NumberofDaysTable,4))),0))</f>
        <v>0.22473226452244216</v>
      </c>
      <c r="AC75" s="306">
        <f t="shared" ca="1" si="132"/>
        <v>0</v>
      </c>
      <c r="AD75" s="277">
        <f t="shared" ca="1" si="119"/>
        <v>53</v>
      </c>
      <c r="AE75" s="278">
        <f t="shared" ca="1" si="120"/>
        <v>47</v>
      </c>
      <c r="AF75" s="278">
        <f t="shared" ca="1" si="121"/>
        <v>64</v>
      </c>
      <c r="AG75" s="278">
        <f t="shared" ca="1" si="122"/>
        <v>61</v>
      </c>
      <c r="AH75" s="278">
        <f t="shared" ca="1" si="123"/>
        <v>72</v>
      </c>
      <c r="AI75" s="278">
        <f t="shared" ca="1" si="124"/>
        <v>71</v>
      </c>
      <c r="AJ75" s="279">
        <f t="shared" ca="1" si="125"/>
        <v>73</v>
      </c>
      <c r="AK75" s="316">
        <f t="shared" ca="1" si="43"/>
        <v>10.716372201238414</v>
      </c>
      <c r="AL75" s="317">
        <f t="shared" ca="1" si="44"/>
        <v>14.570643030674308</v>
      </c>
      <c r="AM75" s="317">
        <f t="shared" ca="1" si="45"/>
        <v>0.63759824918736618</v>
      </c>
      <c r="AN75" s="317">
        <f t="shared" ca="1" si="46"/>
        <v>0.95137833401625238</v>
      </c>
      <c r="AO75" s="317">
        <f t="shared" ca="1" si="47"/>
        <v>0.13861701272890448</v>
      </c>
      <c r="AP75" s="317">
        <f t="shared" ca="1" si="48"/>
        <v>0.22473226452244216</v>
      </c>
      <c r="AQ75" s="317">
        <f t="shared" ca="1" si="49"/>
        <v>0</v>
      </c>
      <c r="AR75" s="279">
        <f ca="1">IF(($AP$2-AR74)&gt;=0,$AP$2-AR74,0)</f>
        <v>0</v>
      </c>
      <c r="AS75" s="325">
        <f t="shared" ca="1" si="112"/>
        <v>0</v>
      </c>
      <c r="AT75" s="326">
        <f t="shared" ca="1" si="113"/>
        <v>0</v>
      </c>
      <c r="AU75" s="326">
        <f t="shared" ca="1" si="114"/>
        <v>0</v>
      </c>
      <c r="AV75" s="326">
        <f t="shared" ca="1" si="115"/>
        <v>0</v>
      </c>
      <c r="AW75" s="326">
        <f t="shared" ca="1" si="116"/>
        <v>0</v>
      </c>
      <c r="AX75" s="326">
        <f t="shared" ca="1" si="117"/>
        <v>0</v>
      </c>
      <c r="AY75" s="326">
        <f t="shared" ca="1" si="118"/>
        <v>0</v>
      </c>
      <c r="AZ75" s="285">
        <f ca="1">AR74+AZ74</f>
        <v>2360.8770950548374</v>
      </c>
      <c r="BA75" s="267">
        <f ca="1">IF($A75="N/A"," ",(IF(MONTH(A75)&gt;=4,IF(MONTH(A75)&lt;=10,Inputs!$F$13,Inputs!$F$14),Inputs!$F$14))*$BW75)</f>
        <v>180</v>
      </c>
      <c r="BB75" s="268">
        <f t="shared" ca="1" si="64"/>
        <v>6138.7638817524967</v>
      </c>
      <c r="BC75" s="268">
        <f t="shared" ca="1" si="65"/>
        <v>9169.0671801683657</v>
      </c>
      <c r="BD75" s="268">
        <f t="shared" ca="1" si="133"/>
        <v>256.73922026569801</v>
      </c>
      <c r="BE75" s="268">
        <f t="shared" ca="1" si="134"/>
        <v>417.98820401564399</v>
      </c>
      <c r="BF75" s="268">
        <f t="shared" ca="1" si="135"/>
        <v>50.529536309501509</v>
      </c>
      <c r="BG75" s="268">
        <f t="shared" ca="1" si="136"/>
        <v>88.927953295386473</v>
      </c>
      <c r="BH75" s="268">
        <f t="shared" ca="1" si="41"/>
        <v>0</v>
      </c>
      <c r="BI75" s="268">
        <f t="shared" ca="1" si="137"/>
        <v>16122.015975807091</v>
      </c>
      <c r="BJ75" s="296">
        <f t="shared" ca="1" si="138"/>
        <v>223535.15818323518</v>
      </c>
      <c r="BK75" s="296">
        <f t="shared" ca="1" si="139"/>
        <v>213728.99538998283</v>
      </c>
      <c r="BL75" s="296">
        <f t="shared" ca="1" si="140"/>
        <v>9806.1627932523661</v>
      </c>
      <c r="BM75" s="296">
        <f t="shared" ca="1" si="141"/>
        <v>0</v>
      </c>
      <c r="BN75" s="405">
        <f>IF(A75="N/A"," ",(VLOOKUP(A75,PowerVolTable,(IF('Pricing Inputs'!$AT$3=2,7,IF('Pricing Inputs'!$AT$3=1,6,8))),FALSE)))</f>
        <v>0.19401783226874997</v>
      </c>
      <c r="BO75" s="405">
        <f>IF(A75="N/A"," ",(VLOOKUP(A75,IntraPowerVol,(IF('Pricing Inputs'!$AT$3=2,3,IF('Pricing Inputs'!$AT$3=1,2,4))),FALSE)*VLOOKUP(MONTH($A75),Inputs!$A$28:$B$39,2)))</f>
        <v>1.4375</v>
      </c>
      <c r="BP75" s="406">
        <f t="shared" ca="1" si="126"/>
        <v>0.22333466893043141</v>
      </c>
      <c r="BQ75" s="405">
        <f ca="1">IF($A75="N/A"," ",(VLOOKUP($A75,GasVolTable,(IF('Pricing Inputs'!$AT$3=2,6,IF('Pricing Inputs'!$AT$3=1,7,5))),FALSE)))</f>
        <v>0.1575</v>
      </c>
      <c r="BR75" s="405">
        <f ca="1">IF($A75="N/A"," ",(VLOOKUP($A75,OmicronVol,(IF('Pricing Inputs'!$AT$3=2,3,IF('Pricing Inputs'!$AT$3=1,4,2))),FALSE)))</f>
        <v>1.25</v>
      </c>
      <c r="BS75" s="406">
        <f ca="1">IF($A75="N/A"," ",IF('Pricing Inputs'!$AN$3=1,(IF(DateToday&gt;$A75,$BR75,((($BQ75^2)*((($A75-1)-DateToday)/((EOMONTH($A75,0)+1)-DateToday-15)))+((($BR75)^2)*((15)/((EOMONTH($A75,0)+1)-DateToday-15))))^0.5)),0.0001))</f>
        <v>0.18461601052509158</v>
      </c>
      <c r="BT75" s="405">
        <f>IF($A75="N/A"," ",IF('Pricing Inputs'!$AN$3=1,(VLOOKUP($A75,CorrelationTable,2,FALSE)),0))</f>
        <v>0.9</v>
      </c>
      <c r="BU75" s="407">
        <f ca="1">IF($A75="N/A"," ",F75+G75+(D75*(VLOOKUP($A75,'Gas Curves'!$B$17:$P$310,14,FALSE))))</f>
        <v>2.6825000000000001</v>
      </c>
      <c r="BV75" s="405">
        <f>IF($A75="N/A"," ",IF('Pricing Inputs'!$AW$3=1,0,(VLOOKUP($A75,InterestRatesTable,2))))</f>
        <v>0</v>
      </c>
      <c r="BW75" s="408">
        <f t="shared" ca="1" si="127"/>
        <v>1</v>
      </c>
    </row>
    <row r="76" spans="1:75">
      <c r="A76" s="248">
        <f>IF(A75="N/A","N/A",IF(EDATE(A75,1)&gt;Inputs!$K$3,"N/A",EDATE(A75,1)))</f>
        <v>39083</v>
      </c>
      <c r="B76" s="262">
        <f t="shared" si="128"/>
        <v>2007</v>
      </c>
      <c r="C76" s="249">
        <f t="shared" ca="1" si="129"/>
        <v>4.6750000000000007</v>
      </c>
      <c r="D76" s="250">
        <f>IF(A76="N/A"," ",(VLOOKUP(MONTH($A76),Inputs!$A$14:$B$25,2))/1000)</f>
        <v>10.5</v>
      </c>
      <c r="E76" s="304">
        <f t="shared" ca="1" si="130"/>
        <v>49.087500000000006</v>
      </c>
      <c r="F76" s="251">
        <f>IF(A76="N/A"," ",Inputs!$F$6)</f>
        <v>2</v>
      </c>
      <c r="G76" s="251">
        <f ca="1">IF(A76="N/A"," ",Inputs!$F$9/IF(AND('Pricing Inputs'!$AQ$3&gt;=4,'Pricing Inputs'!$AQ$3&lt;=6),16,IF(AND('Pricing Inputs'!$AQ$3&gt;=7,'Pricing Inputs'!$AQ$3&lt;=9),8,24))/(BA76/BW76))</f>
        <v>0</v>
      </c>
      <c r="H76" s="252">
        <f t="shared" ca="1" si="131"/>
        <v>51.087500000000006</v>
      </c>
      <c r="I76" s="255">
        <f>VLOOKUP(A76,ScaledPrice,(IF(AND('Pricing Inputs'!$AQ$3&gt;=1,'Pricing Inputs'!$AQ$3&lt;=6),2,4)))</f>
        <v>35.809936169406676</v>
      </c>
      <c r="J76" s="255">
        <f>IF(A76="N/A"," ",IF(AND('Pricing Inputs'!$AQ$3&gt;=1,'Pricing Inputs'!$AQ$3&lt;=6),I76,(VLOOKUP(A76,ScaledPrice,2))*(2-(VLOOKUP(A76,ScaledPrice,3)))))</f>
        <v>38.09006383059333</v>
      </c>
      <c r="K76" s="255">
        <f>IF(A76="N/A"," ",IF(OR('Pricing Inputs'!$AQ$3=2,'Pricing Inputs'!$AQ$3=3,'Pricing Inputs'!$AQ$3=5,'Pricing Inputs'!$AQ$3=6,'Pricing Inputs'!$AQ$3=8,'Pricing Inputs'!$AQ$3=9),VLOOKUP(A76,ScaledPrice,IF(AND('Pricing Inputs'!$AQ$3&gt;=2,'Pricing Inputs'!$AQ$3&lt;=6),5,6)),0))</f>
        <v>28.540129915970425</v>
      </c>
      <c r="L76" s="255">
        <f>IF(A76="N/A"," ",IF(OR('Pricing Inputs'!$AQ$3=2,'Pricing Inputs'!$AQ$3=3,'Pricing Inputs'!$AQ$3=5,'Pricing Inputs'!$AQ$3=6,'Pricing Inputs'!$AQ$3=8,'Pricing Inputs'!$AQ$3=9),IF(AND('Pricing Inputs'!$AQ$3&gt;=2,'Pricing Inputs'!$AQ$3&lt;=6),K76,(VLOOKUP(A76,ScaledPrice,5))*(2-(VLOOKUP(A76,ScaledPrice,3)))),0))</f>
        <v>30.357366879683866</v>
      </c>
      <c r="M76" s="255">
        <f>IF(A76="N/A"," ",IF(OR('Pricing Inputs'!$AQ$3=3,'Pricing Inputs'!$AQ$3=6,'Pricing Inputs'!$AQ$3=9),(VLOOKUP(A76,ScaledPrice,IF(AND('Pricing Inputs'!$AQ$3&gt;=3,'Pricing Inputs'!$AQ$3&lt;=6),7,8))),0))</f>
        <v>27.090047259526457</v>
      </c>
      <c r="N76" s="255">
        <f>IF(A76="N/A"," ",IF(OR('Pricing Inputs'!$AQ$3=3,'Pricing Inputs'!$AQ$3=6,'Pricing Inputs'!$AQ$3=9),IF(AND('Pricing Inputs'!$AQ$3&gt;=3,'Pricing Inputs'!$AQ$3&lt;=6),M76,(VLOOKUP(A76,ScaledPrice,7))*(2-(VLOOKUP(A76,ScaledPrice,3)))),0))</f>
        <v>28.814953045649318</v>
      </c>
      <c r="O76" s="255">
        <f>IF(A76="N/A"," ",IF(AND('Pricing Inputs'!$AQ$3&gt;=1,'Pricing Inputs'!$AQ$3&lt;=3),VLOOKUP(A76,ScaledPrice,9),0))</f>
        <v>0</v>
      </c>
      <c r="P76" s="320">
        <f ca="1">IF($A76="N/A"," ",IF('Pricing Inputs'!$AN$8=2,(I76-H76),IF('Pricing Inputs'!$AN$3=2,IF((I76-$H76)&gt;0,I76-$H76,0),(_xll.xSPRDOPT(I76,$E76,$BU76,0,$BP76,$BS76,$BT76,($A76-Inputs!$D$1)+15,1,0)))))</f>
        <v>1.1482849010619609</v>
      </c>
      <c r="Q76" s="320">
        <f ca="1">IF($A76="N/A"," ",IF('Pricing Inputs'!$AN$8=2,(J76-$H76),IF('Pricing Inputs'!$AN$3=2,IF((J76-$H76)&gt;0,J76-$H76,0),(_xll.xSPRDOPT(J76,$E76,$BU76,0,$BP76,$BS76,$BT76,($A76-Inputs!$D$1)+15,1,0)))))</f>
        <v>1.6473654294359199</v>
      </c>
      <c r="R76" s="320">
        <f ca="1">IF($A76="N/A"," ",IF('Pricing Inputs'!$AN$8=2,(K76-$H76),IF('Pricing Inputs'!$AN$3=2,IF((K76-$H76)&gt;0,K76-$H76,0),(_xll.xSPRDOPT(K76,$E76,$BU76,0,$BP76,$BS76,$BT76,($A76-Inputs!$D$1)+15,1,0)))))</f>
        <v>0.24942807700404468</v>
      </c>
      <c r="S76" s="320">
        <f ca="1">IF($A76="N/A"," ",IF('Pricing Inputs'!$AN$8=2,(L76-$H76),IF('Pricing Inputs'!$AN$3=2,IF((L76-$H76)&gt;0,L76-$H76,0),(_xll.xSPRDOPT(L76,$E76,$BU76,0,$BP76,$BS76,$BT76,($A76-Inputs!$D$1)+15,1,0)))))</f>
        <v>0.3902350149959079</v>
      </c>
      <c r="T76" s="320">
        <f ca="1">IF($A76="N/A"," ",IF('Pricing Inputs'!$AN$8=2,(M76-$H76),IF('Pricing Inputs'!$AN$3=2,IF((M76-$H76)&gt;0,M76-$H76,0),(_xll.xSPRDOPT(M76,$E76,$BU76,0,$BP76,$BS76,$BT76,($A76-Inputs!$D$1)+15,1,0)))))</f>
        <v>0.16760772993228107</v>
      </c>
      <c r="U76" s="320">
        <f ca="1">IF($A76="N/A"," ",IF('Pricing Inputs'!$AN$8=2,(N76-$H76),IF('Pricing Inputs'!$AN$3=2,IF((N76-$H76)&gt;0,N76-$H76,0),(_xll.xSPRDOPT(N76,$E76,$BU76,0,$BP76,$BS76,$BT76,($A76-Inputs!$D$1)+15,1,0)))))</f>
        <v>0.26781123863586231</v>
      </c>
      <c r="V76" s="259">
        <f ca="1">IF($A76="N/A"," ",(IF('Pricing Inputs'!$AN$8=2,(O76-$H76),IF((O76-$H76)&lt;=0,0,(O76-$H76)))))</f>
        <v>0</v>
      </c>
      <c r="W76" s="306">
        <f ca="1">IF($A76="N/A"," ",IF(0&lt;&gt;P76,IF('Pricing Inputs'!$AN$3=2,8*VLOOKUP($A76,NumberofDaysTable,2),(_xll.xSPRDOPT(I76,$E76,$BU76,0,$BP76,$BS76,$BT76,$A76-Inputs!$D$1,1,1))*(8*VLOOKUP($A76,NumberofDaysTable,2))),0))</f>
        <v>33.846406469715809</v>
      </c>
      <c r="X76" s="306">
        <f ca="1">IF($A76="N/A"," ",IF(Q76&lt;&gt;0,IF('Pricing Inputs'!$AN$3=2,8*VLOOKUP($A76,NumberofDaysTable,2),(_xll.xSPRDOPT(J76,$E76,$BU76,0,$BP76,$BS76,$BT76,$A76-Inputs!$D$1,1,1))*(8*VLOOKUP($A76,NumberofDaysTable,2))),0))</f>
        <v>42.961956814500319</v>
      </c>
      <c r="Y76" s="306">
        <f ca="1">IF($A76="N/A"," ",IF(R76&lt;&gt;0,IF('Pricing Inputs'!$AN$3=2,8*VLOOKUP($A76,NumberofDaysTable,3),(_xll.xSPRDOPT(K76,$E76,$BU76,0,$BP76,$BS76,$BT76,$A76-Inputs!$D$1,1,1))*(8*VLOOKUP($A76,NumberofDaysTable,3))),0))</f>
        <v>2.0613305051710862</v>
      </c>
      <c r="Z76" s="306">
        <f ca="1">IF($A76="N/A"," ",IF(S76&lt;&gt;0,IF('Pricing Inputs'!$AN$3=2,8*VLOOKUP($A76,NumberofDaysTable,3),(_xll.xSPRDOPT(L76,$E76,$BU76,0,$BP76,$BS76,$BT76,$A76-Inputs!$D$1,1,1))*(8*VLOOKUP($A76,NumberofDaysTable,3))),0))</f>
        <v>2.8741486318471314</v>
      </c>
      <c r="AA76" s="306">
        <f ca="1">IF($A76="N/A"," ",IF(T76&lt;&gt;0,IF('Pricing Inputs'!$AN$3=2,8*VLOOKUP($A76,NumberofDaysTable,4),(_xll.xSPRDOPT(M76,$E76,$BU76,0,$BP76,$BS76,$BT76,$A76-Inputs!$D$1,1,1))*(8*VLOOKUP($A76,NumberofDaysTable,4))),0))</f>
        <v>1.5243674590878948</v>
      </c>
      <c r="AB76" s="306">
        <f ca="1">IF($A76="N/A"," ",IF(U76&lt;&gt;0,IF('Pricing Inputs'!$AN$3=2,8*VLOOKUP($A76,NumberofDaysTable,4),(_xll.xSPRDOPT(N76,$E76,$BU76,0,$BP76,$BS76,$BT76,$A76-Inputs!$D$1,1,1))*(8*VLOOKUP($A76,NumberofDaysTable,4))),0))</f>
        <v>2.1743100955498225</v>
      </c>
      <c r="AC76" s="306">
        <f t="shared" ca="1" si="132"/>
        <v>0</v>
      </c>
      <c r="AD76" s="271">
        <f t="shared" ref="AD76:AJ76" ca="1" si="142">IF($A76="N/A"," ",RANK(P76,$P$76:$V$87))</f>
        <v>32</v>
      </c>
      <c r="AE76" s="272">
        <f t="shared" ca="1" si="142"/>
        <v>27</v>
      </c>
      <c r="AF76" s="272">
        <f t="shared" ca="1" si="142"/>
        <v>49</v>
      </c>
      <c r="AG76" s="272">
        <f t="shared" ca="1" si="142"/>
        <v>39</v>
      </c>
      <c r="AH76" s="272">
        <f t="shared" ca="1" si="142"/>
        <v>56</v>
      </c>
      <c r="AI76" s="272">
        <f t="shared" ca="1" si="142"/>
        <v>48</v>
      </c>
      <c r="AJ76" s="273">
        <f t="shared" ca="1" si="142"/>
        <v>73</v>
      </c>
      <c r="AK76" s="312">
        <f t="shared" ca="1" si="43"/>
        <v>33.846406469715809</v>
      </c>
      <c r="AL76" s="313">
        <f t="shared" ca="1" si="44"/>
        <v>42.961956814500319</v>
      </c>
      <c r="AM76" s="313">
        <f t="shared" ca="1" si="45"/>
        <v>2.0613305051710862</v>
      </c>
      <c r="AN76" s="313">
        <f t="shared" ca="1" si="46"/>
        <v>2.8741486318471314</v>
      </c>
      <c r="AO76" s="313">
        <f t="shared" ca="1" si="47"/>
        <v>1.5243674590878948</v>
      </c>
      <c r="AP76" s="313">
        <f t="shared" ca="1" si="48"/>
        <v>2.1743100955498225</v>
      </c>
      <c r="AQ76" s="313">
        <f t="shared" ca="1" si="49"/>
        <v>0</v>
      </c>
      <c r="AR76" s="273"/>
      <c r="AS76" s="327">
        <f t="shared" ref="AS76:AS87" ca="1" si="143">IF($A76="N/A"," ",IF(AND(AD76=$AJ$2+1,AK76=0),MIN($AR$87,W76),0))</f>
        <v>0</v>
      </c>
      <c r="AT76" s="322">
        <f t="shared" ref="AT76:AT87" ca="1" si="144">IF($A76="N/A"," ",IF(AND(AE76=$AJ$2+1,AL76=0),MIN($AR$87,X76),0))</f>
        <v>0</v>
      </c>
      <c r="AU76" s="322">
        <f t="shared" ref="AU76:AU87" ca="1" si="145">IF($A76="N/A"," ",IF(AND(AF76=$AJ$2+1,AM76=0),MIN($AR$87,Y76),0))</f>
        <v>0</v>
      </c>
      <c r="AV76" s="322">
        <f t="shared" ref="AV76:AV87" ca="1" si="146">IF($A76="N/A"," ",IF(AND(AG76=$AJ$2+1,AN76=0),MIN($AR$87,Z76),0))</f>
        <v>0</v>
      </c>
      <c r="AW76" s="322">
        <f t="shared" ref="AW76:AW87" ca="1" si="147">IF($A76="N/A"," ",IF(AND(AH76=$AJ$2+1,AO76=0),MIN($AR$87,AA76),0))</f>
        <v>0</v>
      </c>
      <c r="AX76" s="322">
        <f t="shared" ref="AX76:AX87" ca="1" si="148">IF($A76="N/A"," ",IF(AND(AI76=$AJ$2+1,AP76=0),MIN($AR$87,AB76),0))</f>
        <v>0</v>
      </c>
      <c r="AY76" s="322">
        <f t="shared" ref="AY76:AY87" ca="1" si="149">IF($A76="N/A"," ",IF(AND(AJ76=$AJ$2+1,AQ76=0),MIN($AR$87,AC76),0))</f>
        <v>0</v>
      </c>
      <c r="AZ76" s="273"/>
      <c r="BA76" s="267">
        <f ca="1">IF($A76="N/A"," ",(IF(MONTH(A76)&gt;=4,IF(MONTH(A76)&lt;=10,Inputs!$F$13,Inputs!$F$14),Inputs!$F$14))*$BW76)</f>
        <v>180</v>
      </c>
      <c r="BB76" s="268">
        <f t="shared" ca="1" si="64"/>
        <v>36377.665665642919</v>
      </c>
      <c r="BC76" s="268">
        <f t="shared" ca="1" si="65"/>
        <v>52188.53680452994</v>
      </c>
      <c r="BD76" s="268">
        <f t="shared" ca="1" si="133"/>
        <v>1436.7057235432974</v>
      </c>
      <c r="BE76" s="268">
        <f t="shared" ca="1" si="134"/>
        <v>2247.7536863764294</v>
      </c>
      <c r="BF76" s="268">
        <f t="shared" ca="1" si="135"/>
        <v>1206.7756555124238</v>
      </c>
      <c r="BG76" s="268">
        <f t="shared" ca="1" si="136"/>
        <v>1928.2409181782086</v>
      </c>
      <c r="BH76" s="268">
        <f t="shared" ca="1" si="41"/>
        <v>0</v>
      </c>
      <c r="BI76" s="268">
        <f t="shared" ca="1" si="137"/>
        <v>95385.678453783228</v>
      </c>
      <c r="BJ76" s="296">
        <f t="shared" ca="1" si="138"/>
        <v>785708.05306812574</v>
      </c>
      <c r="BK76" s="296">
        <f t="shared" ca="1" si="139"/>
        <v>754948.74587681179</v>
      </c>
      <c r="BL76" s="296">
        <f t="shared" ca="1" si="140"/>
        <v>30759.307191313947</v>
      </c>
      <c r="BM76" s="296">
        <f t="shared" ca="1" si="141"/>
        <v>0</v>
      </c>
      <c r="BN76" s="405">
        <f>IF(A76="N/A"," ",(VLOOKUP(A76,PowerVolTable,(IF('Pricing Inputs'!$AT$3=2,7,IF('Pricing Inputs'!$AT$3=1,6,8))),FALSE)))</f>
        <v>0.20876609693749998</v>
      </c>
      <c r="BO76" s="405">
        <f>IF(A76="N/A"," ",(VLOOKUP(A76,IntraPowerVol,(IF('Pricing Inputs'!$AT$3=2,3,IF('Pricing Inputs'!$AT$3=1,2,4))),FALSE)*VLOOKUP(MONTH($A76),Inputs!$A$28:$B$39,2)))</f>
        <v>2.2999999999999998</v>
      </c>
      <c r="BP76" s="406">
        <f t="shared" ca="1" si="126"/>
        <v>0.27363608764823422</v>
      </c>
      <c r="BQ76" s="405">
        <f ca="1">IF($A76="N/A"," ",(VLOOKUP($A76,GasVolTable,(IF('Pricing Inputs'!$AT$3=2,6,IF('Pricing Inputs'!$AT$3=1,7,5))),FALSE)))</f>
        <v>0.1575</v>
      </c>
      <c r="BR76" s="405">
        <f ca="1">IF($A76="N/A"," ",(VLOOKUP($A76,OmicronVol,(IF('Pricing Inputs'!$AT$3=2,3,IF('Pricing Inputs'!$AT$3=1,4,2))),FALSE)))</f>
        <v>1.45</v>
      </c>
      <c r="BS76" s="406">
        <f ca="1">IF($A76="N/A"," ",IF('Pricing Inputs'!$AN$3=1,(IF(DateToday&gt;$A76,$BR76,((($BQ76^2)*((($A76-1)-DateToday)/((EOMONTH($A76,0)+1)-DateToday-15)))+((($BR76)^2)*((15)/((EOMONTH($A76,0)+1)-DateToday-15))))^0.5)),0.0001))</f>
        <v>0.1928551543756804</v>
      </c>
      <c r="BT76" s="405">
        <f>IF($A76="N/A"," ",IF('Pricing Inputs'!$AN$3=1,(VLOOKUP($A76,CorrelationTable,2,FALSE)),0))</f>
        <v>0.9</v>
      </c>
      <c r="BU76" s="407">
        <f ca="1">IF($A76="N/A"," ",F76+G76+(D76*(VLOOKUP($A76,'Gas Curves'!$B$17:$P$310,14,FALSE))))</f>
        <v>2.6825000000000001</v>
      </c>
      <c r="BV76" s="405">
        <f>IF($A76="N/A"," ",IF('Pricing Inputs'!$AW$3=1,0,(VLOOKUP($A76,InterestRatesTable,2))))</f>
        <v>0</v>
      </c>
      <c r="BW76" s="408">
        <f t="shared" ca="1" si="127"/>
        <v>1</v>
      </c>
    </row>
    <row r="77" spans="1:75">
      <c r="A77" s="248">
        <f>IF(A76="N/A","N/A",IF(EDATE(A76,1)&gt;Inputs!$K$3,"N/A",EDATE(A76,1)))</f>
        <v>39114</v>
      </c>
      <c r="B77" s="262">
        <f t="shared" si="128"/>
        <v>2007</v>
      </c>
      <c r="C77" s="249">
        <f t="shared" ca="1" si="129"/>
        <v>4.4570000000000007</v>
      </c>
      <c r="D77" s="250">
        <f>IF(A77="N/A"," ",(VLOOKUP(MONTH($A77),Inputs!$A$14:$B$25,2))/1000)</f>
        <v>10.5</v>
      </c>
      <c r="E77" s="304">
        <f t="shared" ca="1" si="130"/>
        <v>46.798500000000004</v>
      </c>
      <c r="F77" s="251">
        <f>IF(A77="N/A"," ",Inputs!$F$6)</f>
        <v>2</v>
      </c>
      <c r="G77" s="251">
        <f ca="1">IF(A77="N/A"," ",Inputs!$F$9/IF(AND('Pricing Inputs'!$AQ$3&gt;=4,'Pricing Inputs'!$AQ$3&lt;=6),16,IF(AND('Pricing Inputs'!$AQ$3&gt;=7,'Pricing Inputs'!$AQ$3&lt;=9),8,24))/(BA77/BW77))</f>
        <v>0</v>
      </c>
      <c r="H77" s="252">
        <f t="shared" ca="1" si="131"/>
        <v>48.798500000000004</v>
      </c>
      <c r="I77" s="255">
        <f>VLOOKUP(A77,ScaledPrice,(IF(AND('Pricing Inputs'!$AQ$3&gt;=1,'Pricing Inputs'!$AQ$3&lt;=6),2,4)))</f>
        <v>35.809936169406676</v>
      </c>
      <c r="J77" s="255">
        <f>IF(A77="N/A"," ",IF(AND('Pricing Inputs'!$AQ$3&gt;=1,'Pricing Inputs'!$AQ$3&lt;=6),I77,(VLOOKUP(A77,ScaledPrice,2))*(2-(VLOOKUP(A77,ScaledPrice,3)))))</f>
        <v>38.09006383059333</v>
      </c>
      <c r="K77" s="255">
        <f>IF(A77="N/A"," ",IF(OR('Pricing Inputs'!$AQ$3=2,'Pricing Inputs'!$AQ$3=3,'Pricing Inputs'!$AQ$3=5,'Pricing Inputs'!$AQ$3=6,'Pricing Inputs'!$AQ$3=8,'Pricing Inputs'!$AQ$3=9),VLOOKUP(A77,ScaledPrice,IF(AND('Pricing Inputs'!$AQ$3&gt;=2,'Pricing Inputs'!$AQ$3&lt;=6),5,6)),0))</f>
        <v>27.568562983035104</v>
      </c>
      <c r="L77" s="255">
        <f>IF(A77="N/A"," ",IF(OR('Pricing Inputs'!$AQ$3=2,'Pricing Inputs'!$AQ$3=3,'Pricing Inputs'!$AQ$3=5,'Pricing Inputs'!$AQ$3=6,'Pricing Inputs'!$AQ$3=8,'Pricing Inputs'!$AQ$3=9),IF(AND('Pricing Inputs'!$AQ$3&gt;=2,'Pricing Inputs'!$AQ$3&lt;=6),K77,(VLOOKUP(A77,ScaledPrice,5))*(2-(VLOOKUP(A77,ScaledPrice,3)))),0))</f>
        <v>29.323937322140669</v>
      </c>
      <c r="M77" s="255">
        <f>IF(A77="N/A"," ",IF(OR('Pricing Inputs'!$AQ$3=3,'Pricing Inputs'!$AQ$3=6,'Pricing Inputs'!$AQ$3=9),(VLOOKUP(A77,ScaledPrice,IF(AND('Pricing Inputs'!$AQ$3&gt;=3,'Pricing Inputs'!$AQ$3&lt;=6),7,8))),0))</f>
        <v>25.146909326958333</v>
      </c>
      <c r="N77" s="255">
        <f>IF(A77="N/A"," ",IF(OR('Pricing Inputs'!$AQ$3=3,'Pricing Inputs'!$AQ$3=6,'Pricing Inputs'!$AQ$3=9),IF(AND('Pricing Inputs'!$AQ$3&gt;=3,'Pricing Inputs'!$AQ$3&lt;=6),M77,(VLOOKUP(A77,ScaledPrice,7))*(2-(VLOOKUP(A77,ScaledPrice,3)))),0))</f>
        <v>26.748089604926424</v>
      </c>
      <c r="O77" s="255">
        <f>IF(A77="N/A"," ",IF(AND('Pricing Inputs'!$AQ$3&gt;=1,'Pricing Inputs'!$AQ$3&lt;=3),VLOOKUP(A77,ScaledPrice,9),0))</f>
        <v>0</v>
      </c>
      <c r="P77" s="320">
        <f ca="1">IF($A77="N/A"," ",IF('Pricing Inputs'!$AN$8=2,(I77-H77),IF('Pricing Inputs'!$AN$3=2,IF((I77-$H77)&gt;0,I77-$H77,0),(_xll.xSPRDOPT(I77,$E77,$BU77,0,$BP77,$BS77,$BT77,($A77-Inputs!$D$1)+15,1,0)))))</f>
        <v>1.3280862969659901</v>
      </c>
      <c r="Q77" s="320">
        <f ca="1">IF($A77="N/A"," ",IF('Pricing Inputs'!$AN$8=2,(J77-$H77),IF('Pricing Inputs'!$AN$3=2,IF((J77-$H77)&gt;0,J77-$H77,0),(_xll.xSPRDOPT(J77,$E77,$BU77,0,$BP77,$BS77,$BT77,($A77-Inputs!$D$1)+15,1,0)))))</f>
        <v>1.8971767160098971</v>
      </c>
      <c r="R77" s="320">
        <f ca="1">IF($A77="N/A"," ",IF('Pricing Inputs'!$AN$8=2,(K77-$H77),IF('Pricing Inputs'!$AN$3=2,IF((K77-$H77)&gt;0,K77-$H77,0),(_xll.xSPRDOPT(K77,$E77,$BU77,0,$BP77,$BS77,$BT77,($A77-Inputs!$D$1)+15,1,0)))))</f>
        <v>0.22367427335524945</v>
      </c>
      <c r="S77" s="320">
        <f ca="1">IF($A77="N/A"," ",IF('Pricing Inputs'!$AN$8=2,(L77-$H77),IF('Pricing Inputs'!$AN$3=2,IF((L77-$H77)&gt;0,L77-$H77,0),(_xll.xSPRDOPT(L77,$E77,$BU77,0,$BP77,$BS77,$BT77,($A77-Inputs!$D$1)+15,1,0)))))</f>
        <v>0.35483862553165635</v>
      </c>
      <c r="T77" s="320">
        <f ca="1">IF($A77="N/A"," ",IF('Pricing Inputs'!$AN$8=2,(M77-$H77),IF('Pricing Inputs'!$AN$3=2,IF((M77-$H77)&gt;0,M77-$H77,0),(_xll.xSPRDOPT(M77,$E77,$BU77,0,$BP77,$BS77,$BT77,($A77-Inputs!$D$1)+15,1,0)))))</f>
        <v>0.10707943327876782</v>
      </c>
      <c r="U77" s="320">
        <f ca="1">IF($A77="N/A"," ",IF('Pricing Inputs'!$AN$8=2,(N77-$H77),IF('Pricing Inputs'!$AN$3=2,IF((N77-$H77)&gt;0,N77-$H77,0),(_xll.xSPRDOPT(N77,$E77,$BU77,0,$BP77,$BS77,$BT77,($A77-Inputs!$D$1)+15,1,0)))))</f>
        <v>0.17674402890071139</v>
      </c>
      <c r="V77" s="259">
        <f ca="1">IF($A77="N/A"," ",(IF('Pricing Inputs'!$AN$8=2,(O77-$H77),IF((O77-$H77)&lt;=0,0,(O77-$H77)))))</f>
        <v>0</v>
      </c>
      <c r="W77" s="306">
        <f ca="1">IF($A77="N/A"," ",IF(0&lt;&gt;P77,IF('Pricing Inputs'!$AN$3=2,8*VLOOKUP($A77,NumberofDaysTable,2),(_xll.xSPRDOPT(I77,$E77,$BU77,0,$BP77,$BS77,$BT77,$A77-Inputs!$D$1,1,1))*(8*VLOOKUP($A77,NumberofDaysTable,2))),0))</f>
        <v>35.244481103997103</v>
      </c>
      <c r="X77" s="306">
        <f ca="1">IF($A77="N/A"," ",IF(Q77&lt;&gt;0,IF('Pricing Inputs'!$AN$3=2,8*VLOOKUP($A77,NumberofDaysTable,2),(_xll.xSPRDOPT(J77,$E77,$BU77,0,$BP77,$BS77,$BT77,$A77-Inputs!$D$1,1,1))*(8*VLOOKUP($A77,NumberofDaysTable,2))),0))</f>
        <v>44.408383280598244</v>
      </c>
      <c r="Y77" s="306">
        <f ca="1">IF($A77="N/A"," ",IF(R77&lt;&gt;0,IF('Pricing Inputs'!$AN$3=2,8*VLOOKUP($A77,NumberofDaysTable,3),(_xll.xSPRDOPT(K77,$E77,$BU77,0,$BP77,$BS77,$BT77,$A77-Inputs!$D$1,1,1))*(8*VLOOKUP($A77,NumberofDaysTable,3))),0))</f>
        <v>1.9744347436478202</v>
      </c>
      <c r="Z77" s="306">
        <f ca="1">IF($A77="N/A"," ",IF(S77&lt;&gt;0,IF('Pricing Inputs'!$AN$3=2,8*VLOOKUP($A77,NumberofDaysTable,3),(_xll.xSPRDOPT(L77,$E77,$BU77,0,$BP77,$BS77,$BT77,$A77-Inputs!$D$1,1,1))*(8*VLOOKUP($A77,NumberofDaysTable,3))),0))</f>
        <v>2.787363316442617</v>
      </c>
      <c r="AA77" s="306">
        <f ca="1">IF($A77="N/A"," ",IF(T77&lt;&gt;0,IF('Pricing Inputs'!$AN$3=2,8*VLOOKUP($A77,NumberofDaysTable,4),(_xll.xSPRDOPT(M77,$E77,$BU77,0,$BP77,$BS77,$BT77,$A77-Inputs!$D$1,1,1))*(8*VLOOKUP($A77,NumberofDaysTable,4))),0))</f>
        <v>1.1203067553744255</v>
      </c>
      <c r="AB77" s="306">
        <f ca="1">IF($A77="N/A"," ",IF(U77&lt;&gt;0,IF('Pricing Inputs'!$AN$3=2,8*VLOOKUP($A77,NumberofDaysTable,4),(_xll.xSPRDOPT(N77,$E77,$BU77,0,$BP77,$BS77,$BT77,$A77-Inputs!$D$1,1,1))*(8*VLOOKUP($A77,NumberofDaysTable,4))),0))</f>
        <v>1.6505969018977671</v>
      </c>
      <c r="AC77" s="306">
        <f t="shared" ca="1" si="132"/>
        <v>0</v>
      </c>
      <c r="AD77" s="274">
        <f t="shared" ref="AD77:AD87" ca="1" si="150">IF($A77="N/A"," ",RANK(P77,$P$76:$V$87))</f>
        <v>29</v>
      </c>
      <c r="AE77" s="275">
        <f t="shared" ref="AE77:AE87" ca="1" si="151">IF($A77="N/A"," ",RANK(Q77,$P$76:$V$87))</f>
        <v>25</v>
      </c>
      <c r="AF77" s="275">
        <f t="shared" ref="AF77:AF87" ca="1" si="152">IF($A77="N/A"," ",RANK(R77,$P$76:$V$87))</f>
        <v>51</v>
      </c>
      <c r="AG77" s="275">
        <f t="shared" ref="AG77:AG87" ca="1" si="153">IF($A77="N/A"," ",RANK(S77,$P$76:$V$87))</f>
        <v>44</v>
      </c>
      <c r="AH77" s="275">
        <f t="shared" ref="AH77:AH87" ca="1" si="154">IF($A77="N/A"," ",RANK(T77,$P$76:$V$87))</f>
        <v>58</v>
      </c>
      <c r="AI77" s="275">
        <f t="shared" ref="AI77:AI87" ca="1" si="155">IF($A77="N/A"," ",RANK(U77,$P$76:$V$87))</f>
        <v>54</v>
      </c>
      <c r="AJ77" s="276">
        <f t="shared" ref="AJ77:AJ87" ca="1" si="156">IF($A77="N/A"," ",RANK(V77,$P$76:$V$87))</f>
        <v>73</v>
      </c>
      <c r="AK77" s="314">
        <f t="shared" ca="1" si="43"/>
        <v>35.244481103997103</v>
      </c>
      <c r="AL77" s="315">
        <f t="shared" ca="1" si="44"/>
        <v>44.408383280598244</v>
      </c>
      <c r="AM77" s="315">
        <f t="shared" ca="1" si="45"/>
        <v>1.9744347436478202</v>
      </c>
      <c r="AN77" s="315">
        <f t="shared" ca="1" si="46"/>
        <v>2.787363316442617</v>
      </c>
      <c r="AO77" s="315">
        <f t="shared" ca="1" si="47"/>
        <v>1.1203067553744255</v>
      </c>
      <c r="AP77" s="315">
        <f t="shared" ca="1" si="48"/>
        <v>1.6505969018977671</v>
      </c>
      <c r="AQ77" s="315">
        <f t="shared" ca="1" si="49"/>
        <v>0</v>
      </c>
      <c r="AR77" s="276"/>
      <c r="AS77" s="321">
        <f t="shared" ca="1" si="143"/>
        <v>0</v>
      </c>
      <c r="AT77" s="324">
        <f t="shared" ca="1" si="144"/>
        <v>0</v>
      </c>
      <c r="AU77" s="324">
        <f t="shared" ca="1" si="145"/>
        <v>0</v>
      </c>
      <c r="AV77" s="324">
        <f t="shared" ca="1" si="146"/>
        <v>0</v>
      </c>
      <c r="AW77" s="324">
        <f t="shared" ca="1" si="147"/>
        <v>0</v>
      </c>
      <c r="AX77" s="324">
        <f t="shared" ca="1" si="148"/>
        <v>0</v>
      </c>
      <c r="AY77" s="324">
        <f t="shared" ca="1" si="149"/>
        <v>0</v>
      </c>
      <c r="AZ77" s="276"/>
      <c r="BA77" s="267">
        <f ca="1">IF($A77="N/A"," ",(IF(MONTH(A77)&gt;=4,IF(MONTH(A77)&lt;=10,Inputs!$F$13,Inputs!$F$14),Inputs!$F$14))*$BW77)</f>
        <v>180</v>
      </c>
      <c r="BB77" s="268">
        <f t="shared" ca="1" si="64"/>
        <v>38248.885352620513</v>
      </c>
      <c r="BC77" s="268">
        <f t="shared" ca="1" si="65"/>
        <v>54638.689421085037</v>
      </c>
      <c r="BD77" s="268">
        <f t="shared" ca="1" si="133"/>
        <v>1288.3638145262369</v>
      </c>
      <c r="BE77" s="268">
        <f t="shared" ca="1" si="134"/>
        <v>2043.8704830623406</v>
      </c>
      <c r="BF77" s="268">
        <f t="shared" ca="1" si="135"/>
        <v>616.77753568570267</v>
      </c>
      <c r="BG77" s="268">
        <f t="shared" ca="1" si="136"/>
        <v>1018.0456064680976</v>
      </c>
      <c r="BH77" s="268">
        <f t="shared" ref="BH77:BH140" ca="1" si="157">IF($A77="N/A"," ",($BA77*AQ77*V77))</f>
        <v>0</v>
      </c>
      <c r="BI77" s="268">
        <f t="shared" ca="1" si="137"/>
        <v>97854.632213447927</v>
      </c>
      <c r="BJ77" s="296">
        <f t="shared" ca="1" si="138"/>
        <v>765814.47253675153</v>
      </c>
      <c r="BK77" s="296">
        <f t="shared" ca="1" si="139"/>
        <v>734427.66874004668</v>
      </c>
      <c r="BL77" s="296">
        <f t="shared" ca="1" si="140"/>
        <v>31386.803796704877</v>
      </c>
      <c r="BM77" s="296">
        <f t="shared" ca="1" si="141"/>
        <v>0</v>
      </c>
      <c r="BN77" s="405">
        <f>IF(A77="N/A"," ",(VLOOKUP(A77,PowerVolTable,(IF('Pricing Inputs'!$AT$3=2,7,IF('Pricing Inputs'!$AT$3=1,6,8))),FALSE)))</f>
        <v>0.20141517803124998</v>
      </c>
      <c r="BO77" s="405">
        <f>IF(A77="N/A"," ",(VLOOKUP(A77,IntraPowerVol,(IF('Pricing Inputs'!$AT$3=2,3,IF('Pricing Inputs'!$AT$3=1,2,4))),FALSE)*VLOOKUP(MONTH($A77),Inputs!$A$28:$B$39,2)))</f>
        <v>2.2999999999999998</v>
      </c>
      <c r="BP77" s="406">
        <f t="shared" ca="1" si="126"/>
        <v>0.26755303747952103</v>
      </c>
      <c r="BQ77" s="405">
        <f ca="1">IF($A77="N/A"," ",(VLOOKUP($A77,GasVolTable,(IF('Pricing Inputs'!$AT$3=2,6,IF('Pricing Inputs'!$AT$3=1,7,5))),FALSE)))</f>
        <v>0.1575</v>
      </c>
      <c r="BR77" s="405">
        <f ca="1">IF($A77="N/A"," ",(VLOOKUP($A77,OmicronVol,(IF('Pricing Inputs'!$AT$3=2,3,IF('Pricing Inputs'!$AT$3=1,4,2))),FALSE)))</f>
        <v>1.45</v>
      </c>
      <c r="BS77" s="406">
        <f ca="1">IF($A77="N/A"," ",IF('Pricing Inputs'!$AN$3=1,(IF(DateToday&gt;$A77,$BR77,((($BQ77^2)*((($A77-1)-DateToday)/((EOMONTH($A77,0)+1)-DateToday-15)))+((($BR77)^2)*((15)/((EOMONTH($A77,0)+1)-DateToday-15))))^0.5)),0.0001))</f>
        <v>0.19257689690217891</v>
      </c>
      <c r="BT77" s="405">
        <f>IF($A77="N/A"," ",IF('Pricing Inputs'!$AN$3=1,(VLOOKUP($A77,CorrelationTable,2,FALSE)),0))</f>
        <v>0.9</v>
      </c>
      <c r="BU77" s="407">
        <f ca="1">IF($A77="N/A"," ",F77+G77+(D77*(VLOOKUP($A77,'Gas Curves'!$B$17:$P$310,14,FALSE))))</f>
        <v>2.6825000000000001</v>
      </c>
      <c r="BV77" s="405">
        <f>IF($A77="N/A"," ",IF('Pricing Inputs'!$AW$3=1,0,(VLOOKUP($A77,InterestRatesTable,2))))</f>
        <v>0</v>
      </c>
      <c r="BW77" s="408">
        <f t="shared" ca="1" si="127"/>
        <v>1</v>
      </c>
    </row>
    <row r="78" spans="1:75">
      <c r="A78" s="248">
        <f>IF(A77="N/A","N/A",IF(EDATE(A77,1)&gt;Inputs!$K$3,"N/A",EDATE(A77,1)))</f>
        <v>39142</v>
      </c>
      <c r="B78" s="262">
        <f t="shared" si="128"/>
        <v>2007</v>
      </c>
      <c r="C78" s="249">
        <f t="shared" ca="1" si="129"/>
        <v>3.8070000000000004</v>
      </c>
      <c r="D78" s="250">
        <f>IF(A78="N/A"," ",(VLOOKUP(MONTH($A78),Inputs!$A$14:$B$25,2))/1000)</f>
        <v>10.5</v>
      </c>
      <c r="E78" s="304">
        <f t="shared" ca="1" si="130"/>
        <v>39.973500000000001</v>
      </c>
      <c r="F78" s="251">
        <f>IF(A78="N/A"," ",Inputs!$F$6)</f>
        <v>2</v>
      </c>
      <c r="G78" s="251">
        <f ca="1">IF(A78="N/A"," ",Inputs!$F$9/IF(AND('Pricing Inputs'!$AQ$3&gt;=4,'Pricing Inputs'!$AQ$3&lt;=6),16,IF(AND('Pricing Inputs'!$AQ$3&gt;=7,'Pricing Inputs'!$AQ$3&lt;=9),8,24))/(BA78/BW78))</f>
        <v>0</v>
      </c>
      <c r="H78" s="252">
        <f t="shared" ca="1" si="131"/>
        <v>41.973500000000001</v>
      </c>
      <c r="I78" s="255">
        <f>VLOOKUP(A78,ScaledPrice,(IF(AND('Pricing Inputs'!$AQ$3&gt;=1,'Pricing Inputs'!$AQ$3&lt;=6),2,4)))</f>
        <v>32.258780000000009</v>
      </c>
      <c r="J78" s="255">
        <f>IF(A78="N/A"," ",IF(AND('Pricing Inputs'!$AQ$3&gt;=1,'Pricing Inputs'!$AQ$3&lt;=6),I78,(VLOOKUP(A78,ScaledPrice,2))*(2-(VLOOKUP(A78,ScaledPrice,3)))))</f>
        <v>34.141219999999997</v>
      </c>
      <c r="K78" s="255">
        <f>IF(A78="N/A"," ",IF(OR('Pricing Inputs'!$AQ$3=2,'Pricing Inputs'!$AQ$3=3,'Pricing Inputs'!$AQ$3=5,'Pricing Inputs'!$AQ$3=6,'Pricing Inputs'!$AQ$3=8,'Pricing Inputs'!$AQ$3=9),VLOOKUP(A78,ScaledPrice,IF(AND('Pricing Inputs'!$AQ$3&gt;=2,'Pricing Inputs'!$AQ$3&lt;=6),5,6)),0))</f>
        <v>21.021404452018736</v>
      </c>
      <c r="L78" s="255">
        <f>IF(A78="N/A"," ",IF(OR('Pricing Inputs'!$AQ$3=2,'Pricing Inputs'!$AQ$3=3,'Pricing Inputs'!$AQ$3=5,'Pricing Inputs'!$AQ$3=6,'Pricing Inputs'!$AQ$3=8,'Pricing Inputs'!$AQ$3=9),IF(AND('Pricing Inputs'!$AQ$3&gt;=2,'Pricing Inputs'!$AQ$3&lt;=6),K78,(VLOOKUP(A78,ScaledPrice,5))*(2-(VLOOKUP(A78,ScaledPrice,3)))),0))</f>
        <v>22.248094754524224</v>
      </c>
      <c r="M78" s="255">
        <f>IF(A78="N/A"," ",IF(OR('Pricing Inputs'!$AQ$3=3,'Pricing Inputs'!$AQ$3=6,'Pricing Inputs'!$AQ$3=9),(VLOOKUP(A78,ScaledPrice,IF(AND('Pricing Inputs'!$AQ$3&gt;=3,'Pricing Inputs'!$AQ$3&lt;=6),7,8))),0))</f>
        <v>20.661650357513427</v>
      </c>
      <c r="N78" s="255">
        <f>IF(A78="N/A"," ",IF(OR('Pricing Inputs'!$AQ$3=3,'Pricing Inputs'!$AQ$3=6,'Pricing Inputs'!$AQ$3=9),IF(AND('Pricing Inputs'!$AQ$3&gt;=3,'Pricing Inputs'!$AQ$3&lt;=6),M78,(VLOOKUP(A78,ScaledPrice,7))*(2-(VLOOKUP(A78,ScaledPrice,3)))),0))</f>
        <v>21.86734744522094</v>
      </c>
      <c r="O78" s="255">
        <f>IF(A78="N/A"," ",IF(AND('Pricing Inputs'!$AQ$3&gt;=1,'Pricing Inputs'!$AQ$3&lt;=3),VLOOKUP(A78,ScaledPrice,9),0))</f>
        <v>0</v>
      </c>
      <c r="P78" s="320">
        <f ca="1">IF($A78="N/A"," ",IF('Pricing Inputs'!$AN$8=2,(I78-H78),IF('Pricing Inputs'!$AN$3=2,IF((I78-$H78)&gt;0,I78-$H78,0),(_xll.xSPRDOPT(I78,$E78,$BU78,0,$BP78,$BS78,$BT78,($A78-Inputs!$D$1)+15,1,0)))))</f>
        <v>0.88191859555754559</v>
      </c>
      <c r="Q78" s="320">
        <f ca="1">IF($A78="N/A"," ",IF('Pricing Inputs'!$AN$8=2,(J78-$H78),IF('Pricing Inputs'!$AN$3=2,IF((J78-$H78)&gt;0,J78-$H78,0),(_xll.xSPRDOPT(J78,$E78,$BU78,0,$BP78,$BS78,$BT78,($A78-Inputs!$D$1)+15,1,0)))))</f>
        <v>1.3120812924629079</v>
      </c>
      <c r="R78" s="320">
        <f ca="1">IF($A78="N/A"," ",IF('Pricing Inputs'!$AN$8=2,(K78-$H78),IF('Pricing Inputs'!$AN$3=2,IF((K78-$H78)&gt;0,K78-$H78,0),(_xll.xSPRDOPT(K78,$E78,$BU78,0,$BP78,$BS78,$BT78,($A78-Inputs!$D$1)+15,1,0)))))</f>
        <v>1.5807464385748433E-2</v>
      </c>
      <c r="S78" s="320">
        <f ca="1">IF($A78="N/A"," ",IF('Pricing Inputs'!$AN$8=2,(L78-$H78),IF('Pricing Inputs'!$AN$3=2,IF((L78-$H78)&gt;0,L78-$H78,0),(_xll.xSPRDOPT(L78,$E78,$BU78,0,$BP78,$BS78,$BT78,($A78-Inputs!$D$1)+15,1,0)))))</f>
        <v>3.0073527626614447E-2</v>
      </c>
      <c r="T78" s="320">
        <f ca="1">IF($A78="N/A"," ",IF('Pricing Inputs'!$AN$8=2,(M78-$H78),IF('Pricing Inputs'!$AN$3=2,IF((M78-$H78)&gt;0,M78-$H78,0),(_xll.xSPRDOPT(M78,$E78,$BU78,0,$BP78,$BS78,$BT78,($A78-Inputs!$D$1)+15,1,0)))))</f>
        <v>1.2905762189829088E-2</v>
      </c>
      <c r="U78" s="320">
        <f ca="1">IF($A78="N/A"," ",IF('Pricing Inputs'!$AN$8=2,(N78-$H78),IF('Pricing Inputs'!$AN$3=2,IF((N78-$H78)&gt;0,N78-$H78,0),(_xll.xSPRDOPT(N78,$E78,$BU78,0,$BP78,$BS78,$BT78,($A78-Inputs!$D$1)+15,1,0)))))</f>
        <v>2.4819620030842954E-2</v>
      </c>
      <c r="V78" s="259">
        <f ca="1">IF($A78="N/A"," ",(IF('Pricing Inputs'!$AN$8=2,(O78-$H78),IF((O78-$H78)&lt;=0,0,(O78-$H78)))))</f>
        <v>0</v>
      </c>
      <c r="W78" s="306">
        <f ca="1">IF($A78="N/A"," ",IF(0&lt;&gt;P78,IF('Pricing Inputs'!$AN$3=2,8*VLOOKUP($A78,NumberofDaysTable,2),(_xll.xSPRDOPT(I78,$E78,$BU78,0,$BP78,$BS78,$BT78,$A78-Inputs!$D$1,1,1))*(8*VLOOKUP($A78,NumberofDaysTable,2))),0))</f>
        <v>34.781355246138872</v>
      </c>
      <c r="X78" s="306">
        <f ca="1">IF($A78="N/A"," ",IF(Q78&lt;&gt;0,IF('Pricing Inputs'!$AN$3=2,8*VLOOKUP($A78,NumberofDaysTable,2),(_xll.xSPRDOPT(J78,$E78,$BU78,0,$BP78,$BS78,$BT78,$A78-Inputs!$D$1,1,1))*(8*VLOOKUP($A78,NumberofDaysTable,2))),0))</f>
        <v>45.502049575339974</v>
      </c>
      <c r="Y78" s="306">
        <f ca="1">IF($A78="N/A"," ",IF(R78&lt;&gt;0,IF('Pricing Inputs'!$AN$3=2,8*VLOOKUP($A78,NumberofDaysTable,3),(_xll.xSPRDOPT(K78,$E78,$BU78,0,$BP78,$BS78,$BT78,$A78-Inputs!$D$1,1,1))*(8*VLOOKUP($A78,NumberofDaysTable,3))),0))</f>
        <v>0.3431704283980011</v>
      </c>
      <c r="Z78" s="306">
        <f ca="1">IF($A78="N/A"," ",IF(S78&lt;&gt;0,IF('Pricing Inputs'!$AN$3=2,8*VLOOKUP($A78,NumberofDaysTable,3),(_xll.xSPRDOPT(L78,$E78,$BU78,0,$BP78,$BS78,$BT78,$A78-Inputs!$D$1,1,1))*(8*VLOOKUP($A78,NumberofDaysTable,3))),0))</f>
        <v>0.58555553862198384</v>
      </c>
      <c r="AA78" s="306">
        <f ca="1">IF($A78="N/A"," ",IF(T78&lt;&gt;0,IF('Pricing Inputs'!$AN$3=2,8*VLOOKUP($A78,NumberofDaysTable,4),(_xll.xSPRDOPT(M78,$E78,$BU78,0,$BP78,$BS78,$BT78,$A78-Inputs!$D$1,1,1))*(8*VLOOKUP($A78,NumberofDaysTable,4))),0))</f>
        <v>0.23158402547471602</v>
      </c>
      <c r="AB78" s="306">
        <f ca="1">IF($A78="N/A"," ",IF(U78&lt;&gt;0,IF('Pricing Inputs'!$AN$3=2,8*VLOOKUP($A78,NumberofDaysTable,4),(_xll.xSPRDOPT(N78,$E78,$BU78,0,$BP78,$BS78,$BT78,$A78-Inputs!$D$1,1,1))*(8*VLOOKUP($A78,NumberofDaysTable,4))),0))</f>
        <v>0.39972500441569059</v>
      </c>
      <c r="AC78" s="306">
        <f t="shared" ca="1" si="132"/>
        <v>0</v>
      </c>
      <c r="AD78" s="274">
        <f t="shared" ca="1" si="150"/>
        <v>33</v>
      </c>
      <c r="AE78" s="275">
        <f t="shared" ca="1" si="151"/>
        <v>31</v>
      </c>
      <c r="AF78" s="275">
        <f t="shared" ca="1" si="152"/>
        <v>69</v>
      </c>
      <c r="AG78" s="275">
        <f t="shared" ca="1" si="153"/>
        <v>65</v>
      </c>
      <c r="AH78" s="275">
        <f t="shared" ca="1" si="154"/>
        <v>70</v>
      </c>
      <c r="AI78" s="275">
        <f t="shared" ca="1" si="155"/>
        <v>67</v>
      </c>
      <c r="AJ78" s="276">
        <f t="shared" ca="1" si="156"/>
        <v>73</v>
      </c>
      <c r="AK78" s="314">
        <f t="shared" ca="1" si="43"/>
        <v>34.781355246138872</v>
      </c>
      <c r="AL78" s="315">
        <f t="shared" ca="1" si="44"/>
        <v>45.502049575339974</v>
      </c>
      <c r="AM78" s="315">
        <f t="shared" ca="1" si="45"/>
        <v>0.3431704283980011</v>
      </c>
      <c r="AN78" s="315">
        <f t="shared" ca="1" si="46"/>
        <v>0.58555553862198384</v>
      </c>
      <c r="AO78" s="315">
        <f t="shared" ca="1" si="47"/>
        <v>0.23158402547471602</v>
      </c>
      <c r="AP78" s="315">
        <f t="shared" ca="1" si="48"/>
        <v>0.39972500441569059</v>
      </c>
      <c r="AQ78" s="315">
        <f t="shared" ca="1" si="49"/>
        <v>0</v>
      </c>
      <c r="AR78" s="276"/>
      <c r="AS78" s="321">
        <f t="shared" ca="1" si="143"/>
        <v>0</v>
      </c>
      <c r="AT78" s="324">
        <f t="shared" ca="1" si="144"/>
        <v>0</v>
      </c>
      <c r="AU78" s="324">
        <f t="shared" ca="1" si="145"/>
        <v>0</v>
      </c>
      <c r="AV78" s="324">
        <f t="shared" ca="1" si="146"/>
        <v>0</v>
      </c>
      <c r="AW78" s="324">
        <f t="shared" ca="1" si="147"/>
        <v>0</v>
      </c>
      <c r="AX78" s="324">
        <f t="shared" ca="1" si="148"/>
        <v>0</v>
      </c>
      <c r="AY78" s="324">
        <f t="shared" ca="1" si="149"/>
        <v>0</v>
      </c>
      <c r="AZ78" s="276"/>
      <c r="BA78" s="267">
        <f ca="1">IF($A78="N/A"," ",(IF(MONTH(A78)&gt;=4,IF(MONTH(A78)&lt;=10,Inputs!$F$13,Inputs!$F$14),Inputs!$F$14))*$BW78)</f>
        <v>180</v>
      </c>
      <c r="BB78" s="268">
        <f t="shared" ca="1" si="64"/>
        <v>27939.181107263044</v>
      </c>
      <c r="BC78" s="268">
        <f t="shared" ca="1" si="65"/>
        <v>41566.735345224923</v>
      </c>
      <c r="BD78" s="268">
        <f t="shared" ca="1" si="133"/>
        <v>113.81374357738872</v>
      </c>
      <c r="BE78" s="268">
        <f t="shared" ca="1" si="134"/>
        <v>216.52939891162401</v>
      </c>
      <c r="BF78" s="268">
        <f t="shared" ca="1" si="135"/>
        <v>74.337190213415539</v>
      </c>
      <c r="BG78" s="268">
        <f t="shared" ca="1" si="136"/>
        <v>142.96101137765541</v>
      </c>
      <c r="BH78" s="268">
        <f t="shared" ca="1" si="157"/>
        <v>0</v>
      </c>
      <c r="BI78" s="268">
        <f t="shared" ca="1" si="137"/>
        <v>70053.557796568028</v>
      </c>
      <c r="BJ78" s="296">
        <f t="shared" ca="1" si="138"/>
        <v>618346.01181908906</v>
      </c>
      <c r="BK78" s="296">
        <f t="shared" ca="1" si="139"/>
        <v>588882.3734844689</v>
      </c>
      <c r="BL78" s="296">
        <f t="shared" ca="1" si="140"/>
        <v>29463.638334620126</v>
      </c>
      <c r="BM78" s="296">
        <f t="shared" ca="1" si="141"/>
        <v>0</v>
      </c>
      <c r="BN78" s="405">
        <f>IF(A78="N/A"," ",(VLOOKUP(A78,PowerVolTable,(IF('Pricing Inputs'!$AT$3=2,7,IF('Pricing Inputs'!$AT$3=1,6,8))),FALSE)))</f>
        <v>0.19632466668867185</v>
      </c>
      <c r="BO78" s="405">
        <f>IF(A78="N/A"," ",(VLOOKUP(A78,IntraPowerVol,(IF('Pricing Inputs'!$AT$3=2,3,IF('Pricing Inputs'!$AT$3=1,2,4))),FALSE)*VLOOKUP(MONTH($A78),Inputs!$A$28:$B$39,2)))</f>
        <v>1.4949999999999999</v>
      </c>
      <c r="BP78" s="406">
        <f t="shared" ca="1" si="126"/>
        <v>0.22655757960770248</v>
      </c>
      <c r="BQ78" s="405">
        <f ca="1">IF($A78="N/A"," ",(VLOOKUP($A78,GasVolTable,(IF('Pricing Inputs'!$AT$3=2,6,IF('Pricing Inputs'!$AT$3=1,7,5))),FALSE)))</f>
        <v>0.1575</v>
      </c>
      <c r="BR78" s="405">
        <f ca="1">IF($A78="N/A"," ",(VLOOKUP($A78,OmicronVol,(IF('Pricing Inputs'!$AT$3=2,3,IF('Pricing Inputs'!$AT$3=1,4,2))),FALSE)))</f>
        <v>1</v>
      </c>
      <c r="BS78" s="406">
        <f ca="1">IF($A78="N/A"," ",IF('Pricing Inputs'!$AN$3=1,(IF(DateToday&gt;$A78,$BR78,((($BQ78^2)*((($A78-1)-DateToday)/((EOMONTH($A78,0)+1)-DateToday-15)))+((($BR78)^2)*((15)/((EOMONTH($A78,0)+1)-DateToday-15))))^0.5)),0.0001))</f>
        <v>0.17457528893073865</v>
      </c>
      <c r="BT78" s="405">
        <f>IF($A78="N/A"," ",IF('Pricing Inputs'!$AN$3=1,(VLOOKUP($A78,CorrelationTable,2,FALSE)),0))</f>
        <v>0.9</v>
      </c>
      <c r="BU78" s="407">
        <f ca="1">IF($A78="N/A"," ",F78+G78+(D78*(VLOOKUP($A78,'Gas Curves'!$B$17:$P$310,14,FALSE))))</f>
        <v>2.6825000000000001</v>
      </c>
      <c r="BV78" s="405">
        <f>IF($A78="N/A"," ",IF('Pricing Inputs'!$AW$3=1,0,(VLOOKUP($A78,InterestRatesTable,2))))</f>
        <v>0</v>
      </c>
      <c r="BW78" s="408">
        <f t="shared" ca="1" si="127"/>
        <v>1</v>
      </c>
    </row>
    <row r="79" spans="1:75">
      <c r="A79" s="248">
        <f>IF(A78="N/A","N/A",IF(EDATE(A78,1)&gt;Inputs!$K$3,"N/A",EDATE(A78,1)))</f>
        <v>39173</v>
      </c>
      <c r="B79" s="262">
        <f t="shared" si="128"/>
        <v>2007</v>
      </c>
      <c r="C79" s="249">
        <f t="shared" ca="1" si="129"/>
        <v>2.8387441597500001</v>
      </c>
      <c r="D79" s="250">
        <f>IF(A79="N/A"," ",(VLOOKUP(MONTH($A79),Inputs!$A$14:$B$25,2))/1000)</f>
        <v>10.5</v>
      </c>
      <c r="E79" s="304">
        <f t="shared" ca="1" si="130"/>
        <v>29.806813677375001</v>
      </c>
      <c r="F79" s="251">
        <f>IF(A79="N/A"," ",Inputs!$F$6)</f>
        <v>2</v>
      </c>
      <c r="G79" s="251">
        <f ca="1">IF(A79="N/A"," ",Inputs!$F$9/IF(AND('Pricing Inputs'!$AQ$3&gt;=4,'Pricing Inputs'!$AQ$3&lt;=6),16,IF(AND('Pricing Inputs'!$AQ$3&gt;=7,'Pricing Inputs'!$AQ$3&lt;=9),8,24))/(BA79/BW79))</f>
        <v>0</v>
      </c>
      <c r="H79" s="252">
        <f t="shared" ca="1" si="131"/>
        <v>31.806813677375001</v>
      </c>
      <c r="I79" s="255">
        <f>VLOOKUP(A79,ScaledPrice,(IF(AND('Pricing Inputs'!$AQ$3&gt;=1,'Pricing Inputs'!$AQ$3&lt;=6),2,4)))</f>
        <v>29.553398867899094</v>
      </c>
      <c r="J79" s="255">
        <f>IF(A79="N/A"," ",IF(AND('Pricing Inputs'!$AQ$3&gt;=1,'Pricing Inputs'!$AQ$3&lt;=6),I79,(VLOOKUP(A79,ScaledPrice,2))*(2-(VLOOKUP(A79,ScaledPrice,3)))))</f>
        <v>34.346601132100908</v>
      </c>
      <c r="K79" s="255">
        <f>IF(A79="N/A"," ",IF(OR('Pricing Inputs'!$AQ$3=2,'Pricing Inputs'!$AQ$3=3,'Pricing Inputs'!$AQ$3=5,'Pricing Inputs'!$AQ$3=6,'Pricing Inputs'!$AQ$3=8,'Pricing Inputs'!$AQ$3=9),VLOOKUP(A79,ScaledPrice,IF(AND('Pricing Inputs'!$AQ$3&gt;=2,'Pricing Inputs'!$AQ$3&lt;=6),5,6)),0))</f>
        <v>20.643442511840988</v>
      </c>
      <c r="L79" s="255">
        <f>IF(A79="N/A"," ",IF(OR('Pricing Inputs'!$AQ$3=2,'Pricing Inputs'!$AQ$3=3,'Pricing Inputs'!$AQ$3=5,'Pricing Inputs'!$AQ$3=6,'Pricing Inputs'!$AQ$3=8,'Pricing Inputs'!$AQ$3=9),IF(AND('Pricing Inputs'!$AQ$3&gt;=2,'Pricing Inputs'!$AQ$3&lt;=6),K79,(VLOOKUP(A79,ScaledPrice,5))*(2-(VLOOKUP(A79,ScaledPrice,3)))),0))</f>
        <v>23.991558098510566</v>
      </c>
      <c r="M79" s="255">
        <f>IF(A79="N/A"," ",IF(OR('Pricing Inputs'!$AQ$3=3,'Pricing Inputs'!$AQ$3=6,'Pricing Inputs'!$AQ$3=9),(VLOOKUP(A79,ScaledPrice,IF(AND('Pricing Inputs'!$AQ$3&gt;=3,'Pricing Inputs'!$AQ$3&lt;=6),7,8))),0))</f>
        <v>19.457142977443272</v>
      </c>
      <c r="N79" s="255">
        <f>IF(A79="N/A"," ",IF(OR('Pricing Inputs'!$AQ$3=3,'Pricing Inputs'!$AQ$3=6,'Pricing Inputs'!$AQ$3=9),IF(AND('Pricing Inputs'!$AQ$3&gt;=3,'Pricing Inputs'!$AQ$3&lt;=6),M79,(VLOOKUP(A79,ScaledPrice,7))*(2-(VLOOKUP(A79,ScaledPrice,3)))),0))</f>
        <v>22.612855191502032</v>
      </c>
      <c r="O79" s="255">
        <f>IF(A79="N/A"," ",IF(AND('Pricing Inputs'!$AQ$3&gt;=1,'Pricing Inputs'!$AQ$3&lt;=3),VLOOKUP(A79,ScaledPrice,9),0))</f>
        <v>0</v>
      </c>
      <c r="P79" s="320">
        <f ca="1">IF($A79="N/A"," ",IF('Pricing Inputs'!$AN$8=2,(I79-H79),IF('Pricing Inputs'!$AN$3=2,IF((I79-$H79)&gt;0,I79-$H79,0),(_xll.xSPRDOPT(I79,$E79,$BU79,0,$BP79,$BS79,$BT79,($A79-Inputs!$D$1)+15,1,0)))))</f>
        <v>1.7946340627939936</v>
      </c>
      <c r="Q79" s="320">
        <f ca="1">IF($A79="N/A"," ",IF('Pricing Inputs'!$AN$8=2,(J79-$H79),IF('Pricing Inputs'!$AN$3=2,IF((J79-$H79)&gt;0,J79-$H79,0),(_xll.xSPRDOPT(J79,$E79,$BU79,0,$BP79,$BS79,$BT79,($A79-Inputs!$D$1)+15,1,0)))))</f>
        <v>4.2946715926969654</v>
      </c>
      <c r="R79" s="320">
        <f ca="1">IF($A79="N/A"," ",IF('Pricing Inputs'!$AN$8=2,(K79-$H79),IF('Pricing Inputs'!$AN$3=2,IF((K79-$H79)&gt;0,K79-$H79,0),(_xll.xSPRDOPT(K79,$E79,$BU79,0,$BP79,$BS79,$BT79,($A79-Inputs!$D$1)+15,1,0)))))</f>
        <v>7.9869489581266065E-2</v>
      </c>
      <c r="S79" s="320">
        <f ca="1">IF($A79="N/A"," ",IF('Pricing Inputs'!$AN$8=2,(L79-$H79),IF('Pricing Inputs'!$AN$3=2,IF((L79-$H79)&gt;0,L79-$H79,0),(_xll.xSPRDOPT(L79,$E79,$BU79,0,$BP79,$BS79,$BT79,($A79-Inputs!$D$1)+15,1,0)))))</f>
        <v>0.35743279273944117</v>
      </c>
      <c r="T79" s="320">
        <f ca="1">IF($A79="N/A"," ",IF('Pricing Inputs'!$AN$8=2,(M79-$H79),IF('Pricing Inputs'!$AN$3=2,IF((M79-$H79)&gt;0,M79-$H79,0),(_xll.xSPRDOPT(M79,$E79,$BU79,0,$BP79,$BS79,$BT79,($A79-Inputs!$D$1)+15,1,0)))))</f>
        <v>4.0713493377471904E-2</v>
      </c>
      <c r="U79" s="320">
        <f ca="1">IF($A79="N/A"," ",IF('Pricing Inputs'!$AN$8=2,(N79-$H79),IF('Pricing Inputs'!$AN$3=2,IF((N79-$H79)&gt;0,N79-$H79,0),(_xll.xSPRDOPT(N79,$E79,$BU79,0,$BP79,$BS79,$BT79,($A79-Inputs!$D$1)+15,1,0)))))</f>
        <v>0.20528332920193584</v>
      </c>
      <c r="V79" s="259">
        <f ca="1">IF($A79="N/A"," ",(IF('Pricing Inputs'!$AN$8=2,(O79-$H79),IF((O79-$H79)&lt;=0,0,(O79-$H79)))))</f>
        <v>0</v>
      </c>
      <c r="W79" s="306">
        <f ca="1">IF($A79="N/A"," ",IF(0&lt;&gt;P79,IF('Pricing Inputs'!$AN$3=2,8*VLOOKUP($A79,NumberofDaysTable,2),(_xll.xSPRDOPT(I79,$E79,$BU79,0,$BP79,$BS79,$BT79,$A79-Inputs!$D$1,1,1))*(8*VLOOKUP($A79,NumberofDaysTable,2))),0))</f>
        <v>66.803986508364758</v>
      </c>
      <c r="X79" s="306">
        <f ca="1">IF($A79="N/A"," ",IF(Q79&lt;&gt;0,IF('Pricing Inputs'!$AN$3=2,8*VLOOKUP($A79,NumberofDaysTable,2),(_xll.xSPRDOPT(J79,$E79,$BU79,0,$BP79,$BS79,$BT79,$A79-Inputs!$D$1,1,1))*(8*VLOOKUP($A79,NumberofDaysTable,2))),0))</f>
        <v>107.13925725661753</v>
      </c>
      <c r="Y79" s="306">
        <f ca="1">IF($A79="N/A"," ",IF(R79&lt;&gt;0,IF('Pricing Inputs'!$AN$3=2,8*VLOOKUP($A79,NumberofDaysTable,3),(_xll.xSPRDOPT(K79,$E79,$BU79,0,$BP79,$BS79,$BT79,$A79-Inputs!$D$1,1,1))*(8*VLOOKUP($A79,NumberofDaysTable,3))),0))</f>
        <v>1.3424325520550238</v>
      </c>
      <c r="Z79" s="306">
        <f ca="1">IF($A79="N/A"," ",IF(S79&lt;&gt;0,IF('Pricing Inputs'!$AN$3=2,8*VLOOKUP($A79,NumberofDaysTable,3),(_xll.xSPRDOPT(L79,$E79,$BU79,0,$BP79,$BS79,$BT79,$A79-Inputs!$D$1,1,1))*(8*VLOOKUP($A79,NumberofDaysTable,3))),0))</f>
        <v>4.2595433675371659</v>
      </c>
      <c r="AA79" s="306">
        <f ca="1">IF($A79="N/A"," ",IF(T79&lt;&gt;0,IF('Pricing Inputs'!$AN$3=2,8*VLOOKUP($A79,NumberofDaysTable,4),(_xll.xSPRDOPT(M79,$E79,$BU79,0,$BP79,$BS79,$BT79,$A79-Inputs!$D$1,1,1))*(8*VLOOKUP($A79,NumberofDaysTable,4))),0))</f>
        <v>0.97275861900551486</v>
      </c>
      <c r="AB79" s="306">
        <f ca="1">IF($A79="N/A"," ",IF(U79&lt;&gt;0,IF('Pricing Inputs'!$AN$3=2,8*VLOOKUP($A79,NumberofDaysTable,4),(_xll.xSPRDOPT(N79,$E79,$BU79,0,$BP79,$BS79,$BT79,$A79-Inputs!$D$1,1,1))*(8*VLOOKUP($A79,NumberofDaysTable,4))),0))</f>
        <v>3.5120353469318011</v>
      </c>
      <c r="AC79" s="306">
        <f t="shared" ca="1" si="132"/>
        <v>0</v>
      </c>
      <c r="AD79" s="274">
        <f t="shared" ca="1" si="150"/>
        <v>26</v>
      </c>
      <c r="AE79" s="275">
        <f t="shared" ca="1" si="151"/>
        <v>18</v>
      </c>
      <c r="AF79" s="275">
        <f t="shared" ca="1" si="152"/>
        <v>59</v>
      </c>
      <c r="AG79" s="275">
        <f t="shared" ca="1" si="153"/>
        <v>43</v>
      </c>
      <c r="AH79" s="275">
        <f t="shared" ca="1" si="154"/>
        <v>63</v>
      </c>
      <c r="AI79" s="275">
        <f t="shared" ca="1" si="155"/>
        <v>52</v>
      </c>
      <c r="AJ79" s="276">
        <f t="shared" ca="1" si="156"/>
        <v>73</v>
      </c>
      <c r="AK79" s="314">
        <f t="shared" ca="1" si="43"/>
        <v>66.803986508364758</v>
      </c>
      <c r="AL79" s="315">
        <f t="shared" ca="1" si="44"/>
        <v>107.13925725661753</v>
      </c>
      <c r="AM79" s="315">
        <f t="shared" ca="1" si="45"/>
        <v>1.3424325520550238</v>
      </c>
      <c r="AN79" s="315">
        <f t="shared" ca="1" si="46"/>
        <v>4.2595433675371659</v>
      </c>
      <c r="AO79" s="315">
        <f t="shared" ca="1" si="47"/>
        <v>0.97275861900551486</v>
      </c>
      <c r="AP79" s="315">
        <f t="shared" ca="1" si="48"/>
        <v>3.5120353469318011</v>
      </c>
      <c r="AQ79" s="315">
        <f t="shared" ca="1" si="49"/>
        <v>0</v>
      </c>
      <c r="AR79" s="276"/>
      <c r="AS79" s="321">
        <f t="shared" ca="1" si="143"/>
        <v>0</v>
      </c>
      <c r="AT79" s="324">
        <f t="shared" ca="1" si="144"/>
        <v>0</v>
      </c>
      <c r="AU79" s="324">
        <f t="shared" ca="1" si="145"/>
        <v>0</v>
      </c>
      <c r="AV79" s="324">
        <f t="shared" ca="1" si="146"/>
        <v>0</v>
      </c>
      <c r="AW79" s="324">
        <f t="shared" ca="1" si="147"/>
        <v>0</v>
      </c>
      <c r="AX79" s="324">
        <f t="shared" ca="1" si="148"/>
        <v>0</v>
      </c>
      <c r="AY79" s="324">
        <f t="shared" ca="1" si="149"/>
        <v>0</v>
      </c>
      <c r="AZ79" s="276"/>
      <c r="BA79" s="267">
        <f ca="1">IF($A79="N/A"," ",(IF(MONTH(A79)&gt;=4,IF(MONTH(A79)&lt;=10,Inputs!$F$13,Inputs!$F$14),Inputs!$F$14))*$BW79)</f>
        <v>180</v>
      </c>
      <c r="BB79" s="268">
        <f t="shared" ca="1" si="64"/>
        <v>54269.734058890368</v>
      </c>
      <c r="BC79" s="268">
        <f t="shared" ca="1" si="65"/>
        <v>129870.86896315623</v>
      </c>
      <c r="BD79" s="268">
        <f t="shared" ca="1" si="133"/>
        <v>460.04825998809252</v>
      </c>
      <c r="BE79" s="268">
        <f t="shared" ca="1" si="134"/>
        <v>2058.8128861791811</v>
      </c>
      <c r="BF79" s="268">
        <f t="shared" ca="1" si="135"/>
        <v>293.1371523177977</v>
      </c>
      <c r="BG79" s="268">
        <f t="shared" ca="1" si="136"/>
        <v>1478.039970253938</v>
      </c>
      <c r="BH79" s="268">
        <f t="shared" ca="1" si="157"/>
        <v>0</v>
      </c>
      <c r="BI79" s="268">
        <f t="shared" ca="1" si="137"/>
        <v>188430.64129078563</v>
      </c>
      <c r="BJ79" s="296">
        <f t="shared" ca="1" si="138"/>
        <v>1053613.5039407893</v>
      </c>
      <c r="BK79" s="296">
        <f t="shared" ca="1" si="139"/>
        <v>987362.69902660488</v>
      </c>
      <c r="BL79" s="296">
        <f t="shared" ca="1" si="140"/>
        <v>66250.804914184249</v>
      </c>
      <c r="BM79" s="296">
        <f t="shared" ca="1" si="141"/>
        <v>0</v>
      </c>
      <c r="BN79" s="405">
        <f>IF(A79="N/A"," ",(VLOOKUP(A79,PowerVolTable,(IF('Pricing Inputs'!$AT$3=2,7,IF('Pricing Inputs'!$AT$3=1,6,8))),FALSE)))</f>
        <v>0.17498862456328118</v>
      </c>
      <c r="BO79" s="405">
        <f>IF(A79="N/A"," ",(VLOOKUP(A79,IntraPowerVol,(IF('Pricing Inputs'!$AT$3=2,3,IF('Pricing Inputs'!$AT$3=1,2,4))),FALSE)*VLOOKUP(MONTH($A79),Inputs!$A$28:$B$39,2)))</f>
        <v>1.2649999999999999</v>
      </c>
      <c r="BP79" s="406">
        <f t="shared" ca="1" si="126"/>
        <v>0.19915112857799844</v>
      </c>
      <c r="BQ79" s="405">
        <f ca="1">IF($A79="N/A"," ",(VLOOKUP($A79,GasVolTable,(IF('Pricing Inputs'!$AT$3=2,6,IF('Pricing Inputs'!$AT$3=1,7,5))),FALSE)))</f>
        <v>0.1575</v>
      </c>
      <c r="BR79" s="405">
        <f ca="1">IF($A79="N/A"," ",(VLOOKUP($A79,OmicronVol,(IF('Pricing Inputs'!$AT$3=2,3,IF('Pricing Inputs'!$AT$3=1,4,2))),FALSE)))</f>
        <v>0.45</v>
      </c>
      <c r="BS79" s="406">
        <f ca="1">IF($A79="N/A"," ",IF('Pricing Inputs'!$AN$3=1,(IF(DateToday&gt;$A79,$BR79,((($BQ79^2)*((($A79-1)-DateToday)/((EOMONTH($A79,0)+1)-DateToday-15)))+((($BR79)^2)*((15)/((EOMONTH($A79,0)+1)-DateToday-15))))^0.5)),0.0001))</f>
        <v>0.16069061862316297</v>
      </c>
      <c r="BT79" s="405">
        <f>IF($A79="N/A"," ",IF('Pricing Inputs'!$AN$3=1,(VLOOKUP($A79,CorrelationTable,2,FALSE)),0))</f>
        <v>0.9</v>
      </c>
      <c r="BU79" s="407">
        <f ca="1">IF($A79="N/A"," ",F79+G79+(D79*(VLOOKUP($A79,'Gas Curves'!$B$17:$P$310,14,FALSE))))</f>
        <v>2.6825000000000001</v>
      </c>
      <c r="BV79" s="405">
        <f>IF($A79="N/A"," ",IF('Pricing Inputs'!$AW$3=1,0,(VLOOKUP($A79,InterestRatesTable,2))))</f>
        <v>0</v>
      </c>
      <c r="BW79" s="408">
        <f t="shared" ca="1" si="127"/>
        <v>1</v>
      </c>
    </row>
    <row r="80" spans="1:75">
      <c r="A80" s="248">
        <f>IF(A79="N/A","N/A",IF(EDATE(A79,1)&gt;Inputs!$K$3,"N/A",EDATE(A79,1)))</f>
        <v>39203</v>
      </c>
      <c r="B80" s="262">
        <f t="shared" si="128"/>
        <v>2007</v>
      </c>
      <c r="C80" s="249">
        <f t="shared" ca="1" si="129"/>
        <v>2.8127420310000004</v>
      </c>
      <c r="D80" s="250">
        <f>IF(A80="N/A"," ",(VLOOKUP(MONTH($A80),Inputs!$A$14:$B$25,2))/1000)</f>
        <v>10.5</v>
      </c>
      <c r="E80" s="304">
        <f t="shared" ca="1" si="130"/>
        <v>29.533791325500005</v>
      </c>
      <c r="F80" s="251">
        <f>IF(A80="N/A"," ",Inputs!$F$6)</f>
        <v>2</v>
      </c>
      <c r="G80" s="251">
        <f ca="1">IF(A80="N/A"," ",Inputs!$F$9/IF(AND('Pricing Inputs'!$AQ$3&gt;=4,'Pricing Inputs'!$AQ$3&lt;=6),16,IF(AND('Pricing Inputs'!$AQ$3&gt;=7,'Pricing Inputs'!$AQ$3&lt;=9),8,24))/(BA80/BW80))</f>
        <v>0</v>
      </c>
      <c r="H80" s="252">
        <f t="shared" ca="1" si="131"/>
        <v>31.533791325500005</v>
      </c>
      <c r="I80" s="255">
        <f>VLOOKUP(A80,ScaledPrice,(IF(AND('Pricing Inputs'!$AQ$3&gt;=1,'Pricing Inputs'!$AQ$3&lt;=6),2,4)))</f>
        <v>33.011467932131261</v>
      </c>
      <c r="J80" s="255">
        <f>IF(A80="N/A"," ",IF(AND('Pricing Inputs'!$AQ$3&gt;=1,'Pricing Inputs'!$AQ$3&lt;=6),I80,(VLOOKUP(A80,ScaledPrice,2))*(2-(VLOOKUP(A80,ScaledPrice,3)))))</f>
        <v>34.888532067868745</v>
      </c>
      <c r="K80" s="255">
        <f>IF(A80="N/A"," ",IF(OR('Pricing Inputs'!$AQ$3=2,'Pricing Inputs'!$AQ$3=3,'Pricing Inputs'!$AQ$3=5,'Pricing Inputs'!$AQ$3=6,'Pricing Inputs'!$AQ$3=8,'Pricing Inputs'!$AQ$3=9),VLOOKUP(A80,ScaledPrice,IF(AND('Pricing Inputs'!$AQ$3&gt;=2,'Pricing Inputs'!$AQ$3&lt;=6),5,6)),0))</f>
        <v>21.812363973670379</v>
      </c>
      <c r="L80" s="255">
        <f>IF(A80="N/A"," ",IF(OR('Pricing Inputs'!$AQ$3=2,'Pricing Inputs'!$AQ$3=3,'Pricing Inputs'!$AQ$3=5,'Pricing Inputs'!$AQ$3=6,'Pricing Inputs'!$AQ$3=8,'Pricing Inputs'!$AQ$3=9),IF(AND('Pricing Inputs'!$AQ$3&gt;=2,'Pricing Inputs'!$AQ$3&lt;=6),K80,(VLOOKUP(A80,ScaledPrice,5))*(2-(VLOOKUP(A80,ScaledPrice,3)))),0))</f>
        <v>23.052636178917503</v>
      </c>
      <c r="M80" s="255">
        <f>IF(A80="N/A"," ",IF(OR('Pricing Inputs'!$AQ$3=3,'Pricing Inputs'!$AQ$3=6,'Pricing Inputs'!$AQ$3=9),(VLOOKUP(A80,ScaledPrice,IF(AND('Pricing Inputs'!$AQ$3&gt;=3,'Pricing Inputs'!$AQ$3&lt;=6),7,8))),0))</f>
        <v>20.968845313716791</v>
      </c>
      <c r="N80" s="255">
        <f>IF(A80="N/A"," ",IF(OR('Pricing Inputs'!$AQ$3=3,'Pricing Inputs'!$AQ$3=6,'Pricing Inputs'!$AQ$3=9),IF(AND('Pricing Inputs'!$AQ$3&gt;=3,'Pricing Inputs'!$AQ$3&lt;=6),M80,(VLOOKUP(A80,ScaledPrice,7))*(2-(VLOOKUP(A80,ScaledPrice,3)))),0))</f>
        <v>22.161154228519528</v>
      </c>
      <c r="O80" s="255">
        <f>IF(A80="N/A"," ",IF(AND('Pricing Inputs'!$AQ$3&gt;=1,'Pricing Inputs'!$AQ$3&lt;=3),VLOOKUP(A80,ScaledPrice,9),0))</f>
        <v>0</v>
      </c>
      <c r="P80" s="320">
        <f ca="1">IF($A80="N/A"," ",IF('Pricing Inputs'!$AN$8=2,(I80-H80),IF('Pricing Inputs'!$AN$3=2,IF((I80-$H80)&gt;0,I80-$H80,0),(_xll.xSPRDOPT(I80,$E80,$BU80,0,$BP80,$BS80,$BT80,($A80-Inputs!$D$1)+15,1,0)))))</f>
        <v>4.2379495495463182</v>
      </c>
      <c r="Q80" s="320">
        <f ca="1">IF($A80="N/A"," ",IF('Pricing Inputs'!$AN$8=2,(J80-$H80),IF('Pricing Inputs'!$AN$3=2,IF((J80-$H80)&gt;0,J80-$H80,0),(_xll.xSPRDOPT(J80,$E80,$BU80,0,$BP80,$BS80,$BT80,($A80-Inputs!$D$1)+15,1,0)))))</f>
        <v>5.4189893733113319</v>
      </c>
      <c r="R80" s="320">
        <f ca="1">IF($A80="N/A"," ",IF('Pricing Inputs'!$AN$8=2,(K80-$H80),IF('Pricing Inputs'!$AN$3=2,IF((K80-$H80)&gt;0,K80-$H80,0),(_xll.xSPRDOPT(K80,$E80,$BU80,0,$BP80,$BS80,$BT80,($A80-Inputs!$D$1)+15,1,0)))))</f>
        <v>0.3294944025152573</v>
      </c>
      <c r="S80" s="320">
        <f ca="1">IF($A80="N/A"," ",IF('Pricing Inputs'!$AN$8=2,(L80-$H80),IF('Pricing Inputs'!$AN$3=2,IF((L80-$H80)&gt;0,L80-$H80,0),(_xll.xSPRDOPT(L80,$E80,$BU80,0,$BP80,$BS80,$BT80,($A80-Inputs!$D$1)+15,1,0)))))</f>
        <v>0.50276471222691954</v>
      </c>
      <c r="T80" s="320">
        <f ca="1">IF($A80="N/A"," ",IF('Pricing Inputs'!$AN$8=2,(M80-$H80),IF('Pricing Inputs'!$AN$3=2,IF((M80-$H80)&gt;0,M80-$H80,0),(_xll.xSPRDOPT(M80,$E80,$BU80,0,$BP80,$BS80,$BT80,($A80-Inputs!$D$1)+15,1,0)))))</f>
        <v>0.23966635846421996</v>
      </c>
      <c r="U80" s="320">
        <f ca="1">IF($A80="N/A"," ",IF('Pricing Inputs'!$AN$8=2,(N80-$H80),IF('Pricing Inputs'!$AN$3=2,IF((N80-$H80)&gt;0,N80-$H80,0),(_xll.xSPRDOPT(N80,$E80,$BU80,0,$BP80,$BS80,$BT80,($A80-Inputs!$D$1)+15,1,0)))))</f>
        <v>0.37300263921877491</v>
      </c>
      <c r="V80" s="259">
        <f ca="1">IF($A80="N/A"," ",(IF('Pricing Inputs'!$AN$8=2,(O80-$H80),IF((O80-$H80)&lt;=0,0,(O80-$H80)))))</f>
        <v>0</v>
      </c>
      <c r="W80" s="306">
        <f ca="1">IF($A80="N/A"," ",IF(0&lt;&gt;P80,IF('Pricing Inputs'!$AN$3=2,8*VLOOKUP($A80,NumberofDaysTable,2),(_xll.xSPRDOPT(I80,$E80,$BU80,0,$BP80,$BS80,$BT80,$A80-Inputs!$D$1,1,1))*(8*VLOOKUP($A80,NumberofDaysTable,2))),0))</f>
        <v>104.37828154034058</v>
      </c>
      <c r="X80" s="306">
        <f ca="1">IF($A80="N/A"," ",IF(Q80&lt;&gt;0,IF('Pricing Inputs'!$AN$3=2,8*VLOOKUP($A80,NumberofDaysTable,2),(_xll.xSPRDOPT(J80,$E80,$BU80,0,$BP80,$BS80,$BT80,$A80-Inputs!$D$1,1,1))*(8*VLOOKUP($A80,NumberofDaysTable,2))),0))</f>
        <v>116.85950056440407</v>
      </c>
      <c r="Y80" s="306">
        <f ca="1">IF($A80="N/A"," ",IF(R80&lt;&gt;0,IF('Pricing Inputs'!$AN$3=2,8*VLOOKUP($A80,NumberofDaysTable,3),(_xll.xSPRDOPT(K80,$E80,$BU80,0,$BP80,$BS80,$BT80,$A80-Inputs!$D$1,1,1))*(8*VLOOKUP($A80,NumberofDaysTable,3))),0))</f>
        <v>3.7870924583010925</v>
      </c>
      <c r="Z80" s="306">
        <f ca="1">IF($A80="N/A"," ",IF(S80&lt;&gt;0,IF('Pricing Inputs'!$AN$3=2,8*VLOOKUP($A80,NumberofDaysTable,3),(_xll.xSPRDOPT(L80,$E80,$BU80,0,$BP80,$BS80,$BT80,$A80-Inputs!$D$1,1,1))*(8*VLOOKUP($A80,NumberofDaysTable,3))),0))</f>
        <v>5.1315564850293773</v>
      </c>
      <c r="AA80" s="306">
        <f ca="1">IF($A80="N/A"," ",IF(T80&lt;&gt;0,IF('Pricing Inputs'!$AN$3=2,8*VLOOKUP($A80,NumberofDaysTable,4),(_xll.xSPRDOPT(M80,$E80,$BU80,0,$BP80,$BS80,$BT80,$A80-Inputs!$D$1,1,1))*(8*VLOOKUP($A80,NumberofDaysTable,4))),0))</f>
        <v>2.993747037463502</v>
      </c>
      <c r="AB80" s="306">
        <f ca="1">IF($A80="N/A"," ",IF(U80&lt;&gt;0,IF('Pricing Inputs'!$AN$3=2,8*VLOOKUP($A80,NumberofDaysTable,4),(_xll.xSPRDOPT(N80,$E80,$BU80,0,$BP80,$BS80,$BT80,$A80-Inputs!$D$1,1,1))*(8*VLOOKUP($A80,NumberofDaysTable,4))),0))</f>
        <v>4.1445848336178095</v>
      </c>
      <c r="AC80" s="306">
        <f t="shared" ca="1" si="132"/>
        <v>0</v>
      </c>
      <c r="AD80" s="274">
        <f t="shared" ca="1" si="150"/>
        <v>19</v>
      </c>
      <c r="AE80" s="275">
        <f t="shared" ca="1" si="151"/>
        <v>15</v>
      </c>
      <c r="AF80" s="275">
        <f t="shared" ca="1" si="152"/>
        <v>45</v>
      </c>
      <c r="AG80" s="275">
        <f t="shared" ca="1" si="153"/>
        <v>36</v>
      </c>
      <c r="AH80" s="275">
        <f t="shared" ca="1" si="154"/>
        <v>50</v>
      </c>
      <c r="AI80" s="275">
        <f t="shared" ca="1" si="155"/>
        <v>42</v>
      </c>
      <c r="AJ80" s="276">
        <f t="shared" ca="1" si="156"/>
        <v>73</v>
      </c>
      <c r="AK80" s="314">
        <f t="shared" ref="AK80:AK143" ca="1" si="158">IF($A80="N/A"," ",IF(AD80&lt;=$AJ$2,W80,0))</f>
        <v>104.37828154034058</v>
      </c>
      <c r="AL80" s="315">
        <f t="shared" ref="AL80:AL143" ca="1" si="159">IF($A80="N/A"," ",IF(AE80&lt;=$AJ$2,X80,0))</f>
        <v>116.85950056440407</v>
      </c>
      <c r="AM80" s="315">
        <f t="shared" ref="AM80:AM143" ca="1" si="160">IF($A80="N/A"," ",IF(AF80&lt;=$AJ$2,Y80,0))</f>
        <v>3.7870924583010925</v>
      </c>
      <c r="AN80" s="315">
        <f t="shared" ref="AN80:AN143" ca="1" si="161">IF($A80="N/A"," ",IF(AG80&lt;=$AJ$2,Z80,0))</f>
        <v>5.1315564850293773</v>
      </c>
      <c r="AO80" s="315">
        <f t="shared" ref="AO80:AO143" ca="1" si="162">IF($A80="N/A"," ",IF(AH80&lt;=$AJ$2,AA80,0))</f>
        <v>2.993747037463502</v>
      </c>
      <c r="AP80" s="315">
        <f t="shared" ref="AP80:AP143" ca="1" si="163">IF($A80="N/A"," ",IF(AI80&lt;=$AJ$2,AB80,0))</f>
        <v>4.1445848336178095</v>
      </c>
      <c r="AQ80" s="315">
        <f t="shared" ref="AQ80:AQ143" ca="1" si="164">IF($A80="N/A"," ",IF(AJ80&lt;=$AJ$2,AC80,0))</f>
        <v>0</v>
      </c>
      <c r="AR80" s="276"/>
      <c r="AS80" s="321">
        <f t="shared" ca="1" si="143"/>
        <v>0</v>
      </c>
      <c r="AT80" s="324">
        <f t="shared" ca="1" si="144"/>
        <v>0</v>
      </c>
      <c r="AU80" s="324">
        <f t="shared" ca="1" si="145"/>
        <v>0</v>
      </c>
      <c r="AV80" s="324">
        <f t="shared" ca="1" si="146"/>
        <v>0</v>
      </c>
      <c r="AW80" s="324">
        <f t="shared" ca="1" si="147"/>
        <v>0</v>
      </c>
      <c r="AX80" s="324">
        <f t="shared" ca="1" si="148"/>
        <v>0</v>
      </c>
      <c r="AY80" s="324">
        <f t="shared" ca="1" si="149"/>
        <v>0</v>
      </c>
      <c r="AZ80" s="276"/>
      <c r="BA80" s="267">
        <f ca="1">IF($A80="N/A"," ",(IF(MONTH(A80)&gt;=4,IF(MONTH(A80)&lt;=10,Inputs!$F$13,Inputs!$F$14),Inputs!$F$14))*$BW80)</f>
        <v>180</v>
      </c>
      <c r="BB80" s="268">
        <f t="shared" ca="1" si="64"/>
        <v>134258.24172962736</v>
      </c>
      <c r="BC80" s="268">
        <f t="shared" ca="1" si="65"/>
        <v>171673.583346503</v>
      </c>
      <c r="BD80" s="268">
        <f t="shared" ca="1" si="133"/>
        <v>1897.8877584878821</v>
      </c>
      <c r="BE80" s="268">
        <f t="shared" ca="1" si="134"/>
        <v>2895.9247424270566</v>
      </c>
      <c r="BF80" s="268">
        <f t="shared" ca="1" si="135"/>
        <v>1725.5977809423837</v>
      </c>
      <c r="BG80" s="268">
        <f t="shared" ca="1" si="136"/>
        <v>2685.6190023751792</v>
      </c>
      <c r="BH80" s="268">
        <f t="shared" ca="1" si="157"/>
        <v>0</v>
      </c>
      <c r="BI80" s="268">
        <f t="shared" ca="1" si="137"/>
        <v>315136.85436036286</v>
      </c>
      <c r="BJ80" s="296">
        <f t="shared" ca="1" si="138"/>
        <v>1346904.6365748015</v>
      </c>
      <c r="BK80" s="296">
        <f t="shared" ca="1" si="139"/>
        <v>1261478.5219239052</v>
      </c>
      <c r="BL80" s="296">
        <f t="shared" ca="1" si="140"/>
        <v>85426.114650896314</v>
      </c>
      <c r="BM80" s="296">
        <f t="shared" ca="1" si="141"/>
        <v>0</v>
      </c>
      <c r="BN80" s="405">
        <f>IF(A80="N/A"," ",(VLOOKUP(A80,PowerVolTable,(IF('Pricing Inputs'!$AT$3=2,7,IF('Pricing Inputs'!$AT$3=1,6,8))),FALSE)))</f>
        <v>0.20145193262578118</v>
      </c>
      <c r="BO80" s="405">
        <f>IF(A80="N/A"," ",(VLOOKUP(A80,IntraPowerVol,(IF('Pricing Inputs'!$AT$3=2,3,IF('Pricing Inputs'!$AT$3=1,2,4))),FALSE)*VLOOKUP(MONTH($A80),Inputs!$A$28:$B$39,2)))</f>
        <v>1.2649999999999999</v>
      </c>
      <c r="BP80" s="406">
        <f t="shared" ca="1" si="126"/>
        <v>0.22235238027599435</v>
      </c>
      <c r="BQ80" s="405">
        <f ca="1">IF($A80="N/A"," ",(VLOOKUP($A80,GasVolTable,(IF('Pricing Inputs'!$AT$3=2,6,IF('Pricing Inputs'!$AT$3=1,7,5))),FALSE)))</f>
        <v>0.1575</v>
      </c>
      <c r="BR80" s="405">
        <f ca="1">IF($A80="N/A"," ",(VLOOKUP($A80,OmicronVol,(IF('Pricing Inputs'!$AT$3=2,3,IF('Pricing Inputs'!$AT$3=1,4,2))),FALSE)))</f>
        <v>0.5</v>
      </c>
      <c r="BS80" s="406">
        <f ca="1">IF($A80="N/A"," ",IF('Pricing Inputs'!$AN$3=1,(IF(DateToday&gt;$A80,$BR80,((($BQ80^2)*((($A80-1)-DateToday)/((EOMONTH($A80,0)+1)-DateToday-15)))+((($BR80)^2)*((15)/((EOMONTH($A80,0)+1)-DateToday-15))))^0.5)),0.0001))</f>
        <v>0.16146454501565496</v>
      </c>
      <c r="BT80" s="405">
        <f>IF($A80="N/A"," ",IF('Pricing Inputs'!$AN$3=1,(VLOOKUP($A80,CorrelationTable,2,FALSE)),0))</f>
        <v>0.9</v>
      </c>
      <c r="BU80" s="407">
        <f ca="1">IF($A80="N/A"," ",F80+G80+(D80*(VLOOKUP($A80,'Gas Curves'!$B$17:$P$310,14,FALSE))))</f>
        <v>2.6825000000000001</v>
      </c>
      <c r="BV80" s="405">
        <f>IF($A80="N/A"," ",IF('Pricing Inputs'!$AW$3=1,0,(VLOOKUP($A80,InterestRatesTable,2))))</f>
        <v>0</v>
      </c>
      <c r="BW80" s="408">
        <f t="shared" ca="1" si="127"/>
        <v>1</v>
      </c>
    </row>
    <row r="81" spans="1:75">
      <c r="A81" s="248">
        <f>IF(A80="N/A","N/A",IF(EDATE(A80,1)&gt;Inputs!$K$3,"N/A",EDATE(A80,1)))</f>
        <v>39234</v>
      </c>
      <c r="B81" s="262">
        <f t="shared" si="128"/>
        <v>2007</v>
      </c>
      <c r="C81" s="249">
        <f t="shared" ca="1" si="129"/>
        <v>2.8187420310000002</v>
      </c>
      <c r="D81" s="250">
        <f>IF(A81="N/A"," ",(VLOOKUP(MONTH($A81),Inputs!$A$14:$B$25,2))/1000)</f>
        <v>10.5</v>
      </c>
      <c r="E81" s="304">
        <f t="shared" ca="1" si="130"/>
        <v>29.596791325500003</v>
      </c>
      <c r="F81" s="251">
        <f>IF(A81="N/A"," ",Inputs!$F$6)</f>
        <v>2</v>
      </c>
      <c r="G81" s="251">
        <f ca="1">IF(A81="N/A"," ",Inputs!$F$9/IF(AND('Pricing Inputs'!$AQ$3&gt;=4,'Pricing Inputs'!$AQ$3&lt;=6),16,IF(AND('Pricing Inputs'!$AQ$3&gt;=7,'Pricing Inputs'!$AQ$3&lt;=9),8,24))/(BA81/BW81))</f>
        <v>0</v>
      </c>
      <c r="H81" s="252">
        <f t="shared" ca="1" si="131"/>
        <v>31.596791325500003</v>
      </c>
      <c r="I81" s="255">
        <f>VLOOKUP(A81,ScaledPrice,(IF(AND('Pricing Inputs'!$AQ$3&gt;=1,'Pricing Inputs'!$AQ$3&lt;=6),2,4)))</f>
        <v>56.444491045589892</v>
      </c>
      <c r="J81" s="255">
        <f>IF(A81="N/A"," ",IF(AND('Pricing Inputs'!$AQ$3&gt;=1,'Pricing Inputs'!$AQ$3&lt;=6),I81,(VLOOKUP(A81,ScaledPrice,2))*(2-(VLOOKUP(A81,ScaledPrice,3)))))</f>
        <v>42.555508954410108</v>
      </c>
      <c r="K81" s="255">
        <f>IF(A81="N/A"," ",IF(OR('Pricing Inputs'!$AQ$3=2,'Pricing Inputs'!$AQ$3=3,'Pricing Inputs'!$AQ$3=5,'Pricing Inputs'!$AQ$3=6,'Pricing Inputs'!$AQ$3=8,'Pricing Inputs'!$AQ$3=9),VLOOKUP(A81,ScaledPrice,IF(AND('Pricing Inputs'!$AQ$3&gt;=2,'Pricing Inputs'!$AQ$3&lt;=6),5,6)),0))</f>
        <v>30.62683802996936</v>
      </c>
      <c r="L81" s="255">
        <f>IF(A81="N/A"," ",IF(OR('Pricing Inputs'!$AQ$3=2,'Pricing Inputs'!$AQ$3=3,'Pricing Inputs'!$AQ$3=5,'Pricing Inputs'!$AQ$3=6,'Pricing Inputs'!$AQ$3=8,'Pricing Inputs'!$AQ$3=9),IF(AND('Pricing Inputs'!$AQ$3&gt;=2,'Pricing Inputs'!$AQ$3&lt;=6),K81,(VLOOKUP(A81,ScaledPrice,5))*(2-(VLOOKUP(A81,ScaledPrice,3)))),0))</f>
        <v>23.090662275206416</v>
      </c>
      <c r="M81" s="255">
        <f>IF(A81="N/A"," ",IF(OR('Pricing Inputs'!$AQ$3=3,'Pricing Inputs'!$AQ$3=6,'Pricing Inputs'!$AQ$3=9),(VLOOKUP(A81,ScaledPrice,IF(AND('Pricing Inputs'!$AQ$3&gt;=3,'Pricing Inputs'!$AQ$3&lt;=6),7,8))),0))</f>
        <v>23.196404712256058</v>
      </c>
      <c r="N81" s="255">
        <f>IF(A81="N/A"," ",IF(OR('Pricing Inputs'!$AQ$3=3,'Pricing Inputs'!$AQ$3=6,'Pricing Inputs'!$AQ$3=9),IF(AND('Pricing Inputs'!$AQ$3&gt;=3,'Pricing Inputs'!$AQ$3&lt;=6),M81,(VLOOKUP(A81,ScaledPrice,7))*(2-(VLOOKUP(A81,ScaledPrice,3)))),0))</f>
        <v>17.488594372216593</v>
      </c>
      <c r="O81" s="255">
        <f>IF(A81="N/A"," ",IF(AND('Pricing Inputs'!$AQ$3&gt;=1,'Pricing Inputs'!$AQ$3&lt;=3),VLOOKUP(A81,ScaledPrice,9),0))</f>
        <v>0</v>
      </c>
      <c r="P81" s="320">
        <f ca="1">IF($A81="N/A"," ",IF('Pricing Inputs'!$AN$8=2,(I81-H81),IF('Pricing Inputs'!$AN$3=2,IF((I81-$H81)&gt;0,I81-$H81,0),(_xll.xSPRDOPT(I81,$E81,$BU81,0,$BP81,$BS81,$BT81,($A81-Inputs!$D$1)+15,1,0)))))</f>
        <v>25.542732501421924</v>
      </c>
      <c r="Q81" s="320">
        <f ca="1">IF($A81="N/A"," ",IF('Pricing Inputs'!$AN$8=2,(J81-$H81),IF('Pricing Inputs'!$AN$3=2,IF((J81-$H81)&gt;0,J81-$H81,0),(_xll.xSPRDOPT(J81,$E81,$BU81,0,$BP81,$BS81,$BT81,($A81-Inputs!$D$1)+15,1,0)))))</f>
        <v>13.556883425511071</v>
      </c>
      <c r="R81" s="320">
        <f ca="1">IF($A81="N/A"," ",IF('Pricing Inputs'!$AN$8=2,(K81-$H81),IF('Pricing Inputs'!$AN$3=2,IF((K81-$H81)&gt;0,K81-$H81,0),(_xll.xSPRDOPT(K81,$E81,$BU81,0,$BP81,$BS81,$BT81,($A81-Inputs!$D$1)+15,1,0)))))</f>
        <v>5.3527788720166321</v>
      </c>
      <c r="S81" s="320">
        <f ca="1">IF($A81="N/A"," ",IF('Pricing Inputs'!$AN$8=2,(L81-$H81),IF('Pricing Inputs'!$AN$3=2,IF((L81-$H81)&gt;0,L81-$H81,0),(_xll.xSPRDOPT(L81,$E81,$BU81,0,$BP81,$BS81,$BT81,($A81-Inputs!$D$1)+15,1,0)))))</f>
        <v>1.9572589282062931</v>
      </c>
      <c r="T81" s="320">
        <f ca="1">IF($A81="N/A"," ",IF('Pricing Inputs'!$AN$8=2,(M81-$H81),IF('Pricing Inputs'!$AN$3=2,IF((M81-$H81)&gt;0,M81-$H81,0),(_xll.xSPRDOPT(M81,$E81,$BU81,0,$BP81,$BS81,$BT81,($A81-Inputs!$D$1)+15,1,0)))))</f>
        <v>1.9928211375113767</v>
      </c>
      <c r="U81" s="320">
        <f ca="1">IF($A81="N/A"," ",IF('Pricing Inputs'!$AN$8=2,(N81-$H81),IF('Pricing Inputs'!$AN$3=2,IF((N81-$H81)&gt;0,N81-$H81,0),(_xll.xSPRDOPT(N81,$E81,$BU81,0,$BP81,$BS81,$BT81,($A81-Inputs!$D$1)+15,1,0)))))</f>
        <v>0.5823331245664185</v>
      </c>
      <c r="V81" s="259">
        <f ca="1">IF($A81="N/A"," ",(IF('Pricing Inputs'!$AN$8=2,(O81-$H81),IF((O81-$H81)&lt;=0,0,(O81-$H81)))))</f>
        <v>0</v>
      </c>
      <c r="W81" s="306">
        <f ca="1">IF($A81="N/A"," ",IF(0&lt;&gt;P81,IF('Pricing Inputs'!$AN$3=2,8*VLOOKUP($A81,NumberofDaysTable,2),(_xll.xSPRDOPT(I81,$E81,$BU81,0,$BP81,$BS81,$BT81,$A81-Inputs!$D$1,1,1))*(8*VLOOKUP($A81,NumberofDaysTable,2))),0))</f>
        <v>153.91493311987031</v>
      </c>
      <c r="X81" s="306">
        <f ca="1">IF($A81="N/A"," ",IF(Q81&lt;&gt;0,IF('Pricing Inputs'!$AN$3=2,8*VLOOKUP($A81,NumberofDaysTable,2),(_xll.xSPRDOPT(J81,$E81,$BU81,0,$BP81,$BS81,$BT81,$A81-Inputs!$D$1,1,1))*(8*VLOOKUP($A81,NumberofDaysTable,2))),0))</f>
        <v>133.02441715564049</v>
      </c>
      <c r="Y81" s="306">
        <f ca="1">IF($A81="N/A"," ",IF(R81&lt;&gt;0,IF('Pricing Inputs'!$AN$3=2,8*VLOOKUP($A81,NumberofDaysTable,3),(_xll.xSPRDOPT(K81,$E81,$BU81,0,$BP81,$BS81,$BT81,$A81-Inputs!$D$1,1,1))*(8*VLOOKUP($A81,NumberofDaysTable,3))),0))</f>
        <v>22.330104343625912</v>
      </c>
      <c r="Z81" s="306">
        <f ca="1">IF($A81="N/A"," ",IF(S81&lt;&gt;0,IF('Pricing Inputs'!$AN$3=2,8*VLOOKUP($A81,NumberofDaysTable,3),(_xll.xSPRDOPT(L81,$E81,$BU81,0,$BP81,$BS81,$BT81,$A81-Inputs!$D$1,1,1))*(8*VLOOKUP($A81,NumberofDaysTable,3))),0))</f>
        <v>13.346139943824507</v>
      </c>
      <c r="AA81" s="306">
        <f ca="1">IF($A81="N/A"," ",IF(T81&lt;&gt;0,IF('Pricing Inputs'!$AN$3=2,8*VLOOKUP($A81,NumberofDaysTable,4),(_xll.xSPRDOPT(M81,$E81,$BU81,0,$BP81,$BS81,$BT81,$A81-Inputs!$D$1,1,1))*(8*VLOOKUP($A81,NumberofDaysTable,4))),0))</f>
        <v>10.785989863447554</v>
      </c>
      <c r="AB81" s="306">
        <f ca="1">IF($A81="N/A"," ",IF(U81&lt;&gt;0,IF('Pricing Inputs'!$AN$3=2,8*VLOOKUP($A81,NumberofDaysTable,4),(_xll.xSPRDOPT(N81,$E81,$BU81,0,$BP81,$BS81,$BT81,$A81-Inputs!$D$1,1,1))*(8*VLOOKUP($A81,NumberofDaysTable,4))),0))</f>
        <v>5.0748971607181801</v>
      </c>
      <c r="AC81" s="306">
        <f t="shared" ca="1" si="132"/>
        <v>0</v>
      </c>
      <c r="AD81" s="274">
        <f t="shared" ca="1" si="150"/>
        <v>5</v>
      </c>
      <c r="AE81" s="275">
        <f t="shared" ca="1" si="151"/>
        <v>8</v>
      </c>
      <c r="AF81" s="275">
        <f t="shared" ca="1" si="152"/>
        <v>16</v>
      </c>
      <c r="AG81" s="275">
        <f t="shared" ca="1" si="153"/>
        <v>24</v>
      </c>
      <c r="AH81" s="275">
        <f t="shared" ca="1" si="154"/>
        <v>23</v>
      </c>
      <c r="AI81" s="275">
        <f t="shared" ca="1" si="155"/>
        <v>34</v>
      </c>
      <c r="AJ81" s="276">
        <f t="shared" ca="1" si="156"/>
        <v>73</v>
      </c>
      <c r="AK81" s="314">
        <f t="shared" ca="1" si="158"/>
        <v>153.91493311987031</v>
      </c>
      <c r="AL81" s="315">
        <f t="shared" ca="1" si="159"/>
        <v>133.02441715564049</v>
      </c>
      <c r="AM81" s="315">
        <f t="shared" ca="1" si="160"/>
        <v>22.330104343625912</v>
      </c>
      <c r="AN81" s="315">
        <f t="shared" ca="1" si="161"/>
        <v>13.346139943824507</v>
      </c>
      <c r="AO81" s="315">
        <f t="shared" ca="1" si="162"/>
        <v>10.785989863447554</v>
      </c>
      <c r="AP81" s="315">
        <f t="shared" ca="1" si="163"/>
        <v>5.0748971607181801</v>
      </c>
      <c r="AQ81" s="315">
        <f t="shared" ca="1" si="164"/>
        <v>0</v>
      </c>
      <c r="AR81" s="276"/>
      <c r="AS81" s="321">
        <f t="shared" ca="1" si="143"/>
        <v>0</v>
      </c>
      <c r="AT81" s="324">
        <f t="shared" ca="1" si="144"/>
        <v>0</v>
      </c>
      <c r="AU81" s="324">
        <f t="shared" ca="1" si="145"/>
        <v>0</v>
      </c>
      <c r="AV81" s="324">
        <f t="shared" ca="1" si="146"/>
        <v>0</v>
      </c>
      <c r="AW81" s="324">
        <f t="shared" ca="1" si="147"/>
        <v>0</v>
      </c>
      <c r="AX81" s="324">
        <f t="shared" ca="1" si="148"/>
        <v>0</v>
      </c>
      <c r="AY81" s="324">
        <f t="shared" ca="1" si="149"/>
        <v>0</v>
      </c>
      <c r="AZ81" s="276"/>
      <c r="BA81" s="267">
        <f ca="1">IF($A81="N/A"," ",(IF(MONTH(A81)&gt;=4,IF(MONTH(A81)&lt;=10,Inputs!$F$13,Inputs!$F$14),Inputs!$F$14))*$BW81)</f>
        <v>180</v>
      </c>
      <c r="BB81" s="268">
        <f t="shared" ref="BB81:BB144" ca="1" si="165">IF($A81="N/A"," ",(IF(AK81&gt;0,($BA81*(8*(VLOOKUP($A81,NumberofDaysTable,2)))*P81),0)+IF(AS81&gt;0,($BA81*((AS81))*P81),0)))</f>
        <v>772412.23084299895</v>
      </c>
      <c r="BC81" s="268">
        <f t="shared" ref="BC81:BC144" ca="1" si="166">IF($A81="N/A"," ",(IF(AL81&gt;0,($BA81*(8*(VLOOKUP($A81,NumberofDaysTable,2)))*Q81),0)+IF(AT81&gt;0,($BA81*((AT81))*Q81),0)))</f>
        <v>409960.15478745475</v>
      </c>
      <c r="BD81" s="268">
        <f t="shared" ca="1" si="133"/>
        <v>38540.007878519747</v>
      </c>
      <c r="BE81" s="268">
        <f t="shared" ca="1" si="134"/>
        <v>14092.264283085311</v>
      </c>
      <c r="BF81" s="268">
        <f t="shared" ca="1" si="135"/>
        <v>11478.64975206553</v>
      </c>
      <c r="BG81" s="268">
        <f t="shared" ca="1" si="136"/>
        <v>3354.2387975025704</v>
      </c>
      <c r="BH81" s="268">
        <f t="shared" ca="1" si="157"/>
        <v>0</v>
      </c>
      <c r="BI81" s="268">
        <f t="shared" ca="1" si="137"/>
        <v>1249837.5463416269</v>
      </c>
      <c r="BJ81" s="296">
        <f t="shared" ca="1" si="138"/>
        <v>1925058.7363136213</v>
      </c>
      <c r="BK81" s="296">
        <f t="shared" ca="1" si="139"/>
        <v>1803207.2029422557</v>
      </c>
      <c r="BL81" s="296">
        <f t="shared" ca="1" si="140"/>
        <v>121851.53337136573</v>
      </c>
      <c r="BM81" s="296">
        <f t="shared" ca="1" si="141"/>
        <v>0</v>
      </c>
      <c r="BN81" s="405">
        <f>IF(A81="N/A"," ",(VLOOKUP(A81,PowerVolTable,(IF('Pricing Inputs'!$AT$3=2,7,IF('Pricing Inputs'!$AT$3=1,6,8))),FALSE)))</f>
        <v>0.25255919632148427</v>
      </c>
      <c r="BO81" s="405">
        <f>IF(A81="N/A"," ",(VLOOKUP(A81,IntraPowerVol,(IF('Pricing Inputs'!$AT$3=2,3,IF('Pricing Inputs'!$AT$3=1,2,4))),FALSE)*VLOOKUP(MONTH($A81),Inputs!$A$28:$B$39,2)))</f>
        <v>2.2999999999999998</v>
      </c>
      <c r="BP81" s="406">
        <f t="shared" ca="1" si="126"/>
        <v>0.30530505164141869</v>
      </c>
      <c r="BQ81" s="405">
        <f ca="1">IF($A81="N/A"," ",(VLOOKUP($A81,GasVolTable,(IF('Pricing Inputs'!$AT$3=2,6,IF('Pricing Inputs'!$AT$3=1,7,5))),FALSE)))</f>
        <v>0.1575</v>
      </c>
      <c r="BR81" s="405">
        <f ca="1">IF($A81="N/A"," ",(VLOOKUP($A81,OmicronVol,(IF('Pricing Inputs'!$AT$3=2,3,IF('Pricing Inputs'!$AT$3=1,4,2))),FALSE)))</f>
        <v>0.5</v>
      </c>
      <c r="BS81" s="406">
        <f ca="1">IF($A81="N/A"," ",IF('Pricing Inputs'!$AN$3=1,(IF(DateToday&gt;$A81,$BR81,((($BQ81^2)*((($A81-1)-DateToday)/((EOMONTH($A81,0)+1)-DateToday-15)))+((($BR81)^2)*((15)/((EOMONTH($A81,0)+1)-DateToday-15))))^0.5)),0.0001))</f>
        <v>0.16144927014220764</v>
      </c>
      <c r="BT81" s="405">
        <f>IF($A81="N/A"," ",IF('Pricing Inputs'!$AN$3=1,(VLOOKUP($A81,CorrelationTable,2,FALSE)),0))</f>
        <v>0.9</v>
      </c>
      <c r="BU81" s="407">
        <f ca="1">IF($A81="N/A"," ",F81+G81+(D81*(VLOOKUP($A81,'Gas Curves'!$B$17:$P$310,14,FALSE))))</f>
        <v>2.6825000000000001</v>
      </c>
      <c r="BV81" s="405">
        <f>IF($A81="N/A"," ",IF('Pricing Inputs'!$AW$3=1,0,(VLOOKUP($A81,InterestRatesTable,2))))</f>
        <v>0</v>
      </c>
      <c r="BW81" s="408">
        <f t="shared" ca="1" si="127"/>
        <v>1</v>
      </c>
    </row>
    <row r="82" spans="1:75">
      <c r="A82" s="248">
        <f>IF(A81="N/A","N/A",IF(EDATE(A81,1)&gt;Inputs!$K$3,"N/A",EDATE(A81,1)))</f>
        <v>39264</v>
      </c>
      <c r="B82" s="262">
        <f t="shared" si="128"/>
        <v>2007</v>
      </c>
      <c r="C82" s="249">
        <f t="shared" ca="1" si="129"/>
        <v>2.828742031</v>
      </c>
      <c r="D82" s="250">
        <f>IF(A82="N/A"," ",(VLOOKUP(MONTH($A82),Inputs!$A$14:$B$25,2))/1000)</f>
        <v>10.5</v>
      </c>
      <c r="E82" s="304">
        <f t="shared" ca="1" si="130"/>
        <v>29.7017913255</v>
      </c>
      <c r="F82" s="251">
        <f>IF(A82="N/A"," ",Inputs!$F$6)</f>
        <v>2</v>
      </c>
      <c r="G82" s="251">
        <f ca="1">IF(A82="N/A"," ",Inputs!$F$9/IF(AND('Pricing Inputs'!$AQ$3&gt;=4,'Pricing Inputs'!$AQ$3&lt;=6),16,IF(AND('Pricing Inputs'!$AQ$3&gt;=7,'Pricing Inputs'!$AQ$3&lt;=9),8,24))/(BA82/BW82))</f>
        <v>0</v>
      </c>
      <c r="H82" s="252">
        <f t="shared" ca="1" si="131"/>
        <v>31.7017913255</v>
      </c>
      <c r="I82" s="255">
        <f>VLOOKUP(A82,ScaledPrice,(IF(AND('Pricing Inputs'!$AQ$3&gt;=1,'Pricing Inputs'!$AQ$3&lt;=6),2,4)))</f>
        <v>84.608208934020482</v>
      </c>
      <c r="J82" s="255">
        <f>IF(A82="N/A"," ",IF(AND('Pricing Inputs'!$AQ$3&gt;=1,'Pricing Inputs'!$AQ$3&lt;=6),I82,(VLOOKUP(A82,ScaledPrice,2))*(2-(VLOOKUP(A82,ScaledPrice,3)))))</f>
        <v>57.391791065979511</v>
      </c>
      <c r="K82" s="255">
        <f>IF(A82="N/A"," ",IF(OR('Pricing Inputs'!$AQ$3=2,'Pricing Inputs'!$AQ$3=3,'Pricing Inputs'!$AQ$3=5,'Pricing Inputs'!$AQ$3=6,'Pricing Inputs'!$AQ$3=8,'Pricing Inputs'!$AQ$3=9),VLOOKUP(A82,ScaledPrice,IF(AND('Pricing Inputs'!$AQ$3&gt;=2,'Pricing Inputs'!$AQ$3&lt;=6),5,6)),0))</f>
        <v>47.739585513062885</v>
      </c>
      <c r="L82" s="255">
        <f>IF(A82="N/A"," ",IF(OR('Pricing Inputs'!$AQ$3=2,'Pricing Inputs'!$AQ$3=3,'Pricing Inputs'!$AQ$3=5,'Pricing Inputs'!$AQ$3=6,'Pricing Inputs'!$AQ$3=8,'Pricing Inputs'!$AQ$3=9),IF(AND('Pricing Inputs'!$AQ$3&gt;=2,'Pricing Inputs'!$AQ$3&lt;=6),K82,(VLOOKUP(A82,ScaledPrice,5))*(2-(VLOOKUP(A82,ScaledPrice,3)))),0))</f>
        <v>32.382913571409794</v>
      </c>
      <c r="M82" s="255">
        <f>IF(A82="N/A"," ",IF(OR('Pricing Inputs'!$AQ$3=3,'Pricing Inputs'!$AQ$3=6,'Pricing Inputs'!$AQ$3=9),(VLOOKUP(A82,ScaledPrice,IF(AND('Pricing Inputs'!$AQ$3&gt;=3,'Pricing Inputs'!$AQ$3&lt;=6),7,8))),0))</f>
        <v>35.210718426652278</v>
      </c>
      <c r="N82" s="255">
        <f>IF(A82="N/A"," ",IF(OR('Pricing Inputs'!$AQ$3=3,'Pricing Inputs'!$AQ$3=6,'Pricing Inputs'!$AQ$3=9),IF(AND('Pricing Inputs'!$AQ$3&gt;=3,'Pricing Inputs'!$AQ$3&lt;=6),M82,(VLOOKUP(A82,ScaledPrice,7))*(2-(VLOOKUP(A82,ScaledPrice,3)))),0))</f>
        <v>23.884280505232482</v>
      </c>
      <c r="O82" s="255">
        <f>IF(A82="N/A"," ",IF(AND('Pricing Inputs'!$AQ$3&gt;=1,'Pricing Inputs'!$AQ$3&lt;=3),VLOOKUP(A82,ScaledPrice,9),0))</f>
        <v>0</v>
      </c>
      <c r="P82" s="320">
        <f ca="1">IF($A82="N/A"," ",IF('Pricing Inputs'!$AN$8=2,(I82-H82),IF('Pricing Inputs'!$AN$3=2,IF((I82-$H82)&gt;0,I82-$H82,0),(_xll.xSPRDOPT(I82,$E82,$BU82,0,$BP82,$BS82,$BT82,($A82-Inputs!$D$1)+15,1,0)))))</f>
        <v>53.853950886983505</v>
      </c>
      <c r="Q82" s="320">
        <f ca="1">IF($A82="N/A"," ",IF('Pricing Inputs'!$AN$8=2,(J82-$H82),IF('Pricing Inputs'!$AN$3=2,IF((J82-$H82)&gt;0,J82-$H82,0),(_xll.xSPRDOPT(J82,$E82,$BU82,0,$BP82,$BS82,$BT82,($A82-Inputs!$D$1)+15,1,0)))))</f>
        <v>28.753414568822159</v>
      </c>
      <c r="R82" s="320">
        <f ca="1">IF($A82="N/A"," ",IF('Pricing Inputs'!$AN$8=2,(K82-$H82),IF('Pricing Inputs'!$AN$3=2,IF((K82-$H82)&gt;0,K82-$H82,0),(_xll.xSPRDOPT(K82,$E82,$BU82,0,$BP82,$BS82,$BT82,($A82-Inputs!$D$1)+15,1,0)))))</f>
        <v>20.563237135485867</v>
      </c>
      <c r="S82" s="320">
        <f ca="1">IF($A82="N/A"," ",IF('Pricing Inputs'!$AN$8=2,(L82-$H82),IF('Pricing Inputs'!$AN$3=2,IF((L82-$H82)&gt;0,L82-$H82,0),(_xll.xSPRDOPT(L82,$E82,$BU82,0,$BP82,$BS82,$BT82,($A82-Inputs!$D$1)+15,1,0)))))</f>
        <v>9.187410664908036</v>
      </c>
      <c r="T82" s="320">
        <f ca="1">IF($A82="N/A"," ",IF('Pricing Inputs'!$AN$8=2,(M82-$H82),IF('Pricing Inputs'!$AN$3=2,IF((M82-$H82)&gt;0,M82-$H82,0),(_xll.xSPRDOPT(M82,$E82,$BU82,0,$BP82,$BS82,$BT82,($A82-Inputs!$D$1)+15,1,0)))))</f>
        <v>11.068880221857416</v>
      </c>
      <c r="U82" s="320">
        <f ca="1">IF($A82="N/A"," ",IF('Pricing Inputs'!$AN$8=2,(N82-$H82),IF('Pricing Inputs'!$AN$3=2,IF((N82-$H82)&gt;0,N82-$H82,0),(_xll.xSPRDOPT(N82,$E82,$BU82,0,$BP82,$BS82,$BT82,($A82-Inputs!$D$1)+15,1,0)))))</f>
        <v>4.371382875279421</v>
      </c>
      <c r="V82" s="259">
        <f ca="1">IF($A82="N/A"," ",(IF('Pricing Inputs'!$AN$8=2,(O82-$H82),IF((O82-$H82)&lt;=0,0,(O82-$H82)))))</f>
        <v>0</v>
      </c>
      <c r="W82" s="306">
        <f ca="1">IF($A82="N/A"," ",IF(0&lt;&gt;P82,IF('Pricing Inputs'!$AN$3=2,8*VLOOKUP($A82,NumberofDaysTable,2),(_xll.xSPRDOPT(I82,$E82,$BU82,0,$BP82,$BS82,$BT82,$A82-Inputs!$D$1,1,1))*(8*VLOOKUP($A82,NumberofDaysTable,2))),0))</f>
        <v>160.29789782132266</v>
      </c>
      <c r="X82" s="306">
        <f ca="1">IF($A82="N/A"," ",IF(Q82&lt;&gt;0,IF('Pricing Inputs'!$AN$3=2,8*VLOOKUP($A82,NumberofDaysTable,2),(_xll.xSPRDOPT(J82,$E82,$BU82,0,$BP82,$BS82,$BT82,$A82-Inputs!$D$1,1,1))*(8*VLOOKUP($A82,NumberofDaysTable,2))),0))</f>
        <v>147.20151303365066</v>
      </c>
      <c r="Y82" s="306">
        <f ca="1">IF($A82="N/A"," ",IF(R82&lt;&gt;0,IF('Pricing Inputs'!$AN$3=2,8*VLOOKUP($A82,NumberofDaysTable,3),(_xll.xSPRDOPT(K82,$E82,$BU82,0,$BP82,$BS82,$BT82,$A82-Inputs!$D$1,1,1))*(8*VLOOKUP($A82,NumberofDaysTable,3))),0))</f>
        <v>26.13801686760744</v>
      </c>
      <c r="Z82" s="306">
        <f ca="1">IF($A82="N/A"," ",IF(S82&lt;&gt;0,IF('Pricing Inputs'!$AN$3=2,8*VLOOKUP($A82,NumberofDaysTable,3),(_xll.xSPRDOPT(L82,$E82,$BU82,0,$BP82,$BS82,$BT82,$A82-Inputs!$D$1,1,1))*(8*VLOOKUP($A82,NumberofDaysTable,3))),0))</f>
        <v>20.591287557596832</v>
      </c>
      <c r="AA82" s="306">
        <f ca="1">IF($A82="N/A"," ",IF(T82&lt;&gt;0,IF('Pricing Inputs'!$AN$3=2,8*VLOOKUP($A82,NumberofDaysTable,4),(_xll.xSPRDOPT(M82,$E82,$BU82,0,$BP82,$BS82,$BT82,$A82-Inputs!$D$1,1,1))*(8*VLOOKUP($A82,NumberofDaysTable,4))),0))</f>
        <v>27.425806869147074</v>
      </c>
      <c r="AB82" s="306">
        <f ca="1">IF($A82="N/A"," ",IF(U82&lt;&gt;0,IF('Pricing Inputs'!$AN$3=2,8*VLOOKUP($A82,NumberofDaysTable,4),(_xll.xSPRDOPT(N82,$E82,$BU82,0,$BP82,$BS82,$BT82,$A82-Inputs!$D$1,1,1))*(8*VLOOKUP($A82,NumberofDaysTable,4))),0))</f>
        <v>19.133820322859016</v>
      </c>
      <c r="AC82" s="306">
        <f t="shared" ca="1" si="132"/>
        <v>0</v>
      </c>
      <c r="AD82" s="274">
        <f t="shared" ca="1" si="150"/>
        <v>1</v>
      </c>
      <c r="AE82" s="275">
        <f t="shared" ca="1" si="151"/>
        <v>4</v>
      </c>
      <c r="AF82" s="275">
        <f t="shared" ca="1" si="152"/>
        <v>6</v>
      </c>
      <c r="AG82" s="275">
        <f t="shared" ca="1" si="153"/>
        <v>12</v>
      </c>
      <c r="AH82" s="275">
        <f t="shared" ca="1" si="154"/>
        <v>10</v>
      </c>
      <c r="AI82" s="275">
        <f t="shared" ca="1" si="155"/>
        <v>17</v>
      </c>
      <c r="AJ82" s="276">
        <f t="shared" ca="1" si="156"/>
        <v>73</v>
      </c>
      <c r="AK82" s="314">
        <f t="shared" ca="1" si="158"/>
        <v>160.29789782132266</v>
      </c>
      <c r="AL82" s="315">
        <f t="shared" ca="1" si="159"/>
        <v>147.20151303365066</v>
      </c>
      <c r="AM82" s="315">
        <f t="shared" ca="1" si="160"/>
        <v>26.13801686760744</v>
      </c>
      <c r="AN82" s="315">
        <f t="shared" ca="1" si="161"/>
        <v>20.591287557596832</v>
      </c>
      <c r="AO82" s="315">
        <f t="shared" ca="1" si="162"/>
        <v>27.425806869147074</v>
      </c>
      <c r="AP82" s="315">
        <f t="shared" ca="1" si="163"/>
        <v>19.133820322859016</v>
      </c>
      <c r="AQ82" s="315">
        <f t="shared" ca="1" si="164"/>
        <v>0</v>
      </c>
      <c r="AR82" s="276"/>
      <c r="AS82" s="321">
        <f t="shared" ca="1" si="143"/>
        <v>0</v>
      </c>
      <c r="AT82" s="324">
        <f t="shared" ca="1" si="144"/>
        <v>0</v>
      </c>
      <c r="AU82" s="324">
        <f t="shared" ca="1" si="145"/>
        <v>0</v>
      </c>
      <c r="AV82" s="324">
        <f t="shared" ca="1" si="146"/>
        <v>0</v>
      </c>
      <c r="AW82" s="324">
        <f t="shared" ca="1" si="147"/>
        <v>0</v>
      </c>
      <c r="AX82" s="324">
        <f t="shared" ca="1" si="148"/>
        <v>0</v>
      </c>
      <c r="AY82" s="324">
        <f t="shared" ca="1" si="149"/>
        <v>0</v>
      </c>
      <c r="AZ82" s="276"/>
      <c r="BA82" s="267">
        <f ca="1">IF($A82="N/A"," ",(IF(MONTH(A82)&gt;=4,IF(MONTH(A82)&lt;=10,Inputs!$F$13,Inputs!$F$14),Inputs!$F$14))*$BW82)</f>
        <v>180</v>
      </c>
      <c r="BB82" s="268">
        <f t="shared" ca="1" si="165"/>
        <v>1628543.4748223813</v>
      </c>
      <c r="BC82" s="268">
        <f t="shared" ca="1" si="166"/>
        <v>869503.25656118209</v>
      </c>
      <c r="BD82" s="268">
        <f t="shared" ca="1" si="133"/>
        <v>118444.2459003986</v>
      </c>
      <c r="BE82" s="268">
        <f t="shared" ca="1" si="134"/>
        <v>52919.485429870285</v>
      </c>
      <c r="BF82" s="268">
        <f t="shared" ca="1" si="135"/>
        <v>95635.125116848081</v>
      </c>
      <c r="BG82" s="268">
        <f t="shared" ca="1" si="136"/>
        <v>37768.748042414198</v>
      </c>
      <c r="BH82" s="268">
        <f t="shared" ca="1" si="157"/>
        <v>0</v>
      </c>
      <c r="BI82" s="268">
        <f t="shared" ca="1" si="137"/>
        <v>2802814.3358730944</v>
      </c>
      <c r="BJ82" s="296">
        <f t="shared" ca="1" si="138"/>
        <v>2287027.511774316</v>
      </c>
      <c r="BK82" s="296">
        <f t="shared" ca="1" si="139"/>
        <v>2142743.7084843297</v>
      </c>
      <c r="BL82" s="296">
        <f t="shared" ca="1" si="140"/>
        <v>144283.80328998616</v>
      </c>
      <c r="BM82" s="296">
        <f t="shared" ca="1" si="141"/>
        <v>0</v>
      </c>
      <c r="BN82" s="405">
        <f>IF(A82="N/A"," ",(VLOOKUP(A82,PowerVolTable,(IF('Pricing Inputs'!$AT$3=2,7,IF('Pricing Inputs'!$AT$3=1,6,8))),FALSE)))</f>
        <v>0.2988699854308593</v>
      </c>
      <c r="BO82" s="405">
        <f>IF(A82="N/A"," ",(VLOOKUP(A82,IntraPowerVol,(IF('Pricing Inputs'!$AT$3=2,3,IF('Pricing Inputs'!$AT$3=1,2,4))),FALSE)*VLOOKUP(MONTH($A82),Inputs!$A$28:$B$39,2)))</f>
        <v>3.4499999999999997</v>
      </c>
      <c r="BP82" s="406">
        <f t="shared" ca="1" si="126"/>
        <v>0.39377186460152713</v>
      </c>
      <c r="BQ82" s="405">
        <f ca="1">IF($A82="N/A"," ",(VLOOKUP($A82,GasVolTable,(IF('Pricing Inputs'!$AT$3=2,6,IF('Pricing Inputs'!$AT$3=1,7,5))),FALSE)))</f>
        <v>0.1575</v>
      </c>
      <c r="BR82" s="405">
        <f ca="1">IF($A82="N/A"," ",(VLOOKUP($A82,OmicronVol,(IF('Pricing Inputs'!$AT$3=2,3,IF('Pricing Inputs'!$AT$3=1,4,2))),FALSE)))</f>
        <v>0.5</v>
      </c>
      <c r="BS82" s="406">
        <f ca="1">IF($A82="N/A"," ",IF('Pricing Inputs'!$AN$3=1,(IF(DateToday&gt;$A82,$BR82,((($BQ82^2)*((($A82-1)-DateToday)/((EOMONTH($A82,0)+1)-DateToday-15)))+((($BR82)^2)*((15)/((EOMONTH($A82,0)+1)-DateToday-15))))^0.5)),0.0001))</f>
        <v>0.161375820953955</v>
      </c>
      <c r="BT82" s="405">
        <f>IF($A82="N/A"," ",IF('Pricing Inputs'!$AN$3=1,(VLOOKUP($A82,CorrelationTable,2,FALSE)),0))</f>
        <v>0.9</v>
      </c>
      <c r="BU82" s="407">
        <f ca="1">IF($A82="N/A"," ",F82+G82+(D82*(VLOOKUP($A82,'Gas Curves'!$B$17:$P$310,14,FALSE))))</f>
        <v>2.6825000000000001</v>
      </c>
      <c r="BV82" s="405">
        <f>IF($A82="N/A"," ",IF('Pricing Inputs'!$AW$3=1,0,(VLOOKUP($A82,InterestRatesTable,2))))</f>
        <v>0</v>
      </c>
      <c r="BW82" s="408">
        <f t="shared" ca="1" si="127"/>
        <v>1</v>
      </c>
    </row>
    <row r="83" spans="1:75">
      <c r="A83" s="248">
        <f>IF(A82="N/A","N/A",IF(EDATE(A82,1)&gt;Inputs!$K$3,"N/A",EDATE(A82,1)))</f>
        <v>39295</v>
      </c>
      <c r="B83" s="262">
        <f t="shared" si="128"/>
        <v>2007</v>
      </c>
      <c r="C83" s="249">
        <f t="shared" ca="1" si="129"/>
        <v>2.8357420310000001</v>
      </c>
      <c r="D83" s="250">
        <f>IF(A83="N/A"," ",(VLOOKUP(MONTH($A83),Inputs!$A$14:$B$25,2))/1000)</f>
        <v>10.5</v>
      </c>
      <c r="E83" s="304">
        <f t="shared" ca="1" si="130"/>
        <v>29.7752913255</v>
      </c>
      <c r="F83" s="251">
        <f>IF(A83="N/A"," ",Inputs!$F$6)</f>
        <v>2</v>
      </c>
      <c r="G83" s="251">
        <f ca="1">IF(A83="N/A"," ",Inputs!$F$9/IF(AND('Pricing Inputs'!$AQ$3&gt;=4,'Pricing Inputs'!$AQ$3&lt;=6),16,IF(AND('Pricing Inputs'!$AQ$3&gt;=7,'Pricing Inputs'!$AQ$3&lt;=9),8,24))/(BA83/BW83))</f>
        <v>0</v>
      </c>
      <c r="H83" s="252">
        <f t="shared" ca="1" si="131"/>
        <v>31.7752913255</v>
      </c>
      <c r="I83" s="255">
        <f>VLOOKUP(A83,ScaledPrice,(IF(AND('Pricing Inputs'!$AQ$3&gt;=1,'Pricing Inputs'!$AQ$3&lt;=6),2,4)))</f>
        <v>73.743775066492162</v>
      </c>
      <c r="J83" s="255">
        <f>IF(A83="N/A"," ",IF(AND('Pricing Inputs'!$AQ$3&gt;=1,'Pricing Inputs'!$AQ$3&lt;=6),I83,(VLOOKUP(A83,ScaledPrice,2))*(2-(VLOOKUP(A83,ScaledPrice,3)))))</f>
        <v>59.256224933507845</v>
      </c>
      <c r="K83" s="255">
        <f>IF(A83="N/A"," ",IF(OR('Pricing Inputs'!$AQ$3=2,'Pricing Inputs'!$AQ$3=3,'Pricing Inputs'!$AQ$3=5,'Pricing Inputs'!$AQ$3=6,'Pricing Inputs'!$AQ$3=8,'Pricing Inputs'!$AQ$3=9),VLOOKUP(A83,ScaledPrice,IF(AND('Pricing Inputs'!$AQ$3&gt;=2,'Pricing Inputs'!$AQ$3&lt;=6),5,6)),0))</f>
        <v>46.932644402062749</v>
      </c>
      <c r="L83" s="255">
        <f>IF(A83="N/A"," ",IF(OR('Pricing Inputs'!$AQ$3=2,'Pricing Inputs'!$AQ$3=3,'Pricing Inputs'!$AQ$3=5,'Pricing Inputs'!$AQ$3=6,'Pricing Inputs'!$AQ$3=8,'Pricing Inputs'!$AQ$3=9),IF(AND('Pricing Inputs'!$AQ$3&gt;=2,'Pricing Inputs'!$AQ$3&lt;=6),K83,(VLOOKUP(A83,ScaledPrice,5))*(2-(VLOOKUP(A83,ScaledPrice,3)))),0))</f>
        <v>37.712353766882586</v>
      </c>
      <c r="M83" s="255">
        <f>IF(A83="N/A"," ",IF(OR('Pricing Inputs'!$AQ$3=3,'Pricing Inputs'!$AQ$3=6,'Pricing Inputs'!$AQ$3=9),(VLOOKUP(A83,ScaledPrice,IF(AND('Pricing Inputs'!$AQ$3&gt;=3,'Pricing Inputs'!$AQ$3&lt;=6),7,8))),0))</f>
        <v>34.42670013274418</v>
      </c>
      <c r="N83" s="255">
        <f>IF(A83="N/A"," ",IF(OR('Pricing Inputs'!$AQ$3=3,'Pricing Inputs'!$AQ$3=6,'Pricing Inputs'!$AQ$3=9),IF(AND('Pricing Inputs'!$AQ$3&gt;=3,'Pricing Inputs'!$AQ$3&lt;=6),M83,(VLOOKUP(A83,ScaledPrice,7))*(2-(VLOOKUP(A83,ScaledPrice,3)))),0))</f>
        <v>27.663301545722614</v>
      </c>
      <c r="O83" s="255">
        <f>IF(A83="N/A"," ",IF(AND('Pricing Inputs'!$AQ$3&gt;=1,'Pricing Inputs'!$AQ$3&lt;=3),VLOOKUP(A83,ScaledPrice,9),0))</f>
        <v>0</v>
      </c>
      <c r="P83" s="320">
        <f ca="1">IF($A83="N/A"," ",IF('Pricing Inputs'!$AN$8=2,(I83-H83),IF('Pricing Inputs'!$AN$3=2,IF((I83-$H83)&gt;0,I83-$H83,0),(_xll.xSPRDOPT(I83,$E83,$BU83,0,$BP83,$BS83,$BT83,($A83-Inputs!$D$1)+15,1,0)))))</f>
        <v>43.430473859134779</v>
      </c>
      <c r="Q83" s="320">
        <f ca="1">IF($A83="N/A"," ",IF('Pricing Inputs'!$AN$8=2,(J83-$H83),IF('Pricing Inputs'!$AN$3=2,IF((J83-$H83)&gt;0,J83-$H83,0),(_xll.xSPRDOPT(J83,$E83,$BU83,0,$BP83,$BS83,$BT83,($A83-Inputs!$D$1)+15,1,0)))))</f>
        <v>30.213202781848796</v>
      </c>
      <c r="R83" s="320">
        <f ca="1">IF($A83="N/A"," ",IF('Pricing Inputs'!$AN$8=2,(K83-$H83),IF('Pricing Inputs'!$AN$3=2,IF((K83-$H83)&gt;0,K83-$H83,0),(_xll.xSPRDOPT(K83,$E83,$BU83,0,$BP83,$BS83,$BT83,($A83-Inputs!$D$1)+15,1,0)))))</f>
        <v>19.719606057893184</v>
      </c>
      <c r="S83" s="320">
        <f ca="1">IF($A83="N/A"," ",IF('Pricing Inputs'!$AN$8=2,(L83-$H83),IF('Pricing Inputs'!$AN$3=2,IF((L83-$H83)&gt;0,L83-$H83,0),(_xll.xSPRDOPT(L83,$E83,$BU83,0,$BP83,$BS83,$BT83,($A83-Inputs!$D$1)+15,1,0)))))</f>
        <v>12.647655118346359</v>
      </c>
      <c r="T83" s="320">
        <f ca="1">IF($A83="N/A"," ",IF('Pricing Inputs'!$AN$8=2,(M83-$H83),IF('Pricing Inputs'!$AN$3=2,IF((M83-$H83)&gt;0,M83-$H83,0),(_xll.xSPRDOPT(M83,$E83,$BU83,0,$BP83,$BS83,$BT83,($A83-Inputs!$D$1)+15,1,0)))))</f>
        <v>10.363890319215445</v>
      </c>
      <c r="U83" s="320">
        <f ca="1">IF($A83="N/A"," ",IF('Pricing Inputs'!$AN$8=2,(N83-$H83),IF('Pricing Inputs'!$AN$3=2,IF((N83-$H83)&gt;0,N83-$H83,0),(_xll.xSPRDOPT(N83,$E83,$BU83,0,$BP83,$BS83,$BT83,($A83-Inputs!$D$1)+15,1,0)))))</f>
        <v>6.1927123800639858</v>
      </c>
      <c r="V83" s="259">
        <f ca="1">IF($A83="N/A"," ",(IF('Pricing Inputs'!$AN$8=2,(O83-$H83),IF((O83-$H83)&lt;=0,0,(O83-$H83)))))</f>
        <v>0</v>
      </c>
      <c r="W83" s="306">
        <f ca="1">IF($A83="N/A"," ",IF(0&lt;&gt;P83,IF('Pricing Inputs'!$AN$3=2,8*VLOOKUP($A83,NumberofDaysTable,2),(_xll.xSPRDOPT(I83,$E83,$BU83,0,$BP83,$BS83,$BT83,$A83-Inputs!$D$1,1,1))*(8*VLOOKUP($A83,NumberofDaysTable,2))),0))</f>
        <v>171.90502785751664</v>
      </c>
      <c r="X83" s="306">
        <f ca="1">IF($A83="N/A"," ",IF(Q83&lt;&gt;0,IF('Pricing Inputs'!$AN$3=2,8*VLOOKUP($A83,NumberofDaysTable,2),(_xll.xSPRDOPT(J83,$E83,$BU83,0,$BP83,$BS83,$BT83,$A83-Inputs!$D$1,1,1))*(8*VLOOKUP($A83,NumberofDaysTable,2))),0))</f>
        <v>162.98867291877056</v>
      </c>
      <c r="Y83" s="306">
        <f ca="1">IF($A83="N/A"," ",IF(R83&lt;&gt;0,IF('Pricing Inputs'!$AN$3=2,8*VLOOKUP($A83,NumberofDaysTable,3),(_xll.xSPRDOPT(K83,$E83,$BU83,0,$BP83,$BS83,$BT83,$A83-Inputs!$D$1,1,1))*(8*VLOOKUP($A83,NumberofDaysTable,3))),0))</f>
        <v>25.932227715555729</v>
      </c>
      <c r="Z83" s="306">
        <f ca="1">IF($A83="N/A"," ",IF(S83&lt;&gt;0,IF('Pricing Inputs'!$AN$3=2,8*VLOOKUP($A83,NumberofDaysTable,3),(_xll.xSPRDOPT(L83,$E83,$BU83,0,$BP83,$BS83,$BT83,$A83-Inputs!$D$1,1,1))*(8*VLOOKUP($A83,NumberofDaysTable,3))),0))</f>
        <v>22.933962893457895</v>
      </c>
      <c r="AA83" s="306">
        <f ca="1">IF($A83="N/A"," ",IF(T83&lt;&gt;0,IF('Pricing Inputs'!$AN$3=2,8*VLOOKUP($A83,NumberofDaysTable,4),(_xll.xSPRDOPT(M83,$E83,$BU83,0,$BP83,$BS83,$BT83,$A83-Inputs!$D$1,1,1))*(8*VLOOKUP($A83,NumberofDaysTable,4))),0))</f>
        <v>21.499650044614153</v>
      </c>
      <c r="AB83" s="306">
        <f ca="1">IF($A83="N/A"," ",IF(U83&lt;&gt;0,IF('Pricing Inputs'!$AN$3=2,8*VLOOKUP($A83,NumberofDaysTable,4),(_xll.xSPRDOPT(N83,$E83,$BU83,0,$BP83,$BS83,$BT83,$A83-Inputs!$D$1,1,1))*(8*VLOOKUP($A83,NumberofDaysTable,4))),0))</f>
        <v>17.747588605358558</v>
      </c>
      <c r="AC83" s="306">
        <f t="shared" ca="1" si="132"/>
        <v>0</v>
      </c>
      <c r="AD83" s="274">
        <f t="shared" ca="1" si="150"/>
        <v>2</v>
      </c>
      <c r="AE83" s="275">
        <f t="shared" ca="1" si="151"/>
        <v>3</v>
      </c>
      <c r="AF83" s="275">
        <f t="shared" ca="1" si="152"/>
        <v>7</v>
      </c>
      <c r="AG83" s="275">
        <f t="shared" ca="1" si="153"/>
        <v>9</v>
      </c>
      <c r="AH83" s="275">
        <f t="shared" ca="1" si="154"/>
        <v>11</v>
      </c>
      <c r="AI83" s="275">
        <f t="shared" ca="1" si="155"/>
        <v>14</v>
      </c>
      <c r="AJ83" s="276">
        <f t="shared" ca="1" si="156"/>
        <v>73</v>
      </c>
      <c r="AK83" s="314">
        <f t="shared" ca="1" si="158"/>
        <v>171.90502785751664</v>
      </c>
      <c r="AL83" s="315">
        <f t="shared" ca="1" si="159"/>
        <v>162.98867291877056</v>
      </c>
      <c r="AM83" s="315">
        <f t="shared" ca="1" si="160"/>
        <v>25.932227715555729</v>
      </c>
      <c r="AN83" s="315">
        <f t="shared" ca="1" si="161"/>
        <v>22.933962893457895</v>
      </c>
      <c r="AO83" s="315">
        <f t="shared" ca="1" si="162"/>
        <v>21.499650044614153</v>
      </c>
      <c r="AP83" s="315">
        <f t="shared" ca="1" si="163"/>
        <v>17.747588605358558</v>
      </c>
      <c r="AQ83" s="315">
        <f t="shared" ca="1" si="164"/>
        <v>0</v>
      </c>
      <c r="AR83" s="276"/>
      <c r="AS83" s="321">
        <f t="shared" ca="1" si="143"/>
        <v>0</v>
      </c>
      <c r="AT83" s="324">
        <f t="shared" ca="1" si="144"/>
        <v>0</v>
      </c>
      <c r="AU83" s="324">
        <f t="shared" ca="1" si="145"/>
        <v>0</v>
      </c>
      <c r="AV83" s="324">
        <f t="shared" ca="1" si="146"/>
        <v>0</v>
      </c>
      <c r="AW83" s="324">
        <f t="shared" ca="1" si="147"/>
        <v>0</v>
      </c>
      <c r="AX83" s="324">
        <f t="shared" ca="1" si="148"/>
        <v>0</v>
      </c>
      <c r="AY83" s="324">
        <f t="shared" ca="1" si="149"/>
        <v>0</v>
      </c>
      <c r="AZ83" s="276"/>
      <c r="BA83" s="267">
        <f ca="1">IF($A83="N/A"," ",(IF(MONTH(A83)&gt;=4,IF(MONTH(A83)&lt;=10,Inputs!$F$13,Inputs!$F$14),Inputs!$F$14))*$BW83)</f>
        <v>180</v>
      </c>
      <c r="BB83" s="268">
        <f t="shared" ca="1" si="165"/>
        <v>1438417.2942145439</v>
      </c>
      <c r="BC83" s="268">
        <f t="shared" ca="1" si="166"/>
        <v>1000661.2761348322</v>
      </c>
      <c r="BD83" s="268">
        <f t="shared" ca="1" si="133"/>
        <v>113584.93089346474</v>
      </c>
      <c r="BE83" s="268">
        <f t="shared" ca="1" si="134"/>
        <v>72850.493481675032</v>
      </c>
      <c r="BF83" s="268">
        <f t="shared" ca="1" si="135"/>
        <v>59696.008238680959</v>
      </c>
      <c r="BG83" s="268">
        <f t="shared" ca="1" si="136"/>
        <v>35670.023309168559</v>
      </c>
      <c r="BH83" s="268">
        <f t="shared" ca="1" si="157"/>
        <v>0</v>
      </c>
      <c r="BI83" s="268">
        <f t="shared" ca="1" si="137"/>
        <v>2720880.0262723658</v>
      </c>
      <c r="BJ83" s="296">
        <f t="shared" ca="1" si="138"/>
        <v>2419411.4621342057</v>
      </c>
      <c r="BK83" s="296">
        <f t="shared" ca="1" si="139"/>
        <v>2267128.8953215075</v>
      </c>
      <c r="BL83" s="296">
        <f t="shared" ca="1" si="140"/>
        <v>152282.56681269847</v>
      </c>
      <c r="BM83" s="296">
        <f t="shared" ca="1" si="141"/>
        <v>0</v>
      </c>
      <c r="BN83" s="405">
        <f>IF(A83="N/A"," ",(VLOOKUP(A83,PowerVolTable,(IF('Pricing Inputs'!$AT$3=2,7,IF('Pricing Inputs'!$AT$3=1,6,8))),FALSE)))</f>
        <v>0.29407351084453115</v>
      </c>
      <c r="BO83" s="405">
        <f>IF(A83="N/A"," ",(VLOOKUP(A83,IntraPowerVol,(IF('Pricing Inputs'!$AT$3=2,3,IF('Pricing Inputs'!$AT$3=1,2,4))),FALSE)*VLOOKUP(MONTH($A83),Inputs!$A$28:$B$39,2)))</f>
        <v>3.4499999999999997</v>
      </c>
      <c r="BP83" s="406">
        <f t="shared" ca="1" si="126"/>
        <v>0.38920679484567783</v>
      </c>
      <c r="BQ83" s="405">
        <f ca="1">IF($A83="N/A"," ",(VLOOKUP($A83,GasVolTable,(IF('Pricing Inputs'!$AT$3=2,6,IF('Pricing Inputs'!$AT$3=1,7,5))),FALSE)))</f>
        <v>0.1575</v>
      </c>
      <c r="BR83" s="405">
        <f ca="1">IF($A83="N/A"," ",(VLOOKUP($A83,OmicronVol,(IF('Pricing Inputs'!$AT$3=2,3,IF('Pricing Inputs'!$AT$3=1,4,2))),FALSE)))</f>
        <v>0.6</v>
      </c>
      <c r="BS83" s="406">
        <f ca="1">IF($A83="N/A"," ",IF('Pricing Inputs'!$AN$3=1,(IF(DateToday&gt;$A83,$BR83,((($BQ83^2)*((($A83-1)-DateToday)/((EOMONTH($A83,0)+1)-DateToday-15)))+((($BR83)^2)*((15)/((EOMONTH($A83,0)+1)-DateToday-15))))^0.5)),0.0001))</f>
        <v>0.16319870543588003</v>
      </c>
      <c r="BT83" s="405">
        <f>IF($A83="N/A"," ",IF('Pricing Inputs'!$AN$3=1,(VLOOKUP($A83,CorrelationTable,2,FALSE)),0))</f>
        <v>0.9</v>
      </c>
      <c r="BU83" s="407">
        <f ca="1">IF($A83="N/A"," ",F83+G83+(D83*(VLOOKUP($A83,'Gas Curves'!$B$17:$P$310,14,FALSE))))</f>
        <v>2.6825000000000001</v>
      </c>
      <c r="BV83" s="405">
        <f>IF($A83="N/A"," ",IF('Pricing Inputs'!$AW$3=1,0,(VLOOKUP($A83,InterestRatesTable,2))))</f>
        <v>0</v>
      </c>
      <c r="BW83" s="408">
        <f t="shared" ca="1" si="127"/>
        <v>1</v>
      </c>
    </row>
    <row r="84" spans="1:75">
      <c r="A84" s="248">
        <f>IF(A83="N/A","N/A",IF(EDATE(A83,1)&gt;Inputs!$K$3,"N/A",EDATE(A83,1)))</f>
        <v>39326</v>
      </c>
      <c r="B84" s="262">
        <f t="shared" si="128"/>
        <v>2007</v>
      </c>
      <c r="C84" s="249">
        <f t="shared" ca="1" si="129"/>
        <v>2.8427420310000002</v>
      </c>
      <c r="D84" s="250">
        <f>IF(A84="N/A"," ",(VLOOKUP(MONTH($A84),Inputs!$A$14:$B$25,2))/1000)</f>
        <v>10.5</v>
      </c>
      <c r="E84" s="304">
        <f t="shared" ca="1" si="130"/>
        <v>29.848791325500002</v>
      </c>
      <c r="F84" s="251">
        <f>IF(A84="N/A"," ",Inputs!$F$6)</f>
        <v>2</v>
      </c>
      <c r="G84" s="251">
        <f ca="1">IF(A84="N/A"," ",Inputs!$F$9/IF(AND('Pricing Inputs'!$AQ$3&gt;=4,'Pricing Inputs'!$AQ$3&lt;=6),16,IF(AND('Pricing Inputs'!$AQ$3&gt;=7,'Pricing Inputs'!$AQ$3&lt;=9),8,24))/(BA84/BW84))</f>
        <v>0</v>
      </c>
      <c r="H84" s="252">
        <f t="shared" ca="1" si="131"/>
        <v>31.848791325500002</v>
      </c>
      <c r="I84" s="255">
        <f>VLOOKUP(A84,ScaledPrice,(IF(AND('Pricing Inputs'!$AQ$3&gt;=1,'Pricing Inputs'!$AQ$3&lt;=6),2,4)))</f>
        <v>36.130788456960822</v>
      </c>
      <c r="J84" s="255">
        <f>IF(A84="N/A"," ",IF(AND('Pricing Inputs'!$AQ$3&gt;=1,'Pricing Inputs'!$AQ$3&lt;=6),I84,(VLOOKUP(A84,ScaledPrice,2))*(2-(VLOOKUP(A84,ScaledPrice,3)))))</f>
        <v>29.76921154303918</v>
      </c>
      <c r="K84" s="255">
        <f>IF(A84="N/A"," ",IF(OR('Pricing Inputs'!$AQ$3=2,'Pricing Inputs'!$AQ$3=3,'Pricing Inputs'!$AQ$3=5,'Pricing Inputs'!$AQ$3=6,'Pricing Inputs'!$AQ$3=8,'Pricing Inputs'!$AQ$3=9),VLOOKUP(A84,ScaledPrice,IF(AND('Pricing Inputs'!$AQ$3&gt;=2,'Pricing Inputs'!$AQ$3&lt;=6),5,6)),0))</f>
        <v>25.993332626709915</v>
      </c>
      <c r="L84" s="255">
        <f>IF(A84="N/A"," ",IF(OR('Pricing Inputs'!$AQ$3=2,'Pricing Inputs'!$AQ$3=3,'Pricing Inputs'!$AQ$3=5,'Pricing Inputs'!$AQ$3=6,'Pricing Inputs'!$AQ$3=8,'Pricing Inputs'!$AQ$3=9),IF(AND('Pricing Inputs'!$AQ$3&gt;=2,'Pricing Inputs'!$AQ$3&lt;=6),K84,(VLOOKUP(A84,ScaledPrice,5))*(2-(VLOOKUP(A84,ScaledPrice,3)))),0))</f>
        <v>21.41666569482328</v>
      </c>
      <c r="M84" s="255">
        <f>IF(A84="N/A"," ",IF(OR('Pricing Inputs'!$AQ$3=3,'Pricing Inputs'!$AQ$3=6,'Pricing Inputs'!$AQ$3=9),(VLOOKUP(A84,ScaledPrice,IF(AND('Pricing Inputs'!$AQ$3&gt;=3,'Pricing Inputs'!$AQ$3&lt;=6),7,8))),0))</f>
        <v>26.536117774156352</v>
      </c>
      <c r="N84" s="255">
        <f>IF(A84="N/A"," ",IF(OR('Pricing Inputs'!$AQ$3=3,'Pricing Inputs'!$AQ$3=6,'Pricing Inputs'!$AQ$3=9),IF(AND('Pricing Inputs'!$AQ$3&gt;=3,'Pricing Inputs'!$AQ$3&lt;=6),M84,(VLOOKUP(A84,ScaledPrice,7))*(2-(VLOOKUP(A84,ScaledPrice,3)))),0))</f>
        <v>21.863882225843646</v>
      </c>
      <c r="O84" s="255">
        <f>IF(A84="N/A"," ",IF(AND('Pricing Inputs'!$AQ$3&gt;=1,'Pricing Inputs'!$AQ$3&lt;=3),VLOOKUP(A84,ScaledPrice,9),0))</f>
        <v>0</v>
      </c>
      <c r="P84" s="320">
        <f ca="1">IF($A84="N/A"," ",IF('Pricing Inputs'!$AN$8=2,(I84-H84),IF('Pricing Inputs'!$AN$3=2,IF((I84-$H84)&gt;0,I84-$H84,0),(_xll.xSPRDOPT(I84,$E84,$BU84,0,$BP84,$BS84,$BT84,($A84-Inputs!$D$1)+15,1,0)))))</f>
        <v>6.4265714177823243</v>
      </c>
      <c r="Q84" s="320">
        <f ca="1">IF($A84="N/A"," ",IF('Pricing Inputs'!$AN$8=2,(J84-$H84),IF('Pricing Inputs'!$AN$3=2,IF((J84-$H84)&gt;0,J84-$H84,0),(_xll.xSPRDOPT(J84,$E84,$BU84,0,$BP84,$BS84,$BT84,($A84-Inputs!$D$1)+15,1,0)))))</f>
        <v>2.7449360236212592</v>
      </c>
      <c r="R84" s="320">
        <f ca="1">IF($A84="N/A"," ",IF('Pricing Inputs'!$AN$8=2,(K84-$H84),IF('Pricing Inputs'!$AN$3=2,IF((K84-$H84)&gt;0,K84-$H84,0),(_xll.xSPRDOPT(K84,$E84,$BU84,0,$BP84,$BS84,$BT84,($A84-Inputs!$D$1)+15,1,0)))))</f>
        <v>1.3233196100334077</v>
      </c>
      <c r="S84" s="320">
        <f ca="1">IF($A84="N/A"," ",IF('Pricing Inputs'!$AN$8=2,(L84-$H84),IF('Pricing Inputs'!$AN$3=2,IF((L84-$H84)&gt;0,L84-$H84,0),(_xll.xSPRDOPT(L84,$E84,$BU84,0,$BP84,$BS84,$BT84,($A84-Inputs!$D$1)+15,1,0)))))</f>
        <v>0.37473157021078407</v>
      </c>
      <c r="T84" s="320">
        <f ca="1">IF($A84="N/A"," ",IF('Pricing Inputs'!$AN$8=2,(M84-$H84),IF('Pricing Inputs'!$AN$3=2,IF((M84-$H84)&gt;0,M84-$H84,0),(_xll.xSPRDOPT(M84,$E84,$BU84,0,$BP84,$BS84,$BT84,($A84-Inputs!$D$1)+15,1,0)))))</f>
        <v>1.490482513417277</v>
      </c>
      <c r="U84" s="320">
        <f ca="1">IF($A84="N/A"," ",IF('Pricing Inputs'!$AN$8=2,(N84-$H84),IF('Pricing Inputs'!$AN$3=2,IF((N84-$H84)&gt;0,N84-$H84,0),(_xll.xSPRDOPT(N84,$E84,$BU84,0,$BP84,$BS84,$BT84,($A84-Inputs!$D$1)+15,1,0)))))</f>
        <v>0.43441792417996034</v>
      </c>
      <c r="V84" s="259">
        <f ca="1">IF($A84="N/A"," ",(IF('Pricing Inputs'!$AN$8=2,(O84-$H84),IF((O84-$H84)&lt;=0,0,(O84-$H84)))))</f>
        <v>0</v>
      </c>
      <c r="W84" s="306">
        <f ca="1">IF($A84="N/A"," ",IF(0&lt;&gt;P84,IF('Pricing Inputs'!$AN$3=2,8*VLOOKUP($A84,NumberofDaysTable,2),(_xll.xSPRDOPT(I84,$E84,$BU84,0,$BP84,$BS84,$BT84,$A84-Inputs!$D$1,1,1))*(8*VLOOKUP($A84,NumberofDaysTable,2))),0))</f>
        <v>104.74336605815643</v>
      </c>
      <c r="X84" s="306">
        <f ca="1">IF($A84="N/A"," ",IF(Q84&lt;&gt;0,IF('Pricing Inputs'!$AN$3=2,8*VLOOKUP($A84,NumberofDaysTable,2),(_xll.xSPRDOPT(J84,$E84,$BU84,0,$BP84,$BS84,$BT84,$A84-Inputs!$D$1,1,1))*(8*VLOOKUP($A84,NumberofDaysTable,2))),0))</f>
        <v>69.281776450127808</v>
      </c>
      <c r="Y84" s="306">
        <f ca="1">IF($A84="N/A"," ",IF(R84&lt;&gt;0,IF('Pricing Inputs'!$AN$3=2,8*VLOOKUP($A84,NumberofDaysTable,3),(_xll.xSPRDOPT(K84,$E84,$BU84,0,$BP84,$BS84,$BT84,$A84-Inputs!$D$1,1,1))*(8*VLOOKUP($A84,NumberofDaysTable,3))),0))</f>
        <v>11.831488553695127</v>
      </c>
      <c r="Z84" s="306">
        <f ca="1">IF($A84="N/A"," ",IF(S84&lt;&gt;0,IF('Pricing Inputs'!$AN$3=2,8*VLOOKUP($A84,NumberofDaysTable,3),(_xll.xSPRDOPT(L84,$E84,$BU84,0,$BP84,$BS84,$BT84,$A84-Inputs!$D$1,1,1))*(8*VLOOKUP($A84,NumberofDaysTable,3))),0))</f>
        <v>5.0271169827386295</v>
      </c>
      <c r="AA84" s="306">
        <f ca="1">IF($A84="N/A"," ",IF(T84&lt;&gt;0,IF('Pricing Inputs'!$AN$3=2,8*VLOOKUP($A84,NumberofDaysTable,4),(_xll.xSPRDOPT(M84,$E84,$BU84,0,$BP84,$BS84,$BT84,$A84-Inputs!$D$1,1,1))*(8*VLOOKUP($A84,NumberofDaysTable,4))),0))</f>
        <v>12.744201197767364</v>
      </c>
      <c r="AB84" s="306">
        <f ca="1">IF($A84="N/A"," ",IF(U84&lt;&gt;0,IF('Pricing Inputs'!$AN$3=2,8*VLOOKUP($A84,NumberofDaysTable,4),(_xll.xSPRDOPT(N84,$E84,$BU84,0,$BP84,$BS84,$BT84,$A84-Inputs!$D$1,1,1))*(8*VLOOKUP($A84,NumberofDaysTable,4))),0))</f>
        <v>5.5871373562105555</v>
      </c>
      <c r="AC84" s="306">
        <f t="shared" ca="1" si="132"/>
        <v>0</v>
      </c>
      <c r="AD84" s="274">
        <f t="shared" ca="1" si="150"/>
        <v>13</v>
      </c>
      <c r="AE84" s="275">
        <f t="shared" ca="1" si="151"/>
        <v>20</v>
      </c>
      <c r="AF84" s="275">
        <f t="shared" ca="1" si="152"/>
        <v>30</v>
      </c>
      <c r="AG84" s="275">
        <f t="shared" ca="1" si="153"/>
        <v>41</v>
      </c>
      <c r="AH84" s="275">
        <f t="shared" ca="1" si="154"/>
        <v>28</v>
      </c>
      <c r="AI84" s="275">
        <f t="shared" ca="1" si="155"/>
        <v>38</v>
      </c>
      <c r="AJ84" s="276">
        <f t="shared" ca="1" si="156"/>
        <v>73</v>
      </c>
      <c r="AK84" s="314">
        <f t="shared" ca="1" si="158"/>
        <v>104.74336605815643</v>
      </c>
      <c r="AL84" s="315">
        <f t="shared" ca="1" si="159"/>
        <v>69.281776450127808</v>
      </c>
      <c r="AM84" s="315">
        <f t="shared" ca="1" si="160"/>
        <v>11.831488553695127</v>
      </c>
      <c r="AN84" s="315">
        <f t="shared" ca="1" si="161"/>
        <v>5.0271169827386295</v>
      </c>
      <c r="AO84" s="315">
        <f t="shared" ca="1" si="162"/>
        <v>12.744201197767364</v>
      </c>
      <c r="AP84" s="315">
        <f t="shared" ca="1" si="163"/>
        <v>5.5871373562105555</v>
      </c>
      <c r="AQ84" s="315">
        <f t="shared" ca="1" si="164"/>
        <v>0</v>
      </c>
      <c r="AR84" s="276"/>
      <c r="AS84" s="321">
        <f t="shared" ca="1" si="143"/>
        <v>0</v>
      </c>
      <c r="AT84" s="324">
        <f t="shared" ca="1" si="144"/>
        <v>0</v>
      </c>
      <c r="AU84" s="324">
        <f t="shared" ca="1" si="145"/>
        <v>0</v>
      </c>
      <c r="AV84" s="324">
        <f t="shared" ca="1" si="146"/>
        <v>0</v>
      </c>
      <c r="AW84" s="324">
        <f t="shared" ca="1" si="147"/>
        <v>0</v>
      </c>
      <c r="AX84" s="324">
        <f t="shared" ca="1" si="148"/>
        <v>0</v>
      </c>
      <c r="AY84" s="324">
        <f t="shared" ca="1" si="149"/>
        <v>0</v>
      </c>
      <c r="AZ84" s="276"/>
      <c r="BA84" s="267">
        <f ca="1">IF($A84="N/A"," ",(IF(MONTH(A84)&gt;=4,IF(MONTH(A84)&lt;=10,Inputs!$F$13,Inputs!$F$14),Inputs!$F$14))*$BW84)</f>
        <v>180</v>
      </c>
      <c r="BB84" s="268">
        <f t="shared" ca="1" si="165"/>
        <v>175830.99399052438</v>
      </c>
      <c r="BC84" s="268">
        <f t="shared" ca="1" si="166"/>
        <v>75101.449606277645</v>
      </c>
      <c r="BD84" s="268">
        <f t="shared" ca="1" si="133"/>
        <v>9527.9011922405352</v>
      </c>
      <c r="BE84" s="268">
        <f t="shared" ca="1" si="134"/>
        <v>2698.0673055176453</v>
      </c>
      <c r="BF84" s="268">
        <f t="shared" ca="1" si="135"/>
        <v>12877.768915925273</v>
      </c>
      <c r="BG84" s="268">
        <f t="shared" ca="1" si="136"/>
        <v>3753.3708649148575</v>
      </c>
      <c r="BH84" s="268">
        <f t="shared" ca="1" si="157"/>
        <v>0</v>
      </c>
      <c r="BI84" s="268">
        <f t="shared" ca="1" si="137"/>
        <v>279789.55187540036</v>
      </c>
      <c r="BJ84" s="296">
        <f t="shared" ca="1" si="138"/>
        <v>1199384.5743410899</v>
      </c>
      <c r="BK84" s="296">
        <f t="shared" ca="1" si="139"/>
        <v>1124067.1431655595</v>
      </c>
      <c r="BL84" s="296">
        <f t="shared" ca="1" si="140"/>
        <v>75317.43117553051</v>
      </c>
      <c r="BM84" s="296">
        <f t="shared" ca="1" si="141"/>
        <v>0</v>
      </c>
      <c r="BN84" s="405">
        <f>IF(A84="N/A"," ",(VLOOKUP(A84,PowerVolTable,(IF('Pricing Inputs'!$AT$3=2,7,IF('Pricing Inputs'!$AT$3=1,6,8))),FALSE)))</f>
        <v>0.19483610561015621</v>
      </c>
      <c r="BO84" s="405">
        <f>IF(A84="N/A"," ",(VLOOKUP(A84,IntraPowerVol,(IF('Pricing Inputs'!$AT$3=2,3,IF('Pricing Inputs'!$AT$3=1,2,4))),FALSE)*VLOOKUP(MONTH($A84),Inputs!$A$28:$B$39,2)))</f>
        <v>1.7249999999999999</v>
      </c>
      <c r="BP84" s="406">
        <f t="shared" ca="1" si="126"/>
        <v>0.23226638167168118</v>
      </c>
      <c r="BQ84" s="405">
        <f ca="1">IF($A84="N/A"," ",(VLOOKUP($A84,GasVolTable,(IF('Pricing Inputs'!$AT$3=2,6,IF('Pricing Inputs'!$AT$3=1,7,5))),FALSE)))</f>
        <v>0.1575</v>
      </c>
      <c r="BR84" s="405">
        <f ca="1">IF($A84="N/A"," ",(VLOOKUP($A84,OmicronVol,(IF('Pricing Inputs'!$AT$3=2,3,IF('Pricing Inputs'!$AT$3=1,4,2))),FALSE)))</f>
        <v>0.6</v>
      </c>
      <c r="BS84" s="406">
        <f ca="1">IF($A84="N/A"," ",IF('Pricing Inputs'!$AN$3=1,(IF(DateToday&gt;$A84,$BR84,((($BQ84^2)*((($A84-1)-DateToday)/((EOMONTH($A84,0)+1)-DateToday-15)))+((($BR84)^2)*((15)/((EOMONTH($A84,0)+1)-DateToday-15))))^0.5)),0.0001))</f>
        <v>0.16316530472703647</v>
      </c>
      <c r="BT84" s="405">
        <f>IF($A84="N/A"," ",IF('Pricing Inputs'!$AN$3=1,(VLOOKUP($A84,CorrelationTable,2,FALSE)),0))</f>
        <v>0.9</v>
      </c>
      <c r="BU84" s="407">
        <f ca="1">IF($A84="N/A"," ",F84+G84+(D84*(VLOOKUP($A84,'Gas Curves'!$B$17:$P$310,14,FALSE))))</f>
        <v>2.6825000000000001</v>
      </c>
      <c r="BV84" s="405">
        <f>IF($A84="N/A"," ",IF('Pricing Inputs'!$AW$3=1,0,(VLOOKUP($A84,InterestRatesTable,2))))</f>
        <v>0</v>
      </c>
      <c r="BW84" s="408">
        <f t="shared" ca="1" si="127"/>
        <v>1</v>
      </c>
    </row>
    <row r="85" spans="1:75">
      <c r="A85" s="248">
        <f>IF(A84="N/A","N/A",IF(EDATE(A84,1)&gt;Inputs!$K$3,"N/A",EDATE(A84,1)))</f>
        <v>39356</v>
      </c>
      <c r="B85" s="262">
        <f t="shared" si="128"/>
        <v>2007</v>
      </c>
      <c r="C85" s="249">
        <f t="shared" ca="1" si="129"/>
        <v>2.868742031</v>
      </c>
      <c r="D85" s="250">
        <f>IF(A85="N/A"," ",(VLOOKUP(MONTH($A85),Inputs!$A$14:$B$25,2))/1000)</f>
        <v>10.5</v>
      </c>
      <c r="E85" s="304">
        <f t="shared" ca="1" si="130"/>
        <v>30.121791325499998</v>
      </c>
      <c r="F85" s="251">
        <f>IF(A85="N/A"," ",Inputs!$F$6)</f>
        <v>2</v>
      </c>
      <c r="G85" s="251">
        <f ca="1">IF(A85="N/A"," ",Inputs!$F$9/IF(AND('Pricing Inputs'!$AQ$3&gt;=4,'Pricing Inputs'!$AQ$3&lt;=6),16,IF(AND('Pricing Inputs'!$AQ$3&gt;=7,'Pricing Inputs'!$AQ$3&lt;=9),8,24))/(BA85/BW85))</f>
        <v>0</v>
      </c>
      <c r="H85" s="252">
        <f t="shared" ca="1" si="131"/>
        <v>32.121791325499998</v>
      </c>
      <c r="I85" s="255">
        <f>VLOOKUP(A85,ScaledPrice,(IF(AND('Pricing Inputs'!$AQ$3&gt;=1,'Pricing Inputs'!$AQ$3&lt;=6),2,4)))</f>
        <v>30.2985975</v>
      </c>
      <c r="J85" s="255">
        <f>IF(A85="N/A"," ",IF(AND('Pricing Inputs'!$AQ$3&gt;=1,'Pricing Inputs'!$AQ$3&lt;=6),I85,(VLOOKUP(A85,ScaledPrice,2))*(2-(VLOOKUP(A85,ScaledPrice,3)))))</f>
        <v>31.101402499999999</v>
      </c>
      <c r="K85" s="255">
        <f>IF(A85="N/A"," ",IF(OR('Pricing Inputs'!$AQ$3=2,'Pricing Inputs'!$AQ$3=3,'Pricing Inputs'!$AQ$3=5,'Pricing Inputs'!$AQ$3=6,'Pricing Inputs'!$AQ$3=8,'Pricing Inputs'!$AQ$3=9),VLOOKUP(A85,ScaledPrice,IF(AND('Pricing Inputs'!$AQ$3&gt;=2,'Pricing Inputs'!$AQ$3&lt;=6),5,6)),0))</f>
        <v>23.489308567914961</v>
      </c>
      <c r="L85" s="255">
        <f>IF(A85="N/A"," ",IF(OR('Pricing Inputs'!$AQ$3=2,'Pricing Inputs'!$AQ$3=3,'Pricing Inputs'!$AQ$3=5,'Pricing Inputs'!$AQ$3=6,'Pricing Inputs'!$AQ$3=8,'Pricing Inputs'!$AQ$3=9),IF(AND('Pricing Inputs'!$AQ$3&gt;=2,'Pricing Inputs'!$AQ$3&lt;=6),K85,(VLOOKUP(A85,ScaledPrice,5))*(2-(VLOOKUP(A85,ScaledPrice,3)))),0))</f>
        <v>24.111691645708078</v>
      </c>
      <c r="M85" s="255">
        <f>IF(A85="N/A"," ",IF(OR('Pricing Inputs'!$AQ$3=3,'Pricing Inputs'!$AQ$3=6,'Pricing Inputs'!$AQ$3=9),(VLOOKUP(A85,ScaledPrice,IF(AND('Pricing Inputs'!$AQ$3&gt;=3,'Pricing Inputs'!$AQ$3&lt;=6),7,8))),0))</f>
        <v>21.515951759347914</v>
      </c>
      <c r="N85" s="255">
        <f>IF(A85="N/A"," ",IF(OR('Pricing Inputs'!$AQ$3=3,'Pricing Inputs'!$AQ$3=6,'Pricing Inputs'!$AQ$3=9),IF(AND('Pricing Inputs'!$AQ$3&gt;=3,'Pricing Inputs'!$AQ$3&lt;=6),M85,(VLOOKUP(A85,ScaledPrice,7))*(2-(VLOOKUP(A85,ScaledPrice,3)))),0))</f>
        <v>22.086047904958718</v>
      </c>
      <c r="O85" s="255">
        <f>IF(A85="N/A"," ",IF(AND('Pricing Inputs'!$AQ$3&gt;=1,'Pricing Inputs'!$AQ$3&lt;=3),VLOOKUP(A85,ScaledPrice,9),0))</f>
        <v>0</v>
      </c>
      <c r="P85" s="320">
        <f ca="1">IF($A85="N/A"," ",IF('Pricing Inputs'!$AN$8=2,(I85-H85),IF('Pricing Inputs'!$AN$3=2,IF((I85-$H85)&gt;0,I85-$H85,0),(_xll.xSPRDOPT(I85,$E85,$BU85,0,$BP85,$BS85,$BT85,($A85-Inputs!$D$1)+15,1,0)))))</f>
        <v>2.0919624597600124</v>
      </c>
      <c r="Q85" s="320">
        <f ca="1">IF($A85="N/A"," ",IF('Pricing Inputs'!$AN$8=2,(J85-$H85),IF('Pricing Inputs'!$AN$3=2,IF((J85-$H85)&gt;0,J85-$H85,0),(_xll.xSPRDOPT(J85,$E85,$BU85,0,$BP85,$BS85,$BT85,($A85-Inputs!$D$1)+15,1,0)))))</f>
        <v>2.4516351056991605</v>
      </c>
      <c r="R85" s="320">
        <f ca="1">IF($A85="N/A"," ",IF('Pricing Inputs'!$AN$8=2,(K85-$H85),IF('Pricing Inputs'!$AN$3=2,IF((K85-$H85)&gt;0,K85-$H85,0),(_xll.xSPRDOPT(K85,$E85,$BU85,0,$BP85,$BS85,$BT85,($A85-Inputs!$D$1)+15,1,0)))))</f>
        <v>0.30684865308846027</v>
      </c>
      <c r="S85" s="320">
        <f ca="1">IF($A85="N/A"," ",IF('Pricing Inputs'!$AN$8=2,(L85-$H85),IF('Pricing Inputs'!$AN$3=2,IF((L85-$H85)&gt;0,L85-$H85,0),(_xll.xSPRDOPT(L85,$E85,$BU85,0,$BP85,$BS85,$BT85,($A85-Inputs!$D$1)+15,1,0)))))</f>
        <v>0.38652449294435881</v>
      </c>
      <c r="T85" s="320">
        <f ca="1">IF($A85="N/A"," ",IF('Pricing Inputs'!$AN$8=2,(M85-$H85),IF('Pricing Inputs'!$AN$3=2,IF((M85-$H85)&gt;0,M85-$H85,0),(_xll.xSPRDOPT(M85,$E85,$BU85,0,$BP85,$BS85,$BT85,($A85-Inputs!$D$1)+15,1,0)))))</f>
        <v>0.13309171701133374</v>
      </c>
      <c r="U85" s="320">
        <f ca="1">IF($A85="N/A"," ",IF('Pricing Inputs'!$AN$8=2,(N85-$H85),IF('Pricing Inputs'!$AN$3=2,IF((N85-$H85)&gt;0,N85-$H85,0),(_xll.xSPRDOPT(N85,$E85,$BU85,0,$BP85,$BS85,$BT85,($A85-Inputs!$D$1)+15,1,0)))))</f>
        <v>0.17241920703277722</v>
      </c>
      <c r="V85" s="259">
        <f ca="1">IF($A85="N/A"," ",(IF('Pricing Inputs'!$AN$8=2,(O85-$H85),IF((O85-$H85)&lt;=0,0,(O85-$H85)))))</f>
        <v>0</v>
      </c>
      <c r="W85" s="306">
        <f ca="1">IF($A85="N/A"," ",IF(0&lt;&gt;P85,IF('Pricing Inputs'!$AN$3=2,8*VLOOKUP($A85,NumberofDaysTable,2),(_xll.xSPRDOPT(I85,$E85,$BU85,0,$BP85,$BS85,$BT85,$A85-Inputs!$D$1,1,1))*(8*VLOOKUP($A85,NumberofDaysTable,2))),0))</f>
        <v>78.593132520824767</v>
      </c>
      <c r="X85" s="306">
        <f ca="1">IF($A85="N/A"," ",IF(Q85&lt;&gt;0,IF('Pricing Inputs'!$AN$3=2,8*VLOOKUP($A85,NumberofDaysTable,2),(_xll.xSPRDOPT(J85,$E85,$BU85,0,$BP85,$BS85,$BT85,$A85-Inputs!$D$1,1,1))*(8*VLOOKUP($A85,NumberofDaysTable,2))),0))</f>
        <v>86.108040755222248</v>
      </c>
      <c r="Y85" s="306">
        <f ca="1">IF($A85="N/A"," ",IF(R85&lt;&gt;0,IF('Pricing Inputs'!$AN$3=2,8*VLOOKUP($A85,NumberofDaysTable,3),(_xll.xSPRDOPT(K85,$E85,$BU85,0,$BP85,$BS85,$BT85,$A85-Inputs!$D$1,1,1))*(8*VLOOKUP($A85,NumberofDaysTable,3))),0))</f>
        <v>3.7306707531612258</v>
      </c>
      <c r="Z85" s="306">
        <f ca="1">IF($A85="N/A"," ",IF(S85&lt;&gt;0,IF('Pricing Inputs'!$AN$3=2,8*VLOOKUP($A85,NumberofDaysTable,3),(_xll.xSPRDOPT(L85,$E85,$BU85,0,$BP85,$BS85,$BT85,$A85-Inputs!$D$1,1,1))*(8*VLOOKUP($A85,NumberofDaysTable,3))),0))</f>
        <v>4.4226771023915328</v>
      </c>
      <c r="AA85" s="306">
        <f ca="1">IF($A85="N/A"," ",IF(T85&lt;&gt;0,IF('Pricing Inputs'!$AN$3=2,8*VLOOKUP($A85,NumberofDaysTable,4),(_xll.xSPRDOPT(M85,$E85,$BU85,0,$BP85,$BS85,$BT85,$A85-Inputs!$D$1,1,1))*(8*VLOOKUP($A85,NumberofDaysTable,4))),0))</f>
        <v>1.9730575383978577</v>
      </c>
      <c r="AB85" s="306">
        <f ca="1">IF($A85="N/A"," ",IF(U85&lt;&gt;0,IF('Pricing Inputs'!$AN$3=2,8*VLOOKUP($A85,NumberofDaysTable,4),(_xll.xSPRDOPT(N85,$E85,$BU85,0,$BP85,$BS85,$BT85,$A85-Inputs!$D$1,1,1))*(8*VLOOKUP($A85,NumberofDaysTable,4))),0))</f>
        <v>2.4114344475860268</v>
      </c>
      <c r="AC85" s="306">
        <f t="shared" ca="1" si="132"/>
        <v>0</v>
      </c>
      <c r="AD85" s="274">
        <f t="shared" ca="1" si="150"/>
        <v>22</v>
      </c>
      <c r="AE85" s="275">
        <f t="shared" ca="1" si="151"/>
        <v>21</v>
      </c>
      <c r="AF85" s="275">
        <f t="shared" ca="1" si="152"/>
        <v>46</v>
      </c>
      <c r="AG85" s="275">
        <f t="shared" ca="1" si="153"/>
        <v>40</v>
      </c>
      <c r="AH85" s="275">
        <f t="shared" ca="1" si="154"/>
        <v>57</v>
      </c>
      <c r="AI85" s="275">
        <f t="shared" ca="1" si="155"/>
        <v>55</v>
      </c>
      <c r="AJ85" s="276">
        <f t="shared" ca="1" si="156"/>
        <v>73</v>
      </c>
      <c r="AK85" s="314">
        <f t="shared" ca="1" si="158"/>
        <v>78.593132520824767</v>
      </c>
      <c r="AL85" s="315">
        <f t="shared" ca="1" si="159"/>
        <v>86.108040755222248</v>
      </c>
      <c r="AM85" s="315">
        <f t="shared" ca="1" si="160"/>
        <v>3.7306707531612258</v>
      </c>
      <c r="AN85" s="315">
        <f t="shared" ca="1" si="161"/>
        <v>4.4226771023915328</v>
      </c>
      <c r="AO85" s="315">
        <f t="shared" ca="1" si="162"/>
        <v>1.9730575383978577</v>
      </c>
      <c r="AP85" s="315">
        <f t="shared" ca="1" si="163"/>
        <v>2.4114344475860268</v>
      </c>
      <c r="AQ85" s="315">
        <f t="shared" ca="1" si="164"/>
        <v>0</v>
      </c>
      <c r="AR85" s="284" t="s">
        <v>1292</v>
      </c>
      <c r="AS85" s="321">
        <f t="shared" ca="1" si="143"/>
        <v>0</v>
      </c>
      <c r="AT85" s="324">
        <f t="shared" ca="1" si="144"/>
        <v>0</v>
      </c>
      <c r="AU85" s="324">
        <f t="shared" ca="1" si="145"/>
        <v>0</v>
      </c>
      <c r="AV85" s="324">
        <f t="shared" ca="1" si="146"/>
        <v>0</v>
      </c>
      <c r="AW85" s="324">
        <f t="shared" ca="1" si="147"/>
        <v>0</v>
      </c>
      <c r="AX85" s="324">
        <f t="shared" ca="1" si="148"/>
        <v>0</v>
      </c>
      <c r="AY85" s="324">
        <f t="shared" ca="1" si="149"/>
        <v>0</v>
      </c>
      <c r="AZ85" s="283" t="s">
        <v>1304</v>
      </c>
      <c r="BA85" s="267">
        <f ca="1">IF($A85="N/A"," ",(IF(MONTH(A85)&gt;=4,IF(MONTH(A85)&lt;=10,Inputs!$F$13,Inputs!$F$14),Inputs!$F$14))*$BW85)</f>
        <v>180</v>
      </c>
      <c r="BB85" s="268">
        <f t="shared" ca="1" si="165"/>
        <v>69285.796667251605</v>
      </c>
      <c r="BC85" s="268">
        <f t="shared" ca="1" si="166"/>
        <v>81198.154700756204</v>
      </c>
      <c r="BD85" s="268">
        <f t="shared" ca="1" si="133"/>
        <v>1767.448241789531</v>
      </c>
      <c r="BE85" s="268">
        <f t="shared" ca="1" si="134"/>
        <v>2226.3810793595067</v>
      </c>
      <c r="BF85" s="268">
        <f t="shared" ca="1" si="135"/>
        <v>766.60828998528234</v>
      </c>
      <c r="BG85" s="268">
        <f t="shared" ca="1" si="136"/>
        <v>993.13463250879681</v>
      </c>
      <c r="BH85" s="268">
        <f t="shared" ca="1" si="157"/>
        <v>0</v>
      </c>
      <c r="BI85" s="268">
        <f t="shared" ca="1" si="137"/>
        <v>156237.52361165092</v>
      </c>
      <c r="BJ85" s="296">
        <f t="shared" ca="1" si="138"/>
        <v>1024782.2269381044</v>
      </c>
      <c r="BK85" s="296">
        <f t="shared" ca="1" si="139"/>
        <v>960976.18221577432</v>
      </c>
      <c r="BL85" s="296">
        <f t="shared" ca="1" si="140"/>
        <v>63806.044722330123</v>
      </c>
      <c r="BM85" s="296">
        <f t="shared" ca="1" si="141"/>
        <v>0</v>
      </c>
      <c r="BN85" s="405">
        <f>IF(A85="N/A"," ",(VLOOKUP(A85,PowerVolTable,(IF('Pricing Inputs'!$AT$3=2,7,IF('Pricing Inputs'!$AT$3=1,6,8))),FALSE)))</f>
        <v>0.17796574672031246</v>
      </c>
      <c r="BO85" s="405">
        <f>IF(A85="N/A"," ",(VLOOKUP(A85,IntraPowerVol,(IF('Pricing Inputs'!$AT$3=2,3,IF('Pricing Inputs'!$AT$3=1,2,4))),FALSE)*VLOOKUP(MONTH($A85),Inputs!$A$28:$B$39,2)))</f>
        <v>1.2649999999999999</v>
      </c>
      <c r="BP85" s="406">
        <f t="shared" ca="1" si="126"/>
        <v>0.200243063065523</v>
      </c>
      <c r="BQ85" s="405">
        <f ca="1">IF($A85="N/A"," ",(VLOOKUP($A85,GasVolTable,(IF('Pricing Inputs'!$AT$3=2,6,IF('Pricing Inputs'!$AT$3=1,7,5))),FALSE)))</f>
        <v>0.1575</v>
      </c>
      <c r="BR85" s="405">
        <f ca="1">IF($A85="N/A"," ",(VLOOKUP($A85,OmicronVol,(IF('Pricing Inputs'!$AT$3=2,3,IF('Pricing Inputs'!$AT$3=1,4,2))),FALSE)))</f>
        <v>0.65</v>
      </c>
      <c r="BS85" s="406">
        <f ca="1">IF($A85="N/A"," ",IF('Pricing Inputs'!$AN$3=1,(IF(DateToday&gt;$A85,$BR85,((($BQ85^2)*((($A85-1)-DateToday)/((EOMONTH($A85,0)+1)-DateToday-15)))+((($BR85)^2)*((15)/((EOMONTH($A85,0)+1)-DateToday-15))))^0.5)),0.0001))</f>
        <v>0.16410488391998387</v>
      </c>
      <c r="BT85" s="405">
        <f>IF($A85="N/A"," ",IF('Pricing Inputs'!$AN$3=1,(VLOOKUP($A85,CorrelationTable,2,FALSE)),0))</f>
        <v>0.9</v>
      </c>
      <c r="BU85" s="407">
        <f ca="1">IF($A85="N/A"," ",F85+G85+(D85*(VLOOKUP($A85,'Gas Curves'!$B$17:$P$310,14,FALSE))))</f>
        <v>2.6825000000000001</v>
      </c>
      <c r="BV85" s="405">
        <f>IF($A85="N/A"," ",IF('Pricing Inputs'!$AW$3=1,0,(VLOOKUP($A85,InterestRatesTable,2))))</f>
        <v>0</v>
      </c>
      <c r="BW85" s="408">
        <f t="shared" ca="1" si="127"/>
        <v>1</v>
      </c>
    </row>
    <row r="86" spans="1:75">
      <c r="A86" s="248">
        <f>IF(A85="N/A","N/A",IF(EDATE(A85,1)&gt;Inputs!$K$3,"N/A",EDATE(A85,1)))</f>
        <v>39387</v>
      </c>
      <c r="B86" s="262">
        <f t="shared" si="128"/>
        <v>2007</v>
      </c>
      <c r="C86" s="249">
        <f t="shared" ca="1" si="129"/>
        <v>3.7725</v>
      </c>
      <c r="D86" s="250">
        <f>IF(A86="N/A"," ",(VLOOKUP(MONTH($A86),Inputs!$A$14:$B$25,2))/1000)</f>
        <v>10.5</v>
      </c>
      <c r="E86" s="304">
        <f t="shared" ca="1" si="130"/>
        <v>39.611249999999998</v>
      </c>
      <c r="F86" s="251">
        <f>IF(A86="N/A"," ",Inputs!$F$6)</f>
        <v>2</v>
      </c>
      <c r="G86" s="251">
        <f ca="1">IF(A86="N/A"," ",Inputs!$F$9/IF(AND('Pricing Inputs'!$AQ$3&gt;=4,'Pricing Inputs'!$AQ$3&lt;=6),16,IF(AND('Pricing Inputs'!$AQ$3&gt;=7,'Pricing Inputs'!$AQ$3&lt;=9),8,24))/(BA86/BW86))</f>
        <v>0</v>
      </c>
      <c r="H86" s="252">
        <f t="shared" ca="1" si="131"/>
        <v>41.611249999999998</v>
      </c>
      <c r="I86" s="255">
        <f>VLOOKUP(A86,ScaledPrice,(IF(AND('Pricing Inputs'!$AQ$3&gt;=1,'Pricing Inputs'!$AQ$3&lt;=6),2,4)))</f>
        <v>30.740166875</v>
      </c>
      <c r="J86" s="255">
        <f>IF(A86="N/A"," ",IF(AND('Pricing Inputs'!$AQ$3&gt;=1,'Pricing Inputs'!$AQ$3&lt;=6),I86,(VLOOKUP(A86,ScaledPrice,2))*(2-(VLOOKUP(A86,ScaledPrice,3)))))</f>
        <v>31.409833124999999</v>
      </c>
      <c r="K86" s="255">
        <f>IF(A86="N/A"," ",IF(OR('Pricing Inputs'!$AQ$3=2,'Pricing Inputs'!$AQ$3=3,'Pricing Inputs'!$AQ$3=5,'Pricing Inputs'!$AQ$3=6,'Pricing Inputs'!$AQ$3=8,'Pricing Inputs'!$AQ$3=9),VLOOKUP(A86,ScaledPrice,IF(AND('Pricing Inputs'!$AQ$3&gt;=2,'Pricing Inputs'!$AQ$3&lt;=6),5,6)),0))</f>
        <v>24.537480388565061</v>
      </c>
      <c r="L86" s="255">
        <f>IF(A86="N/A"," ",IF(OR('Pricing Inputs'!$AQ$3=2,'Pricing Inputs'!$AQ$3=3,'Pricing Inputs'!$AQ$3=5,'Pricing Inputs'!$AQ$3=6,'Pricing Inputs'!$AQ$3=8,'Pricing Inputs'!$AQ$3=9),IF(AND('Pricing Inputs'!$AQ$3&gt;=2,'Pricing Inputs'!$AQ$3&lt;=6),K86,(VLOOKUP(A86,ScaledPrice,5))*(2-(VLOOKUP(A86,ScaledPrice,3)))),0))</f>
        <v>25.072022785263055</v>
      </c>
      <c r="M86" s="255">
        <f>IF(A86="N/A"," ",IF(OR('Pricing Inputs'!$AQ$3=3,'Pricing Inputs'!$AQ$3=6,'Pricing Inputs'!$AQ$3=9),(VLOOKUP(A86,ScaledPrice,IF(AND('Pricing Inputs'!$AQ$3&gt;=3,'Pricing Inputs'!$AQ$3&lt;=6),7,8))),0))</f>
        <v>22.558781331367488</v>
      </c>
      <c r="N86" s="255">
        <f>IF(A86="N/A"," ",IF(OR('Pricing Inputs'!$AQ$3=3,'Pricing Inputs'!$AQ$3=6,'Pricing Inputs'!$AQ$3=9),IF(AND('Pricing Inputs'!$AQ$3&gt;=3,'Pricing Inputs'!$AQ$3&lt;=6),M86,(VLOOKUP(A86,ScaledPrice,7))*(2-(VLOOKUP(A86,ScaledPrice,3)))),0))</f>
        <v>23.050218302421566</v>
      </c>
      <c r="O86" s="255">
        <f>IF(A86="N/A"," ",IF(AND('Pricing Inputs'!$AQ$3&gt;=1,'Pricing Inputs'!$AQ$3&lt;=3),VLOOKUP(A86,ScaledPrice,9),0))</f>
        <v>0</v>
      </c>
      <c r="P86" s="320">
        <f ca="1">IF($A86="N/A"," ",IF('Pricing Inputs'!$AN$8=2,(I86-H86),IF('Pricing Inputs'!$AN$3=2,IF((I86-$H86)&gt;0,I86-$H86,0),(_xll.xSPRDOPT(I86,$E86,$BU86,0,$BP86,$BS86,$BT86,($A86-Inputs!$D$1)+15,1,0)))))</f>
        <v>0.48298999396391196</v>
      </c>
      <c r="Q86" s="320">
        <f ca="1">IF($A86="N/A"," ",IF('Pricing Inputs'!$AN$8=2,(J86-$H86),IF('Pricing Inputs'!$AN$3=2,IF((J86-$H86)&gt;0,J86-$H86,0),(_xll.xSPRDOPT(J86,$E86,$BU86,0,$BP86,$BS86,$BT86,($A86-Inputs!$D$1)+15,1,0)))))</f>
        <v>0.57944834487237873</v>
      </c>
      <c r="R86" s="320">
        <f ca="1">IF($A86="N/A"," ",IF('Pricing Inputs'!$AN$8=2,(K86-$H86),IF('Pricing Inputs'!$AN$3=2,IF((K86-$H86)&gt;0,K86-$H86,0),(_xll.xSPRDOPT(K86,$E86,$BU86,0,$BP86,$BS86,$BT86,($A86-Inputs!$D$1)+15,1,0)))))</f>
        <v>5.1852554265299111E-2</v>
      </c>
      <c r="S86" s="320">
        <f ca="1">IF($A86="N/A"," ",IF('Pricing Inputs'!$AN$8=2,(L86-$H86),IF('Pricing Inputs'!$AN$3=2,IF((L86-$H86)&gt;0,L86-$H86,0),(_xll.xSPRDOPT(L86,$E86,$BU86,0,$BP86,$BS86,$BT86,($A86-Inputs!$D$1)+15,1,0)))))</f>
        <v>6.593027829355437E-2</v>
      </c>
      <c r="T86" s="320">
        <f ca="1">IF($A86="N/A"," ",IF('Pricing Inputs'!$AN$8=2,(M86-$H86),IF('Pricing Inputs'!$AN$3=2,IF((M86-$H86)&gt;0,M86-$H86,0),(_xll.xSPRDOPT(M86,$E86,$BU86,0,$BP86,$BS86,$BT86,($A86-Inputs!$D$1)+15,1,0)))))</f>
        <v>1.9199123549530142E-2</v>
      </c>
      <c r="U86" s="320">
        <f ca="1">IF($A86="N/A"," ",IF('Pricing Inputs'!$AN$8=2,(N86-$H86),IF('Pricing Inputs'!$AN$3=2,IF((N86-$H86)&gt;0,N86-$H86,0),(_xll.xSPRDOPT(N86,$E86,$BU86,0,$BP86,$BS86,$BT86,($A86-Inputs!$D$1)+15,1,0)))))</f>
        <v>2.4982588125648412E-2</v>
      </c>
      <c r="V86" s="259">
        <f ca="1">IF($A86="N/A"," ",(IF('Pricing Inputs'!$AN$8=2,(O86-$H86),IF((O86-$H86)&lt;=0,0,(O86-$H86)))))</f>
        <v>0</v>
      </c>
      <c r="W86" s="306">
        <f ca="1">IF($A86="N/A"," ",IF(0&lt;&gt;P86,IF('Pricing Inputs'!$AN$3=2,8*VLOOKUP($A86,NumberofDaysTable,2),(_xll.xSPRDOPT(I86,$E86,$BU86,0,$BP86,$BS86,$BT86,$A86-Inputs!$D$1,1,1))*(8*VLOOKUP($A86,NumberofDaysTable,2))),0))</f>
        <v>22.49052338695568</v>
      </c>
      <c r="X86" s="306">
        <f ca="1">IF($A86="N/A"," ",IF(Q86&lt;&gt;0,IF('Pricing Inputs'!$AN$3=2,8*VLOOKUP($A86,NumberofDaysTable,2),(_xll.xSPRDOPT(J86,$E86,$BU86,0,$BP86,$BS86,$BT86,$A86-Inputs!$D$1,1,1))*(8*VLOOKUP($A86,NumberofDaysTable,2))),0))</f>
        <v>25.67343005024124</v>
      </c>
      <c r="Y86" s="306">
        <f ca="1">IF($A86="N/A"," ",IF(R86&lt;&gt;0,IF('Pricing Inputs'!$AN$3=2,8*VLOOKUP($A86,NumberofDaysTable,3),(_xll.xSPRDOPT(K86,$E86,$BU86,0,$BP86,$BS86,$BT86,$A86-Inputs!$D$1,1,1))*(8*VLOOKUP($A86,NumberofDaysTable,3))),0))</f>
        <v>0.75211551926897069</v>
      </c>
      <c r="Z86" s="306">
        <f ca="1">IF($A86="N/A"," ",IF(S86&lt;&gt;0,IF('Pricing Inputs'!$AN$3=2,8*VLOOKUP($A86,NumberofDaysTable,3),(_xll.xSPRDOPT(L86,$E86,$BU86,0,$BP86,$BS86,$BT86,$A86-Inputs!$D$1,1,1))*(8*VLOOKUP($A86,NumberofDaysTable,3))),0))</f>
        <v>0.91432327691224824</v>
      </c>
      <c r="AA86" s="306">
        <f ca="1">IF($A86="N/A"," ",IF(T86&lt;&gt;0,IF('Pricing Inputs'!$AN$3=2,8*VLOOKUP($A86,NumberofDaysTable,4),(_xll.xSPRDOPT(M86,$E86,$BU86,0,$BP86,$BS86,$BT86,$A86-Inputs!$D$1,1,1))*(8*VLOOKUP($A86,NumberofDaysTable,4))),0))</f>
        <v>0.33047084521470255</v>
      </c>
      <c r="AB86" s="306">
        <f ca="1">IF($A86="N/A"," ",IF(U86&lt;&gt;0,IF('Pricing Inputs'!$AN$3=2,8*VLOOKUP($A86,NumberofDaysTable,4),(_xll.xSPRDOPT(N86,$E86,$BU86,0,$BP86,$BS86,$BT86,$A86-Inputs!$D$1,1,1))*(8*VLOOKUP($A86,NumberofDaysTable,4))),0))</f>
        <v>0.4118053614968758</v>
      </c>
      <c r="AC86" s="306">
        <f t="shared" ca="1" si="132"/>
        <v>0</v>
      </c>
      <c r="AD86" s="274">
        <f t="shared" ca="1" si="150"/>
        <v>37</v>
      </c>
      <c r="AE86" s="275">
        <f t="shared" ca="1" si="151"/>
        <v>35</v>
      </c>
      <c r="AF86" s="275">
        <f t="shared" ca="1" si="152"/>
        <v>62</v>
      </c>
      <c r="AG86" s="275">
        <f t="shared" ca="1" si="153"/>
        <v>60</v>
      </c>
      <c r="AH86" s="275">
        <f t="shared" ca="1" si="154"/>
        <v>68</v>
      </c>
      <c r="AI86" s="275">
        <f t="shared" ca="1" si="155"/>
        <v>66</v>
      </c>
      <c r="AJ86" s="276">
        <f t="shared" ca="1" si="156"/>
        <v>73</v>
      </c>
      <c r="AK86" s="314">
        <f t="shared" ca="1" si="158"/>
        <v>22.49052338695568</v>
      </c>
      <c r="AL86" s="315">
        <f t="shared" ca="1" si="159"/>
        <v>25.67343005024124</v>
      </c>
      <c r="AM86" s="315">
        <f t="shared" ca="1" si="160"/>
        <v>0.75211551926897069</v>
      </c>
      <c r="AN86" s="315">
        <f t="shared" ca="1" si="161"/>
        <v>0.91432327691224824</v>
      </c>
      <c r="AO86" s="315">
        <f t="shared" ca="1" si="162"/>
        <v>0.33047084521470255</v>
      </c>
      <c r="AP86" s="315">
        <f t="shared" ca="1" si="163"/>
        <v>0.4118053614968758</v>
      </c>
      <c r="AQ86" s="315">
        <f t="shared" ca="1" si="164"/>
        <v>0</v>
      </c>
      <c r="AR86" s="276">
        <f ca="1">SUM(AK76:AQ87)</f>
        <v>2300.3152351994518</v>
      </c>
      <c r="AS86" s="321">
        <f t="shared" ca="1" si="143"/>
        <v>0</v>
      </c>
      <c r="AT86" s="324">
        <f t="shared" ca="1" si="144"/>
        <v>0</v>
      </c>
      <c r="AU86" s="324">
        <f t="shared" ca="1" si="145"/>
        <v>0</v>
      </c>
      <c r="AV86" s="324">
        <f t="shared" ca="1" si="146"/>
        <v>0</v>
      </c>
      <c r="AW86" s="324">
        <f t="shared" ca="1" si="147"/>
        <v>0</v>
      </c>
      <c r="AX86" s="324">
        <f t="shared" ca="1" si="148"/>
        <v>0</v>
      </c>
      <c r="AY86" s="324">
        <f t="shared" ca="1" si="149"/>
        <v>0</v>
      </c>
      <c r="AZ86" s="276">
        <f ca="1">SUM(AS76:AY87)</f>
        <v>0</v>
      </c>
      <c r="BA86" s="267">
        <f ca="1">IF($A86="N/A"," ",(IF(MONTH(A86)&gt;=4,IF(MONTH(A86)&lt;=10,Inputs!$F$13,Inputs!$F$14),Inputs!$F$14))*$BW86)</f>
        <v>180</v>
      </c>
      <c r="BB86" s="268">
        <f t="shared" ca="1" si="165"/>
        <v>14605.617417468697</v>
      </c>
      <c r="BC86" s="268">
        <f t="shared" ca="1" si="166"/>
        <v>17522.517948940731</v>
      </c>
      <c r="BD86" s="268">
        <f t="shared" ca="1" si="133"/>
        <v>298.67071256812289</v>
      </c>
      <c r="BE86" s="268">
        <f t="shared" ca="1" si="134"/>
        <v>379.75840297087319</v>
      </c>
      <c r="BF86" s="268">
        <f t="shared" ca="1" si="135"/>
        <v>138.23368955661704</v>
      </c>
      <c r="BG86" s="268">
        <f t="shared" ca="1" si="136"/>
        <v>179.87463450466856</v>
      </c>
      <c r="BH86" s="268">
        <f t="shared" ca="1" si="157"/>
        <v>0</v>
      </c>
      <c r="BI86" s="268">
        <f t="shared" ca="1" si="137"/>
        <v>33124.672806009708</v>
      </c>
      <c r="BJ86" s="296">
        <f t="shared" ca="1" si="138"/>
        <v>378790.55093298305</v>
      </c>
      <c r="BK86" s="296">
        <f t="shared" ca="1" si="139"/>
        <v>360584.39029455069</v>
      </c>
      <c r="BL86" s="296">
        <f t="shared" ca="1" si="140"/>
        <v>18206.160638432299</v>
      </c>
      <c r="BM86" s="296">
        <f t="shared" ca="1" si="141"/>
        <v>0</v>
      </c>
      <c r="BN86" s="405">
        <f>IF(A86="N/A"," ",(VLOOKUP(A86,PowerVolTable,(IF('Pricing Inputs'!$AT$3=2,7,IF('Pricing Inputs'!$AT$3=1,6,8))),FALSE)))</f>
        <v>0.17796574672031246</v>
      </c>
      <c r="BO86" s="405">
        <f>IF(A86="N/A"," ",(VLOOKUP(A86,IntraPowerVol,(IF('Pricing Inputs'!$AT$3=2,3,IF('Pricing Inputs'!$AT$3=1,2,4))),FALSE)*VLOOKUP(MONTH($A86),Inputs!$A$28:$B$39,2)))</f>
        <v>1.4375</v>
      </c>
      <c r="BP86" s="406">
        <f t="shared" ca="1" si="126"/>
        <v>0.20616215794204326</v>
      </c>
      <c r="BQ86" s="405">
        <f ca="1">IF($A86="N/A"," ",(VLOOKUP($A86,GasVolTable,(IF('Pricing Inputs'!$AT$3=2,6,IF('Pricing Inputs'!$AT$3=1,7,5))),FALSE)))</f>
        <v>0.1575</v>
      </c>
      <c r="BR86" s="405">
        <f ca="1">IF($A86="N/A"," ",(VLOOKUP($A86,OmicronVol,(IF('Pricing Inputs'!$AT$3=2,3,IF('Pricing Inputs'!$AT$3=1,4,2))),FALSE)))</f>
        <v>0.95</v>
      </c>
      <c r="BS86" s="406">
        <f ca="1">IF($A86="N/A"," ",IF('Pricing Inputs'!$AN$3=1,(IF(DateToday&gt;$A86,$BR86,((($BQ86^2)*((($A86-1)-DateToday)/((EOMONTH($A86,0)+1)-DateToday-15)))+((($BR86)^2)*((15)/((EOMONTH($A86,0)+1)-DateToday-15))))^0.5)),0.0001))</f>
        <v>0.17168084908679138</v>
      </c>
      <c r="BT86" s="405">
        <f>IF($A86="N/A"," ",IF('Pricing Inputs'!$AN$3=1,(VLOOKUP($A86,CorrelationTable,2,FALSE)),0))</f>
        <v>0.9</v>
      </c>
      <c r="BU86" s="407">
        <f ca="1">IF($A86="N/A"," ",F86+G86+(D86*(VLOOKUP($A86,'Gas Curves'!$B$17:$P$310,14,FALSE))))</f>
        <v>2.6825000000000001</v>
      </c>
      <c r="BV86" s="405">
        <f>IF($A86="N/A"," ",IF('Pricing Inputs'!$AW$3=1,0,(VLOOKUP($A86,InterestRatesTable,2))))</f>
        <v>0</v>
      </c>
      <c r="BW86" s="408">
        <f t="shared" ca="1" si="127"/>
        <v>1</v>
      </c>
    </row>
    <row r="87" spans="1:75">
      <c r="A87" s="248">
        <f>IF(A86="N/A","N/A",IF(EDATE(A86,1)&gt;Inputs!$K$3,"N/A",EDATE(A86,1)))</f>
        <v>39417</v>
      </c>
      <c r="B87" s="262">
        <f t="shared" si="128"/>
        <v>2007</v>
      </c>
      <c r="C87" s="249">
        <f t="shared" ca="1" si="129"/>
        <v>4.2115</v>
      </c>
      <c r="D87" s="250">
        <f>IF(A87="N/A"," ",(VLOOKUP(MONTH($A87),Inputs!$A$14:$B$25,2))/1000)</f>
        <v>10.5</v>
      </c>
      <c r="E87" s="304">
        <f t="shared" ca="1" si="130"/>
        <v>44.220750000000002</v>
      </c>
      <c r="F87" s="251">
        <f>IF(A87="N/A"," ",Inputs!$F$6)</f>
        <v>2</v>
      </c>
      <c r="G87" s="251">
        <f ca="1">IF(A87="N/A"," ",Inputs!$F$9/IF(AND('Pricing Inputs'!$AQ$3&gt;=4,'Pricing Inputs'!$AQ$3&lt;=6),16,IF(AND('Pricing Inputs'!$AQ$3&gt;=7,'Pricing Inputs'!$AQ$3&lt;=9),8,24))/(BA87/BW87))</f>
        <v>0</v>
      </c>
      <c r="H87" s="252">
        <f t="shared" ca="1" si="131"/>
        <v>46.220750000000002</v>
      </c>
      <c r="I87" s="255">
        <f>VLOOKUP(A87,ScaledPrice,(IF(AND('Pricing Inputs'!$AQ$3&gt;=1,'Pricing Inputs'!$AQ$3&lt;=6),2,4)))</f>
        <v>30.285176827306302</v>
      </c>
      <c r="J87" s="255">
        <f>IF(A87="N/A"," ",IF(AND('Pricing Inputs'!$AQ$3&gt;=1,'Pricing Inputs'!$AQ$3&lt;=6),I87,(VLOOKUP(A87,ScaledPrice,2))*(2-(VLOOKUP(A87,ScaledPrice,3)))))</f>
        <v>31.614823172693693</v>
      </c>
      <c r="K87" s="255">
        <f>IF(A87="N/A"," ",IF(OR('Pricing Inputs'!$AQ$3=2,'Pricing Inputs'!$AQ$3=3,'Pricing Inputs'!$AQ$3=5,'Pricing Inputs'!$AQ$3=6,'Pricing Inputs'!$AQ$3=8,'Pricing Inputs'!$AQ$3=9),VLOOKUP(A87,ScaledPrice,IF(AND('Pricing Inputs'!$AQ$3&gt;=2,'Pricing Inputs'!$AQ$3&lt;=6),5,6)),0))</f>
        <v>25.691026464582833</v>
      </c>
      <c r="L87" s="255">
        <f>IF(A87="N/A"," ",IF(OR('Pricing Inputs'!$AQ$3=2,'Pricing Inputs'!$AQ$3=3,'Pricing Inputs'!$AQ$3=5,'Pricing Inputs'!$AQ$3=6,'Pricing Inputs'!$AQ$3=8,'Pricing Inputs'!$AQ$3=9),IF(AND('Pricing Inputs'!$AQ$3&gt;=2,'Pricing Inputs'!$AQ$3&lt;=6),K87,(VLOOKUP(A87,ScaledPrice,5))*(2-(VLOOKUP(A87,ScaledPrice,3)))),0))</f>
        <v>26.818970331071451</v>
      </c>
      <c r="M87" s="255">
        <f>IF(A87="N/A"," ",IF(OR('Pricing Inputs'!$AQ$3=3,'Pricing Inputs'!$AQ$3=6,'Pricing Inputs'!$AQ$3=9),(VLOOKUP(A87,ScaledPrice,IF(AND('Pricing Inputs'!$AQ$3&gt;=3,'Pricing Inputs'!$AQ$3&lt;=6),7,8))),0))</f>
        <v>22.261316630548045</v>
      </c>
      <c r="N87" s="255">
        <f>IF(A87="N/A"," ",IF(OR('Pricing Inputs'!$AQ$3=3,'Pricing Inputs'!$AQ$3=6,'Pricing Inputs'!$AQ$3=9),IF(AND('Pricing Inputs'!$AQ$3&gt;=3,'Pricing Inputs'!$AQ$3&lt;=6),M87,(VLOOKUP(A87,ScaledPrice,7))*(2-(VLOOKUP(A87,ScaledPrice,3)))),0))</f>
        <v>23.238681843573037</v>
      </c>
      <c r="O87" s="255">
        <f>IF(A87="N/A"," ",IF(AND('Pricing Inputs'!$AQ$3&gt;=1,'Pricing Inputs'!$AQ$3&lt;=3),VLOOKUP(A87,ScaledPrice,9),0))</f>
        <v>0</v>
      </c>
      <c r="P87" s="320">
        <f ca="1">IF($A87="N/A"," ",IF('Pricing Inputs'!$AN$8=2,(I87-H87),IF('Pricing Inputs'!$AN$3=2,IF((I87-$H87)&gt;0,I87-$H87,0),(_xll.xSPRDOPT(I87,$E87,$BU87,0,$BP87,$BS87,$BT87,($A87-Inputs!$D$1)+15,1,0)))))</f>
        <v>0.19421179528071014</v>
      </c>
      <c r="Q87" s="320">
        <f ca="1">IF($A87="N/A"," ",IF('Pricing Inputs'!$AN$8=2,(J87-$H87),IF('Pricing Inputs'!$AN$3=2,IF((J87-$H87)&gt;0,J87-$H87,0),(_xll.xSPRDOPT(J87,$E87,$BU87,0,$BP87,$BS87,$BT87,($A87-Inputs!$D$1)+15,1,0)))))</f>
        <v>0.29170918309256738</v>
      </c>
      <c r="R87" s="320">
        <f ca="1">IF($A87="N/A"," ",IF('Pricing Inputs'!$AN$8=2,(K87-$H87),IF('Pricing Inputs'!$AN$3=2,IF((K87-$H87)&gt;0,K87-$H87,0),(_xll.xSPRDOPT(K87,$E87,$BU87,0,$BP87,$BS87,$BT87,($A87-Inputs!$D$1)+15,1,0)))))</f>
        <v>3.3444223975228005E-2</v>
      </c>
      <c r="S87" s="320">
        <f ca="1">IF($A87="N/A"," ",IF('Pricing Inputs'!$AN$8=2,(L87-$H87),IF('Pricing Inputs'!$AN$3=2,IF((L87-$H87)&gt;0,L87-$H87,0),(_xll.xSPRDOPT(L87,$E87,$BU87,0,$BP87,$BS87,$BT87,($A87-Inputs!$D$1)+15,1,0)))))</f>
        <v>5.4642330025547775E-2</v>
      </c>
      <c r="T87" s="320">
        <f ca="1">IF($A87="N/A"," ",IF('Pricing Inputs'!$AN$8=2,(M87-$H87),IF('Pricing Inputs'!$AN$3=2,IF((M87-$H87)&gt;0,M87-$H87,0),(_xll.xSPRDOPT(M87,$E87,$BU87,0,$BP87,$BS87,$BT87,($A87-Inputs!$D$1)+15,1,0)))))</f>
        <v>5.5077712266701157E-3</v>
      </c>
      <c r="U87" s="320">
        <f ca="1">IF($A87="N/A"," ",IF('Pricing Inputs'!$AN$8=2,(N87-$H87),IF('Pricing Inputs'!$AN$3=2,IF((N87-$H87)&gt;0,N87-$H87,0),(_xll.xSPRDOPT(N87,$E87,$BU87,0,$BP87,$BS87,$BT87,($A87-Inputs!$D$1)+15,1,0)))))</f>
        <v>9.7210595274264001E-3</v>
      </c>
      <c r="V87" s="259">
        <f ca="1">IF($A87="N/A"," ",(IF('Pricing Inputs'!$AN$8=2,(O87-$H87),IF((O87-$H87)&lt;=0,0,(O87-$H87)))))</f>
        <v>0</v>
      </c>
      <c r="W87" s="306">
        <f ca="1">IF($A87="N/A"," ",IF(0&lt;&gt;P87,IF('Pricing Inputs'!$AN$3=2,8*VLOOKUP($A87,NumberofDaysTable,2),(_xll.xSPRDOPT(I87,$E87,$BU87,0,$BP87,$BS87,$BT87,$A87-Inputs!$D$1,1,1))*(8*VLOOKUP($A87,NumberofDaysTable,2))),0))</f>
        <v>9.8752756860409043</v>
      </c>
      <c r="X87" s="306">
        <f ca="1">IF($A87="N/A"," ",IF(Q87&lt;&gt;0,IF('Pricing Inputs'!$AN$3=2,8*VLOOKUP($A87,NumberofDaysTable,2),(_xll.xSPRDOPT(J87,$E87,$BU87,0,$BP87,$BS87,$BT87,$A87-Inputs!$D$1,1,1))*(8*VLOOKUP($A87,NumberofDaysTable,2))),0))</f>
        <v>13.506705819513591</v>
      </c>
      <c r="Y87" s="306">
        <f ca="1">IF($A87="N/A"," ",IF(R87&lt;&gt;0,IF('Pricing Inputs'!$AN$3=2,8*VLOOKUP($A87,NumberofDaysTable,3),(_xll.xSPRDOPT(K87,$E87,$BU87,0,$BP87,$BS87,$BT87,$A87-Inputs!$D$1,1,1))*(8*VLOOKUP($A87,NumberofDaysTable,3))),0))</f>
        <v>0.59888222694334958</v>
      </c>
      <c r="Z87" s="306">
        <f ca="1">IF($A87="N/A"," ",IF(S87&lt;&gt;0,IF('Pricing Inputs'!$AN$3=2,8*VLOOKUP($A87,NumberofDaysTable,3),(_xll.xSPRDOPT(L87,$E87,$BU87,0,$BP87,$BS87,$BT87,$A87-Inputs!$D$1,1,1))*(8*VLOOKUP($A87,NumberofDaysTable,3))),0))</f>
        <v>0.89681758339031692</v>
      </c>
      <c r="AA87" s="306">
        <f ca="1">IF($A87="N/A"," ",IF(T87&lt;&gt;0,IF('Pricing Inputs'!$AN$3=2,8*VLOOKUP($A87,NumberofDaysTable,4),(_xll.xSPRDOPT(M87,$E87,$BU87,0,$BP87,$BS87,$BT87,$A87-Inputs!$D$1,1,1))*(8*VLOOKUP($A87,NumberofDaysTable,4))),0))</f>
        <v>0.13044993725295639</v>
      </c>
      <c r="AB87" s="306">
        <f ca="1">IF($A87="N/A"," ",IF(U87&lt;&gt;0,IF('Pricing Inputs'!$AN$3=2,8*VLOOKUP($A87,NumberofDaysTable,4),(_xll.xSPRDOPT(N87,$E87,$BU87,0,$BP87,$BS87,$BT87,$A87-Inputs!$D$1,1,1))*(8*VLOOKUP($A87,NumberofDaysTable,4))),0))</f>
        <v>0.21207922947013516</v>
      </c>
      <c r="AC87" s="306">
        <f t="shared" ca="1" si="132"/>
        <v>0</v>
      </c>
      <c r="AD87" s="277">
        <f t="shared" ca="1" si="150"/>
        <v>53</v>
      </c>
      <c r="AE87" s="278">
        <f t="shared" ca="1" si="151"/>
        <v>47</v>
      </c>
      <c r="AF87" s="278">
        <f t="shared" ca="1" si="152"/>
        <v>64</v>
      </c>
      <c r="AG87" s="278">
        <f t="shared" ca="1" si="153"/>
        <v>61</v>
      </c>
      <c r="AH87" s="278">
        <f t="shared" ca="1" si="154"/>
        <v>72</v>
      </c>
      <c r="AI87" s="278">
        <f t="shared" ca="1" si="155"/>
        <v>71</v>
      </c>
      <c r="AJ87" s="279">
        <f t="shared" ca="1" si="156"/>
        <v>73</v>
      </c>
      <c r="AK87" s="316">
        <f t="shared" ca="1" si="158"/>
        <v>9.8752756860409043</v>
      </c>
      <c r="AL87" s="317">
        <f t="shared" ca="1" si="159"/>
        <v>13.506705819513591</v>
      </c>
      <c r="AM87" s="317">
        <f t="shared" ca="1" si="160"/>
        <v>0.59888222694334958</v>
      </c>
      <c r="AN87" s="317">
        <f t="shared" ca="1" si="161"/>
        <v>0.89681758339031692</v>
      </c>
      <c r="AO87" s="317">
        <f t="shared" ca="1" si="162"/>
        <v>0.13044993725295639</v>
      </c>
      <c r="AP87" s="317">
        <f t="shared" ca="1" si="163"/>
        <v>0.21207922947013516</v>
      </c>
      <c r="AQ87" s="317">
        <f t="shared" ca="1" si="164"/>
        <v>0</v>
      </c>
      <c r="AR87" s="279">
        <f ca="1">IF(($AP$2-AR86)&gt;=0,$AP$2-AR86,0)</f>
        <v>0</v>
      </c>
      <c r="AS87" s="325">
        <f t="shared" ca="1" si="143"/>
        <v>0</v>
      </c>
      <c r="AT87" s="326">
        <f t="shared" ca="1" si="144"/>
        <v>0</v>
      </c>
      <c r="AU87" s="326">
        <f t="shared" ca="1" si="145"/>
        <v>0</v>
      </c>
      <c r="AV87" s="326">
        <f t="shared" ca="1" si="146"/>
        <v>0</v>
      </c>
      <c r="AW87" s="326">
        <f t="shared" ca="1" si="147"/>
        <v>0</v>
      </c>
      <c r="AX87" s="326">
        <f t="shared" ca="1" si="148"/>
        <v>0</v>
      </c>
      <c r="AY87" s="326">
        <f t="shared" ca="1" si="149"/>
        <v>0</v>
      </c>
      <c r="AZ87" s="285">
        <f ca="1">AR86+AZ86</f>
        <v>2300.3152351994518</v>
      </c>
      <c r="BA87" s="267">
        <f ca="1">IF($A87="N/A"," ",(IF(MONTH(A87)&gt;=4,IF(MONTH(A87)&lt;=10,Inputs!$F$13,Inputs!$F$14),Inputs!$F$14))*$BW87)</f>
        <v>180</v>
      </c>
      <c r="BB87" s="268">
        <f t="shared" ca="1" si="165"/>
        <v>5593.2997040844521</v>
      </c>
      <c r="BC87" s="268">
        <f t="shared" ca="1" si="166"/>
        <v>8401.2244730659404</v>
      </c>
      <c r="BD87" s="268">
        <f t="shared" ca="1" si="133"/>
        <v>240.79841262164163</v>
      </c>
      <c r="BE87" s="268">
        <f t="shared" ca="1" si="134"/>
        <v>393.424776183944</v>
      </c>
      <c r="BF87" s="268">
        <f t="shared" ca="1" si="135"/>
        <v>47.587143398429802</v>
      </c>
      <c r="BG87" s="268">
        <f t="shared" ca="1" si="136"/>
        <v>83.989954316964102</v>
      </c>
      <c r="BH87" s="268">
        <f t="shared" ca="1" si="157"/>
        <v>0</v>
      </c>
      <c r="BI87" s="268">
        <f t="shared" ca="1" si="137"/>
        <v>14760.324463671373</v>
      </c>
      <c r="BJ87" s="296">
        <f t="shared" ca="1" si="138"/>
        <v>209825.46785954773</v>
      </c>
      <c r="BK87" s="296">
        <f t="shared" ca="1" si="139"/>
        <v>200746.19208580768</v>
      </c>
      <c r="BL87" s="296">
        <f t="shared" ca="1" si="140"/>
        <v>9079.2757737400498</v>
      </c>
      <c r="BM87" s="296">
        <f t="shared" ca="1" si="141"/>
        <v>0</v>
      </c>
      <c r="BN87" s="405">
        <f>IF(A87="N/A"," ",(VLOOKUP(A87,PowerVolTable,(IF('Pricing Inputs'!$AT$3=2,7,IF('Pricing Inputs'!$AT$3=1,6,8))),FALSE)))</f>
        <v>0.18431694065531246</v>
      </c>
      <c r="BO87" s="405">
        <f>IF(A87="N/A"," ",(VLOOKUP(A87,IntraPowerVol,(IF('Pricing Inputs'!$AT$3=2,3,IF('Pricing Inputs'!$AT$3=1,2,4))),FALSE)*VLOOKUP(MONTH($A87),Inputs!$A$28:$B$39,2)))</f>
        <v>1.4375</v>
      </c>
      <c r="BP87" s="406">
        <f t="shared" ca="1" si="126"/>
        <v>0.21133128862511849</v>
      </c>
      <c r="BQ87" s="405">
        <f ca="1">IF($A87="N/A"," ",(VLOOKUP($A87,GasVolTable,(IF('Pricing Inputs'!$AT$3=2,6,IF('Pricing Inputs'!$AT$3=1,7,5))),FALSE)))</f>
        <v>0.1575</v>
      </c>
      <c r="BR87" s="405">
        <f ca="1">IF($A87="N/A"," ",(VLOOKUP($A87,OmicronVol,(IF('Pricing Inputs'!$AT$3=2,3,IF('Pricing Inputs'!$AT$3=1,4,2))),FALSE)))</f>
        <v>1.25</v>
      </c>
      <c r="BS87" s="406">
        <f ca="1">IF($A87="N/A"," ",IF('Pricing Inputs'!$AN$3=1,(IF(DateToday&gt;$A87,$BR87,((($BQ87^2)*((($A87-1)-DateToday)/((EOMONTH($A87,0)+1)-DateToday-15)))+((($BR87)^2)*((15)/((EOMONTH($A87,0)+1)-DateToday-15))))^0.5)),0.0001))</f>
        <v>0.18136514928525693</v>
      </c>
      <c r="BT87" s="405">
        <f>IF($A87="N/A"," ",IF('Pricing Inputs'!$AN$3=1,(VLOOKUP($A87,CorrelationTable,2,FALSE)),0))</f>
        <v>0.9</v>
      </c>
      <c r="BU87" s="407">
        <f ca="1">IF($A87="N/A"," ",F87+G87+(D87*(VLOOKUP($A87,'Gas Curves'!$B$17:$P$310,14,FALSE))))</f>
        <v>2.6825000000000001</v>
      </c>
      <c r="BV87" s="405">
        <f>IF($A87="N/A"," ",IF('Pricing Inputs'!$AW$3=1,0,(VLOOKUP($A87,InterestRatesTable,2))))</f>
        <v>0</v>
      </c>
      <c r="BW87" s="408">
        <f t="shared" ca="1" si="127"/>
        <v>1</v>
      </c>
    </row>
    <row r="88" spans="1:75">
      <c r="A88" s="248">
        <f>IF(A87="N/A","N/A",IF(EDATE(A87,1)&gt;Inputs!$K$3,"N/A",EDATE(A87,1)))</f>
        <v>39448</v>
      </c>
      <c r="B88" s="262">
        <f t="shared" si="128"/>
        <v>2008</v>
      </c>
      <c r="C88" s="249">
        <f t="shared" ca="1" si="129"/>
        <v>4.74</v>
      </c>
      <c r="D88" s="250">
        <f>IF(A88="N/A"," ",(VLOOKUP(MONTH($A88),Inputs!$A$14:$B$25,2))/1000)</f>
        <v>10.5</v>
      </c>
      <c r="E88" s="304">
        <f t="shared" ca="1" si="130"/>
        <v>49.77</v>
      </c>
      <c r="F88" s="251">
        <f>IF(A88="N/A"," ",Inputs!$F$6)</f>
        <v>2</v>
      </c>
      <c r="G88" s="251">
        <f ca="1">IF(A88="N/A"," ",Inputs!$F$9/IF(AND('Pricing Inputs'!$AQ$3&gt;=4,'Pricing Inputs'!$AQ$3&lt;=6),16,IF(AND('Pricing Inputs'!$AQ$3&gt;=7,'Pricing Inputs'!$AQ$3&lt;=9),8,24))/(BA88/BW88))</f>
        <v>0</v>
      </c>
      <c r="H88" s="252">
        <f t="shared" ca="1" si="131"/>
        <v>51.77</v>
      </c>
      <c r="I88" s="255">
        <f>VLOOKUP(A88,ScaledPrice,(IF(AND('Pricing Inputs'!$AQ$3&gt;=1,'Pricing Inputs'!$AQ$3&lt;=6),2,4)))</f>
        <v>35.906850746319819</v>
      </c>
      <c r="J88" s="255">
        <f>IF(A88="N/A"," ",IF(AND('Pricing Inputs'!$AQ$3&gt;=1,'Pricing Inputs'!$AQ$3&lt;=6),I88,(VLOOKUP(A88,ScaledPrice,2))*(2-(VLOOKUP(A88,ScaledPrice,3)))))</f>
        <v>38.193149253680176</v>
      </c>
      <c r="K88" s="255">
        <f>IF(A88="N/A"," ",IF(OR('Pricing Inputs'!$AQ$3=2,'Pricing Inputs'!$AQ$3=3,'Pricing Inputs'!$AQ$3=5,'Pricing Inputs'!$AQ$3=6,'Pricing Inputs'!$AQ$3=8,'Pricing Inputs'!$AQ$3=9),VLOOKUP(A88,ScaledPrice,IF(AND('Pricing Inputs'!$AQ$3&gt;=2,'Pricing Inputs'!$AQ$3&lt;=6),5,6)),0))</f>
        <v>28.733959069796711</v>
      </c>
      <c r="L88" s="255">
        <f>IF(A88="N/A"," ",IF(OR('Pricing Inputs'!$AQ$3=2,'Pricing Inputs'!$AQ$3=3,'Pricing Inputs'!$AQ$3=5,'Pricing Inputs'!$AQ$3=6,'Pricing Inputs'!$AQ$3=8,'Pricing Inputs'!$AQ$3=9),IF(AND('Pricing Inputs'!$AQ$3&gt;=2,'Pricing Inputs'!$AQ$3&lt;=6),K88,(VLOOKUP(A88,ScaledPrice,5))*(2-(VLOOKUP(A88,ScaledPrice,3)))),0))</f>
        <v>30.563537725857579</v>
      </c>
      <c r="M88" s="255">
        <f>IF(A88="N/A"," ",IF(OR('Pricing Inputs'!$AQ$3=3,'Pricing Inputs'!$AQ$3=6,'Pricing Inputs'!$AQ$3=9),(VLOOKUP(A88,ScaledPrice,IF(AND('Pricing Inputs'!$AQ$3&gt;=3,'Pricing Inputs'!$AQ$3&lt;=6),7,8))),0))</f>
        <v>27.283876413352747</v>
      </c>
      <c r="N88" s="255">
        <f>IF(A88="N/A"," ",IF(OR('Pricing Inputs'!$AQ$3=3,'Pricing Inputs'!$AQ$3=6,'Pricing Inputs'!$AQ$3=9),IF(AND('Pricing Inputs'!$AQ$3&gt;=3,'Pricing Inputs'!$AQ$3&lt;=6),M88,(VLOOKUP(A88,ScaledPrice,7))*(2-(VLOOKUP(A88,ScaledPrice,3)))),0))</f>
        <v>29.021123891823027</v>
      </c>
      <c r="O88" s="255">
        <f>IF(A88="N/A"," ",IF(AND('Pricing Inputs'!$AQ$3&gt;=1,'Pricing Inputs'!$AQ$3&lt;=3),VLOOKUP(A88,ScaledPrice,9),0))</f>
        <v>0</v>
      </c>
      <c r="P88" s="320">
        <f ca="1">IF($A88="N/A"," ",IF('Pricing Inputs'!$AN$8=2,(I88-H88),IF('Pricing Inputs'!$AN$3=2,IF((I88-$H88)&gt;0,I88-$H88,0),(_xll.xSPRDOPT(I88,$E88,$BU88,0,$BP88,$BS88,$BT88,($A88-Inputs!$D$1)+15,1,0)))))</f>
        <v>1.0494711984363774</v>
      </c>
      <c r="Q88" s="320">
        <f ca="1">IF($A88="N/A"," ",IF('Pricing Inputs'!$AN$8=2,(J88-$H88),IF('Pricing Inputs'!$AN$3=2,IF((J88-$H88)&gt;0,J88-$H88,0),(_xll.xSPRDOPT(J88,$E88,$BU88,0,$BP88,$BS88,$BT88,($A88-Inputs!$D$1)+15,1,0)))))</f>
        <v>1.5201522996157475</v>
      </c>
      <c r="R88" s="320">
        <f ca="1">IF($A88="N/A"," ",IF('Pricing Inputs'!$AN$8=2,(K88-$H88),IF('Pricing Inputs'!$AN$3=2,IF((K88-$H88)&gt;0,K88-$H88,0),(_xll.xSPRDOPT(K88,$E88,$BU88,0,$BP88,$BS88,$BT88,($A88-Inputs!$D$1)+15,1,0)))))</f>
        <v>0.22555489228902856</v>
      </c>
      <c r="S88" s="320">
        <f ca="1">IF($A88="N/A"," ",IF('Pricing Inputs'!$AN$8=2,(L88-$H88),IF('Pricing Inputs'!$AN$3=2,IF((L88-$H88)&gt;0,L88-$H88,0),(_xll.xSPRDOPT(L88,$E88,$BU88,0,$BP88,$BS88,$BT88,($A88-Inputs!$D$1)+15,1,0)))))</f>
        <v>0.35667000194094856</v>
      </c>
      <c r="T88" s="320">
        <f ca="1">IF($A88="N/A"," ",IF('Pricing Inputs'!$AN$8=2,(M88-$H88),IF('Pricing Inputs'!$AN$3=2,IF((M88-$H88)&gt;0,M88-$H88,0),(_xll.xSPRDOPT(M88,$E88,$BU88,0,$BP88,$BS88,$BT88,($A88-Inputs!$D$1)+15,1,0)))))</f>
        <v>0.15055504423693941</v>
      </c>
      <c r="U88" s="320">
        <f ca="1">IF($A88="N/A"," ",IF('Pricing Inputs'!$AN$8=2,(N88-$H88),IF('Pricing Inputs'!$AN$3=2,IF((N88-$H88)&gt;0,N88-$H88,0),(_xll.xSPRDOPT(N88,$E88,$BU88,0,$BP88,$BS88,$BT88,($A88-Inputs!$D$1)+15,1,0)))))</f>
        <v>0.24325485428443369</v>
      </c>
      <c r="V88" s="259">
        <f ca="1">IF($A88="N/A"," ",(IF('Pricing Inputs'!$AN$8=2,(O88-$H88),IF((O88-$H88)&lt;=0,0,(O88-$H88)))))</f>
        <v>0</v>
      </c>
      <c r="W88" s="306">
        <f ca="1">IF($A88="N/A"," ",IF(0&lt;&gt;P88,IF('Pricing Inputs'!$AN$3=2,8*VLOOKUP($A88,NumberofDaysTable,2),(_xll.xSPRDOPT(I88,$E88,$BU88,0,$BP88,$BS88,$BT88,$A88-Inputs!$D$1,1,1))*(8*VLOOKUP($A88,NumberofDaysTable,2))),0))</f>
        <v>31.690121981927149</v>
      </c>
      <c r="X88" s="306">
        <f ca="1">IF($A88="N/A"," ",IF(Q88&lt;&gt;0,IF('Pricing Inputs'!$AN$3=2,8*VLOOKUP($A88,NumberofDaysTable,2),(_xll.xSPRDOPT(J88,$E88,$BU88,0,$BP88,$BS88,$BT88,$A88-Inputs!$D$1,1,1))*(8*VLOOKUP($A88,NumberofDaysTable,2))),0))</f>
        <v>40.594889100760014</v>
      </c>
      <c r="Y88" s="306">
        <f ca="1">IF($A88="N/A"," ",IF(R88&lt;&gt;0,IF('Pricing Inputs'!$AN$3=2,8*VLOOKUP($A88,NumberofDaysTable,3),(_xll.xSPRDOPT(K88,$E88,$BU88,0,$BP88,$BS88,$BT88,$A88-Inputs!$D$1,1,1))*(8*VLOOKUP($A88,NumberofDaysTable,3))),0))</f>
        <v>1.8977818042760939</v>
      </c>
      <c r="Z88" s="306">
        <f ca="1">IF($A88="N/A"," ",IF(S88&lt;&gt;0,IF('Pricing Inputs'!$AN$3=2,8*VLOOKUP($A88,NumberofDaysTable,3),(_xll.xSPRDOPT(L88,$E88,$BU88,0,$BP88,$BS88,$BT88,$A88-Inputs!$D$1,1,1))*(8*VLOOKUP($A88,NumberofDaysTable,3))),0))</f>
        <v>2.6732892301236206</v>
      </c>
      <c r="AA88" s="306">
        <f ca="1">IF($A88="N/A"," ",IF(T88&lt;&gt;0,IF('Pricing Inputs'!$AN$3=2,8*VLOOKUP($A88,NumberofDaysTable,4),(_xll.xSPRDOPT(M88,$E88,$BU88,0,$BP88,$BS88,$BT88,$A88-Inputs!$D$1,1,1))*(8*VLOOKUP($A88,NumberofDaysTable,4))),0))</f>
        <v>1.3936465375663536</v>
      </c>
      <c r="AB88" s="306">
        <f ca="1">IF($A88="N/A"," ",IF(U88&lt;&gt;0,IF('Pricing Inputs'!$AN$3=2,8*VLOOKUP($A88,NumberofDaysTable,4),(_xll.xSPRDOPT(N88,$E88,$BU88,0,$BP88,$BS88,$BT88,$A88-Inputs!$D$1,1,1))*(8*VLOOKUP($A88,NumberofDaysTable,4))),0))</f>
        <v>2.0092056671461185</v>
      </c>
      <c r="AC88" s="306">
        <f t="shared" ca="1" si="132"/>
        <v>0</v>
      </c>
      <c r="AD88" s="271">
        <f t="shared" ref="AD88:AJ88" ca="1" si="167">IF($A88="N/A"," ",RANK(P88,$P$88:$V$99))</f>
        <v>32</v>
      </c>
      <c r="AE88" s="272">
        <f t="shared" ca="1" si="167"/>
        <v>27</v>
      </c>
      <c r="AF88" s="272">
        <f t="shared" ca="1" si="167"/>
        <v>49</v>
      </c>
      <c r="AG88" s="272">
        <f t="shared" ca="1" si="167"/>
        <v>39</v>
      </c>
      <c r="AH88" s="272">
        <f t="shared" ca="1" si="167"/>
        <v>55</v>
      </c>
      <c r="AI88" s="272">
        <f t="shared" ca="1" si="167"/>
        <v>48</v>
      </c>
      <c r="AJ88" s="273">
        <f t="shared" ca="1" si="167"/>
        <v>73</v>
      </c>
      <c r="AK88" s="312">
        <f t="shared" ca="1" si="158"/>
        <v>31.690121981927149</v>
      </c>
      <c r="AL88" s="313">
        <f t="shared" ca="1" si="159"/>
        <v>40.594889100760014</v>
      </c>
      <c r="AM88" s="313">
        <f t="shared" ca="1" si="160"/>
        <v>1.8977818042760939</v>
      </c>
      <c r="AN88" s="313">
        <f t="shared" ca="1" si="161"/>
        <v>2.6732892301236206</v>
      </c>
      <c r="AO88" s="313">
        <f t="shared" ca="1" si="162"/>
        <v>1.3936465375663536</v>
      </c>
      <c r="AP88" s="313">
        <f t="shared" ca="1" si="163"/>
        <v>2.0092056671461185</v>
      </c>
      <c r="AQ88" s="313">
        <f t="shared" ca="1" si="164"/>
        <v>0</v>
      </c>
      <c r="AR88" s="273"/>
      <c r="AS88" s="327">
        <f t="shared" ref="AS88:AS99" ca="1" si="168">IF($A88="N/A"," ",IF(AND(AD88=$AJ$2+1,AK88=0),MIN($AR$99,W88),0))</f>
        <v>0</v>
      </c>
      <c r="AT88" s="322">
        <f t="shared" ref="AT88:AT99" ca="1" si="169">IF($A88="N/A"," ",IF(AND(AE88=$AJ$2+1,AL88=0),MIN($AR$99,X88),0))</f>
        <v>0</v>
      </c>
      <c r="AU88" s="322">
        <f t="shared" ref="AU88:AU99" ca="1" si="170">IF($A88="N/A"," ",IF(AND(AF88=$AJ$2+1,AM88=0),MIN($AR$99,Y88),0))</f>
        <v>0</v>
      </c>
      <c r="AV88" s="322">
        <f t="shared" ref="AV88:AV99" ca="1" si="171">IF($A88="N/A"," ",IF(AND(AG88=$AJ$2+1,AN88=0),MIN($AR$99,Z88),0))</f>
        <v>0</v>
      </c>
      <c r="AW88" s="322">
        <f t="shared" ref="AW88:AW99" ca="1" si="172">IF($A88="N/A"," ",IF(AND(AH88=$AJ$2+1,AO88=0),MIN($AR$99,AA88),0))</f>
        <v>0</v>
      </c>
      <c r="AX88" s="322">
        <f t="shared" ref="AX88:AX99" ca="1" si="173">IF($A88="N/A"," ",IF(AND(AI88=$AJ$2+1,AP88=0),MIN($AR$99,AB88),0))</f>
        <v>0</v>
      </c>
      <c r="AY88" s="322">
        <f t="shared" ref="AY88:AY99" ca="1" si="174">IF($A88="N/A"," ",IF(AND(AJ88=$AJ$2+1,AQ88=0),MIN($AR$99,AC88),0))</f>
        <v>0</v>
      </c>
      <c r="AZ88" s="273"/>
      <c r="BA88" s="267">
        <f ca="1">IF($A88="N/A"," ",(IF(MONTH(A88)&gt;=4,IF(MONTH(A88)&lt;=10,Inputs!$F$13,Inputs!$F$14),Inputs!$F$14))*$BW88)</f>
        <v>180</v>
      </c>
      <c r="BB88" s="268">
        <f t="shared" ca="1" si="165"/>
        <v>33247.247566464437</v>
      </c>
      <c r="BC88" s="268">
        <f t="shared" ca="1" si="166"/>
        <v>48158.42485182688</v>
      </c>
      <c r="BD88" s="268">
        <f t="shared" ca="1" si="133"/>
        <v>1299.1961795848044</v>
      </c>
      <c r="BE88" s="268">
        <f t="shared" ca="1" si="134"/>
        <v>2054.4192111798639</v>
      </c>
      <c r="BF88" s="268">
        <f t="shared" ca="1" si="135"/>
        <v>1083.9963185059637</v>
      </c>
      <c r="BG88" s="268">
        <f t="shared" ca="1" si="136"/>
        <v>1751.4349508479227</v>
      </c>
      <c r="BH88" s="268">
        <f t="shared" ca="1" si="157"/>
        <v>0</v>
      </c>
      <c r="BI88" s="268">
        <f t="shared" ca="1" si="137"/>
        <v>87594.719078409864</v>
      </c>
      <c r="BJ88" s="296">
        <f t="shared" ca="1" si="138"/>
        <v>747900.9053711195</v>
      </c>
      <c r="BK88" s="296">
        <f t="shared" ca="1" si="139"/>
        <v>719007.68901527172</v>
      </c>
      <c r="BL88" s="296">
        <f t="shared" ca="1" si="140"/>
        <v>28893.216355847762</v>
      </c>
      <c r="BM88" s="296">
        <f t="shared" ca="1" si="141"/>
        <v>0</v>
      </c>
      <c r="BN88" s="405">
        <f>IF(A88="N/A"," ",(VLOOKUP(A88,PowerVolTable,(IF('Pricing Inputs'!$AT$3=2,7,IF('Pricing Inputs'!$AT$3=1,6,8))),FALSE)))</f>
        <v>0.19832779209062498</v>
      </c>
      <c r="BO88" s="405">
        <f>IF(A88="N/A"," ",(VLOOKUP(A88,IntraPowerVol,(IF('Pricing Inputs'!$AT$3=2,3,IF('Pricing Inputs'!$AT$3=1,2,4))),FALSE)*VLOOKUP(MONTH($A88),Inputs!$A$28:$B$39,2)))</f>
        <v>2.2999999999999998</v>
      </c>
      <c r="BP88" s="406">
        <f t="shared" ca="1" si="126"/>
        <v>0.25822917149084113</v>
      </c>
      <c r="BQ88" s="405">
        <f ca="1">IF($A88="N/A"," ",(VLOOKUP($A88,GasVolTable,(IF('Pricing Inputs'!$AT$3=2,6,IF('Pricing Inputs'!$AT$3=1,7,5))),FALSE)))</f>
        <v>0.1575</v>
      </c>
      <c r="BR88" s="405">
        <f ca="1">IF($A88="N/A"," ",(VLOOKUP($A88,OmicronVol,(IF('Pricing Inputs'!$AT$3=2,3,IF('Pricing Inputs'!$AT$3=1,4,2))),FALSE)))</f>
        <v>1.45</v>
      </c>
      <c r="BS88" s="406">
        <f ca="1">IF($A88="N/A"," ",IF('Pricing Inputs'!$AN$3=1,(IF(DateToday&gt;$A88,$BR88,((($BQ88^2)*((($A88-1)-DateToday)/((EOMONTH($A88,0)+1)-DateToday-15)))+((($BR88)^2)*((15)/((EOMONTH($A88,0)+1)-DateToday-15))))^0.5)),0.0001))</f>
        <v>0.18873688312881612</v>
      </c>
      <c r="BT88" s="405">
        <f>IF($A88="N/A"," ",IF('Pricing Inputs'!$AN$3=1,(VLOOKUP($A88,CorrelationTable,2,FALSE)),0))</f>
        <v>0.9</v>
      </c>
      <c r="BU88" s="407">
        <f ca="1">IF($A88="N/A"," ",F88+G88+(D88*(VLOOKUP($A88,'Gas Curves'!$B$17:$P$310,14,FALSE))))</f>
        <v>2.6825000000000001</v>
      </c>
      <c r="BV88" s="405">
        <f>IF($A88="N/A"," ",IF('Pricing Inputs'!$AW$3=1,0,(VLOOKUP($A88,InterestRatesTable,2))))</f>
        <v>0</v>
      </c>
      <c r="BW88" s="408">
        <f t="shared" ca="1" si="127"/>
        <v>1</v>
      </c>
    </row>
    <row r="89" spans="1:75">
      <c r="A89" s="248">
        <f>IF(A88="N/A","N/A",IF(EDATE(A88,1)&gt;Inputs!$K$3,"N/A",EDATE(A88,1)))</f>
        <v>39479</v>
      </c>
      <c r="B89" s="262">
        <f t="shared" si="128"/>
        <v>2008</v>
      </c>
      <c r="C89" s="249">
        <f t="shared" ca="1" si="129"/>
        <v>4.5220000000000002</v>
      </c>
      <c r="D89" s="250">
        <f>IF(A89="N/A"," ",(VLOOKUP(MONTH($A89),Inputs!$A$14:$B$25,2))/1000)</f>
        <v>10.5</v>
      </c>
      <c r="E89" s="304">
        <f t="shared" ca="1" si="130"/>
        <v>47.481000000000002</v>
      </c>
      <c r="F89" s="251">
        <f>IF(A89="N/A"," ",Inputs!$F$6)</f>
        <v>2</v>
      </c>
      <c r="G89" s="251">
        <f ca="1">IF(A89="N/A"," ",Inputs!$F$9/IF(AND('Pricing Inputs'!$AQ$3&gt;=4,'Pricing Inputs'!$AQ$3&lt;=6),16,IF(AND('Pricing Inputs'!$AQ$3&gt;=7,'Pricing Inputs'!$AQ$3&lt;=9),8,24))/(BA89/BW89))</f>
        <v>0</v>
      </c>
      <c r="H89" s="252">
        <f t="shared" ca="1" si="131"/>
        <v>49.481000000000002</v>
      </c>
      <c r="I89" s="255">
        <f>VLOOKUP(A89,ScaledPrice,(IF(AND('Pricing Inputs'!$AQ$3&gt;=1,'Pricing Inputs'!$AQ$3&lt;=6),2,4)))</f>
        <v>35.906850746319819</v>
      </c>
      <c r="J89" s="255">
        <f>IF(A89="N/A"," ",IF(AND('Pricing Inputs'!$AQ$3&gt;=1,'Pricing Inputs'!$AQ$3&lt;=6),I89,(VLOOKUP(A89,ScaledPrice,2))*(2-(VLOOKUP(A89,ScaledPrice,3)))))</f>
        <v>38.193149253680176</v>
      </c>
      <c r="K89" s="255">
        <f>IF(A89="N/A"," ",IF(OR('Pricing Inputs'!$AQ$3=2,'Pricing Inputs'!$AQ$3=3,'Pricing Inputs'!$AQ$3=5,'Pricing Inputs'!$AQ$3=6,'Pricing Inputs'!$AQ$3=8,'Pricing Inputs'!$AQ$3=9),VLOOKUP(A89,ScaledPrice,IF(AND('Pricing Inputs'!$AQ$3&gt;=2,'Pricing Inputs'!$AQ$3&lt;=6),5,6)),0))</f>
        <v>27.762392136861394</v>
      </c>
      <c r="L89" s="255">
        <f>IF(A89="N/A"," ",IF(OR('Pricing Inputs'!$AQ$3=2,'Pricing Inputs'!$AQ$3=3,'Pricing Inputs'!$AQ$3=5,'Pricing Inputs'!$AQ$3=6,'Pricing Inputs'!$AQ$3=8,'Pricing Inputs'!$AQ$3=9),IF(AND('Pricing Inputs'!$AQ$3&gt;=2,'Pricing Inputs'!$AQ$3&lt;=6),K89,(VLOOKUP(A89,ScaledPrice,5))*(2-(VLOOKUP(A89,ScaledPrice,3)))),0))</f>
        <v>29.530108168314378</v>
      </c>
      <c r="M89" s="255">
        <f>IF(A89="N/A"," ",IF(OR('Pricing Inputs'!$AQ$3=3,'Pricing Inputs'!$AQ$3=6,'Pricing Inputs'!$AQ$3=9),(VLOOKUP(A89,ScaledPrice,IF(AND('Pricing Inputs'!$AQ$3&gt;=3,'Pricing Inputs'!$AQ$3&lt;=6),7,8))),0))</f>
        <v>25.340738480784619</v>
      </c>
      <c r="N89" s="255">
        <f>IF(A89="N/A"," ",IF(OR('Pricing Inputs'!$AQ$3=3,'Pricing Inputs'!$AQ$3=6,'Pricing Inputs'!$AQ$3=9),IF(AND('Pricing Inputs'!$AQ$3&gt;=3,'Pricing Inputs'!$AQ$3&lt;=6),M89,(VLOOKUP(A89,ScaledPrice,7))*(2-(VLOOKUP(A89,ScaledPrice,3)))),0))</f>
        <v>26.954260451100136</v>
      </c>
      <c r="O89" s="255">
        <f>IF(A89="N/A"," ",IF(AND('Pricing Inputs'!$AQ$3&gt;=1,'Pricing Inputs'!$AQ$3&lt;=3),VLOOKUP(A89,ScaledPrice,9),0))</f>
        <v>0</v>
      </c>
      <c r="P89" s="320">
        <f ca="1">IF($A89="N/A"," ",IF('Pricing Inputs'!$AN$8=2,(I89-H89),IF('Pricing Inputs'!$AN$3=2,IF((I89-$H89)&gt;0,I89-$H89,0),(_xll.xSPRDOPT(I89,$E89,$BU89,0,$BP89,$BS89,$BT89,($A89-Inputs!$D$1)+15,1,0)))))</f>
        <v>1.2127036269845228</v>
      </c>
      <c r="Q89" s="320">
        <f ca="1">IF($A89="N/A"," ",IF('Pricing Inputs'!$AN$8=2,(J89-$H89),IF('Pricing Inputs'!$AN$3=2,IF((J89-$H89)&gt;0,J89-$H89,0),(_xll.xSPRDOPT(J89,$E89,$BU89,0,$BP89,$BS89,$BT89,($A89-Inputs!$D$1)+15,1,0)))))</f>
        <v>1.7498715967100169</v>
      </c>
      <c r="R89" s="320">
        <f ca="1">IF($A89="N/A"," ",IF('Pricing Inputs'!$AN$8=2,(K89-$H89),IF('Pricing Inputs'!$AN$3=2,IF((K89-$H89)&gt;0,K89-$H89,0),(_xll.xSPRDOPT(K89,$E89,$BU89,0,$BP89,$BS89,$BT89,($A89-Inputs!$D$1)+15,1,0)))))</f>
        <v>0.20066191668900277</v>
      </c>
      <c r="S89" s="320">
        <f ca="1">IF($A89="N/A"," ",IF('Pricing Inputs'!$AN$8=2,(L89-$H89),IF('Pricing Inputs'!$AN$3=2,IF((L89-$H89)&gt;0,L89-$H89,0),(_xll.xSPRDOPT(L89,$E89,$BU89,0,$BP89,$BS89,$BT89,($A89-Inputs!$D$1)+15,1,0)))))</f>
        <v>0.32206175113223151</v>
      </c>
      <c r="T89" s="320">
        <f ca="1">IF($A89="N/A"," ",IF('Pricing Inputs'!$AN$8=2,(M89-$H89),IF('Pricing Inputs'!$AN$3=2,IF((M89-$H89)&gt;0,M89-$H89,0),(_xll.xSPRDOPT(M89,$E89,$BU89,0,$BP89,$BS89,$BT89,($A89-Inputs!$D$1)+15,1,0)))))</f>
        <v>9.4814867399371033E-2</v>
      </c>
      <c r="U89" s="320">
        <f ca="1">IF($A89="N/A"," ",IF('Pricing Inputs'!$AN$8=2,(N89-$H89),IF('Pricing Inputs'!$AN$3=2,IF((N89-$H89)&gt;0,N89-$H89,0),(_xll.xSPRDOPT(N89,$E89,$BU89,0,$BP89,$BS89,$BT89,($A89-Inputs!$D$1)+15,1,0)))))</f>
        <v>0.15847333738582908</v>
      </c>
      <c r="V89" s="259">
        <f ca="1">IF($A89="N/A"," ",(IF('Pricing Inputs'!$AN$8=2,(O89-$H89),IF((O89-$H89)&lt;=0,0,(O89-$H89)))))</f>
        <v>0</v>
      </c>
      <c r="W89" s="306">
        <f ca="1">IF($A89="N/A"," ",IF(0&lt;&gt;P89,IF('Pricing Inputs'!$AN$3=2,8*VLOOKUP($A89,NumberofDaysTable,2),(_xll.xSPRDOPT(I89,$E89,$BU89,0,$BP89,$BS89,$BT89,$A89-Inputs!$D$1,1,1))*(8*VLOOKUP($A89,NumberofDaysTable,2))),0))</f>
        <v>34.66824705498469</v>
      </c>
      <c r="X89" s="306">
        <f ca="1">IF($A89="N/A"," ",IF(Q89&lt;&gt;0,IF('Pricing Inputs'!$AN$3=2,8*VLOOKUP($A89,NumberofDaysTable,2),(_xll.xSPRDOPT(J89,$E89,$BU89,0,$BP89,$BS89,$BT89,$A89-Inputs!$D$1,1,1))*(8*VLOOKUP($A89,NumberofDaysTable,2))),0))</f>
        <v>44.102343233231359</v>
      </c>
      <c r="Y89" s="306">
        <f ca="1">IF($A89="N/A"," ",IF(R89&lt;&gt;0,IF('Pricing Inputs'!$AN$3=2,8*VLOOKUP($A89,NumberofDaysTable,3),(_xll.xSPRDOPT(K89,$E89,$BU89,0,$BP89,$BS89,$BT89,$A89-Inputs!$D$1,1,1))*(8*VLOOKUP($A89,NumberofDaysTable,3))),0))</f>
        <v>1.8053395511997052</v>
      </c>
      <c r="Z89" s="306">
        <f ca="1">IF($A89="N/A"," ",IF(S89&lt;&gt;0,IF('Pricing Inputs'!$AN$3=2,8*VLOOKUP($A89,NumberofDaysTable,3),(_xll.xSPRDOPT(L89,$E89,$BU89,0,$BP89,$BS89,$BT89,$A89-Inputs!$D$1,1,1))*(8*VLOOKUP($A89,NumberofDaysTable,3))),0))</f>
        <v>2.5773756230095959</v>
      </c>
      <c r="AA89" s="306">
        <f ca="1">IF($A89="N/A"," ",IF(T89&lt;&gt;0,IF('Pricing Inputs'!$AN$3=2,8*VLOOKUP($A89,NumberofDaysTable,4),(_xll.xSPRDOPT(M89,$E89,$BU89,0,$BP89,$BS89,$BT89,$A89-Inputs!$D$1,1,1))*(8*VLOOKUP($A89,NumberofDaysTable,4))),0))</f>
        <v>1.0104262069699181</v>
      </c>
      <c r="AB89" s="306">
        <f ca="1">IF($A89="N/A"," ",IF(U89&lt;&gt;0,IF('Pricing Inputs'!$AN$3=2,8*VLOOKUP($A89,NumberofDaysTable,4),(_xll.xSPRDOPT(N89,$E89,$BU89,0,$BP89,$BS89,$BT89,$A89-Inputs!$D$1,1,1))*(8*VLOOKUP($A89,NumberofDaysTable,4))),0))</f>
        <v>1.5068322188022305</v>
      </c>
      <c r="AC89" s="306">
        <f t="shared" ca="1" si="132"/>
        <v>0</v>
      </c>
      <c r="AD89" s="274">
        <f t="shared" ref="AD89:AD99" ca="1" si="175">IF($A89="N/A"," ",RANK(P89,$P$88:$V$99))</f>
        <v>29</v>
      </c>
      <c r="AE89" s="275">
        <f t="shared" ref="AE89:AE99" ca="1" si="176">IF($A89="N/A"," ",RANK(Q89,$P$88:$V$99))</f>
        <v>25</v>
      </c>
      <c r="AF89" s="275">
        <f t="shared" ref="AF89:AF99" ca="1" si="177">IF($A89="N/A"," ",RANK(R89,$P$88:$V$99))</f>
        <v>51</v>
      </c>
      <c r="AG89" s="275">
        <f t="shared" ref="AG89:AG99" ca="1" si="178">IF($A89="N/A"," ",RANK(S89,$P$88:$V$99))</f>
        <v>41</v>
      </c>
      <c r="AH89" s="275">
        <f t="shared" ref="AH89:AH99" ca="1" si="179">IF($A89="N/A"," ",RANK(T89,$P$88:$V$99))</f>
        <v>58</v>
      </c>
      <c r="AI89" s="275">
        <f t="shared" ref="AI89:AI99" ca="1" si="180">IF($A89="N/A"," ",RANK(U89,$P$88:$V$99))</f>
        <v>54</v>
      </c>
      <c r="AJ89" s="276">
        <f t="shared" ref="AJ89:AJ99" ca="1" si="181">IF($A89="N/A"," ",RANK(V89,$P$88:$V$99))</f>
        <v>73</v>
      </c>
      <c r="AK89" s="314">
        <f t="shared" ca="1" si="158"/>
        <v>34.66824705498469</v>
      </c>
      <c r="AL89" s="315">
        <f t="shared" ca="1" si="159"/>
        <v>44.102343233231359</v>
      </c>
      <c r="AM89" s="315">
        <f t="shared" ca="1" si="160"/>
        <v>1.8053395511997052</v>
      </c>
      <c r="AN89" s="315">
        <f t="shared" ca="1" si="161"/>
        <v>2.5773756230095959</v>
      </c>
      <c r="AO89" s="315">
        <f t="shared" ca="1" si="162"/>
        <v>1.0104262069699181</v>
      </c>
      <c r="AP89" s="315">
        <f t="shared" ca="1" si="163"/>
        <v>1.5068322188022305</v>
      </c>
      <c r="AQ89" s="315">
        <f t="shared" ca="1" si="164"/>
        <v>0</v>
      </c>
      <c r="AR89" s="276"/>
      <c r="AS89" s="321">
        <f t="shared" ca="1" si="168"/>
        <v>0</v>
      </c>
      <c r="AT89" s="324">
        <f t="shared" ca="1" si="169"/>
        <v>0</v>
      </c>
      <c r="AU89" s="324">
        <f t="shared" ca="1" si="170"/>
        <v>0</v>
      </c>
      <c r="AV89" s="324">
        <f t="shared" ca="1" si="171"/>
        <v>0</v>
      </c>
      <c r="AW89" s="324">
        <f t="shared" ca="1" si="172"/>
        <v>0</v>
      </c>
      <c r="AX89" s="324">
        <f t="shared" ca="1" si="173"/>
        <v>0</v>
      </c>
      <c r="AY89" s="324">
        <f t="shared" ca="1" si="174"/>
        <v>0</v>
      </c>
      <c r="AZ89" s="276"/>
      <c r="BA89" s="267">
        <f ca="1">IF($A89="N/A"," ",(IF(MONTH(A89)&gt;=4,IF(MONTH(A89)&lt;=10,Inputs!$F$13,Inputs!$F$14),Inputs!$F$14))*$BW89)</f>
        <v>180</v>
      </c>
      <c r="BB89" s="268">
        <f t="shared" ca="1" si="165"/>
        <v>36672.157680011973</v>
      </c>
      <c r="BC89" s="268">
        <f t="shared" ca="1" si="166"/>
        <v>52916.117084510908</v>
      </c>
      <c r="BD89" s="268">
        <f t="shared" ca="1" si="133"/>
        <v>1155.8126401286559</v>
      </c>
      <c r="BE89" s="268">
        <f t="shared" ca="1" si="134"/>
        <v>1855.0756865216536</v>
      </c>
      <c r="BF89" s="268">
        <f t="shared" ca="1" si="135"/>
        <v>546.13363622037718</v>
      </c>
      <c r="BG89" s="268">
        <f t="shared" ca="1" si="136"/>
        <v>912.80642334237552</v>
      </c>
      <c r="BH89" s="268">
        <f t="shared" ca="1" si="157"/>
        <v>0</v>
      </c>
      <c r="BI89" s="268">
        <f t="shared" ca="1" si="137"/>
        <v>94058.103150735944</v>
      </c>
      <c r="BJ89" s="296">
        <f t="shared" ca="1" si="138"/>
        <v>763031.73091534222</v>
      </c>
      <c r="BK89" s="296">
        <f t="shared" ca="1" si="139"/>
        <v>732190.32791559119</v>
      </c>
      <c r="BL89" s="296">
        <f t="shared" ca="1" si="140"/>
        <v>30841.402999751106</v>
      </c>
      <c r="BM89" s="296">
        <f t="shared" ca="1" si="141"/>
        <v>0</v>
      </c>
      <c r="BN89" s="405">
        <f>IF(A89="N/A"," ",(VLOOKUP(A89,PowerVolTable,(IF('Pricing Inputs'!$AT$3=2,7,IF('Pricing Inputs'!$AT$3=1,6,8))),FALSE)))</f>
        <v>0.19134441912968747</v>
      </c>
      <c r="BO89" s="405">
        <f>IF(A89="N/A"," ",(VLOOKUP(A89,IntraPowerVol,(IF('Pricing Inputs'!$AT$3=2,3,IF('Pricing Inputs'!$AT$3=1,2,4))),FALSE)*VLOOKUP(MONTH($A89),Inputs!$A$28:$B$39,2)))</f>
        <v>2.2999999999999998</v>
      </c>
      <c r="BP89" s="406">
        <f t="shared" ca="1" si="126"/>
        <v>0.25244658136461812</v>
      </c>
      <c r="BQ89" s="405">
        <f ca="1">IF($A89="N/A"," ",(VLOOKUP($A89,GasVolTable,(IF('Pricing Inputs'!$AT$3=2,6,IF('Pricing Inputs'!$AT$3=1,7,5))),FALSE)))</f>
        <v>0.1575</v>
      </c>
      <c r="BR89" s="405">
        <f ca="1">IF($A89="N/A"," ",(VLOOKUP($A89,OmicronVol,(IF('Pricing Inputs'!$AT$3=2,3,IF('Pricing Inputs'!$AT$3=1,4,2))),FALSE)))</f>
        <v>1.45</v>
      </c>
      <c r="BS89" s="406">
        <f ca="1">IF($A89="N/A"," ",IF('Pricing Inputs'!$AN$3=1,(IF(DateToday&gt;$A89,$BR89,((($BQ89^2)*((($A89-1)-DateToday)/((EOMONTH($A89,0)+1)-DateToday-15)))+((($BR89)^2)*((15)/((EOMONTH($A89,0)+1)-DateToday-15))))^0.5)),0.0001))</f>
        <v>0.18849602962150031</v>
      </c>
      <c r="BT89" s="405">
        <f>IF($A89="N/A"," ",IF('Pricing Inputs'!$AN$3=1,(VLOOKUP($A89,CorrelationTable,2,FALSE)),0))</f>
        <v>0.9</v>
      </c>
      <c r="BU89" s="407">
        <f ca="1">IF($A89="N/A"," ",F89+G89+(D89*(VLOOKUP($A89,'Gas Curves'!$B$17:$P$310,14,FALSE))))</f>
        <v>2.6825000000000001</v>
      </c>
      <c r="BV89" s="405">
        <f>IF($A89="N/A"," ",IF('Pricing Inputs'!$AW$3=1,0,(VLOOKUP($A89,InterestRatesTable,2))))</f>
        <v>0</v>
      </c>
      <c r="BW89" s="408">
        <f t="shared" ca="1" si="127"/>
        <v>1</v>
      </c>
    </row>
    <row r="90" spans="1:75">
      <c r="A90" s="248">
        <f>IF(A89="N/A","N/A",IF(EDATE(A89,1)&gt;Inputs!$K$3,"N/A",EDATE(A89,1)))</f>
        <v>39508</v>
      </c>
      <c r="B90" s="262">
        <f t="shared" si="128"/>
        <v>2008</v>
      </c>
      <c r="C90" s="249">
        <f t="shared" ca="1" si="129"/>
        <v>3.8719999999999999</v>
      </c>
      <c r="D90" s="250">
        <f>IF(A90="N/A"," ",(VLOOKUP(MONTH($A90),Inputs!$A$14:$B$25,2))/1000)</f>
        <v>10.5</v>
      </c>
      <c r="E90" s="304">
        <f t="shared" ca="1" si="130"/>
        <v>40.655999999999999</v>
      </c>
      <c r="F90" s="251">
        <f>IF(A90="N/A"," ",Inputs!$F$6)</f>
        <v>2</v>
      </c>
      <c r="G90" s="251">
        <f ca="1">IF(A90="N/A"," ",Inputs!$F$9/IF(AND('Pricing Inputs'!$AQ$3&gt;=4,'Pricing Inputs'!$AQ$3&lt;=6),16,IF(AND('Pricing Inputs'!$AQ$3&gt;=7,'Pricing Inputs'!$AQ$3&lt;=9),8,24))/(BA90/BW90))</f>
        <v>0</v>
      </c>
      <c r="H90" s="252">
        <f t="shared" ca="1" si="131"/>
        <v>42.655999999999999</v>
      </c>
      <c r="I90" s="255">
        <f>VLOOKUP(A90,ScaledPrice,(IF(AND('Pricing Inputs'!$AQ$3&gt;=1,'Pricing Inputs'!$AQ$3&lt;=6),2,4)))</f>
        <v>32.355944999999998</v>
      </c>
      <c r="J90" s="255">
        <f>IF(A90="N/A"," ",IF(AND('Pricing Inputs'!$AQ$3&gt;=1,'Pricing Inputs'!$AQ$3&lt;=6),I90,(VLOOKUP(A90,ScaledPrice,2))*(2-(VLOOKUP(A90,ScaledPrice,3)))))</f>
        <v>34.244054999999996</v>
      </c>
      <c r="K90" s="255">
        <f>IF(A90="N/A"," ",IF(OR('Pricing Inputs'!$AQ$3=2,'Pricing Inputs'!$AQ$3=3,'Pricing Inputs'!$AQ$3=5,'Pricing Inputs'!$AQ$3=6,'Pricing Inputs'!$AQ$3=8,'Pricing Inputs'!$AQ$3=9),VLOOKUP(A90,ScaledPrice,IF(AND('Pricing Inputs'!$AQ$3&gt;=2,'Pricing Inputs'!$AQ$3&lt;=6),5,6)),0))</f>
        <v>21.215734452018737</v>
      </c>
      <c r="L90" s="255">
        <f>IF(A90="N/A"," ",IF(OR('Pricing Inputs'!$AQ$3=2,'Pricing Inputs'!$AQ$3=3,'Pricing Inputs'!$AQ$3=5,'Pricing Inputs'!$AQ$3=6,'Pricing Inputs'!$AQ$3=8,'Pricing Inputs'!$AQ$3=9),IF(AND('Pricing Inputs'!$AQ$3&gt;=2,'Pricing Inputs'!$AQ$3&lt;=6),K90,(VLOOKUP(A90,ScaledPrice,5))*(2-(VLOOKUP(A90,ScaledPrice,3)))),0))</f>
        <v>22.453764754524222</v>
      </c>
      <c r="M90" s="255">
        <f>IF(A90="N/A"," ",IF(OR('Pricing Inputs'!$AQ$3=3,'Pricing Inputs'!$AQ$3=6,'Pricing Inputs'!$AQ$3=9),(VLOOKUP(A90,ScaledPrice,IF(AND('Pricing Inputs'!$AQ$3&gt;=3,'Pricing Inputs'!$AQ$3&lt;=6),7,8))),0))</f>
        <v>20.855980357513424</v>
      </c>
      <c r="N90" s="255">
        <f>IF(A90="N/A"," ",IF(OR('Pricing Inputs'!$AQ$3=3,'Pricing Inputs'!$AQ$3=6,'Pricing Inputs'!$AQ$3=9),IF(AND('Pricing Inputs'!$AQ$3&gt;=3,'Pricing Inputs'!$AQ$3&lt;=6),M90,(VLOOKUP(A90,ScaledPrice,7))*(2-(VLOOKUP(A90,ScaledPrice,3)))),0))</f>
        <v>22.073017445220941</v>
      </c>
      <c r="O90" s="255">
        <f>IF(A90="N/A"," ",IF(AND('Pricing Inputs'!$AQ$3&gt;=1,'Pricing Inputs'!$AQ$3&lt;=3),VLOOKUP(A90,ScaledPrice,9),0))</f>
        <v>0</v>
      </c>
      <c r="P90" s="320">
        <f ca="1">IF($A90="N/A"," ",IF('Pricing Inputs'!$AN$8=2,(I90-H90),IF('Pricing Inputs'!$AN$3=2,IF((I90-$H90)&gt;0,I90-$H90,0),(_xll.xSPRDOPT(I90,$E90,$BU90,0,$BP90,$BS90,$BT90,($A90-Inputs!$D$1)+15,1,0)))))</f>
        <v>0.78726996844509656</v>
      </c>
      <c r="Q90" s="320">
        <f ca="1">IF($A90="N/A"," ",IF('Pricing Inputs'!$AN$8=2,(J90-$H90),IF('Pricing Inputs'!$AN$3=2,IF((J90-$H90)&gt;0,J90-$H90,0),(_xll.xSPRDOPT(J90,$E90,$BU90,0,$BP90,$BS90,$BT90,($A90-Inputs!$D$1)+15,1,0)))))</f>
        <v>1.1858285061516625</v>
      </c>
      <c r="R90" s="320">
        <f ca="1">IF($A90="N/A"," ",IF('Pricing Inputs'!$AN$8=2,(K90-$H90),IF('Pricing Inputs'!$AN$3=2,IF((K90-$H90)&gt;0,K90-$H90,0),(_xll.xSPRDOPT(K90,$E90,$BU90,0,$BP90,$BS90,$BT90,($A90-Inputs!$D$1)+15,1,0)))))</f>
        <v>1.3452781658369259E-2</v>
      </c>
      <c r="S90" s="320">
        <f ca="1">IF($A90="N/A"," ",IF('Pricing Inputs'!$AN$8=2,(L90-$H90),IF('Pricing Inputs'!$AN$3=2,IF((L90-$H90)&gt;0,L90-$H90,0),(_xll.xSPRDOPT(L90,$E90,$BU90,0,$BP90,$BS90,$BT90,($A90-Inputs!$D$1)+15,1,0)))))</f>
        <v>2.5980419830945171E-2</v>
      </c>
      <c r="T90" s="320">
        <f ca="1">IF($A90="N/A"," ",IF('Pricing Inputs'!$AN$8=2,(M90-$H90),IF('Pricing Inputs'!$AN$3=2,IF((M90-$H90)&gt;0,M90-$H90,0),(_xll.xSPRDOPT(M90,$E90,$BU90,0,$BP90,$BS90,$BT90,($A90-Inputs!$D$1)+15,1,0)))))</f>
        <v>1.0952801725940764E-2</v>
      </c>
      <c r="U90" s="320">
        <f ca="1">IF($A90="N/A"," ",IF('Pricing Inputs'!$AN$8=2,(N90-$H90),IF('Pricing Inputs'!$AN$3=2,IF((N90-$H90)&gt;0,N90-$H90,0),(_xll.xSPRDOPT(N90,$E90,$BU90,0,$BP90,$BS90,$BT90,($A90-Inputs!$D$1)+15,1,0)))))</f>
        <v>2.1384796864580845E-2</v>
      </c>
      <c r="V90" s="259">
        <f ca="1">IF($A90="N/A"," ",(IF('Pricing Inputs'!$AN$8=2,(O90-$H90),IF((O90-$H90)&lt;=0,0,(O90-$H90)))))</f>
        <v>0</v>
      </c>
      <c r="W90" s="306">
        <f ca="1">IF($A90="N/A"," ",IF(0&lt;&gt;P90,IF('Pricing Inputs'!$AN$3=2,8*VLOOKUP($A90,NumberofDaysTable,2),(_xll.xSPRDOPT(I90,$E90,$BU90,0,$BP90,$BS90,$BT90,$A90-Inputs!$D$1,1,1))*(8*VLOOKUP($A90,NumberofDaysTable,2))),0))</f>
        <v>30.47437628867705</v>
      </c>
      <c r="X90" s="306">
        <f ca="1">IF($A90="N/A"," ",IF(Q90&lt;&gt;0,IF('Pricing Inputs'!$AN$3=2,8*VLOOKUP($A90,NumberofDaysTable,2),(_xll.xSPRDOPT(J90,$E90,$BU90,0,$BP90,$BS90,$BT90,$A90-Inputs!$D$1,1,1))*(8*VLOOKUP($A90,NumberofDaysTable,2))),0))</f>
        <v>40.358986337857836</v>
      </c>
      <c r="Y90" s="306">
        <f ca="1">IF($A90="N/A"," ",IF(R90&lt;&gt;0,IF('Pricing Inputs'!$AN$3=2,8*VLOOKUP($A90,NumberofDaysTable,3),(_xll.xSPRDOPT(K90,$E90,$BU90,0,$BP90,$BS90,$BT90,$A90-Inputs!$D$1,1,1))*(8*VLOOKUP($A90,NumberofDaysTable,3))),0))</f>
        <v>0.2966888228744044</v>
      </c>
      <c r="Z90" s="306">
        <f ca="1">IF($A90="N/A"," ",IF(S90&lt;&gt;0,IF('Pricing Inputs'!$AN$3=2,8*VLOOKUP($A90,NumberofDaysTable,3),(_xll.xSPRDOPT(L90,$E90,$BU90,0,$BP90,$BS90,$BT90,$A90-Inputs!$D$1,1,1))*(8*VLOOKUP($A90,NumberofDaysTable,3))),0))</f>
        <v>0.51378500244912384</v>
      </c>
      <c r="AA90" s="306">
        <f ca="1">IF($A90="N/A"," ",IF(T90&lt;&gt;0,IF('Pricing Inputs'!$AN$3=2,8*VLOOKUP($A90,NumberofDaysTable,4),(_xll.xSPRDOPT(M90,$E90,$BU90,0,$BP90,$BS90,$BT90,$A90-Inputs!$D$1,1,1))*(8*VLOOKUP($A90,NumberofDaysTable,4))),0))</f>
        <v>0.24951643425505488</v>
      </c>
      <c r="AB90" s="306">
        <f ca="1">IF($A90="N/A"," ",IF(U90&lt;&gt;0,IF('Pricing Inputs'!$AN$3=2,8*VLOOKUP($A90,NumberofDaysTable,4),(_xll.xSPRDOPT(N90,$E90,$BU90,0,$BP90,$BS90,$BT90,$A90-Inputs!$D$1,1,1))*(8*VLOOKUP($A90,NumberofDaysTable,4))),0))</f>
        <v>0.43714553778358478</v>
      </c>
      <c r="AC90" s="306">
        <f t="shared" ca="1" si="132"/>
        <v>0</v>
      </c>
      <c r="AD90" s="274">
        <f t="shared" ca="1" si="175"/>
        <v>33</v>
      </c>
      <c r="AE90" s="275">
        <f t="shared" ca="1" si="176"/>
        <v>30</v>
      </c>
      <c r="AF90" s="275">
        <f t="shared" ca="1" si="177"/>
        <v>69</v>
      </c>
      <c r="AG90" s="275">
        <f t="shared" ca="1" si="178"/>
        <v>65</v>
      </c>
      <c r="AH90" s="275">
        <f t="shared" ca="1" si="179"/>
        <v>70</v>
      </c>
      <c r="AI90" s="275">
        <f t="shared" ca="1" si="180"/>
        <v>67</v>
      </c>
      <c r="AJ90" s="276">
        <f t="shared" ca="1" si="181"/>
        <v>73</v>
      </c>
      <c r="AK90" s="314">
        <f t="shared" ca="1" si="158"/>
        <v>30.47437628867705</v>
      </c>
      <c r="AL90" s="315">
        <f t="shared" ca="1" si="159"/>
        <v>40.358986337857836</v>
      </c>
      <c r="AM90" s="315">
        <f t="shared" ca="1" si="160"/>
        <v>0.2966888228744044</v>
      </c>
      <c r="AN90" s="315">
        <f t="shared" ca="1" si="161"/>
        <v>0.51378500244912384</v>
      </c>
      <c r="AO90" s="315">
        <f t="shared" ca="1" si="162"/>
        <v>0.24951643425505488</v>
      </c>
      <c r="AP90" s="315">
        <f t="shared" ca="1" si="163"/>
        <v>0.43714553778358478</v>
      </c>
      <c r="AQ90" s="315">
        <f t="shared" ca="1" si="164"/>
        <v>0</v>
      </c>
      <c r="AR90" s="276"/>
      <c r="AS90" s="321">
        <f t="shared" ca="1" si="168"/>
        <v>0</v>
      </c>
      <c r="AT90" s="324">
        <f t="shared" ca="1" si="169"/>
        <v>0</v>
      </c>
      <c r="AU90" s="324">
        <f t="shared" ca="1" si="170"/>
        <v>0</v>
      </c>
      <c r="AV90" s="324">
        <f t="shared" ca="1" si="171"/>
        <v>0</v>
      </c>
      <c r="AW90" s="324">
        <f t="shared" ca="1" si="172"/>
        <v>0</v>
      </c>
      <c r="AX90" s="324">
        <f t="shared" ca="1" si="173"/>
        <v>0</v>
      </c>
      <c r="AY90" s="324">
        <f t="shared" ca="1" si="174"/>
        <v>0</v>
      </c>
      <c r="AZ90" s="276"/>
      <c r="BA90" s="267">
        <f ca="1">IF($A90="N/A"," ",(IF(MONTH(A90)&gt;=4,IF(MONTH(A90)&lt;=10,Inputs!$F$13,Inputs!$F$14),Inputs!$F$14))*$BW90)</f>
        <v>180</v>
      </c>
      <c r="BB90" s="268">
        <f t="shared" ca="1" si="165"/>
        <v>23807.043845779721</v>
      </c>
      <c r="BC90" s="268">
        <f t="shared" ca="1" si="166"/>
        <v>35859.454026026273</v>
      </c>
      <c r="BD90" s="268">
        <f t="shared" ca="1" si="133"/>
        <v>96.860027940258661</v>
      </c>
      <c r="BE90" s="268">
        <f t="shared" ca="1" si="134"/>
        <v>187.05902278280524</v>
      </c>
      <c r="BF90" s="268">
        <f t="shared" ca="1" si="135"/>
        <v>78.860172426773502</v>
      </c>
      <c r="BG90" s="268">
        <f t="shared" ca="1" si="136"/>
        <v>153.9705374249821</v>
      </c>
      <c r="BH90" s="268">
        <f t="shared" ca="1" si="157"/>
        <v>0</v>
      </c>
      <c r="BI90" s="268">
        <f t="shared" ca="1" si="137"/>
        <v>60183.247632380815</v>
      </c>
      <c r="BJ90" s="296">
        <f t="shared" ca="1" si="138"/>
        <v>555359.35333855555</v>
      </c>
      <c r="BK90" s="296">
        <f t="shared" ca="1" si="139"/>
        <v>529320.37390595255</v>
      </c>
      <c r="BL90" s="296">
        <f t="shared" ca="1" si="140"/>
        <v>26038.979432602941</v>
      </c>
      <c r="BM90" s="296">
        <f t="shared" ca="1" si="141"/>
        <v>0</v>
      </c>
      <c r="BN90" s="405">
        <f>IF(A90="N/A"," ",(VLOOKUP(A90,PowerVolTable,(IF('Pricing Inputs'!$AT$3=2,7,IF('Pricing Inputs'!$AT$3=1,6,8))),FALSE)))</f>
        <v>0.18650843335423825</v>
      </c>
      <c r="BO90" s="405">
        <f>IF(A90="N/A"," ",(VLOOKUP(A90,IntraPowerVol,(IF('Pricing Inputs'!$AT$3=2,3,IF('Pricing Inputs'!$AT$3=1,2,4))),FALSE)*VLOOKUP(MONTH($A90),Inputs!$A$28:$B$39,2)))</f>
        <v>1.4949999999999999</v>
      </c>
      <c r="BP90" s="406">
        <f t="shared" ca="1" si="126"/>
        <v>0.21447351067755444</v>
      </c>
      <c r="BQ90" s="405">
        <f ca="1">IF($A90="N/A"," ",(VLOOKUP($A90,GasVolTable,(IF('Pricing Inputs'!$AT$3=2,6,IF('Pricing Inputs'!$AT$3=1,7,5))),FALSE)))</f>
        <v>0.1575</v>
      </c>
      <c r="BR90" s="405">
        <f ca="1">IF($A90="N/A"," ",(VLOOKUP($A90,OmicronVol,(IF('Pricing Inputs'!$AT$3=2,3,IF('Pricing Inputs'!$AT$3=1,4,2))),FALSE)))</f>
        <v>1</v>
      </c>
      <c r="BS90" s="406">
        <f ca="1">IF($A90="N/A"," ",IF('Pricing Inputs'!$AN$3=1,(IF(DateToday&gt;$A90,$BR90,((($BQ90^2)*((($A90-1)-DateToday)/((EOMONTH($A90,0)+1)-DateToday-15)))+((($BR90)^2)*((15)/((EOMONTH($A90,0)+1)-DateToday-15))))^0.5)),0.0001))</f>
        <v>0.17253961366585713</v>
      </c>
      <c r="BT90" s="405">
        <f>IF($A90="N/A"," ",IF('Pricing Inputs'!$AN$3=1,(VLOOKUP($A90,CorrelationTable,2,FALSE)),0))</f>
        <v>0.9</v>
      </c>
      <c r="BU90" s="407">
        <f ca="1">IF($A90="N/A"," ",F90+G90+(D90*(VLOOKUP($A90,'Gas Curves'!$B$17:$P$310,14,FALSE))))</f>
        <v>2.6825000000000001</v>
      </c>
      <c r="BV90" s="405">
        <f>IF($A90="N/A"," ",IF('Pricing Inputs'!$AW$3=1,0,(VLOOKUP($A90,InterestRatesTable,2))))</f>
        <v>0</v>
      </c>
      <c r="BW90" s="408">
        <f t="shared" ca="1" si="127"/>
        <v>1</v>
      </c>
    </row>
    <row r="91" spans="1:75">
      <c r="A91" s="248">
        <f>IF(A90="N/A","N/A",IF(EDATE(A90,1)&gt;Inputs!$K$3,"N/A",EDATE(A90,1)))</f>
        <v>39539</v>
      </c>
      <c r="B91" s="262">
        <f t="shared" si="128"/>
        <v>2008</v>
      </c>
      <c r="C91" s="249">
        <f t="shared" ca="1" si="129"/>
        <v>2.9056191597500001</v>
      </c>
      <c r="D91" s="250">
        <f>IF(A91="N/A"," ",(VLOOKUP(MONTH($A91),Inputs!$A$14:$B$25,2))/1000)</f>
        <v>10.5</v>
      </c>
      <c r="E91" s="304">
        <f t="shared" ca="1" si="130"/>
        <v>30.509001177375001</v>
      </c>
      <c r="F91" s="251">
        <f>IF(A91="N/A"," ",Inputs!$F$6)</f>
        <v>2</v>
      </c>
      <c r="G91" s="251">
        <f ca="1">IF(A91="N/A"," ",Inputs!$F$9/IF(AND('Pricing Inputs'!$AQ$3&gt;=4,'Pricing Inputs'!$AQ$3&lt;=6),16,IF(AND('Pricing Inputs'!$AQ$3&gt;=7,'Pricing Inputs'!$AQ$3&lt;=9),8,24))/(BA91/BW91))</f>
        <v>0</v>
      </c>
      <c r="H91" s="252">
        <f t="shared" ca="1" si="131"/>
        <v>32.509001177374998</v>
      </c>
      <c r="I91" s="255">
        <f>VLOOKUP(A91,ScaledPrice,(IF(AND('Pricing Inputs'!$AQ$3&gt;=1,'Pricing Inputs'!$AQ$3&lt;=6),2,4)))</f>
        <v>29.645897768894081</v>
      </c>
      <c r="J91" s="255">
        <f>IF(A91="N/A"," ",IF(AND('Pricing Inputs'!$AQ$3&gt;=1,'Pricing Inputs'!$AQ$3&lt;=6),I91,(VLOOKUP(A91,ScaledPrice,2))*(2-(VLOOKUP(A91,ScaledPrice,3)))))</f>
        <v>34.454102231105914</v>
      </c>
      <c r="K91" s="255">
        <f>IF(A91="N/A"," ",IF(OR('Pricing Inputs'!$AQ$3=2,'Pricing Inputs'!$AQ$3=3,'Pricing Inputs'!$AQ$3=5,'Pricing Inputs'!$AQ$3=6,'Pricing Inputs'!$AQ$3=8,'Pricing Inputs'!$AQ$3=9),VLOOKUP(A91,ScaledPrice,IF(AND('Pricing Inputs'!$AQ$3&gt;=2,'Pricing Inputs'!$AQ$3&lt;=6),5,6)),0))</f>
        <v>20.828440313830964</v>
      </c>
      <c r="L91" s="255">
        <f>IF(A91="N/A"," ",IF(OR('Pricing Inputs'!$AQ$3=2,'Pricing Inputs'!$AQ$3=3,'Pricing Inputs'!$AQ$3=5,'Pricing Inputs'!$AQ$3=6,'Pricing Inputs'!$AQ$3=8,'Pricing Inputs'!$AQ$3=9),IF(AND('Pricing Inputs'!$AQ$3&gt;=2,'Pricing Inputs'!$AQ$3&lt;=6),K91,(VLOOKUP(A91,ScaledPrice,5))*(2-(VLOOKUP(A91,ScaledPrice,3)))),0))</f>
        <v>24.206560296520589</v>
      </c>
      <c r="M91" s="255">
        <f>IF(A91="N/A"," ",IF(OR('Pricing Inputs'!$AQ$3=3,'Pricing Inputs'!$AQ$3=6,'Pricing Inputs'!$AQ$3=9),(VLOOKUP(A91,ScaledPrice,IF(AND('Pricing Inputs'!$AQ$3&gt;=3,'Pricing Inputs'!$AQ$3&lt;=6),7,8))),0))</f>
        <v>19.642140779433252</v>
      </c>
      <c r="N91" s="255">
        <f>IF(A91="N/A"," ",IF(OR('Pricing Inputs'!$AQ$3=3,'Pricing Inputs'!$AQ$3=6,'Pricing Inputs'!$AQ$3=9),IF(AND('Pricing Inputs'!$AQ$3&gt;=3,'Pricing Inputs'!$AQ$3&lt;=6),M91,(VLOOKUP(A91,ScaledPrice,7))*(2-(VLOOKUP(A91,ScaledPrice,3)))),0))</f>
        <v>22.827857389512051</v>
      </c>
      <c r="O91" s="255">
        <f>IF(A91="N/A"," ",IF(AND('Pricing Inputs'!$AQ$3&gt;=1,'Pricing Inputs'!$AQ$3&lt;=3),VLOOKUP(A91,ScaledPrice,9),0))</f>
        <v>0</v>
      </c>
      <c r="P91" s="320">
        <f ca="1">IF($A91="N/A"," ",IF('Pricing Inputs'!$AN$8=2,(I91-H91),IF('Pricing Inputs'!$AN$3=2,IF((I91-$H91)&gt;0,I91-$H91,0),(_xll.xSPRDOPT(I91,$E91,$BU91,0,$BP91,$BS91,$BT91,($A91-Inputs!$D$1)+15,1,0)))))</f>
        <v>1.5833216133592662</v>
      </c>
      <c r="Q91" s="320">
        <f ca="1">IF($A91="N/A"," ",IF('Pricing Inputs'!$AN$8=2,(J91-$H91),IF('Pricing Inputs'!$AN$3=2,IF((J91-$H91)&gt;0,J91-$H91,0),(_xll.xSPRDOPT(J91,$E91,$BU91,0,$BP91,$BS91,$BT91,($A91-Inputs!$D$1)+15,1,0)))))</f>
        <v>3.9416852169572891</v>
      </c>
      <c r="R91" s="320">
        <f ca="1">IF($A91="N/A"," ",IF('Pricing Inputs'!$AN$8=2,(K91-$H91),IF('Pricing Inputs'!$AN$3=2,IF((K91-$H91)&gt;0,K91-$H91,0),(_xll.xSPRDOPT(K91,$E91,$BU91,0,$BP91,$BS91,$BT91,($A91-Inputs!$D$1)+15,1,0)))))</f>
        <v>6.5571842371278818E-2</v>
      </c>
      <c r="S91" s="320">
        <f ca="1">IF($A91="N/A"," ",IF('Pricing Inputs'!$AN$8=2,(L91-$H91),IF('Pricing Inputs'!$AN$3=2,IF((L91-$H91)&gt;0,L91-$H91,0),(_xll.xSPRDOPT(L91,$E91,$BU91,0,$BP91,$BS91,$BT91,($A91-Inputs!$D$1)+15,1,0)))))</f>
        <v>0.30948659589997601</v>
      </c>
      <c r="T91" s="320">
        <f ca="1">IF($A91="N/A"," ",IF('Pricing Inputs'!$AN$8=2,(M91-$H91),IF('Pricing Inputs'!$AN$3=2,IF((M91-$H91)&gt;0,M91-$H91,0),(_xll.xSPRDOPT(M91,$E91,$BU91,0,$BP91,$BS91,$BT91,($A91-Inputs!$D$1)+15,1,0)))))</f>
        <v>3.2868416539905937E-2</v>
      </c>
      <c r="U91" s="320">
        <f ca="1">IF($A91="N/A"," ",IF('Pricing Inputs'!$AN$8=2,(N91-$H91),IF('Pricing Inputs'!$AN$3=2,IF((N91-$H91)&gt;0,N91-$H91,0),(_xll.xSPRDOPT(N91,$E91,$BU91,0,$BP91,$BS91,$BT91,($A91-Inputs!$D$1)+15,1,0)))))</f>
        <v>0.17520541530742501</v>
      </c>
      <c r="V91" s="259">
        <f ca="1">IF($A91="N/A"," ",(IF('Pricing Inputs'!$AN$8=2,(O91-$H91),IF((O91-$H91)&lt;=0,0,(O91-$H91)))))</f>
        <v>0</v>
      </c>
      <c r="W91" s="306">
        <f ca="1">IF($A91="N/A"," ",IF(0&lt;&gt;P91,IF('Pricing Inputs'!$AN$3=2,8*VLOOKUP($A91,NumberofDaysTable,2),(_xll.xSPRDOPT(I91,$E91,$BU91,0,$BP91,$BS91,$BT91,$A91-Inputs!$D$1,1,1))*(8*VLOOKUP($A91,NumberofDaysTable,2))),0))</f>
        <v>64.357124796000704</v>
      </c>
      <c r="X91" s="306">
        <f ca="1">IF($A91="N/A"," ",IF(Q91&lt;&gt;0,IF('Pricing Inputs'!$AN$3=2,8*VLOOKUP($A91,NumberofDaysTable,2),(_xll.xSPRDOPT(J91,$E91,$BU91,0,$BP91,$BS91,$BT91,$A91-Inputs!$D$1,1,1))*(8*VLOOKUP($A91,NumberofDaysTable,2))),0))</f>
        <v>107.24364970421429</v>
      </c>
      <c r="Y91" s="306">
        <f ca="1">IF($A91="N/A"," ",IF(R91&lt;&gt;0,IF('Pricing Inputs'!$AN$3=2,8*VLOOKUP($A91,NumberofDaysTable,3),(_xll.xSPRDOPT(K91,$E91,$BU91,0,$BP91,$BS91,$BT91,$A91-Inputs!$D$1,1,1))*(8*VLOOKUP($A91,NumberofDaysTable,3))),0))</f>
        <v>1.1313729248534576</v>
      </c>
      <c r="Z91" s="306">
        <f ca="1">IF($A91="N/A"," ",IF(S91&lt;&gt;0,IF('Pricing Inputs'!$AN$3=2,8*VLOOKUP($A91,NumberofDaysTable,3),(_xll.xSPRDOPT(L91,$E91,$BU91,0,$BP91,$BS91,$BT91,$A91-Inputs!$D$1,1,1))*(8*VLOOKUP($A91,NumberofDaysTable,3))),0))</f>
        <v>3.7880792533484073</v>
      </c>
      <c r="AA91" s="306">
        <f ca="1">IF($A91="N/A"," ",IF(T91&lt;&gt;0,IF('Pricing Inputs'!$AN$3=2,8*VLOOKUP($A91,NumberofDaysTable,4),(_xll.xSPRDOPT(M91,$E91,$BU91,0,$BP91,$BS91,$BT91,$A91-Inputs!$D$1,1,1))*(8*VLOOKUP($A91,NumberofDaysTable,4))),0))</f>
        <v>0.64401440808100907</v>
      </c>
      <c r="AB91" s="306">
        <f ca="1">IF($A91="N/A"," ",IF(U91&lt;&gt;0,IF('Pricing Inputs'!$AN$3=2,8*VLOOKUP($A91,NumberofDaysTable,4),(_xll.xSPRDOPT(N91,$E91,$BU91,0,$BP91,$BS91,$BT91,$A91-Inputs!$D$1,1,1))*(8*VLOOKUP($A91,NumberofDaysTable,4))),0))</f>
        <v>2.4594433807855602</v>
      </c>
      <c r="AC91" s="306">
        <f t="shared" ca="1" si="132"/>
        <v>0</v>
      </c>
      <c r="AD91" s="274">
        <f t="shared" ca="1" si="175"/>
        <v>26</v>
      </c>
      <c r="AE91" s="275">
        <f t="shared" ca="1" si="176"/>
        <v>18</v>
      </c>
      <c r="AF91" s="275">
        <f t="shared" ca="1" si="177"/>
        <v>59</v>
      </c>
      <c r="AG91" s="275">
        <f t="shared" ca="1" si="178"/>
        <v>44</v>
      </c>
      <c r="AH91" s="275">
        <f t="shared" ca="1" si="179"/>
        <v>63</v>
      </c>
      <c r="AI91" s="275">
        <f t="shared" ca="1" si="180"/>
        <v>52</v>
      </c>
      <c r="AJ91" s="276">
        <f t="shared" ca="1" si="181"/>
        <v>73</v>
      </c>
      <c r="AK91" s="314">
        <f t="shared" ca="1" si="158"/>
        <v>64.357124796000704</v>
      </c>
      <c r="AL91" s="315">
        <f t="shared" ca="1" si="159"/>
        <v>107.24364970421429</v>
      </c>
      <c r="AM91" s="315">
        <f t="shared" ca="1" si="160"/>
        <v>1.1313729248534576</v>
      </c>
      <c r="AN91" s="315">
        <f t="shared" ca="1" si="161"/>
        <v>3.7880792533484073</v>
      </c>
      <c r="AO91" s="315">
        <f t="shared" ca="1" si="162"/>
        <v>0.64401440808100907</v>
      </c>
      <c r="AP91" s="315">
        <f t="shared" ca="1" si="163"/>
        <v>2.4594433807855602</v>
      </c>
      <c r="AQ91" s="315">
        <f t="shared" ca="1" si="164"/>
        <v>0</v>
      </c>
      <c r="AR91" s="276"/>
      <c r="AS91" s="321">
        <f t="shared" ca="1" si="168"/>
        <v>0</v>
      </c>
      <c r="AT91" s="324">
        <f t="shared" ca="1" si="169"/>
        <v>0</v>
      </c>
      <c r="AU91" s="324">
        <f t="shared" ca="1" si="170"/>
        <v>0</v>
      </c>
      <c r="AV91" s="324">
        <f t="shared" ca="1" si="171"/>
        <v>0</v>
      </c>
      <c r="AW91" s="324">
        <f t="shared" ca="1" si="172"/>
        <v>0</v>
      </c>
      <c r="AX91" s="324">
        <f t="shared" ca="1" si="173"/>
        <v>0</v>
      </c>
      <c r="AY91" s="324">
        <f t="shared" ca="1" si="174"/>
        <v>0</v>
      </c>
      <c r="AZ91" s="276"/>
      <c r="BA91" s="267">
        <f ca="1">IF($A91="N/A"," ",(IF(MONTH(A91)&gt;=4,IF(MONTH(A91)&lt;=10,Inputs!$F$13,Inputs!$F$14),Inputs!$F$14))*$BW91)</f>
        <v>180</v>
      </c>
      <c r="BB91" s="268">
        <f t="shared" ca="1" si="165"/>
        <v>50159.628711221558</v>
      </c>
      <c r="BC91" s="268">
        <f t="shared" ca="1" si="166"/>
        <v>124872.58767320692</v>
      </c>
      <c r="BD91" s="268">
        <f t="shared" ca="1" si="133"/>
        <v>377.69381205856598</v>
      </c>
      <c r="BE91" s="268">
        <f t="shared" ca="1" si="134"/>
        <v>1782.6427923838619</v>
      </c>
      <c r="BF91" s="268">
        <f t="shared" ca="1" si="135"/>
        <v>189.32207926985819</v>
      </c>
      <c r="BG91" s="268">
        <f t="shared" ca="1" si="136"/>
        <v>1009.1831921707681</v>
      </c>
      <c r="BH91" s="268">
        <f t="shared" ca="1" si="157"/>
        <v>0</v>
      </c>
      <c r="BI91" s="268">
        <f t="shared" ca="1" si="137"/>
        <v>178391.05826031152</v>
      </c>
      <c r="BJ91" s="296">
        <f t="shared" ca="1" si="138"/>
        <v>1051089.5825696432</v>
      </c>
      <c r="BK91" s="296">
        <f t="shared" ca="1" si="139"/>
        <v>986425.05616142135</v>
      </c>
      <c r="BL91" s="296">
        <f t="shared" ca="1" si="140"/>
        <v>64664.526408222024</v>
      </c>
      <c r="BM91" s="296">
        <f t="shared" ca="1" si="141"/>
        <v>0</v>
      </c>
      <c r="BN91" s="405">
        <f>IF(A91="N/A"," ",(VLOOKUP(A91,PowerVolTable,(IF('Pricing Inputs'!$AT$3=2,7,IF('Pricing Inputs'!$AT$3=1,6,8))),FALSE)))</f>
        <v>0.16623919333511711</v>
      </c>
      <c r="BO91" s="405">
        <f>IF(A91="N/A"," ",(VLOOKUP(A91,IntraPowerVol,(IF('Pricing Inputs'!$AT$3=2,3,IF('Pricing Inputs'!$AT$3=1,2,4))),FALSE)*VLOOKUP(MONTH($A91),Inputs!$A$28:$B$39,2)))</f>
        <v>1.2649999999999999</v>
      </c>
      <c r="BP91" s="406">
        <f t="shared" ca="1" si="126"/>
        <v>0.18861748910513329</v>
      </c>
      <c r="BQ91" s="405">
        <f ca="1">IF($A91="N/A"," ",(VLOOKUP($A91,GasVolTable,(IF('Pricing Inputs'!$AT$3=2,6,IF('Pricing Inputs'!$AT$3=1,7,5))),FALSE)))</f>
        <v>0.1575</v>
      </c>
      <c r="BR91" s="405">
        <f ca="1">IF($A91="N/A"," ",(VLOOKUP($A91,OmicronVol,(IF('Pricing Inputs'!$AT$3=2,3,IF('Pricing Inputs'!$AT$3=1,4,2))),FALSE)))</f>
        <v>0.45</v>
      </c>
      <c r="BS91" s="406">
        <f ca="1">IF($A91="N/A"," ",IF('Pricing Inputs'!$AN$3=1,(IF(DateToday&gt;$A91,$BR91,((($BQ91^2)*((($A91-1)-DateToday)/((EOMONTH($A91,0)+1)-DateToday-15)))+((($BR91)^2)*((15)/((EOMONTH($A91,0)+1)-DateToday-15))))^0.5)),0.0001))</f>
        <v>0.16030046752513402</v>
      </c>
      <c r="BT91" s="405">
        <f>IF($A91="N/A"," ",IF('Pricing Inputs'!$AN$3=1,(VLOOKUP($A91,CorrelationTable,2,FALSE)),0))</f>
        <v>0.9</v>
      </c>
      <c r="BU91" s="407">
        <f ca="1">IF($A91="N/A"," ",F91+G91+(D91*(VLOOKUP($A91,'Gas Curves'!$B$17:$P$310,14,FALSE))))</f>
        <v>2.6825000000000001</v>
      </c>
      <c r="BV91" s="405">
        <f>IF($A91="N/A"," ",IF('Pricing Inputs'!$AW$3=1,0,(VLOOKUP($A91,InterestRatesTable,2))))</f>
        <v>0</v>
      </c>
      <c r="BW91" s="408">
        <f t="shared" ca="1" si="127"/>
        <v>1</v>
      </c>
    </row>
    <row r="92" spans="1:75">
      <c r="A92" s="248">
        <f>IF(A91="N/A","N/A",IF(EDATE(A91,1)&gt;Inputs!$K$3,"N/A",EDATE(A91,1)))</f>
        <v>39569</v>
      </c>
      <c r="B92" s="262">
        <f t="shared" si="128"/>
        <v>2008</v>
      </c>
      <c r="C92" s="249">
        <f t="shared" ca="1" si="129"/>
        <v>2.8796170310000004</v>
      </c>
      <c r="D92" s="250">
        <f>IF(A92="N/A"," ",(VLOOKUP(MONTH($A92),Inputs!$A$14:$B$25,2))/1000)</f>
        <v>10.5</v>
      </c>
      <c r="E92" s="304">
        <f t="shared" ca="1" si="130"/>
        <v>30.235978825500005</v>
      </c>
      <c r="F92" s="251">
        <f>IF(A92="N/A"," ",Inputs!$F$6)</f>
        <v>2</v>
      </c>
      <c r="G92" s="251">
        <f ca="1">IF(A92="N/A"," ",Inputs!$F$9/IF(AND('Pricing Inputs'!$AQ$3&gt;=4,'Pricing Inputs'!$AQ$3&lt;=6),16,IF(AND('Pricing Inputs'!$AQ$3&gt;=7,'Pricing Inputs'!$AQ$3&lt;=9),8,24))/(BA92/BW92))</f>
        <v>0</v>
      </c>
      <c r="H92" s="252">
        <f t="shared" ca="1" si="131"/>
        <v>32.235978825500005</v>
      </c>
      <c r="I92" s="255">
        <f>VLOOKUP(A92,ScaledPrice,(IF(AND('Pricing Inputs'!$AQ$3&gt;=1,'Pricing Inputs'!$AQ$3&lt;=6),2,4)))</f>
        <v>33.1087034783231</v>
      </c>
      <c r="J92" s="255">
        <f>IF(A92="N/A"," ",IF(AND('Pricing Inputs'!$AQ$3&gt;=1,'Pricing Inputs'!$AQ$3&lt;=6),I92,(VLOOKUP(A92,ScaledPrice,2))*(2-(VLOOKUP(A92,ScaledPrice,3)))))</f>
        <v>34.991296521676894</v>
      </c>
      <c r="K92" s="255">
        <f>IF(A92="N/A"," ",IF(OR('Pricing Inputs'!$AQ$3=2,'Pricing Inputs'!$AQ$3=3,'Pricing Inputs'!$AQ$3=5,'Pricing Inputs'!$AQ$3=6,'Pricing Inputs'!$AQ$3=8,'Pricing Inputs'!$AQ$3=9),VLOOKUP(A92,ScaledPrice,IF(AND('Pricing Inputs'!$AQ$3&gt;=2,'Pricing Inputs'!$AQ$3&lt;=6),5,6)),0))</f>
        <v>22.006835066054069</v>
      </c>
      <c r="L92" s="255">
        <f>IF(A92="N/A"," ",IF(OR('Pricing Inputs'!$AQ$3=2,'Pricing Inputs'!$AQ$3=3,'Pricing Inputs'!$AQ$3=5,'Pricing Inputs'!$AQ$3=6,'Pricing Inputs'!$AQ$3=8,'Pricing Inputs'!$AQ$3=9),IF(AND('Pricing Inputs'!$AQ$3&gt;=2,'Pricing Inputs'!$AQ$3&lt;=6),K92,(VLOOKUP(A92,ScaledPrice,5))*(2-(VLOOKUP(A92,ScaledPrice,3)))),0))</f>
        <v>23.258165086533811</v>
      </c>
      <c r="M92" s="255">
        <f>IF(A92="N/A"," ",IF(OR('Pricing Inputs'!$AQ$3=3,'Pricing Inputs'!$AQ$3=6,'Pricing Inputs'!$AQ$3=9),(VLOOKUP(A92,ScaledPrice,IF(AND('Pricing Inputs'!$AQ$3&gt;=3,'Pricing Inputs'!$AQ$3&lt;=6),7,8))),0))</f>
        <v>21.163316406100478</v>
      </c>
      <c r="N92" s="255">
        <f>IF(A92="N/A"," ",IF(OR('Pricing Inputs'!$AQ$3=3,'Pricing Inputs'!$AQ$3=6,'Pricing Inputs'!$AQ$3=9),IF(AND('Pricing Inputs'!$AQ$3&gt;=3,'Pricing Inputs'!$AQ$3&lt;=6),M92,(VLOOKUP(A92,ScaledPrice,7))*(2-(VLOOKUP(A92,ScaledPrice,3)))),0))</f>
        <v>22.36668313613584</v>
      </c>
      <c r="O92" s="255">
        <f>IF(A92="N/A"," ",IF(AND('Pricing Inputs'!$AQ$3&gt;=1,'Pricing Inputs'!$AQ$3&lt;=3),VLOOKUP(A92,ScaledPrice,9),0))</f>
        <v>0</v>
      </c>
      <c r="P92" s="320">
        <f ca="1">IF($A92="N/A"," ",IF('Pricing Inputs'!$AN$8=2,(I92-H92),IF('Pricing Inputs'!$AN$3=2,IF((I92-$H92)&gt;0,I92-$H92,0),(_xll.xSPRDOPT(I92,$E92,$BU92,0,$BP92,$BS92,$BT92,($A92-Inputs!$D$1)+15,1,0)))))</f>
        <v>3.8898338315060661</v>
      </c>
      <c r="Q92" s="320">
        <f ca="1">IF($A92="N/A"," ",IF('Pricing Inputs'!$AN$8=2,(J92-$H92),IF('Pricing Inputs'!$AN$3=2,IF((J92-$H92)&gt;0,J92-$H92,0),(_xll.xSPRDOPT(J92,$E92,$BU92,0,$BP92,$BS92,$BT92,($A92-Inputs!$D$1)+15,1,0)))))</f>
        <v>5.0281356980409333</v>
      </c>
      <c r="R92" s="320">
        <f ca="1">IF($A92="N/A"," ",IF('Pricing Inputs'!$AN$8=2,(K92-$H92),IF('Pricing Inputs'!$AN$3=2,IF((K92-$H92)&gt;0,K92-$H92,0),(_xll.xSPRDOPT(K92,$E92,$BU92,0,$BP92,$BS92,$BT92,($A92-Inputs!$D$1)+15,1,0)))))</f>
        <v>0.28078036351531432</v>
      </c>
      <c r="S92" s="320">
        <f ca="1">IF($A92="N/A"," ",IF('Pricing Inputs'!$AN$8=2,(L92-$H92),IF('Pricing Inputs'!$AN$3=2,IF((L92-$H92)&gt;0,L92-$H92,0),(_xll.xSPRDOPT(L92,$E92,$BU92,0,$BP92,$BS92,$BT92,($A92-Inputs!$D$1)+15,1,0)))))</f>
        <v>0.43614949917548512</v>
      </c>
      <c r="T92" s="320">
        <f ca="1">IF($A92="N/A"," ",IF('Pricing Inputs'!$AN$8=2,(M92-$H92),IF('Pricing Inputs'!$AN$3=2,IF((M92-$H92)&gt;0,M92-$H92,0),(_xll.xSPRDOPT(M92,$E92,$BU92,0,$BP92,$BS92,$BT92,($A92-Inputs!$D$1)+15,1,0)))))</f>
        <v>0.20210376929764226</v>
      </c>
      <c r="U92" s="320">
        <f ca="1">IF($A92="N/A"," ",IF('Pricing Inputs'!$AN$8=2,(N92-$H92),IF('Pricing Inputs'!$AN$3=2,IF((N92-$H92)&gt;0,N92-$H92,0),(_xll.xSPRDOPT(N92,$E92,$BU92,0,$BP92,$BS92,$BT92,($A92-Inputs!$D$1)+15,1,0)))))</f>
        <v>0.32044901358890077</v>
      </c>
      <c r="V92" s="259">
        <f ca="1">IF($A92="N/A"," ",(IF('Pricing Inputs'!$AN$8=2,(O92-$H92),IF((O92-$H92)&lt;=0,0,(O92-$H92)))))</f>
        <v>0</v>
      </c>
      <c r="W92" s="306">
        <f ca="1">IF($A92="N/A"," ",IF(0&lt;&gt;P92,IF('Pricing Inputs'!$AN$3=2,8*VLOOKUP($A92,NumberofDaysTable,2),(_xll.xSPRDOPT(I92,$E92,$BU92,0,$BP92,$BS92,$BT92,$A92-Inputs!$D$1,1,1))*(8*VLOOKUP($A92,NumberofDaysTable,2))),0))</f>
        <v>95.262941487095375</v>
      </c>
      <c r="X92" s="306">
        <f ca="1">IF($A92="N/A"," ",IF(Q92&lt;&gt;0,IF('Pricing Inputs'!$AN$3=2,8*VLOOKUP($A92,NumberofDaysTable,2),(_xll.xSPRDOPT(J92,$E92,$BU92,0,$BP92,$BS92,$BT92,$A92-Inputs!$D$1,1,1))*(8*VLOOKUP($A92,NumberofDaysTable,2))),0))</f>
        <v>107.66428459953029</v>
      </c>
      <c r="Y92" s="306">
        <f ca="1">IF($A92="N/A"," ",IF(R92&lt;&gt;0,IF('Pricing Inputs'!$AN$3=2,8*VLOOKUP($A92,NumberofDaysTable,3),(_xll.xSPRDOPT(K92,$E92,$BU92,0,$BP92,$BS92,$BT92,$A92-Inputs!$D$1,1,1))*(8*VLOOKUP($A92,NumberofDaysTable,3))),0))</f>
        <v>4.1693735687324569</v>
      </c>
      <c r="Z92" s="306">
        <f ca="1">IF($A92="N/A"," ",IF(S92&lt;&gt;0,IF('Pricing Inputs'!$AN$3=2,8*VLOOKUP($A92,NumberofDaysTable,3),(_xll.xSPRDOPT(L92,$E92,$BU92,0,$BP92,$BS92,$BT92,$A92-Inputs!$D$1,1,1))*(8*VLOOKUP($A92,NumberofDaysTable,3))),0))</f>
        <v>5.7486541580261763</v>
      </c>
      <c r="AA92" s="306">
        <f ca="1">IF($A92="N/A"," ",IF(T92&lt;&gt;0,IF('Pricing Inputs'!$AN$3=2,8*VLOOKUP($A92,NumberofDaysTable,4),(_xll.xSPRDOPT(M92,$E92,$BU92,0,$BP92,$BS92,$BT92,$A92-Inputs!$D$1,1,1))*(8*VLOOKUP($A92,NumberofDaysTable,4))),0))</f>
        <v>2.6080395293109233</v>
      </c>
      <c r="AB92" s="306">
        <f ca="1">IF($A92="N/A"," ",IF(U92&lt;&gt;0,IF('Pricing Inputs'!$AN$3=2,8*VLOOKUP($A92,NumberofDaysTable,4),(_xll.xSPRDOPT(N92,$E92,$BU92,0,$BP92,$BS92,$BT92,$A92-Inputs!$D$1,1,1))*(8*VLOOKUP($A92,NumberofDaysTable,4))),0))</f>
        <v>3.6768817691420383</v>
      </c>
      <c r="AC92" s="306">
        <f t="shared" ca="1" si="132"/>
        <v>0</v>
      </c>
      <c r="AD92" s="274">
        <f t="shared" ca="1" si="175"/>
        <v>19</v>
      </c>
      <c r="AE92" s="275">
        <f t="shared" ca="1" si="176"/>
        <v>16</v>
      </c>
      <c r="AF92" s="275">
        <f t="shared" ca="1" si="177"/>
        <v>45</v>
      </c>
      <c r="AG92" s="275">
        <f t="shared" ca="1" si="178"/>
        <v>36</v>
      </c>
      <c r="AH92" s="275">
        <f t="shared" ca="1" si="179"/>
        <v>50</v>
      </c>
      <c r="AI92" s="275">
        <f t="shared" ca="1" si="180"/>
        <v>42</v>
      </c>
      <c r="AJ92" s="276">
        <f t="shared" ca="1" si="181"/>
        <v>73</v>
      </c>
      <c r="AK92" s="314">
        <f t="shared" ca="1" si="158"/>
        <v>95.262941487095375</v>
      </c>
      <c r="AL92" s="315">
        <f t="shared" ca="1" si="159"/>
        <v>107.66428459953029</v>
      </c>
      <c r="AM92" s="315">
        <f t="shared" ca="1" si="160"/>
        <v>4.1693735687324569</v>
      </c>
      <c r="AN92" s="315">
        <f t="shared" ca="1" si="161"/>
        <v>5.7486541580261763</v>
      </c>
      <c r="AO92" s="315">
        <f t="shared" ca="1" si="162"/>
        <v>2.6080395293109233</v>
      </c>
      <c r="AP92" s="315">
        <f t="shared" ca="1" si="163"/>
        <v>3.6768817691420383</v>
      </c>
      <c r="AQ92" s="315">
        <f t="shared" ca="1" si="164"/>
        <v>0</v>
      </c>
      <c r="AR92" s="276"/>
      <c r="AS92" s="321">
        <f t="shared" ca="1" si="168"/>
        <v>0</v>
      </c>
      <c r="AT92" s="324">
        <f t="shared" ca="1" si="169"/>
        <v>0</v>
      </c>
      <c r="AU92" s="324">
        <f t="shared" ca="1" si="170"/>
        <v>0</v>
      </c>
      <c r="AV92" s="324">
        <f t="shared" ca="1" si="171"/>
        <v>0</v>
      </c>
      <c r="AW92" s="324">
        <f t="shared" ca="1" si="172"/>
        <v>0</v>
      </c>
      <c r="AX92" s="324">
        <f t="shared" ca="1" si="173"/>
        <v>0</v>
      </c>
      <c r="AY92" s="324">
        <f t="shared" ca="1" si="174"/>
        <v>0</v>
      </c>
      <c r="AZ92" s="276"/>
      <c r="BA92" s="267">
        <f ca="1">IF($A92="N/A"," ",(IF(MONTH(A92)&gt;=4,IF(MONTH(A92)&lt;=10,Inputs!$F$13,Inputs!$F$14),Inputs!$F$14))*$BW92)</f>
        <v>180</v>
      </c>
      <c r="BB92" s="268">
        <f t="shared" ca="1" si="165"/>
        <v>117628.57506474343</v>
      </c>
      <c r="BC92" s="268">
        <f t="shared" ca="1" si="166"/>
        <v>152050.82350875784</v>
      </c>
      <c r="BD92" s="268">
        <f t="shared" ca="1" si="133"/>
        <v>2021.6186173102631</v>
      </c>
      <c r="BE92" s="268">
        <f t="shared" ca="1" si="134"/>
        <v>3140.2763940634927</v>
      </c>
      <c r="BF92" s="268">
        <f t="shared" ca="1" si="135"/>
        <v>1455.1471389430242</v>
      </c>
      <c r="BG92" s="268">
        <f t="shared" ca="1" si="136"/>
        <v>2307.2328978400856</v>
      </c>
      <c r="BH92" s="268">
        <f t="shared" ca="1" si="157"/>
        <v>0</v>
      </c>
      <c r="BI92" s="268">
        <f t="shared" ca="1" si="137"/>
        <v>278603.67362165812</v>
      </c>
      <c r="BJ92" s="296">
        <f t="shared" ca="1" si="138"/>
        <v>1271497.623287993</v>
      </c>
      <c r="BK92" s="296">
        <f t="shared" ca="1" si="139"/>
        <v>1192610.7602477316</v>
      </c>
      <c r="BL92" s="296">
        <f t="shared" ca="1" si="140"/>
        <v>78886.863040261407</v>
      </c>
      <c r="BM92" s="296">
        <f t="shared" ca="1" si="141"/>
        <v>0</v>
      </c>
      <c r="BN92" s="405">
        <f>IF(A92="N/A"," ",(VLOOKUP(A92,PowerVolTable,(IF('Pricing Inputs'!$AT$3=2,7,IF('Pricing Inputs'!$AT$3=1,6,8))),FALSE)))</f>
        <v>0.19137933599449211</v>
      </c>
      <c r="BO92" s="405">
        <f>IF(A92="N/A"," ",(VLOOKUP(A92,IntraPowerVol,(IF('Pricing Inputs'!$AT$3=2,3,IF('Pricing Inputs'!$AT$3=1,2,4))),FALSE)*VLOOKUP(MONTH($A92),Inputs!$A$28:$B$39,2)))</f>
        <v>1.2649999999999999</v>
      </c>
      <c r="BP92" s="406">
        <f t="shared" ca="1" si="126"/>
        <v>0.21077197824191743</v>
      </c>
      <c r="BQ92" s="405">
        <f ca="1">IF($A92="N/A"," ",(VLOOKUP($A92,GasVolTable,(IF('Pricing Inputs'!$AT$3=2,6,IF('Pricing Inputs'!$AT$3=1,7,5))),FALSE)))</f>
        <v>0.1575</v>
      </c>
      <c r="BR92" s="405">
        <f ca="1">IF($A92="N/A"," ",(VLOOKUP($A92,OmicronVol,(IF('Pricing Inputs'!$AT$3=2,3,IF('Pricing Inputs'!$AT$3=1,4,2))),FALSE)))</f>
        <v>0.5</v>
      </c>
      <c r="BS92" s="406">
        <f ca="1">IF($A92="N/A"," ",IF('Pricing Inputs'!$AN$3=1,(IF(DateToday&gt;$A92,$BR92,((($BQ92^2)*((($A92-1)-DateToday)/((EOMONTH($A92,0)+1)-DateToday-15)))+((($BR92)^2)*((15)/((EOMONTH($A92,0)+1)-DateToday-15))))^0.5)),0.0001))</f>
        <v>0.16098578000631866</v>
      </c>
      <c r="BT92" s="405">
        <f>IF($A92="N/A"," ",IF('Pricing Inputs'!$AN$3=1,(VLOOKUP($A92,CorrelationTable,2,FALSE)),0))</f>
        <v>0.9</v>
      </c>
      <c r="BU92" s="407">
        <f ca="1">IF($A92="N/A"," ",F92+G92+(D92*(VLOOKUP($A92,'Gas Curves'!$B$17:$P$310,14,FALSE))))</f>
        <v>2.6825000000000001</v>
      </c>
      <c r="BV92" s="405">
        <f>IF($A92="N/A"," ",IF('Pricing Inputs'!$AW$3=1,0,(VLOOKUP($A92,InterestRatesTable,2))))</f>
        <v>0</v>
      </c>
      <c r="BW92" s="408">
        <f t="shared" ca="1" si="127"/>
        <v>1</v>
      </c>
    </row>
    <row r="93" spans="1:75">
      <c r="A93" s="248">
        <f>IF(A92="N/A","N/A",IF(EDATE(A92,1)&gt;Inputs!$K$3,"N/A",EDATE(A92,1)))</f>
        <v>39600</v>
      </c>
      <c r="B93" s="262">
        <f t="shared" si="128"/>
        <v>2008</v>
      </c>
      <c r="C93" s="249">
        <f t="shared" ca="1" si="129"/>
        <v>2.8856170309999998</v>
      </c>
      <c r="D93" s="250">
        <f>IF(A93="N/A"," ",(VLOOKUP(MONTH($A93),Inputs!$A$14:$B$25,2))/1000)</f>
        <v>10.5</v>
      </c>
      <c r="E93" s="304">
        <f t="shared" ca="1" si="130"/>
        <v>30.298978825499997</v>
      </c>
      <c r="F93" s="251">
        <f>IF(A93="N/A"," ",Inputs!$F$6)</f>
        <v>2</v>
      </c>
      <c r="G93" s="251">
        <f ca="1">IF(A93="N/A"," ",Inputs!$F$9/IF(AND('Pricing Inputs'!$AQ$3&gt;=4,'Pricing Inputs'!$AQ$3&lt;=6),16,IF(AND('Pricing Inputs'!$AQ$3&gt;=7,'Pricing Inputs'!$AQ$3&lt;=9),8,24))/(BA93/BW93))</f>
        <v>0</v>
      </c>
      <c r="H93" s="252">
        <f t="shared" ca="1" si="131"/>
        <v>32.298978825500001</v>
      </c>
      <c r="I93" s="255">
        <f>VLOOKUP(A93,ScaledPrice,(IF(AND('Pricing Inputs'!$AQ$3&gt;=1,'Pricing Inputs'!$AQ$3&lt;=6),2,4)))</f>
        <v>57.299710606886713</v>
      </c>
      <c r="J93" s="255">
        <f>IF(A93="N/A"," ",IF(AND('Pricing Inputs'!$AQ$3&gt;=1,'Pricing Inputs'!$AQ$3&lt;=6),I93,(VLOOKUP(A93,ScaledPrice,2))*(2-(VLOOKUP(A93,ScaledPrice,3)))))</f>
        <v>43.200289393113287</v>
      </c>
      <c r="K93" s="255">
        <f>IF(A93="N/A"," ",IF(OR('Pricing Inputs'!$AQ$3=2,'Pricing Inputs'!$AQ$3=3,'Pricing Inputs'!$AQ$3=5,'Pricing Inputs'!$AQ$3=6,'Pricing Inputs'!$AQ$3=8,'Pricing Inputs'!$AQ$3=9),VLOOKUP(A93,ScaledPrice,IF(AND('Pricing Inputs'!$AQ$3&gt;=2,'Pricing Inputs'!$AQ$3&lt;=6),5,6)),0))</f>
        <v>30.854896579648511</v>
      </c>
      <c r="L93" s="255">
        <f>IF(A93="N/A"," ",IF(OR('Pricing Inputs'!$AQ$3=2,'Pricing Inputs'!$AQ$3=3,'Pricing Inputs'!$AQ$3=5,'Pricing Inputs'!$AQ$3=6,'Pricing Inputs'!$AQ$3=8,'Pricing Inputs'!$AQ$3=9),IF(AND('Pricing Inputs'!$AQ$3&gt;=2,'Pricing Inputs'!$AQ$3&lt;=6),K93,(VLOOKUP(A93,ScaledPrice,5))*(2-(VLOOKUP(A93,ScaledPrice,3)))),0))</f>
        <v>23.262603725527264</v>
      </c>
      <c r="M93" s="255">
        <f>IF(A93="N/A"," ",IF(OR('Pricing Inputs'!$AQ$3=3,'Pricing Inputs'!$AQ$3=6,'Pricing Inputs'!$AQ$3=9),(VLOOKUP(A93,ScaledPrice,IF(AND('Pricing Inputs'!$AQ$3&gt;=3,'Pricing Inputs'!$AQ$3&lt;=6),7,8))),0))</f>
        <v>23.424463261935205</v>
      </c>
      <c r="N93" s="255">
        <f>IF(A93="N/A"," ",IF(OR('Pricing Inputs'!$AQ$3=3,'Pricing Inputs'!$AQ$3=6,'Pricing Inputs'!$AQ$3=9),IF(AND('Pricing Inputs'!$AQ$3&gt;=3,'Pricing Inputs'!$AQ$3&lt;=6),M93,(VLOOKUP(A93,ScaledPrice,7))*(2-(VLOOKUP(A93,ScaledPrice,3)))),0))</f>
        <v>17.660535822537444</v>
      </c>
      <c r="O93" s="255">
        <f>IF(A93="N/A"," ",IF(AND('Pricing Inputs'!$AQ$3&gt;=1,'Pricing Inputs'!$AQ$3&lt;=3),VLOOKUP(A93,ScaledPrice,9),0))</f>
        <v>0</v>
      </c>
      <c r="P93" s="320">
        <f ca="1">IF($A93="N/A"," ",IF('Pricing Inputs'!$AN$8=2,(I93-H93),IF('Pricing Inputs'!$AN$3=2,IF((I93-$H93)&gt;0,I93-$H93,0),(_xll.xSPRDOPT(I93,$E93,$BU93,0,$BP93,$BS93,$BT93,($A93-Inputs!$D$1)+15,1,0)))))</f>
        <v>25.663922748339147</v>
      </c>
      <c r="Q93" s="320">
        <f ca="1">IF($A93="N/A"," ",IF('Pricing Inputs'!$AN$8=2,(J93-$H93),IF('Pricing Inputs'!$AN$3=2,IF((J93-$H93)&gt;0,J93-$H93,0),(_xll.xSPRDOPT(J93,$E93,$BU93,0,$BP93,$BS93,$BT93,($A93-Inputs!$D$1)+15,1,0)))))</f>
        <v>13.497529066356735</v>
      </c>
      <c r="R93" s="320">
        <f ca="1">IF($A93="N/A"," ",IF('Pricing Inputs'!$AN$8=2,(K93-$H93),IF('Pricing Inputs'!$AN$3=2,IF((K93-$H93)&gt;0,K93-$H93,0),(_xll.xSPRDOPT(K93,$E93,$BU93,0,$BP93,$BS93,$BT93,($A93-Inputs!$D$1)+15,1,0)))))</f>
        <v>5.0964346772028479</v>
      </c>
      <c r="S93" s="320">
        <f ca="1">IF($A93="N/A"," ",IF('Pricing Inputs'!$AN$8=2,(L93-$H93),IF('Pricing Inputs'!$AN$3=2,IF((L93-$H93)&gt;0,L93-$H93,0),(_xll.xSPRDOPT(L93,$E93,$BU93,0,$BP93,$BS93,$BT93,($A93-Inputs!$D$1)+15,1,0)))))</f>
        <v>1.801862564975955</v>
      </c>
      <c r="T93" s="320">
        <f ca="1">IF($A93="N/A"," ",IF('Pricing Inputs'!$AN$8=2,(M93-$H93),IF('Pricing Inputs'!$AN$3=2,IF((M93-$H93)&gt;0,M93-$H93,0),(_xll.xSPRDOPT(M93,$E93,$BU93,0,$BP93,$BS93,$BT93,($A93-Inputs!$D$1)+15,1,0)))))</f>
        <v>1.8535437490238422</v>
      </c>
      <c r="U93" s="320">
        <f ca="1">IF($A93="N/A"," ",IF('Pricing Inputs'!$AN$8=2,(N93-$H93),IF('Pricing Inputs'!$AN$3=2,IF((N93-$H93)&gt;0,N93-$H93,0),(_xll.xSPRDOPT(N93,$E93,$BU93,0,$BP93,$BS93,$BT93,($A93-Inputs!$D$1)+15,1,0)))))</f>
        <v>0.51812847730697464</v>
      </c>
      <c r="V93" s="259">
        <f ca="1">IF($A93="N/A"," ",(IF('Pricing Inputs'!$AN$8=2,(O93-$H93),IF((O93-$H93)&lt;=0,0,(O93-$H93)))))</f>
        <v>0</v>
      </c>
      <c r="W93" s="306">
        <f ca="1">IF($A93="N/A"," ",IF(0&lt;&gt;P93,IF('Pricing Inputs'!$AN$3=2,8*VLOOKUP($A93,NumberofDaysTable,2),(_xll.xSPRDOPT(I93,$E93,$BU93,0,$BP93,$BS93,$BT93,$A93-Inputs!$D$1,1,1))*(8*VLOOKUP($A93,NumberofDaysTable,2))),0))</f>
        <v>154.06282420482211</v>
      </c>
      <c r="X93" s="306">
        <f ca="1">IF($A93="N/A"," ",IF(Q93&lt;&gt;0,IF('Pricing Inputs'!$AN$3=2,8*VLOOKUP($A93,NumberofDaysTable,2),(_xll.xSPRDOPT(J93,$E93,$BU93,0,$BP93,$BS93,$BT93,$A93-Inputs!$D$1,1,1))*(8*VLOOKUP($A93,NumberofDaysTable,2))),0))</f>
        <v>132.72531975344549</v>
      </c>
      <c r="Y93" s="306">
        <f ca="1">IF($A93="N/A"," ",IF(R93&lt;&gt;0,IF('Pricing Inputs'!$AN$3=2,8*VLOOKUP($A93,NumberofDaysTable,3),(_xll.xSPRDOPT(K93,$E93,$BU93,0,$BP93,$BS93,$BT93,$A93-Inputs!$D$1,1,1))*(8*VLOOKUP($A93,NumberofDaysTable,3))),0))</f>
        <v>17.401568130795997</v>
      </c>
      <c r="Z93" s="306">
        <f ca="1">IF($A93="N/A"," ",IF(S93&lt;&gt;0,IF('Pricing Inputs'!$AN$3=2,8*VLOOKUP($A93,NumberofDaysTable,3),(_xll.xSPRDOPT(L93,$E93,$BU93,0,$BP93,$BS93,$BT93,$A93-Inputs!$D$1,1,1))*(8*VLOOKUP($A93,NumberofDaysTable,3))),0))</f>
        <v>10.107372304212957</v>
      </c>
      <c r="AA93" s="306">
        <f ca="1">IF($A93="N/A"," ",IF(T93&lt;&gt;0,IF('Pricing Inputs'!$AN$3=2,8*VLOOKUP($A93,NumberofDaysTable,4),(_xll.xSPRDOPT(M93,$E93,$BU93,0,$BP93,$BS93,$BT93,$A93-Inputs!$D$1,1,1))*(8*VLOOKUP($A93,NumberofDaysTable,4))),0))</f>
        <v>12.841403089049773</v>
      </c>
      <c r="AB93" s="306">
        <f ca="1">IF($A93="N/A"," ",IF(U93&lt;&gt;0,IF('Pricing Inputs'!$AN$3=2,8*VLOOKUP($A93,NumberofDaysTable,4),(_xll.xSPRDOPT(N93,$E93,$BU93,0,$BP93,$BS93,$BT93,$A93-Inputs!$D$1,1,1))*(8*VLOOKUP($A93,NumberofDaysTable,4))),0))</f>
        <v>5.8034997306216116</v>
      </c>
      <c r="AC93" s="306">
        <f t="shared" ca="1" si="132"/>
        <v>0</v>
      </c>
      <c r="AD93" s="274">
        <f t="shared" ca="1" si="175"/>
        <v>5</v>
      </c>
      <c r="AE93" s="275">
        <f t="shared" ca="1" si="176"/>
        <v>8</v>
      </c>
      <c r="AF93" s="275">
        <f t="shared" ca="1" si="177"/>
        <v>15</v>
      </c>
      <c r="AG93" s="275">
        <f t="shared" ca="1" si="178"/>
        <v>24</v>
      </c>
      <c r="AH93" s="275">
        <f t="shared" ca="1" si="179"/>
        <v>23</v>
      </c>
      <c r="AI93" s="275">
        <f t="shared" ca="1" si="180"/>
        <v>34</v>
      </c>
      <c r="AJ93" s="276">
        <f t="shared" ca="1" si="181"/>
        <v>73</v>
      </c>
      <c r="AK93" s="314">
        <f t="shared" ca="1" si="158"/>
        <v>154.06282420482211</v>
      </c>
      <c r="AL93" s="315">
        <f t="shared" ca="1" si="159"/>
        <v>132.72531975344549</v>
      </c>
      <c r="AM93" s="315">
        <f t="shared" ca="1" si="160"/>
        <v>17.401568130795997</v>
      </c>
      <c r="AN93" s="315">
        <f t="shared" ca="1" si="161"/>
        <v>10.107372304212957</v>
      </c>
      <c r="AO93" s="315">
        <f t="shared" ca="1" si="162"/>
        <v>12.841403089049773</v>
      </c>
      <c r="AP93" s="315">
        <f t="shared" ca="1" si="163"/>
        <v>5.8034997306216116</v>
      </c>
      <c r="AQ93" s="315">
        <f t="shared" ca="1" si="164"/>
        <v>0</v>
      </c>
      <c r="AR93" s="276"/>
      <c r="AS93" s="321">
        <f t="shared" ca="1" si="168"/>
        <v>0</v>
      </c>
      <c r="AT93" s="324">
        <f t="shared" ca="1" si="169"/>
        <v>0</v>
      </c>
      <c r="AU93" s="324">
        <f t="shared" ca="1" si="170"/>
        <v>0</v>
      </c>
      <c r="AV93" s="324">
        <f t="shared" ca="1" si="171"/>
        <v>0</v>
      </c>
      <c r="AW93" s="324">
        <f t="shared" ca="1" si="172"/>
        <v>0</v>
      </c>
      <c r="AX93" s="324">
        <f t="shared" ca="1" si="173"/>
        <v>0</v>
      </c>
      <c r="AY93" s="324">
        <f t="shared" ca="1" si="174"/>
        <v>0</v>
      </c>
      <c r="AZ93" s="276"/>
      <c r="BA93" s="267">
        <f ca="1">IF($A93="N/A"," ",(IF(MONTH(A93)&gt;=4,IF(MONTH(A93)&lt;=10,Inputs!$F$13,Inputs!$F$14),Inputs!$F$14))*$BW93)</f>
        <v>180</v>
      </c>
      <c r="BB93" s="268">
        <f t="shared" ca="1" si="165"/>
        <v>776077.02390977577</v>
      </c>
      <c r="BC93" s="268">
        <f t="shared" ca="1" si="166"/>
        <v>408165.27896662767</v>
      </c>
      <c r="BD93" s="268">
        <f t="shared" ca="1" si="133"/>
        <v>29355.463740688403</v>
      </c>
      <c r="BE93" s="268">
        <f t="shared" ca="1" si="134"/>
        <v>10378.7283742615</v>
      </c>
      <c r="BF93" s="268">
        <f t="shared" ca="1" si="135"/>
        <v>13345.514992971664</v>
      </c>
      <c r="BG93" s="268">
        <f t="shared" ca="1" si="136"/>
        <v>3730.5250366102173</v>
      </c>
      <c r="BH93" s="268">
        <f t="shared" ca="1" si="157"/>
        <v>0</v>
      </c>
      <c r="BI93" s="268">
        <f t="shared" ca="1" si="137"/>
        <v>1241052.5350209353</v>
      </c>
      <c r="BJ93" s="296">
        <f t="shared" ca="1" si="138"/>
        <v>1935663.5151199617</v>
      </c>
      <c r="BK93" s="296">
        <f t="shared" ca="1" si="139"/>
        <v>1815804.3997233002</v>
      </c>
      <c r="BL93" s="296">
        <f t="shared" ca="1" si="140"/>
        <v>119859.11539666128</v>
      </c>
      <c r="BM93" s="296">
        <f t="shared" ca="1" si="141"/>
        <v>0</v>
      </c>
      <c r="BN93" s="405">
        <f>IF(A93="N/A"," ",(VLOOKUP(A93,PowerVolTable,(IF('Pricing Inputs'!$AT$3=2,7,IF('Pricing Inputs'!$AT$3=1,6,8))),FALSE)))</f>
        <v>0.23993123650541004</v>
      </c>
      <c r="BO93" s="405">
        <f>IF(A93="N/A"," ",(VLOOKUP(A93,IntraPowerVol,(IF('Pricing Inputs'!$AT$3=2,3,IF('Pricing Inputs'!$AT$3=1,2,4))),FALSE)*VLOOKUP(MONTH($A93),Inputs!$A$28:$B$39,2)))</f>
        <v>2.2999999999999998</v>
      </c>
      <c r="BP93" s="406">
        <f t="shared" ca="1" si="126"/>
        <v>0.28890868702057093</v>
      </c>
      <c r="BQ93" s="405">
        <f ca="1">IF($A93="N/A"," ",(VLOOKUP($A93,GasVolTable,(IF('Pricing Inputs'!$AT$3=2,6,IF('Pricing Inputs'!$AT$3=1,7,5))),FALSE)))</f>
        <v>0.1575</v>
      </c>
      <c r="BR93" s="405">
        <f ca="1">IF($A93="N/A"," ",(VLOOKUP($A93,OmicronVol,(IF('Pricing Inputs'!$AT$3=2,3,IF('Pricing Inputs'!$AT$3=1,4,2))),FALSE)))</f>
        <v>0.5</v>
      </c>
      <c r="BS93" s="406">
        <f ca="1">IF($A93="N/A"," ",IF('Pricing Inputs'!$AN$3=1,(IF(DateToday&gt;$A93,$BR93,((($BQ93^2)*((($A93-1)-DateToday)/((EOMONTH($A93,0)+1)-DateToday-15)))+((($BR93)^2)*((15)/((EOMONTH($A93,0)+1)-DateToday-15))))^0.5)),0.0001))</f>
        <v>0.16097706233216519</v>
      </c>
      <c r="BT93" s="405">
        <f>IF($A93="N/A"," ",IF('Pricing Inputs'!$AN$3=1,(VLOOKUP($A93,CorrelationTable,2,FALSE)),0))</f>
        <v>0.9</v>
      </c>
      <c r="BU93" s="407">
        <f ca="1">IF($A93="N/A"," ",F93+G93+(D93*(VLOOKUP($A93,'Gas Curves'!$B$17:$P$310,14,FALSE))))</f>
        <v>2.6825000000000001</v>
      </c>
      <c r="BV93" s="405">
        <f>IF($A93="N/A"," ",IF('Pricing Inputs'!$AW$3=1,0,(VLOOKUP($A93,InterestRatesTable,2))))</f>
        <v>0</v>
      </c>
      <c r="BW93" s="408">
        <f t="shared" ca="1" si="127"/>
        <v>1</v>
      </c>
    </row>
    <row r="94" spans="1:75">
      <c r="A94" s="248">
        <f>IF(A93="N/A","N/A",IF(EDATE(A93,1)&gt;Inputs!$K$3,"N/A",EDATE(A93,1)))</f>
        <v>39630</v>
      </c>
      <c r="B94" s="262">
        <f t="shared" si="128"/>
        <v>2008</v>
      </c>
      <c r="C94" s="249">
        <f t="shared" ca="1" si="129"/>
        <v>2.8956170309999996</v>
      </c>
      <c r="D94" s="250">
        <f>IF(A94="N/A"," ",(VLOOKUP(MONTH($A94),Inputs!$A$14:$B$25,2))/1000)</f>
        <v>10.5</v>
      </c>
      <c r="E94" s="304">
        <f t="shared" ca="1" si="130"/>
        <v>30.403978825499994</v>
      </c>
      <c r="F94" s="251">
        <f>IF(A94="N/A"," ",Inputs!$F$6)</f>
        <v>2</v>
      </c>
      <c r="G94" s="251">
        <f ca="1">IF(A94="N/A"," ",Inputs!$F$9/IF(AND('Pricing Inputs'!$AQ$3&gt;=4,'Pricing Inputs'!$AQ$3&lt;=6),16,IF(AND('Pricing Inputs'!$AQ$3&gt;=7,'Pricing Inputs'!$AQ$3&lt;=9),8,24))/(BA94/BW94))</f>
        <v>0</v>
      </c>
      <c r="H94" s="252">
        <f t="shared" ca="1" si="131"/>
        <v>32.403978825499991</v>
      </c>
      <c r="I94" s="255">
        <f>VLOOKUP(A94,ScaledPrice,(IF(AND('Pricing Inputs'!$AQ$3&gt;=1,'Pricing Inputs'!$AQ$3&lt;=6),2,4)))</f>
        <v>86.395706305865986</v>
      </c>
      <c r="J94" s="255">
        <f>IF(A94="N/A"," ",IF(AND('Pricing Inputs'!$AQ$3&gt;=1,'Pricing Inputs'!$AQ$3&lt;=6),I94,(VLOOKUP(A94,ScaledPrice,2))*(2-(VLOOKUP(A94,ScaledPrice,3)))))</f>
        <v>58.604293694134007</v>
      </c>
      <c r="K94" s="255">
        <f>IF(A94="N/A"," ",IF(OR('Pricing Inputs'!$AQ$3=2,'Pricing Inputs'!$AQ$3=3,'Pricing Inputs'!$AQ$3=5,'Pricing Inputs'!$AQ$3=6,'Pricing Inputs'!$AQ$3=8,'Pricing Inputs'!$AQ$3=9),VLOOKUP(A94,ScaledPrice,IF(AND('Pricing Inputs'!$AQ$3&gt;=2,'Pricing Inputs'!$AQ$3&lt;=6),5,6)),0))</f>
        <v>47.977918495975622</v>
      </c>
      <c r="L94" s="255">
        <f>IF(A94="N/A"," ",IF(OR('Pricing Inputs'!$AQ$3=2,'Pricing Inputs'!$AQ$3=3,'Pricing Inputs'!$AQ$3=5,'Pricing Inputs'!$AQ$3=6,'Pricing Inputs'!$AQ$3=8,'Pricing Inputs'!$AQ$3=9),IF(AND('Pricing Inputs'!$AQ$3&gt;=2,'Pricing Inputs'!$AQ$3&lt;=6),K94,(VLOOKUP(A94,ScaledPrice,5))*(2-(VLOOKUP(A94,ScaledPrice,3)))),0))</f>
        <v>32.544580588497062</v>
      </c>
      <c r="M94" s="255">
        <f>IF(A94="N/A"," ",IF(OR('Pricing Inputs'!$AQ$3=3,'Pricing Inputs'!$AQ$3=6,'Pricing Inputs'!$AQ$3=9),(VLOOKUP(A94,ScaledPrice,IF(AND('Pricing Inputs'!$AQ$3&gt;=3,'Pricing Inputs'!$AQ$3&lt;=6),7,8))),0))</f>
        <v>35.449051409565008</v>
      </c>
      <c r="N94" s="255">
        <f>IF(A94="N/A"," ",IF(OR('Pricing Inputs'!$AQ$3=3,'Pricing Inputs'!$AQ$3=6,'Pricing Inputs'!$AQ$3=9),IF(AND('Pricing Inputs'!$AQ$3&gt;=3,'Pricing Inputs'!$AQ$3&lt;=6),M94,(VLOOKUP(A94,ScaledPrice,7))*(2-(VLOOKUP(A94,ScaledPrice,3)))),0))</f>
        <v>24.045947522319747</v>
      </c>
      <c r="O94" s="255">
        <f>IF(A94="N/A"," ",IF(AND('Pricing Inputs'!$AQ$3&gt;=1,'Pricing Inputs'!$AQ$3&lt;=3),VLOOKUP(A94,ScaledPrice,9),0))</f>
        <v>0</v>
      </c>
      <c r="P94" s="320">
        <f ca="1">IF($A94="N/A"," ",IF('Pricing Inputs'!$AN$8=2,(I94-H94),IF('Pricing Inputs'!$AN$3=2,IF((I94-$H94)&gt;0,I94-$H94,0),(_xll.xSPRDOPT(I94,$E94,$BU94,0,$BP94,$BS94,$BT94,($A94-Inputs!$D$1)+15,1,0)))))</f>
        <v>54.878759271193353</v>
      </c>
      <c r="Q94" s="320">
        <f ca="1">IF($A94="N/A"," ",IF('Pricing Inputs'!$AN$8=2,(J94-$H94),IF('Pricing Inputs'!$AN$3=2,IF((J94-$H94)&gt;0,J94-$H94,0),(_xll.xSPRDOPT(J94,$E94,$BU94,0,$BP94,$BS94,$BT94,($A94-Inputs!$D$1)+15,1,0)))))</f>
        <v>29.204428113161843</v>
      </c>
      <c r="R94" s="320">
        <f ca="1">IF($A94="N/A"," ",IF('Pricing Inputs'!$AN$8=2,(K94-$H94),IF('Pricing Inputs'!$AN$3=2,IF((K94-$H94)&gt;0,K94-$H94,0),(_xll.xSPRDOPT(K94,$E94,$BU94,0,$BP94,$BS94,$BT94,($A94-Inputs!$D$1)+15,1,0)))))</f>
        <v>20.202819323977749</v>
      </c>
      <c r="S94" s="320">
        <f ca="1">IF($A94="N/A"," ",IF('Pricing Inputs'!$AN$8=2,(L94-$H94),IF('Pricing Inputs'!$AN$3=2,IF((L94-$H94)&gt;0,L94-$H94,0),(_xll.xSPRDOPT(L94,$E94,$BU94,0,$BP94,$BS94,$BT94,($A94-Inputs!$D$1)+15,1,0)))))</f>
        <v>8.8900951208991401</v>
      </c>
      <c r="T94" s="320">
        <f ca="1">IF($A94="N/A"," ",IF('Pricing Inputs'!$AN$8=2,(M94-$H94),IF('Pricing Inputs'!$AN$3=2,IF((M94-$H94)&gt;0,M94-$H94,0),(_xll.xSPRDOPT(M94,$E94,$BU94,0,$BP94,$BS94,$BT94,($A94-Inputs!$D$1)+15,1,0)))))</f>
        <v>10.794368737373308</v>
      </c>
      <c r="U94" s="320">
        <f ca="1">IF($A94="N/A"," ",IF('Pricing Inputs'!$AN$8=2,(N94-$H94),IF('Pricing Inputs'!$AN$3=2,IF((N94-$H94)&gt;0,N94-$H94,0),(_xll.xSPRDOPT(N94,$E94,$BU94,0,$BP94,$BS94,$BT94,($A94-Inputs!$D$1)+15,1,0)))))</f>
        <v>4.1781798199691371</v>
      </c>
      <c r="V94" s="259">
        <f ca="1">IF($A94="N/A"," ",(IF('Pricing Inputs'!$AN$8=2,(O94-$H94),IF((O94-$H94)&lt;=0,0,(O94-$H94)))))</f>
        <v>0</v>
      </c>
      <c r="W94" s="306">
        <f ca="1">IF($A94="N/A"," ",IF(0&lt;&gt;P94,IF('Pricing Inputs'!$AN$3=2,8*VLOOKUP($A94,NumberofDaysTable,2),(_xll.xSPRDOPT(I94,$E94,$BU94,0,$BP94,$BS94,$BT94,$A94-Inputs!$D$1,1,1))*(8*VLOOKUP($A94,NumberofDaysTable,2))),0))</f>
        <v>168.18508883613694</v>
      </c>
      <c r="X94" s="306">
        <f ca="1">IF($A94="N/A"," ",IF(Q94&lt;&gt;0,IF('Pricing Inputs'!$AN$3=2,8*VLOOKUP($A94,NumberofDaysTable,2),(_xll.xSPRDOPT(J94,$E94,$BU94,0,$BP94,$BS94,$BT94,$A94-Inputs!$D$1,1,1))*(8*VLOOKUP($A94,NumberofDaysTable,2))),0))</f>
        <v>154.45616211527778</v>
      </c>
      <c r="Y94" s="306">
        <f ca="1">IF($A94="N/A"," ",IF(R94&lt;&gt;0,IF('Pricing Inputs'!$AN$3=2,8*VLOOKUP($A94,NumberofDaysTable,3),(_xll.xSPRDOPT(K94,$E94,$BU94,0,$BP94,$BS94,$BT94,$A94-Inputs!$D$1,1,1))*(8*VLOOKUP($A94,NumberofDaysTable,3))),0))</f>
        <v>25.970365156365641</v>
      </c>
      <c r="Z94" s="306">
        <f ca="1">IF($A94="N/A"," ",IF(S94&lt;&gt;0,IF('Pricing Inputs'!$AN$3=2,8*VLOOKUP($A94,NumberofDaysTable,3),(_xll.xSPRDOPT(L94,$E94,$BU94,0,$BP94,$BS94,$BT94,$A94-Inputs!$D$1,1,1))*(8*VLOOKUP($A94,NumberofDaysTable,3))),0))</f>
        <v>20.246542310592158</v>
      </c>
      <c r="AA94" s="306">
        <f ca="1">IF($A94="N/A"," ",IF(T94&lt;&gt;0,IF('Pricing Inputs'!$AN$3=2,8*VLOOKUP($A94,NumberofDaysTable,4),(_xll.xSPRDOPT(M94,$E94,$BU94,0,$BP94,$BS94,$BT94,$A94-Inputs!$D$1,1,1))*(8*VLOOKUP($A94,NumberofDaysTable,4))),0))</f>
        <v>21.663571375771557</v>
      </c>
      <c r="AB94" s="306">
        <f ca="1">IF($A94="N/A"," ",IF(U94&lt;&gt;0,IF('Pricing Inputs'!$AN$3=2,8*VLOOKUP($A94,NumberofDaysTable,4),(_xll.xSPRDOPT(N94,$E94,$BU94,0,$BP94,$BS94,$BT94,$A94-Inputs!$D$1,1,1))*(8*VLOOKUP($A94,NumberofDaysTable,4))),0))</f>
        <v>14.878372430283113</v>
      </c>
      <c r="AC94" s="306">
        <f t="shared" ca="1" si="132"/>
        <v>0</v>
      </c>
      <c r="AD94" s="274">
        <f t="shared" ca="1" si="175"/>
        <v>1</v>
      </c>
      <c r="AE94" s="275">
        <f t="shared" ca="1" si="176"/>
        <v>4</v>
      </c>
      <c r="AF94" s="275">
        <f t="shared" ca="1" si="177"/>
        <v>6</v>
      </c>
      <c r="AG94" s="275">
        <f t="shared" ca="1" si="178"/>
        <v>12</v>
      </c>
      <c r="AH94" s="275">
        <f t="shared" ca="1" si="179"/>
        <v>10</v>
      </c>
      <c r="AI94" s="275">
        <f t="shared" ca="1" si="180"/>
        <v>17</v>
      </c>
      <c r="AJ94" s="276">
        <f t="shared" ca="1" si="181"/>
        <v>73</v>
      </c>
      <c r="AK94" s="314">
        <f t="shared" ca="1" si="158"/>
        <v>168.18508883613694</v>
      </c>
      <c r="AL94" s="315">
        <f t="shared" ca="1" si="159"/>
        <v>154.45616211527778</v>
      </c>
      <c r="AM94" s="315">
        <f t="shared" ca="1" si="160"/>
        <v>25.970365156365641</v>
      </c>
      <c r="AN94" s="315">
        <f t="shared" ca="1" si="161"/>
        <v>20.246542310592158</v>
      </c>
      <c r="AO94" s="315">
        <f t="shared" ca="1" si="162"/>
        <v>21.663571375771557</v>
      </c>
      <c r="AP94" s="315">
        <f t="shared" ca="1" si="163"/>
        <v>14.878372430283113</v>
      </c>
      <c r="AQ94" s="315">
        <f t="shared" ca="1" si="164"/>
        <v>0</v>
      </c>
      <c r="AR94" s="276"/>
      <c r="AS94" s="321">
        <f t="shared" ca="1" si="168"/>
        <v>0</v>
      </c>
      <c r="AT94" s="324">
        <f t="shared" ca="1" si="169"/>
        <v>0</v>
      </c>
      <c r="AU94" s="324">
        <f t="shared" ca="1" si="170"/>
        <v>0</v>
      </c>
      <c r="AV94" s="324">
        <f t="shared" ca="1" si="171"/>
        <v>0</v>
      </c>
      <c r="AW94" s="324">
        <f t="shared" ca="1" si="172"/>
        <v>0</v>
      </c>
      <c r="AX94" s="324">
        <f t="shared" ca="1" si="173"/>
        <v>0</v>
      </c>
      <c r="AY94" s="324">
        <f t="shared" ca="1" si="174"/>
        <v>0</v>
      </c>
      <c r="AZ94" s="276"/>
      <c r="BA94" s="267">
        <f ca="1">IF($A94="N/A"," ",(IF(MONTH(A94)&gt;=4,IF(MONTH(A94)&lt;=10,Inputs!$F$13,Inputs!$F$14),Inputs!$F$14))*$BW94)</f>
        <v>180</v>
      </c>
      <c r="BB94" s="268">
        <f t="shared" ca="1" si="165"/>
        <v>1738559.0937114055</v>
      </c>
      <c r="BC94" s="268">
        <f t="shared" ca="1" si="166"/>
        <v>925196.28262496716</v>
      </c>
      <c r="BD94" s="268">
        <f t="shared" ca="1" si="133"/>
        <v>116368.23930611183</v>
      </c>
      <c r="BE94" s="268">
        <f t="shared" ca="1" si="134"/>
        <v>51206.947896379046</v>
      </c>
      <c r="BF94" s="268">
        <f t="shared" ca="1" si="135"/>
        <v>77719.454909087814</v>
      </c>
      <c r="BG94" s="268">
        <f t="shared" ca="1" si="136"/>
        <v>30082.894703777787</v>
      </c>
      <c r="BH94" s="268">
        <f t="shared" ca="1" si="157"/>
        <v>0</v>
      </c>
      <c r="BI94" s="268">
        <f t="shared" ca="1" si="137"/>
        <v>2939132.9131517289</v>
      </c>
      <c r="BJ94" s="296">
        <f t="shared" ca="1" si="138"/>
        <v>2364583.7391004558</v>
      </c>
      <c r="BK94" s="296">
        <f t="shared" ca="1" si="139"/>
        <v>2218639.7022996624</v>
      </c>
      <c r="BL94" s="296">
        <f t="shared" ca="1" si="140"/>
        <v>145944.03680079375</v>
      </c>
      <c r="BM94" s="296">
        <f t="shared" ca="1" si="141"/>
        <v>0</v>
      </c>
      <c r="BN94" s="405">
        <f>IF(A94="N/A"," ",(VLOOKUP(A94,PowerVolTable,(IF('Pricing Inputs'!$AT$3=2,7,IF('Pricing Inputs'!$AT$3=1,6,8))),FALSE)))</f>
        <v>0.28392648615931632</v>
      </c>
      <c r="BO94" s="405">
        <f>IF(A94="N/A"," ",(VLOOKUP(A94,IntraPowerVol,(IF('Pricing Inputs'!$AT$3=2,3,IF('Pricing Inputs'!$AT$3=1,2,4))),FALSE)*VLOOKUP(MONTH($A94),Inputs!$A$28:$B$39,2)))</f>
        <v>3.4499999999999997</v>
      </c>
      <c r="BP94" s="406">
        <f t="shared" ca="1" si="126"/>
        <v>0.3721974044088493</v>
      </c>
      <c r="BQ94" s="405">
        <f ca="1">IF($A94="N/A"," ",(VLOOKUP($A94,GasVolTable,(IF('Pricing Inputs'!$AT$3=2,6,IF('Pricing Inputs'!$AT$3=1,7,5))),FALSE)))</f>
        <v>0.1575</v>
      </c>
      <c r="BR94" s="405">
        <f ca="1">IF($A94="N/A"," ",(VLOOKUP($A94,OmicronVol,(IF('Pricing Inputs'!$AT$3=2,3,IF('Pricing Inputs'!$AT$3=1,4,2))),FALSE)))</f>
        <v>0.5</v>
      </c>
      <c r="BS94" s="406">
        <f ca="1">IF($A94="N/A"," ",IF('Pricing Inputs'!$AN$3=1,(IF(DateToday&gt;$A94,$BR94,((($BQ94^2)*((($A94-1)-DateToday)/((EOMONTH($A94,0)+1)-DateToday-15)))+((($BR94)^2)*((15)/((EOMONTH($A94,0)+1)-DateToday-15))))^0.5)),0.0001))</f>
        <v>0.1609170073749325</v>
      </c>
      <c r="BT94" s="405">
        <f>IF($A94="N/A"," ",IF('Pricing Inputs'!$AN$3=1,(VLOOKUP($A94,CorrelationTable,2,FALSE)),0))</f>
        <v>0.9</v>
      </c>
      <c r="BU94" s="407">
        <f ca="1">IF($A94="N/A"," ",F94+G94+(D94*(VLOOKUP($A94,'Gas Curves'!$B$17:$P$310,14,FALSE))))</f>
        <v>2.6825000000000001</v>
      </c>
      <c r="BV94" s="405">
        <f>IF($A94="N/A"," ",IF('Pricing Inputs'!$AW$3=1,0,(VLOOKUP($A94,InterestRatesTable,2))))</f>
        <v>0</v>
      </c>
      <c r="BW94" s="408">
        <f t="shared" ca="1" si="127"/>
        <v>1</v>
      </c>
    </row>
    <row r="95" spans="1:75">
      <c r="A95" s="248">
        <f>IF(A94="N/A","N/A",IF(EDATE(A94,1)&gt;Inputs!$K$3,"N/A",EDATE(A94,1)))</f>
        <v>39661</v>
      </c>
      <c r="B95" s="262">
        <f t="shared" si="128"/>
        <v>2008</v>
      </c>
      <c r="C95" s="249">
        <f t="shared" ca="1" si="129"/>
        <v>2.9026170310000001</v>
      </c>
      <c r="D95" s="250">
        <f>IF(A95="N/A"," ",(VLOOKUP(MONTH($A95),Inputs!$A$14:$B$25,2))/1000)</f>
        <v>10.5</v>
      </c>
      <c r="E95" s="304">
        <f t="shared" ca="1" si="130"/>
        <v>30.4774788255</v>
      </c>
      <c r="F95" s="251">
        <f>IF(A95="N/A"," ",Inputs!$F$6)</f>
        <v>2</v>
      </c>
      <c r="G95" s="251">
        <f ca="1">IF(A95="N/A"," ",Inputs!$F$9/IF(AND('Pricing Inputs'!$AQ$3&gt;=4,'Pricing Inputs'!$AQ$3&lt;=6),16,IF(AND('Pricing Inputs'!$AQ$3&gt;=7,'Pricing Inputs'!$AQ$3&lt;=9),8,24))/(BA95/BW95))</f>
        <v>0</v>
      </c>
      <c r="H95" s="252">
        <f t="shared" ca="1" si="131"/>
        <v>32.4774788255</v>
      </c>
      <c r="I95" s="255">
        <f>VLOOKUP(A95,ScaledPrice,(IF(AND('Pricing Inputs'!$AQ$3&gt;=1,'Pricing Inputs'!$AQ$3&lt;=6),2,4)))</f>
        <v>75.407168489044608</v>
      </c>
      <c r="J95" s="255">
        <f>IF(A95="N/A"," ",IF(AND('Pricing Inputs'!$AQ$3&gt;=1,'Pricing Inputs'!$AQ$3&lt;=6),I95,(VLOOKUP(A95,ScaledPrice,2))*(2-(VLOOKUP(A95,ScaledPrice,3)))))</f>
        <v>60.592831510955385</v>
      </c>
      <c r="K95" s="255">
        <f>IF(A95="N/A"," ",IF(OR('Pricing Inputs'!$AQ$3=2,'Pricing Inputs'!$AQ$3=3,'Pricing Inputs'!$AQ$3=5,'Pricing Inputs'!$AQ$3=6,'Pricing Inputs'!$AQ$3=8,'Pricing Inputs'!$AQ$3=9),VLOOKUP(A95,ScaledPrice,IF(AND('Pricing Inputs'!$AQ$3&gt;=2,'Pricing Inputs'!$AQ$3&lt;=6),5,6)),0))</f>
        <v>47.154430191736409</v>
      </c>
      <c r="L95" s="255">
        <f>IF(A95="N/A"," ",IF(OR('Pricing Inputs'!$AQ$3=2,'Pricing Inputs'!$AQ$3=3,'Pricing Inputs'!$AQ$3=5,'Pricing Inputs'!$AQ$3=6,'Pricing Inputs'!$AQ$3=8,'Pricing Inputs'!$AQ$3=9),IF(AND('Pricing Inputs'!$AQ$3&gt;=2,'Pricing Inputs'!$AQ$3&lt;=6),K95,(VLOOKUP(A95,ScaledPrice,5))*(2-(VLOOKUP(A95,ScaledPrice,3)))),0))</f>
        <v>37.890567977208931</v>
      </c>
      <c r="M95" s="255">
        <f>IF(A95="N/A"," ",IF(OR('Pricing Inputs'!$AQ$3=3,'Pricing Inputs'!$AQ$3=6,'Pricing Inputs'!$AQ$3=9),(VLOOKUP(A95,ScaledPrice,IF(AND('Pricing Inputs'!$AQ$3&gt;=3,'Pricing Inputs'!$AQ$3&lt;=6),7,8))),0))</f>
        <v>34.648485922417841</v>
      </c>
      <c r="N95" s="255">
        <f>IF(A95="N/A"," ",IF(OR('Pricing Inputs'!$AQ$3=3,'Pricing Inputs'!$AQ$3=6,'Pricing Inputs'!$AQ$3=9),IF(AND('Pricing Inputs'!$AQ$3&gt;=3,'Pricing Inputs'!$AQ$3&lt;=6),M95,(VLOOKUP(A95,ScaledPrice,7))*(2-(VLOOKUP(A95,ScaledPrice,3)))),0))</f>
        <v>27.841515756048953</v>
      </c>
      <c r="O95" s="255">
        <f>IF(A95="N/A"," ",IF(AND('Pricing Inputs'!$AQ$3&gt;=1,'Pricing Inputs'!$AQ$3&lt;=3),VLOOKUP(A95,ScaledPrice,9),0))</f>
        <v>0</v>
      </c>
      <c r="P95" s="320">
        <f ca="1">IF($A95="N/A"," ",IF('Pricing Inputs'!$AN$8=2,(I95-H95),IF('Pricing Inputs'!$AN$3=2,IF((I95-$H95)&gt;0,I95-$H95,0),(_xll.xSPRDOPT(I95,$E95,$BU95,0,$BP95,$BS95,$BT95,($A95-Inputs!$D$1)+15,1,0)))))</f>
        <v>44.318258986725134</v>
      </c>
      <c r="Q95" s="320">
        <f ca="1">IF($A95="N/A"," ",IF('Pricing Inputs'!$AN$8=2,(J95-$H95),IF('Pricing Inputs'!$AN$3=2,IF((J95-$H95)&gt;0,J95-$H95,0),(_xll.xSPRDOPT(J95,$E95,$BU95,0,$BP95,$BS95,$BT95,($A95-Inputs!$D$1)+15,1,0)))))</f>
        <v>30.773538281058062</v>
      </c>
      <c r="R95" s="320">
        <f ca="1">IF($A95="N/A"," ",IF('Pricing Inputs'!$AN$8=2,(K95-$H95),IF('Pricing Inputs'!$AN$3=2,IF((K95-$H95)&gt;0,K95-$H95,0),(_xll.xSPRDOPT(K95,$E95,$BU95,0,$BP95,$BS95,$BT95,($A95-Inputs!$D$1)+15,1,0)))))</f>
        <v>19.345734332914351</v>
      </c>
      <c r="S95" s="320">
        <f ca="1">IF($A95="N/A"," ",IF('Pricing Inputs'!$AN$8=2,(L95-$H95),IF('Pricing Inputs'!$AN$3=2,IF((L95-$H95)&gt;0,L95-$H95,0),(_xll.xSPRDOPT(L95,$E95,$BU95,0,$BP95,$BS95,$BT95,($A95-Inputs!$D$1)+15,1,0)))))</f>
        <v>12.305966587961485</v>
      </c>
      <c r="T95" s="320">
        <f ca="1">IF($A95="N/A"," ",IF('Pricing Inputs'!$AN$8=2,(M95-$H95),IF('Pricing Inputs'!$AN$3=2,IF((M95-$H95)&gt;0,M95-$H95,0),(_xll.xSPRDOPT(M95,$E95,$BU95,0,$BP95,$BS95,$BT95,($A95-Inputs!$D$1)+15,1,0)))))</f>
        <v>10.081873473477568</v>
      </c>
      <c r="U95" s="320">
        <f ca="1">IF($A95="N/A"," ",IF('Pricing Inputs'!$AN$8=2,(N95-$H95),IF('Pricing Inputs'!$AN$3=2,IF((N95-$H95)&gt;0,N95-$H95,0),(_xll.xSPRDOPT(N95,$E95,$BU95,0,$BP95,$BS95,$BT95,($A95-Inputs!$D$1)+15,1,0)))))</f>
        <v>5.9575404360357815</v>
      </c>
      <c r="V95" s="259">
        <f ca="1">IF($A95="N/A"," ",(IF('Pricing Inputs'!$AN$8=2,(O95-$H95),IF((O95-$H95)&lt;=0,0,(O95-$H95)))))</f>
        <v>0</v>
      </c>
      <c r="W95" s="306">
        <f ca="1">IF($A95="N/A"," ",IF(0&lt;&gt;P95,IF('Pricing Inputs'!$AN$3=2,8*VLOOKUP($A95,NumberofDaysTable,2),(_xll.xSPRDOPT(I95,$E95,$BU95,0,$BP95,$BS95,$BT95,$A95-Inputs!$D$1,1,1))*(8*VLOOKUP($A95,NumberofDaysTable,2))),0))</f>
        <v>157.27476555890686</v>
      </c>
      <c r="X95" s="306">
        <f ca="1">IF($A95="N/A"," ",IF(Q95&lt;&gt;0,IF('Pricing Inputs'!$AN$3=2,8*VLOOKUP($A95,NumberofDaysTable,2),(_xll.xSPRDOPT(J95,$E95,$BU95,0,$BP95,$BS95,$BT95,$A95-Inputs!$D$1,1,1))*(8*VLOOKUP($A95,NumberofDaysTable,2))),0))</f>
        <v>149.13927248276909</v>
      </c>
      <c r="Y95" s="306">
        <f ca="1">IF($A95="N/A"," ",IF(R95&lt;&gt;0,IF('Pricing Inputs'!$AN$3=2,8*VLOOKUP($A95,NumberofDaysTable,3),(_xll.xSPRDOPT(K95,$E95,$BU95,0,$BP95,$BS95,$BT95,$A95-Inputs!$D$1,1,1))*(8*VLOOKUP($A95,NumberofDaysTable,3))),0))</f>
        <v>32.191955617703258</v>
      </c>
      <c r="Z95" s="306">
        <f ca="1">IF($A95="N/A"," ",IF(S95&lt;&gt;0,IF('Pricing Inputs'!$AN$3=2,8*VLOOKUP($A95,NumberofDaysTable,3),(_xll.xSPRDOPT(L95,$E95,$BU95,0,$BP95,$BS95,$BT95,$A95-Inputs!$D$1,1,1))*(8*VLOOKUP($A95,NumberofDaysTable,3))),0))</f>
        <v>28.316011186240427</v>
      </c>
      <c r="AA95" s="306">
        <f ca="1">IF($A95="N/A"," ",IF(T95&lt;&gt;0,IF('Pricing Inputs'!$AN$3=2,8*VLOOKUP($A95,NumberofDaysTable,4),(_xll.xSPRDOPT(M95,$E95,$BU95,0,$BP95,$BS95,$BT95,$A95-Inputs!$D$1,1,1))*(8*VLOOKUP($A95,NumberofDaysTable,4))),0))</f>
        <v>26.502676673972068</v>
      </c>
      <c r="AB95" s="306">
        <f ca="1">IF($A95="N/A"," ",IF(U95&lt;&gt;0,IF('Pricing Inputs'!$AN$3=2,8*VLOOKUP($A95,NumberofDaysTable,4),(_xll.xSPRDOPT(N95,$E95,$BU95,0,$BP95,$BS95,$BT95,$A95-Inputs!$D$1,1,1))*(8*VLOOKUP($A95,NumberofDaysTable,4))),0))</f>
        <v>21.69215102180037</v>
      </c>
      <c r="AC95" s="306">
        <f t="shared" ca="1" si="132"/>
        <v>0</v>
      </c>
      <c r="AD95" s="274">
        <f t="shared" ca="1" si="175"/>
        <v>2</v>
      </c>
      <c r="AE95" s="275">
        <f t="shared" ca="1" si="176"/>
        <v>3</v>
      </c>
      <c r="AF95" s="275">
        <f t="shared" ca="1" si="177"/>
        <v>7</v>
      </c>
      <c r="AG95" s="275">
        <f t="shared" ca="1" si="178"/>
        <v>9</v>
      </c>
      <c r="AH95" s="275">
        <f t="shared" ca="1" si="179"/>
        <v>11</v>
      </c>
      <c r="AI95" s="275">
        <f t="shared" ca="1" si="180"/>
        <v>14</v>
      </c>
      <c r="AJ95" s="276">
        <f t="shared" ca="1" si="181"/>
        <v>73</v>
      </c>
      <c r="AK95" s="314">
        <f t="shared" ca="1" si="158"/>
        <v>157.27476555890686</v>
      </c>
      <c r="AL95" s="315">
        <f t="shared" ca="1" si="159"/>
        <v>149.13927248276909</v>
      </c>
      <c r="AM95" s="315">
        <f t="shared" ca="1" si="160"/>
        <v>32.191955617703258</v>
      </c>
      <c r="AN95" s="315">
        <f t="shared" ca="1" si="161"/>
        <v>28.316011186240427</v>
      </c>
      <c r="AO95" s="315">
        <f t="shared" ca="1" si="162"/>
        <v>26.502676673972068</v>
      </c>
      <c r="AP95" s="315">
        <f t="shared" ca="1" si="163"/>
        <v>21.69215102180037</v>
      </c>
      <c r="AQ95" s="315">
        <f t="shared" ca="1" si="164"/>
        <v>0</v>
      </c>
      <c r="AR95" s="276"/>
      <c r="AS95" s="321">
        <f t="shared" ca="1" si="168"/>
        <v>0</v>
      </c>
      <c r="AT95" s="324">
        <f t="shared" ca="1" si="169"/>
        <v>0</v>
      </c>
      <c r="AU95" s="324">
        <f t="shared" ca="1" si="170"/>
        <v>0</v>
      </c>
      <c r="AV95" s="324">
        <f t="shared" ca="1" si="171"/>
        <v>0</v>
      </c>
      <c r="AW95" s="324">
        <f t="shared" ca="1" si="172"/>
        <v>0</v>
      </c>
      <c r="AX95" s="324">
        <f t="shared" ca="1" si="173"/>
        <v>0</v>
      </c>
      <c r="AY95" s="324">
        <f t="shared" ca="1" si="174"/>
        <v>0</v>
      </c>
      <c r="AZ95" s="276"/>
      <c r="BA95" s="267">
        <f ca="1">IF($A95="N/A"," ",(IF(MONTH(A95)&gt;=4,IF(MONTH(A95)&lt;=10,Inputs!$F$13,Inputs!$F$14),Inputs!$F$14))*$BW95)</f>
        <v>180</v>
      </c>
      <c r="BB95" s="268">
        <f t="shared" ca="1" si="165"/>
        <v>1340184.1517585681</v>
      </c>
      <c r="BC95" s="268">
        <f t="shared" ca="1" si="166"/>
        <v>930591.79761919577</v>
      </c>
      <c r="BD95" s="268">
        <f t="shared" ca="1" si="133"/>
        <v>139289.28719698332</v>
      </c>
      <c r="BE95" s="268">
        <f t="shared" ca="1" si="134"/>
        <v>88602.9594333227</v>
      </c>
      <c r="BF95" s="268">
        <f t="shared" ca="1" si="135"/>
        <v>72589.489009038487</v>
      </c>
      <c r="BG95" s="268">
        <f t="shared" ca="1" si="136"/>
        <v>42894.291139457629</v>
      </c>
      <c r="BH95" s="268">
        <f t="shared" ca="1" si="157"/>
        <v>0</v>
      </c>
      <c r="BI95" s="268">
        <f t="shared" ca="1" si="137"/>
        <v>2614151.9761565663</v>
      </c>
      <c r="BJ95" s="296">
        <f t="shared" ca="1" si="138"/>
        <v>2426750.6650149045</v>
      </c>
      <c r="BK95" s="296">
        <f t="shared" ca="1" si="139"/>
        <v>2277308.6053000032</v>
      </c>
      <c r="BL95" s="296">
        <f t="shared" ca="1" si="140"/>
        <v>149442.05971490117</v>
      </c>
      <c r="BM95" s="296">
        <f t="shared" ca="1" si="141"/>
        <v>0</v>
      </c>
      <c r="BN95" s="405">
        <f>IF(A95="N/A"," ",(VLOOKUP(A95,PowerVolTable,(IF('Pricing Inputs'!$AT$3=2,7,IF('Pricing Inputs'!$AT$3=1,6,8))),FALSE)))</f>
        <v>0.27936983530230458</v>
      </c>
      <c r="BO95" s="405">
        <f>IF(A95="N/A"," ",(VLOOKUP(A95,IntraPowerVol,(IF('Pricing Inputs'!$AT$3=2,3,IF('Pricing Inputs'!$AT$3=1,2,4))),FALSE)*VLOOKUP(MONTH($A95),Inputs!$A$28:$B$39,2)))</f>
        <v>3.4499999999999997</v>
      </c>
      <c r="BP95" s="406">
        <f t="shared" ca="1" si="126"/>
        <v>0.36796364429539158</v>
      </c>
      <c r="BQ95" s="405">
        <f ca="1">IF($A95="N/A"," ",(VLOOKUP($A95,GasVolTable,(IF('Pricing Inputs'!$AT$3=2,6,IF('Pricing Inputs'!$AT$3=1,7,5))),FALSE)))</f>
        <v>0.1575</v>
      </c>
      <c r="BR95" s="405">
        <f ca="1">IF($A95="N/A"," ",(VLOOKUP($A95,OmicronVol,(IF('Pricing Inputs'!$AT$3=2,3,IF('Pricing Inputs'!$AT$3=1,4,2))),FALSE)))</f>
        <v>0.6</v>
      </c>
      <c r="BS95" s="406">
        <f ca="1">IF($A95="N/A"," ",IF('Pricing Inputs'!$AN$3=1,(IF(DateToday&gt;$A95,$BR95,((($BQ95^2)*((($A95-1)-DateToday)/((EOMONTH($A95,0)+1)-DateToday-15)))+((($BR95)^2)*((15)/((EOMONTH($A95,0)+1)-DateToday-15))))^0.5)),0.0001))</f>
        <v>0.16253414503103919</v>
      </c>
      <c r="BT95" s="405">
        <f>IF($A95="N/A"," ",IF('Pricing Inputs'!$AN$3=1,(VLOOKUP($A95,CorrelationTable,2,FALSE)),0))</f>
        <v>0.9</v>
      </c>
      <c r="BU95" s="407">
        <f ca="1">IF($A95="N/A"," ",F95+G95+(D95*(VLOOKUP($A95,'Gas Curves'!$B$17:$P$310,14,FALSE))))</f>
        <v>2.6825000000000001</v>
      </c>
      <c r="BV95" s="405">
        <f>IF($A95="N/A"," ",IF('Pricing Inputs'!$AW$3=1,0,(VLOOKUP($A95,InterestRatesTable,2))))</f>
        <v>0</v>
      </c>
      <c r="BW95" s="408">
        <f t="shared" ca="1" si="127"/>
        <v>1</v>
      </c>
    </row>
    <row r="96" spans="1:75">
      <c r="A96" s="248">
        <f>IF(A95="N/A","N/A",IF(EDATE(A95,1)&gt;Inputs!$K$3,"N/A",EDATE(A95,1)))</f>
        <v>39692</v>
      </c>
      <c r="B96" s="262">
        <f t="shared" si="128"/>
        <v>2008</v>
      </c>
      <c r="C96" s="249">
        <f t="shared" ca="1" si="129"/>
        <v>2.9096170309999998</v>
      </c>
      <c r="D96" s="250">
        <f>IF(A96="N/A"," ",(VLOOKUP(MONTH($A96),Inputs!$A$14:$B$25,2))/1000)</f>
        <v>10.5</v>
      </c>
      <c r="E96" s="304">
        <f t="shared" ca="1" si="130"/>
        <v>30.550978825499996</v>
      </c>
      <c r="F96" s="251">
        <f>IF(A96="N/A"," ",Inputs!$F$6)</f>
        <v>2</v>
      </c>
      <c r="G96" s="251">
        <f ca="1">IF(A96="N/A"," ",Inputs!$F$9/IF(AND('Pricing Inputs'!$AQ$3&gt;=4,'Pricing Inputs'!$AQ$3&lt;=6),16,IF(AND('Pricing Inputs'!$AQ$3&gt;=7,'Pricing Inputs'!$AQ$3&lt;=9),8,24))/(BA96/BW96))</f>
        <v>0</v>
      </c>
      <c r="H96" s="252">
        <f t="shared" ca="1" si="131"/>
        <v>32.550978825499996</v>
      </c>
      <c r="I96" s="255">
        <f>VLOOKUP(A96,ScaledPrice,(IF(AND('Pricing Inputs'!$AQ$3&gt;=1,'Pricing Inputs'!$AQ$3&lt;=6),2,4)))</f>
        <v>36.240441836192872</v>
      </c>
      <c r="J96" s="255">
        <f>IF(A96="N/A"," ",IF(AND('Pricing Inputs'!$AQ$3&gt;=1,'Pricing Inputs'!$AQ$3&lt;=6),I96,(VLOOKUP(A96,ScaledPrice,2))*(2-(VLOOKUP(A96,ScaledPrice,3)))))</f>
        <v>29.859558163807126</v>
      </c>
      <c r="K96" s="255">
        <f>IF(A96="N/A"," ",IF(OR('Pricing Inputs'!$AQ$3=2,'Pricing Inputs'!$AQ$3=3,'Pricing Inputs'!$AQ$3=5,'Pricing Inputs'!$AQ$3=6,'Pricing Inputs'!$AQ$3=8,'Pricing Inputs'!$AQ$3=9),VLOOKUP(A96,ScaledPrice,IF(AND('Pricing Inputs'!$AQ$3&gt;=2,'Pricing Inputs'!$AQ$3&lt;=6),5,6)),0))</f>
        <v>26.212639385174018</v>
      </c>
      <c r="L96" s="255">
        <f>IF(A96="N/A"," ",IF(OR('Pricing Inputs'!$AQ$3=2,'Pricing Inputs'!$AQ$3=3,'Pricing Inputs'!$AQ$3=5,'Pricing Inputs'!$AQ$3=6,'Pricing Inputs'!$AQ$3=8,'Pricing Inputs'!$AQ$3=9),IF(AND('Pricing Inputs'!$AQ$3&gt;=2,'Pricing Inputs'!$AQ$3&lt;=6),K96,(VLOOKUP(A96,ScaledPrice,5))*(2-(VLOOKUP(A96,ScaledPrice,3)))),0))</f>
        <v>21.597358936359175</v>
      </c>
      <c r="M96" s="255">
        <f>IF(A96="N/A"," ",IF(OR('Pricing Inputs'!$AQ$3=3,'Pricing Inputs'!$AQ$3=6,'Pricing Inputs'!$AQ$3=9),(VLOOKUP(A96,ScaledPrice,IF(AND('Pricing Inputs'!$AQ$3&gt;=3,'Pricing Inputs'!$AQ$3&lt;=6),7,8))),0))</f>
        <v>26.755424532620456</v>
      </c>
      <c r="N96" s="255">
        <f>IF(A96="N/A"," ",IF(OR('Pricing Inputs'!$AQ$3=3,'Pricing Inputs'!$AQ$3=6,'Pricing Inputs'!$AQ$3=9),IF(AND('Pricing Inputs'!$AQ$3&gt;=3,'Pricing Inputs'!$AQ$3&lt;=6),M96,(VLOOKUP(A96,ScaledPrice,7))*(2-(VLOOKUP(A96,ScaledPrice,3)))),0))</f>
        <v>22.044575467379541</v>
      </c>
      <c r="O96" s="255">
        <f>IF(A96="N/A"," ",IF(AND('Pricing Inputs'!$AQ$3&gt;=1,'Pricing Inputs'!$AQ$3&lt;=3),VLOOKUP(A96,ScaledPrice,9),0))</f>
        <v>0</v>
      </c>
      <c r="P96" s="320">
        <f ca="1">IF($A96="N/A"," ",IF('Pricing Inputs'!$AN$8=2,(I96-H96),IF('Pricing Inputs'!$AN$3=2,IF((I96-$H96)&gt;0,I96-$H96,0),(_xll.xSPRDOPT(I96,$E96,$BU96,0,$BP96,$BS96,$BT96,($A96-Inputs!$D$1)+15,1,0)))))</f>
        <v>6.0049555611080701</v>
      </c>
      <c r="Q96" s="320">
        <f ca="1">IF($A96="N/A"," ",IF('Pricing Inputs'!$AN$8=2,(J96-$H96),IF('Pricing Inputs'!$AN$3=2,IF((J96-$H96)&gt;0,J96-$H96,0),(_xll.xSPRDOPT(J96,$E96,$BU96,0,$BP96,$BS96,$BT96,($A96-Inputs!$D$1)+15,1,0)))))</f>
        <v>2.4658796005596391</v>
      </c>
      <c r="R96" s="320">
        <f ca="1">IF($A96="N/A"," ",IF('Pricing Inputs'!$AN$8=2,(K96-$H96),IF('Pricing Inputs'!$AN$3=2,IF((K96-$H96)&gt;0,K96-$H96,0),(_xll.xSPRDOPT(K96,$E96,$BU96,0,$BP96,$BS96,$BT96,($A96-Inputs!$D$1)+15,1,0)))))</f>
        <v>1.1841399746095671</v>
      </c>
      <c r="S96" s="320">
        <f ca="1">IF($A96="N/A"," ",IF('Pricing Inputs'!$AN$8=2,(L96-$H96),IF('Pricing Inputs'!$AN$3=2,IF((L96-$H96)&gt;0,L96-$H96,0),(_xll.xSPRDOPT(L96,$E96,$BU96,0,$BP96,$BS96,$BT96,($A96-Inputs!$D$1)+15,1,0)))))</f>
        <v>0.31620232255799752</v>
      </c>
      <c r="T96" s="320">
        <f ca="1">IF($A96="N/A"," ",IF('Pricing Inputs'!$AN$8=2,(M96-$H96),IF('Pricing Inputs'!$AN$3=2,IF((M96-$H96)&gt;0,M96-$H96,0),(_xll.xSPRDOPT(M96,$E96,$BU96,0,$BP96,$BS96,$BT96,($A96-Inputs!$D$1)+15,1,0)))))</f>
        <v>1.3394658422507331</v>
      </c>
      <c r="U96" s="320">
        <f ca="1">IF($A96="N/A"," ",IF('Pricing Inputs'!$AN$8=2,(N96-$H96),IF('Pricing Inputs'!$AN$3=2,IF((N96-$H96)&gt;0,N96-$H96,0),(_xll.xSPRDOPT(N96,$E96,$BU96,0,$BP96,$BS96,$BT96,($A96-Inputs!$D$1)+15,1,0)))))</f>
        <v>0.36869119632700764</v>
      </c>
      <c r="V96" s="259">
        <f ca="1">IF($A96="N/A"," ",(IF('Pricing Inputs'!$AN$8=2,(O96-$H96),IF((O96-$H96)&lt;=0,0,(O96-$H96)))))</f>
        <v>0</v>
      </c>
      <c r="W96" s="306">
        <f ca="1">IF($A96="N/A"," ",IF(0&lt;&gt;P96,IF('Pricing Inputs'!$AN$3=2,8*VLOOKUP($A96,NumberofDaysTable,2),(_xll.xSPRDOPT(I96,$E96,$BU96,0,$BP96,$BS96,$BT96,$A96-Inputs!$D$1,1,1))*(8*VLOOKUP($A96,NumberofDaysTable,2))),0))</f>
        <v>112.48053844482195</v>
      </c>
      <c r="X96" s="306">
        <f ca="1">IF($A96="N/A"," ",IF(Q96&lt;&gt;0,IF('Pricing Inputs'!$AN$3=2,8*VLOOKUP($A96,NumberofDaysTable,2),(_xll.xSPRDOPT(J96,$E96,$BU96,0,$BP96,$BS96,$BT96,$A96-Inputs!$D$1,1,1))*(8*VLOOKUP($A96,NumberofDaysTable,2))),0))</f>
        <v>71.927440224368937</v>
      </c>
      <c r="Y96" s="306">
        <f ca="1">IF($A96="N/A"," ",IF(R96&lt;&gt;0,IF('Pricing Inputs'!$AN$3=2,8*VLOOKUP($A96,NumberofDaysTable,3),(_xll.xSPRDOPT(K96,$E96,$BU96,0,$BP96,$BS96,$BT96,$A96-Inputs!$D$1,1,1))*(8*VLOOKUP($A96,NumberofDaysTable,3))),0))</f>
        <v>8.7763107024320366</v>
      </c>
      <c r="Z96" s="306">
        <f ca="1">IF($A96="N/A"," ",IF(S96&lt;&gt;0,IF('Pricing Inputs'!$AN$3=2,8*VLOOKUP($A96,NumberofDaysTable,3),(_xll.xSPRDOPT(L96,$E96,$BU96,0,$BP96,$BS96,$BT96,$A96-Inputs!$D$1,1,1))*(8*VLOOKUP($A96,NumberofDaysTable,3))),0))</f>
        <v>3.5269472817450254</v>
      </c>
      <c r="AA96" s="306">
        <f ca="1">IF($A96="N/A"," ",IF(T96&lt;&gt;0,IF('Pricing Inputs'!$AN$3=2,8*VLOOKUP($A96,NumberofDaysTable,4),(_xll.xSPRDOPT(M96,$E96,$BU96,0,$BP96,$BS96,$BT96,$A96-Inputs!$D$1,1,1))*(8*VLOOKUP($A96,NumberofDaysTable,4))),0))</f>
        <v>9.493731169128635</v>
      </c>
      <c r="AB96" s="306">
        <f ca="1">IF($A96="N/A"," ",IF(U96&lt;&gt;0,IF('Pricing Inputs'!$AN$3=2,8*VLOOKUP($A96,NumberofDaysTable,4),(_xll.xSPRDOPT(N96,$E96,$BU96,0,$BP96,$BS96,$BT96,$A96-Inputs!$D$1,1,1))*(8*VLOOKUP($A96,NumberofDaysTable,4))),0))</f>
        <v>3.9429512042770649</v>
      </c>
      <c r="AC96" s="306">
        <f t="shared" ca="1" si="132"/>
        <v>0</v>
      </c>
      <c r="AD96" s="274">
        <f t="shared" ca="1" si="175"/>
        <v>13</v>
      </c>
      <c r="AE96" s="275">
        <f t="shared" ca="1" si="176"/>
        <v>20</v>
      </c>
      <c r="AF96" s="275">
        <f t="shared" ca="1" si="177"/>
        <v>31</v>
      </c>
      <c r="AG96" s="275">
        <f t="shared" ca="1" si="178"/>
        <v>43</v>
      </c>
      <c r="AH96" s="275">
        <f t="shared" ca="1" si="179"/>
        <v>28</v>
      </c>
      <c r="AI96" s="275">
        <f t="shared" ca="1" si="180"/>
        <v>38</v>
      </c>
      <c r="AJ96" s="276">
        <f t="shared" ca="1" si="181"/>
        <v>73</v>
      </c>
      <c r="AK96" s="314">
        <f t="shared" ca="1" si="158"/>
        <v>112.48053844482195</v>
      </c>
      <c r="AL96" s="315">
        <f t="shared" ca="1" si="159"/>
        <v>71.927440224368937</v>
      </c>
      <c r="AM96" s="315">
        <f t="shared" ca="1" si="160"/>
        <v>8.7763107024320366</v>
      </c>
      <c r="AN96" s="315">
        <f t="shared" ca="1" si="161"/>
        <v>3.5269472817450254</v>
      </c>
      <c r="AO96" s="315">
        <f t="shared" ca="1" si="162"/>
        <v>9.493731169128635</v>
      </c>
      <c r="AP96" s="315">
        <f t="shared" ca="1" si="163"/>
        <v>3.9429512042770649</v>
      </c>
      <c r="AQ96" s="315">
        <f t="shared" ca="1" si="164"/>
        <v>0</v>
      </c>
      <c r="AR96" s="276"/>
      <c r="AS96" s="321">
        <f t="shared" ca="1" si="168"/>
        <v>0</v>
      </c>
      <c r="AT96" s="324">
        <f t="shared" ca="1" si="169"/>
        <v>0</v>
      </c>
      <c r="AU96" s="324">
        <f t="shared" ca="1" si="170"/>
        <v>0</v>
      </c>
      <c r="AV96" s="324">
        <f t="shared" ca="1" si="171"/>
        <v>0</v>
      </c>
      <c r="AW96" s="324">
        <f t="shared" ca="1" si="172"/>
        <v>0</v>
      </c>
      <c r="AX96" s="324">
        <f t="shared" ca="1" si="173"/>
        <v>0</v>
      </c>
      <c r="AY96" s="324">
        <f t="shared" ca="1" si="174"/>
        <v>0</v>
      </c>
      <c r="AZ96" s="276"/>
      <c r="BA96" s="267">
        <f ca="1">IF($A96="N/A"," ",(IF(MONTH(A96)&gt;=4,IF(MONTH(A96)&lt;=10,Inputs!$F$13,Inputs!$F$14),Inputs!$F$14))*$BW96)</f>
        <v>180</v>
      </c>
      <c r="BB96" s="268">
        <f t="shared" ca="1" si="165"/>
        <v>181589.85616790803</v>
      </c>
      <c r="BC96" s="268">
        <f t="shared" ca="1" si="166"/>
        <v>74568.199120923484</v>
      </c>
      <c r="BD96" s="268">
        <f t="shared" ca="1" si="133"/>
        <v>6820.6462537511061</v>
      </c>
      <c r="BE96" s="268">
        <f t="shared" ca="1" si="134"/>
        <v>1821.3253779340657</v>
      </c>
      <c r="BF96" s="268">
        <f t="shared" ca="1" si="135"/>
        <v>9644.1540642052787</v>
      </c>
      <c r="BG96" s="268">
        <f t="shared" ca="1" si="136"/>
        <v>2654.576613554455</v>
      </c>
      <c r="BH96" s="268">
        <f t="shared" ca="1" si="157"/>
        <v>0</v>
      </c>
      <c r="BI96" s="268">
        <f t="shared" ca="1" si="137"/>
        <v>277098.75759827648</v>
      </c>
      <c r="BJ96" s="296">
        <f t="shared" ca="1" si="138"/>
        <v>1231293.6832434114</v>
      </c>
      <c r="BK96" s="296">
        <f t="shared" ca="1" si="139"/>
        <v>1155640.4323937728</v>
      </c>
      <c r="BL96" s="296">
        <f t="shared" ca="1" si="140"/>
        <v>75653.250849638498</v>
      </c>
      <c r="BM96" s="296">
        <f t="shared" ca="1" si="141"/>
        <v>0</v>
      </c>
      <c r="BN96" s="405">
        <f>IF(A96="N/A"," ",(VLOOKUP(A96,PowerVolTable,(IF('Pricing Inputs'!$AT$3=2,7,IF('Pricing Inputs'!$AT$3=1,6,8))),FALSE)))</f>
        <v>0.18509430032964838</v>
      </c>
      <c r="BO96" s="405">
        <f>IF(A96="N/A"," ",(VLOOKUP(A96,IntraPowerVol,(IF('Pricing Inputs'!$AT$3=2,3,IF('Pricing Inputs'!$AT$3=1,2,4))),FALSE)*VLOOKUP(MONTH($A96),Inputs!$A$28:$B$39,2)))</f>
        <v>1.7249999999999999</v>
      </c>
      <c r="BP96" s="406">
        <f t="shared" ca="1" si="126"/>
        <v>0.21997749349115861</v>
      </c>
      <c r="BQ96" s="405">
        <f ca="1">IF($A96="N/A"," ",(VLOOKUP($A96,GasVolTable,(IF('Pricing Inputs'!$AT$3=2,6,IF('Pricing Inputs'!$AT$3=1,7,5))),FALSE)))</f>
        <v>0.1575</v>
      </c>
      <c r="BR96" s="405">
        <f ca="1">IF($A96="N/A"," ",(VLOOKUP($A96,OmicronVol,(IF('Pricing Inputs'!$AT$3=2,3,IF('Pricing Inputs'!$AT$3=1,4,2))),FALSE)))</f>
        <v>0.6</v>
      </c>
      <c r="BS96" s="406">
        <f ca="1">IF($A96="N/A"," ",IF('Pricing Inputs'!$AN$3=1,(IF(DateToday&gt;$A96,$BR96,((($BQ96^2)*((($A96-1)-DateToday)/((EOMONTH($A96,0)+1)-DateToday-15)))+((($BR96)^2)*((15)/((EOMONTH($A96,0)+1)-DateToday-15))))^0.5)),0.0001))</f>
        <v>0.16251094637687546</v>
      </c>
      <c r="BT96" s="405">
        <f>IF($A96="N/A"," ",IF('Pricing Inputs'!$AN$3=1,(VLOOKUP($A96,CorrelationTable,2,FALSE)),0))</f>
        <v>0.9</v>
      </c>
      <c r="BU96" s="407">
        <f ca="1">IF($A96="N/A"," ",F96+G96+(D96*(VLOOKUP($A96,'Gas Curves'!$B$17:$P$310,14,FALSE))))</f>
        <v>2.6825000000000001</v>
      </c>
      <c r="BV96" s="405">
        <f>IF($A96="N/A"," ",IF('Pricing Inputs'!$AW$3=1,0,(VLOOKUP($A96,InterestRatesTable,2))))</f>
        <v>0</v>
      </c>
      <c r="BW96" s="408">
        <f t="shared" ca="1" si="127"/>
        <v>1</v>
      </c>
    </row>
    <row r="97" spans="1:75">
      <c r="A97" s="248">
        <f>IF(A96="N/A","N/A",IF(EDATE(A96,1)&gt;Inputs!$K$3,"N/A",EDATE(A96,1)))</f>
        <v>39722</v>
      </c>
      <c r="B97" s="262">
        <f t="shared" si="128"/>
        <v>2008</v>
      </c>
      <c r="C97" s="249">
        <f t="shared" ca="1" si="129"/>
        <v>2.9356170309999996</v>
      </c>
      <c r="D97" s="250">
        <f>IF(A97="N/A"," ",(VLOOKUP(MONTH($A97),Inputs!$A$14:$B$25,2))/1000)</f>
        <v>10.5</v>
      </c>
      <c r="E97" s="304">
        <f t="shared" ca="1" si="130"/>
        <v>30.823978825499996</v>
      </c>
      <c r="F97" s="251">
        <f>IF(A97="N/A"," ",Inputs!$F$6)</f>
        <v>2</v>
      </c>
      <c r="G97" s="251">
        <f ca="1">IF(A97="N/A"," ",Inputs!$F$9/IF(AND('Pricing Inputs'!$AQ$3&gt;=4,'Pricing Inputs'!$AQ$3&lt;=6),16,IF(AND('Pricing Inputs'!$AQ$3&gt;=7,'Pricing Inputs'!$AQ$3&lt;=9),8,24))/(BA97/BW97))</f>
        <v>0</v>
      </c>
      <c r="H97" s="252">
        <f t="shared" ca="1" si="131"/>
        <v>32.823978825499992</v>
      </c>
      <c r="I97" s="255">
        <f>VLOOKUP(A97,ScaledPrice,(IF(AND('Pricing Inputs'!$AQ$3&gt;=1,'Pricing Inputs'!$AQ$3&lt;=6),2,4)))</f>
        <v>30.397290000000002</v>
      </c>
      <c r="J97" s="255">
        <f>IF(A97="N/A"," ",IF(AND('Pricing Inputs'!$AQ$3&gt;=1,'Pricing Inputs'!$AQ$3&lt;=6),I97,(VLOOKUP(A97,ScaledPrice,2))*(2-(VLOOKUP(A97,ScaledPrice,3)))))</f>
        <v>31.20271</v>
      </c>
      <c r="K97" s="255">
        <f>IF(A97="N/A"," ",IF(OR('Pricing Inputs'!$AQ$3=2,'Pricing Inputs'!$AQ$3=3,'Pricing Inputs'!$AQ$3=5,'Pricing Inputs'!$AQ$3=6,'Pricing Inputs'!$AQ$3=8,'Pricing Inputs'!$AQ$3=9),VLOOKUP(A97,ScaledPrice,IF(AND('Pricing Inputs'!$AQ$3&gt;=2,'Pricing Inputs'!$AQ$3&lt;=6),5,6)),0))</f>
        <v>23.686693567914958</v>
      </c>
      <c r="L97" s="255">
        <f>IF(A97="N/A"," ",IF(OR('Pricing Inputs'!$AQ$3=2,'Pricing Inputs'!$AQ$3=3,'Pricing Inputs'!$AQ$3=5,'Pricing Inputs'!$AQ$3=6,'Pricing Inputs'!$AQ$3=8,'Pricing Inputs'!$AQ$3=9),IF(AND('Pricing Inputs'!$AQ$3&gt;=2,'Pricing Inputs'!$AQ$3&lt;=6),K97,(VLOOKUP(A97,ScaledPrice,5))*(2-(VLOOKUP(A97,ScaledPrice,3)))),0))</f>
        <v>24.314306645708079</v>
      </c>
      <c r="M97" s="255">
        <f>IF(A97="N/A"," ",IF(OR('Pricing Inputs'!$AQ$3=3,'Pricing Inputs'!$AQ$3=6,'Pricing Inputs'!$AQ$3=9),(VLOOKUP(A97,ScaledPrice,IF(AND('Pricing Inputs'!$AQ$3&gt;=3,'Pricing Inputs'!$AQ$3&lt;=6),7,8))),0))</f>
        <v>21.713336759347911</v>
      </c>
      <c r="N97" s="255">
        <f>IF(A97="N/A"," ",IF(OR('Pricing Inputs'!$AQ$3=3,'Pricing Inputs'!$AQ$3=6,'Pricing Inputs'!$AQ$3=9),IF(AND('Pricing Inputs'!$AQ$3&gt;=3,'Pricing Inputs'!$AQ$3&lt;=6),M97,(VLOOKUP(A97,ScaledPrice,7))*(2-(VLOOKUP(A97,ScaledPrice,3)))),0))</f>
        <v>22.28866290495872</v>
      </c>
      <c r="O97" s="255">
        <f>IF(A97="N/A"," ",IF(AND('Pricing Inputs'!$AQ$3&gt;=1,'Pricing Inputs'!$AQ$3&lt;=3),VLOOKUP(A97,ScaledPrice,9),0))</f>
        <v>0</v>
      </c>
      <c r="P97" s="320">
        <f ca="1">IF($A97="N/A"," ",IF('Pricing Inputs'!$AN$8=2,(I97-H97),IF('Pricing Inputs'!$AN$3=2,IF((I97-$H97)&gt;0,I97-$H97,0),(_xll.xSPRDOPT(I97,$E97,$BU97,0,$BP97,$BS97,$BT97,($A97-Inputs!$D$1)+15,1,0)))))</f>
        <v>1.8655508698343708</v>
      </c>
      <c r="Q97" s="320">
        <f ca="1">IF($A97="N/A"," ",IF('Pricing Inputs'!$AN$8=2,(J97-$H97),IF('Pricing Inputs'!$AN$3=2,IF((J97-$H97)&gt;0,J97-$H97,0),(_xll.xSPRDOPT(J97,$E97,$BU97,0,$BP97,$BS97,$BT97,($A97-Inputs!$D$1)+15,1,0)))))</f>
        <v>2.201562694595808</v>
      </c>
      <c r="R97" s="320">
        <f ca="1">IF($A97="N/A"," ",IF('Pricing Inputs'!$AN$8=2,(K97-$H97),IF('Pricing Inputs'!$AN$3=2,IF((K97-$H97)&gt;0,K97-$H97,0),(_xll.xSPRDOPT(K97,$E97,$BU97,0,$BP97,$BS97,$BT97,($A97-Inputs!$D$1)+15,1,0)))))</f>
        <v>0.26400577101034695</v>
      </c>
      <c r="S97" s="320">
        <f ca="1">IF($A97="N/A"," ",IF('Pricing Inputs'!$AN$8=2,(L97-$H97),IF('Pricing Inputs'!$AN$3=2,IF((L97-$H97)&gt;0,L97-$H97,0),(_xll.xSPRDOPT(L97,$E97,$BU97,0,$BP97,$BS97,$BT97,($A97-Inputs!$D$1)+15,1,0)))))</f>
        <v>0.33530761756498512</v>
      </c>
      <c r="T97" s="320">
        <f ca="1">IF($A97="N/A"," ",IF('Pricing Inputs'!$AN$8=2,(M97-$H97),IF('Pricing Inputs'!$AN$3=2,IF((M97-$H97)&gt;0,M97-$H97,0),(_xll.xSPRDOPT(M97,$E97,$BU97,0,$BP97,$BS97,$BT97,($A97-Inputs!$D$1)+15,1,0)))))</f>
        <v>0.11206375859515644</v>
      </c>
      <c r="U97" s="320">
        <f ca="1">IF($A97="N/A"," ",IF('Pricing Inputs'!$AN$8=2,(N97-$H97),IF('Pricing Inputs'!$AN$3=2,IF((N97-$H97)&gt;0,N97-$H97,0),(_xll.xSPRDOPT(N97,$E97,$BU97,0,$BP97,$BS97,$BT97,($A97-Inputs!$D$1)+15,1,0)))))</f>
        <v>0.14646822085156444</v>
      </c>
      <c r="V97" s="259">
        <f ca="1">IF($A97="N/A"," ",(IF('Pricing Inputs'!$AN$8=2,(O97-$H97),IF((O97-$H97)&lt;=0,0,(O97-$H97)))))</f>
        <v>0</v>
      </c>
      <c r="W97" s="306">
        <f ca="1">IF($A97="N/A"," ",IF(0&lt;&gt;P97,IF('Pricing Inputs'!$AN$3=2,8*VLOOKUP($A97,NumberofDaysTable,2),(_xll.xSPRDOPT(I97,$E97,$BU97,0,$BP97,$BS97,$BT97,$A97-Inputs!$D$1,1,1))*(8*VLOOKUP($A97,NumberofDaysTable,2))),0))</f>
        <v>72.919773652677108</v>
      </c>
      <c r="X97" s="306">
        <f ca="1">IF($A97="N/A"," ",IF(Q97&lt;&gt;0,IF('Pricing Inputs'!$AN$3=2,8*VLOOKUP($A97,NumberofDaysTable,2),(_xll.xSPRDOPT(J97,$E97,$BU97,0,$BP97,$BS97,$BT97,$A97-Inputs!$D$1,1,1))*(8*VLOOKUP($A97,NumberofDaysTable,2))),0))</f>
        <v>80.44086985656547</v>
      </c>
      <c r="Y97" s="306">
        <f ca="1">IF($A97="N/A"," ",IF(R97&lt;&gt;0,IF('Pricing Inputs'!$AN$3=2,8*VLOOKUP($A97,NumberofDaysTable,3),(_xll.xSPRDOPT(K97,$E97,$BU97,0,$BP97,$BS97,$BT97,$A97-Inputs!$D$1,1,1))*(8*VLOOKUP($A97,NumberofDaysTable,3))),0))</f>
        <v>3.2973438770168024</v>
      </c>
      <c r="Z97" s="306">
        <f ca="1">IF($A97="N/A"," ",IF(S97&lt;&gt;0,IF('Pricing Inputs'!$AN$3=2,8*VLOOKUP($A97,NumberofDaysTable,3),(_xll.xSPRDOPT(L97,$E97,$BU97,0,$BP97,$BS97,$BT97,$A97-Inputs!$D$1,1,1))*(8*VLOOKUP($A97,NumberofDaysTable,3))),0))</f>
        <v>3.9415621855066996</v>
      </c>
      <c r="AA97" s="306">
        <f ca="1">IF($A97="N/A"," ",IF(T97&lt;&gt;0,IF('Pricing Inputs'!$AN$3=2,8*VLOOKUP($A97,NumberofDaysTable,4),(_xll.xSPRDOPT(M97,$E97,$BU97,0,$BP97,$BS97,$BT97,$A97-Inputs!$D$1,1,1))*(8*VLOOKUP($A97,NumberofDaysTable,4))),0))</f>
        <v>1.7032185098530361</v>
      </c>
      <c r="AB97" s="306">
        <f ca="1">IF($A97="N/A"," ",IF(U97&lt;&gt;0,IF('Pricing Inputs'!$AN$3=2,8*VLOOKUP($A97,NumberofDaysTable,4),(_xll.xSPRDOPT(N97,$E97,$BU97,0,$BP97,$BS97,$BT97,$A97-Inputs!$D$1,1,1))*(8*VLOOKUP($A97,NumberofDaysTable,4))),0))</f>
        <v>2.1003280382678313</v>
      </c>
      <c r="AC97" s="306">
        <f t="shared" ca="1" si="132"/>
        <v>0</v>
      </c>
      <c r="AD97" s="274">
        <f t="shared" ca="1" si="175"/>
        <v>22</v>
      </c>
      <c r="AE97" s="275">
        <f t="shared" ca="1" si="176"/>
        <v>21</v>
      </c>
      <c r="AF97" s="275">
        <f t="shared" ca="1" si="177"/>
        <v>46</v>
      </c>
      <c r="AG97" s="275">
        <f t="shared" ca="1" si="178"/>
        <v>40</v>
      </c>
      <c r="AH97" s="275">
        <f t="shared" ca="1" si="179"/>
        <v>57</v>
      </c>
      <c r="AI97" s="275">
        <f t="shared" ca="1" si="180"/>
        <v>56</v>
      </c>
      <c r="AJ97" s="276">
        <f t="shared" ca="1" si="181"/>
        <v>73</v>
      </c>
      <c r="AK97" s="314">
        <f t="shared" ca="1" si="158"/>
        <v>72.919773652677108</v>
      </c>
      <c r="AL97" s="315">
        <f t="shared" ca="1" si="159"/>
        <v>80.44086985656547</v>
      </c>
      <c r="AM97" s="315">
        <f t="shared" ca="1" si="160"/>
        <v>3.2973438770168024</v>
      </c>
      <c r="AN97" s="315">
        <f t="shared" ca="1" si="161"/>
        <v>3.9415621855066996</v>
      </c>
      <c r="AO97" s="315">
        <f t="shared" ca="1" si="162"/>
        <v>1.7032185098530361</v>
      </c>
      <c r="AP97" s="315">
        <f t="shared" ca="1" si="163"/>
        <v>2.1003280382678313</v>
      </c>
      <c r="AQ97" s="315">
        <f t="shared" ca="1" si="164"/>
        <v>0</v>
      </c>
      <c r="AR97" s="284" t="s">
        <v>1292</v>
      </c>
      <c r="AS97" s="321">
        <f t="shared" ca="1" si="168"/>
        <v>0</v>
      </c>
      <c r="AT97" s="324">
        <f t="shared" ca="1" si="169"/>
        <v>0</v>
      </c>
      <c r="AU97" s="324">
        <f t="shared" ca="1" si="170"/>
        <v>0</v>
      </c>
      <c r="AV97" s="324">
        <f t="shared" ca="1" si="171"/>
        <v>0</v>
      </c>
      <c r="AW97" s="324">
        <f t="shared" ca="1" si="172"/>
        <v>0</v>
      </c>
      <c r="AX97" s="324">
        <f t="shared" ca="1" si="173"/>
        <v>0</v>
      </c>
      <c r="AY97" s="324">
        <f t="shared" ca="1" si="174"/>
        <v>0</v>
      </c>
      <c r="AZ97" s="283" t="s">
        <v>1304</v>
      </c>
      <c r="BA97" s="267">
        <f ca="1">IF($A97="N/A"," ",(IF(MONTH(A97)&gt;=4,IF(MONTH(A97)&lt;=10,Inputs!$F$13,Inputs!$F$14),Inputs!$F$14))*$BW97)</f>
        <v>180</v>
      </c>
      <c r="BB97" s="268">
        <f t="shared" ca="1" si="165"/>
        <v>61787.044808914361</v>
      </c>
      <c r="BC97" s="268">
        <f t="shared" ca="1" si="166"/>
        <v>72915.756445013161</v>
      </c>
      <c r="BD97" s="268">
        <f t="shared" ca="1" si="133"/>
        <v>1520.6732410195984</v>
      </c>
      <c r="BE97" s="268">
        <f t="shared" ca="1" si="134"/>
        <v>1931.3718771743142</v>
      </c>
      <c r="BF97" s="268">
        <f t="shared" ca="1" si="135"/>
        <v>645.48724950810106</v>
      </c>
      <c r="BG97" s="268">
        <f t="shared" ca="1" si="136"/>
        <v>843.65695210501121</v>
      </c>
      <c r="BH97" s="268">
        <f t="shared" ca="1" si="157"/>
        <v>0</v>
      </c>
      <c r="BI97" s="268">
        <f t="shared" ca="1" si="137"/>
        <v>139643.99057373451</v>
      </c>
      <c r="BJ97" s="296">
        <f t="shared" ca="1" si="138"/>
        <v>971345.47425944568</v>
      </c>
      <c r="BK97" s="296">
        <f t="shared" ca="1" si="139"/>
        <v>912160.35965628643</v>
      </c>
      <c r="BL97" s="296">
        <f t="shared" ca="1" si="140"/>
        <v>59185.114603159302</v>
      </c>
      <c r="BM97" s="296">
        <f t="shared" ca="1" si="141"/>
        <v>0</v>
      </c>
      <c r="BN97" s="405">
        <f>IF(A97="N/A"," ",(VLOOKUP(A97,PowerVolTable,(IF('Pricing Inputs'!$AT$3=2,7,IF('Pricing Inputs'!$AT$3=1,6,8))),FALSE)))</f>
        <v>0.16906745938429682</v>
      </c>
      <c r="BO97" s="405">
        <f>IF(A97="N/A"," ",(VLOOKUP(A97,IntraPowerVol,(IF('Pricing Inputs'!$AT$3=2,3,IF('Pricing Inputs'!$AT$3=1,2,4))),FALSE)*VLOOKUP(MONTH($A97),Inputs!$A$28:$B$39,2)))</f>
        <v>1.2649999999999999</v>
      </c>
      <c r="BP97" s="406">
        <f t="shared" ca="1" si="126"/>
        <v>0.18986124854705708</v>
      </c>
      <c r="BQ97" s="405">
        <f ca="1">IF($A97="N/A"," ",(VLOOKUP($A97,GasVolTable,(IF('Pricing Inputs'!$AT$3=2,6,IF('Pricing Inputs'!$AT$3=1,7,5))),FALSE)))</f>
        <v>0.1575</v>
      </c>
      <c r="BR97" s="405">
        <f ca="1">IF($A97="N/A"," ",(VLOOKUP($A97,OmicronVol,(IF('Pricing Inputs'!$AT$3=2,3,IF('Pricing Inputs'!$AT$3=1,4,2))),FALSE)))</f>
        <v>0.65</v>
      </c>
      <c r="BS97" s="406">
        <f ca="1">IF($A97="N/A"," ",IF('Pricing Inputs'!$AN$3=1,(IF(DateToday&gt;$A97,$BR97,((($BQ97^2)*((($A97-1)-DateToday)/((EOMONTH($A97,0)+1)-DateToday-15)))+((($BR97)^2)*((15)/((EOMONTH($A97,0)+1)-DateToday-15))))^0.5)),0.0001))</f>
        <v>0.16335141184327151</v>
      </c>
      <c r="BT97" s="405">
        <f>IF($A97="N/A"," ",IF('Pricing Inputs'!$AN$3=1,(VLOOKUP($A97,CorrelationTable,2,FALSE)),0))</f>
        <v>0.9</v>
      </c>
      <c r="BU97" s="407">
        <f ca="1">IF($A97="N/A"," ",F97+G97+(D97*(VLOOKUP($A97,'Gas Curves'!$B$17:$P$310,14,FALSE))))</f>
        <v>2.6825000000000001</v>
      </c>
      <c r="BV97" s="405">
        <f>IF($A97="N/A"," ",IF('Pricing Inputs'!$AW$3=1,0,(VLOOKUP($A97,InterestRatesTable,2))))</f>
        <v>0</v>
      </c>
      <c r="BW97" s="408">
        <f t="shared" ca="1" si="127"/>
        <v>1</v>
      </c>
    </row>
    <row r="98" spans="1:75">
      <c r="A98" s="248">
        <f>IF(A97="N/A","N/A",IF(EDATE(A97,1)&gt;Inputs!$K$3,"N/A",EDATE(A97,1)))</f>
        <v>39753</v>
      </c>
      <c r="B98" s="262">
        <f t="shared" si="128"/>
        <v>2008</v>
      </c>
      <c r="C98" s="249">
        <f t="shared" ca="1" si="129"/>
        <v>3.8374999999999999</v>
      </c>
      <c r="D98" s="250">
        <f>IF(A98="N/A"," ",(VLOOKUP(MONTH($A98),Inputs!$A$14:$B$25,2))/1000)</f>
        <v>10.5</v>
      </c>
      <c r="E98" s="304">
        <f t="shared" ca="1" si="130"/>
        <v>40.293749999999996</v>
      </c>
      <c r="F98" s="251">
        <f>IF(A98="N/A"," ",Inputs!$F$6)</f>
        <v>2</v>
      </c>
      <c r="G98" s="251">
        <f ca="1">IF(A98="N/A"," ",Inputs!$F$9/IF(AND('Pricing Inputs'!$AQ$3&gt;=4,'Pricing Inputs'!$AQ$3&lt;=6),16,IF(AND('Pricing Inputs'!$AQ$3&gt;=7,'Pricing Inputs'!$AQ$3&lt;=9),8,24))/(BA98/BW98))</f>
        <v>0</v>
      </c>
      <c r="H98" s="252">
        <f t="shared" ca="1" si="131"/>
        <v>42.293749999999996</v>
      </c>
      <c r="I98" s="255">
        <f>VLOOKUP(A98,ScaledPrice,(IF(AND('Pricing Inputs'!$AQ$3&gt;=1,'Pricing Inputs'!$AQ$3&lt;=6),2,4)))</f>
        <v>30.839089375</v>
      </c>
      <c r="J98" s="255">
        <f>IF(A98="N/A"," ",IF(AND('Pricing Inputs'!$AQ$3&gt;=1,'Pricing Inputs'!$AQ$3&lt;=6),I98,(VLOOKUP(A98,ScaledPrice,2))*(2-(VLOOKUP(A98,ScaledPrice,3)))))</f>
        <v>31.510910625000001</v>
      </c>
      <c r="K98" s="255">
        <f>IF(A98="N/A"," ",IF(OR('Pricing Inputs'!$AQ$3=2,'Pricing Inputs'!$AQ$3=3,'Pricing Inputs'!$AQ$3=5,'Pricing Inputs'!$AQ$3=6,'Pricing Inputs'!$AQ$3=8,'Pricing Inputs'!$AQ$3=9),VLOOKUP(A98,ScaledPrice,IF(AND('Pricing Inputs'!$AQ$3&gt;=2,'Pricing Inputs'!$AQ$3&lt;=6),5,6)),0))</f>
        <v>24.735325388565059</v>
      </c>
      <c r="L98" s="255">
        <f>IF(A98="N/A"," ",IF(OR('Pricing Inputs'!$AQ$3=2,'Pricing Inputs'!$AQ$3=3,'Pricing Inputs'!$AQ$3=5,'Pricing Inputs'!$AQ$3=6,'Pricing Inputs'!$AQ$3=8,'Pricing Inputs'!$AQ$3=9),IF(AND('Pricing Inputs'!$AQ$3&gt;=2,'Pricing Inputs'!$AQ$3&lt;=6),K98,(VLOOKUP(A98,ScaledPrice,5))*(2-(VLOOKUP(A98,ScaledPrice,3)))),0))</f>
        <v>25.274177785263056</v>
      </c>
      <c r="M98" s="255">
        <f>IF(A98="N/A"," ",IF(OR('Pricing Inputs'!$AQ$3=3,'Pricing Inputs'!$AQ$3=6,'Pricing Inputs'!$AQ$3=9),(VLOOKUP(A98,ScaledPrice,IF(AND('Pricing Inputs'!$AQ$3&gt;=3,'Pricing Inputs'!$AQ$3&lt;=6),7,8))),0))</f>
        <v>22.756626331367489</v>
      </c>
      <c r="N98" s="255">
        <f>IF(A98="N/A"," ",IF(OR('Pricing Inputs'!$AQ$3=3,'Pricing Inputs'!$AQ$3=6,'Pricing Inputs'!$AQ$3=9),IF(AND('Pricing Inputs'!$AQ$3&gt;=3,'Pricing Inputs'!$AQ$3&lt;=6),M98,(VLOOKUP(A98,ScaledPrice,7))*(2-(VLOOKUP(A98,ScaledPrice,3)))),0))</f>
        <v>23.252373302421564</v>
      </c>
      <c r="O98" s="255">
        <f>IF(A98="N/A"," ",IF(AND('Pricing Inputs'!$AQ$3&gt;=1,'Pricing Inputs'!$AQ$3&lt;=3),VLOOKUP(A98,ScaledPrice,9),0))</f>
        <v>0</v>
      </c>
      <c r="P98" s="320">
        <f ca="1">IF($A98="N/A"," ",IF('Pricing Inputs'!$AN$8=2,(I98-H98),IF('Pricing Inputs'!$AN$3=2,IF((I98-$H98)&gt;0,I98-$H98,0),(_xll.xSPRDOPT(I98,$E98,$BU98,0,$BP98,$BS98,$BT98,($A98-Inputs!$D$1)+15,1,0)))))</f>
        <v>0.42385930310829312</v>
      </c>
      <c r="Q98" s="320">
        <f ca="1">IF($A98="N/A"," ",IF('Pricing Inputs'!$AN$8=2,(J98-$H98),IF('Pricing Inputs'!$AN$3=2,IF((J98-$H98)&gt;0,J98-$H98,0),(_xll.xSPRDOPT(J98,$E98,$BU98,0,$BP98,$BS98,$BT98,($A98-Inputs!$D$1)+15,1,0)))))</f>
        <v>0.51125738841033119</v>
      </c>
      <c r="R98" s="320">
        <f ca="1">IF($A98="N/A"," ",IF('Pricing Inputs'!$AN$8=2,(K98-$H98),IF('Pricing Inputs'!$AN$3=2,IF((K98-$H98)&gt;0,K98-$H98,0),(_xll.xSPRDOPT(K98,$E98,$BU98,0,$BP98,$BS98,$BT98,($A98-Inputs!$D$1)+15,1,0)))))</f>
        <v>4.5137202222809029E-2</v>
      </c>
      <c r="S98" s="320">
        <f ca="1">IF($A98="N/A"," ",IF('Pricing Inputs'!$AN$8=2,(L98-$H98),IF('Pricing Inputs'!$AN$3=2,IF((L98-$H98)&gt;0,L98-$H98,0),(_xll.xSPRDOPT(L98,$E98,$BU98,0,$BP98,$BS98,$BT98,($A98-Inputs!$D$1)+15,1,0)))))</f>
        <v>5.7698778407736864E-2</v>
      </c>
      <c r="T98" s="320">
        <f ca="1">IF($A98="N/A"," ",IF('Pricing Inputs'!$AN$8=2,(M98-$H98),IF('Pricing Inputs'!$AN$3=2,IF((M98-$H98)&gt;0,M98-$H98,0),(_xll.xSPRDOPT(M98,$E98,$BU98,0,$BP98,$BS98,$BT98,($A98-Inputs!$D$1)+15,1,0)))))</f>
        <v>1.6497712247450828E-2</v>
      </c>
      <c r="U98" s="320">
        <f ca="1">IF($A98="N/A"," ",IF('Pricing Inputs'!$AN$8=2,(N98-$H98),IF('Pricing Inputs'!$AN$3=2,IF((N98-$H98)&gt;0,N98-$H98,0),(_xll.xSPRDOPT(N98,$E98,$BU98,0,$BP98,$BS98,$BT98,($A98-Inputs!$D$1)+15,1,0)))))</f>
        <v>2.1586568831223368E-2</v>
      </c>
      <c r="V98" s="259">
        <f ca="1">IF($A98="N/A"," ",(IF('Pricing Inputs'!$AN$8=2,(O98-$H98),IF((O98-$H98)&lt;=0,0,(O98-$H98)))))</f>
        <v>0</v>
      </c>
      <c r="W98" s="306">
        <f ca="1">IF($A98="N/A"," ",IF(0&lt;&gt;P98,IF('Pricing Inputs'!$AN$3=2,8*VLOOKUP($A98,NumberofDaysTable,2),(_xll.xSPRDOPT(I98,$E98,$BU98,0,$BP98,$BS98,$BT98,$A98-Inputs!$D$1,1,1))*(8*VLOOKUP($A98,NumberofDaysTable,2))),0))</f>
        <v>18.330870832044543</v>
      </c>
      <c r="X98" s="306">
        <f ca="1">IF($A98="N/A"," ",IF(Q98&lt;&gt;0,IF('Pricing Inputs'!$AN$3=2,8*VLOOKUP($A98,NumberofDaysTable,2),(_xll.xSPRDOPT(J98,$E98,$BU98,0,$BP98,$BS98,$BT98,$A98-Inputs!$D$1,1,1))*(8*VLOOKUP($A98,NumberofDaysTable,2))),0))</f>
        <v>21.040282278784698</v>
      </c>
      <c r="Y98" s="306">
        <f ca="1">IF($A98="N/A"," ",IF(R98&lt;&gt;0,IF('Pricing Inputs'!$AN$3=2,8*VLOOKUP($A98,NumberofDaysTable,3),(_xll.xSPRDOPT(K98,$E98,$BU98,0,$BP98,$BS98,$BT98,$A98-Inputs!$D$1,1,1))*(8*VLOOKUP($A98,NumberofDaysTable,3))),0))</f>
        <v>0.83073748987512619</v>
      </c>
      <c r="Z98" s="306">
        <f ca="1">IF($A98="N/A"," ",IF(S98&lt;&gt;0,IF('Pricing Inputs'!$AN$3=2,8*VLOOKUP($A98,NumberofDaysTable,3),(_xll.xSPRDOPT(L98,$E98,$BU98,0,$BP98,$BS98,$BT98,$A98-Inputs!$D$1,1,1))*(8*VLOOKUP($A98,NumberofDaysTable,3))),0))</f>
        <v>1.0153242875257473</v>
      </c>
      <c r="AA98" s="306">
        <f ca="1">IF($A98="N/A"," ",IF(T98&lt;&gt;0,IF('Pricing Inputs'!$AN$3=2,8*VLOOKUP($A98,NumberofDaysTable,4),(_xll.xSPRDOPT(M98,$E98,$BU98,0,$BP98,$BS98,$BT98,$A98-Inputs!$D$1,1,1))*(8*VLOOKUP($A98,NumberofDaysTable,4))),0))</f>
        <v>0.35979543839984218</v>
      </c>
      <c r="AB98" s="306">
        <f ca="1">IF($A98="N/A"," ",IF(U98&lt;&gt;0,IF('Pricing Inputs'!$AN$3=2,8*VLOOKUP($A98,NumberofDaysTable,4),(_xll.xSPRDOPT(N98,$E98,$BU98,0,$BP98,$BS98,$BT98,$A98-Inputs!$D$1,1,1))*(8*VLOOKUP($A98,NumberofDaysTable,4))),0))</f>
        <v>0.45083522662659686</v>
      </c>
      <c r="AC98" s="306">
        <f t="shared" ca="1" si="132"/>
        <v>0</v>
      </c>
      <c r="AD98" s="274">
        <f t="shared" ca="1" si="175"/>
        <v>37</v>
      </c>
      <c r="AE98" s="275">
        <f t="shared" ca="1" si="176"/>
        <v>35</v>
      </c>
      <c r="AF98" s="275">
        <f t="shared" ca="1" si="177"/>
        <v>62</v>
      </c>
      <c r="AG98" s="275">
        <f t="shared" ca="1" si="178"/>
        <v>60</v>
      </c>
      <c r="AH98" s="275">
        <f t="shared" ca="1" si="179"/>
        <v>68</v>
      </c>
      <c r="AI98" s="275">
        <f t="shared" ca="1" si="180"/>
        <v>66</v>
      </c>
      <c r="AJ98" s="276">
        <f t="shared" ca="1" si="181"/>
        <v>73</v>
      </c>
      <c r="AK98" s="314">
        <f t="shared" ca="1" si="158"/>
        <v>18.330870832044543</v>
      </c>
      <c r="AL98" s="315">
        <f t="shared" ca="1" si="159"/>
        <v>21.040282278784698</v>
      </c>
      <c r="AM98" s="315">
        <f t="shared" ca="1" si="160"/>
        <v>0.83073748987512619</v>
      </c>
      <c r="AN98" s="315">
        <f t="shared" ca="1" si="161"/>
        <v>1.0153242875257473</v>
      </c>
      <c r="AO98" s="315">
        <f t="shared" ca="1" si="162"/>
        <v>0.35979543839984218</v>
      </c>
      <c r="AP98" s="315">
        <f t="shared" ca="1" si="163"/>
        <v>0.45083522662659686</v>
      </c>
      <c r="AQ98" s="315">
        <f t="shared" ca="1" si="164"/>
        <v>0</v>
      </c>
      <c r="AR98" s="276">
        <f ca="1">SUM(AK88:AQ99)</f>
        <v>2231.7615036257348</v>
      </c>
      <c r="AS98" s="321">
        <f t="shared" ca="1" si="168"/>
        <v>0</v>
      </c>
      <c r="AT98" s="324">
        <f t="shared" ca="1" si="169"/>
        <v>0</v>
      </c>
      <c r="AU98" s="324">
        <f t="shared" ca="1" si="170"/>
        <v>0</v>
      </c>
      <c r="AV98" s="324">
        <f t="shared" ca="1" si="171"/>
        <v>0</v>
      </c>
      <c r="AW98" s="324">
        <f t="shared" ca="1" si="172"/>
        <v>0</v>
      </c>
      <c r="AX98" s="324">
        <f t="shared" ca="1" si="173"/>
        <v>0</v>
      </c>
      <c r="AY98" s="324">
        <f t="shared" ca="1" si="174"/>
        <v>0</v>
      </c>
      <c r="AZ98" s="276">
        <f ca="1">SUM(AS88:AY99)</f>
        <v>0</v>
      </c>
      <c r="BA98" s="267">
        <f ca="1">IF($A98="N/A"," ",(IF(MONTH(A98)&gt;=4,IF(MONTH(A98)&lt;=10,Inputs!$F$13,Inputs!$F$14),Inputs!$F$14))*$BW98)</f>
        <v>180</v>
      </c>
      <c r="BB98" s="268">
        <f t="shared" ca="1" si="165"/>
        <v>11596.7905330429</v>
      </c>
      <c r="BC98" s="268">
        <f t="shared" ca="1" si="166"/>
        <v>13988.002146906661</v>
      </c>
      <c r="BD98" s="268">
        <f t="shared" ca="1" si="133"/>
        <v>324.98785600422502</v>
      </c>
      <c r="BE98" s="268">
        <f t="shared" ca="1" si="134"/>
        <v>415.43120453570543</v>
      </c>
      <c r="BF98" s="268">
        <f t="shared" ca="1" si="135"/>
        <v>142.54023381797515</v>
      </c>
      <c r="BG98" s="268">
        <f t="shared" ca="1" si="136"/>
        <v>186.5079547017699</v>
      </c>
      <c r="BH98" s="268">
        <f t="shared" ca="1" si="157"/>
        <v>0</v>
      </c>
      <c r="BI98" s="268">
        <f t="shared" ca="1" si="137"/>
        <v>26654.259929009233</v>
      </c>
      <c r="BJ98" s="296">
        <f t="shared" ca="1" si="138"/>
        <v>319952.734716248</v>
      </c>
      <c r="BK98" s="296">
        <f t="shared" ca="1" si="139"/>
        <v>304822.7103170756</v>
      </c>
      <c r="BL98" s="296">
        <f t="shared" ca="1" si="140"/>
        <v>15130.02439917236</v>
      </c>
      <c r="BM98" s="296">
        <f t="shared" ca="1" si="141"/>
        <v>0</v>
      </c>
      <c r="BN98" s="405">
        <f>IF(A98="N/A"," ",(VLOOKUP(A98,PowerVolTable,(IF('Pricing Inputs'!$AT$3=2,7,IF('Pricing Inputs'!$AT$3=1,6,8))),FALSE)))</f>
        <v>0.16906745938429682</v>
      </c>
      <c r="BO98" s="405">
        <f>IF(A98="N/A"," ",(VLOOKUP(A98,IntraPowerVol,(IF('Pricing Inputs'!$AT$3=2,3,IF('Pricing Inputs'!$AT$3=1,2,4))),FALSE)*VLOOKUP(MONTH($A98),Inputs!$A$28:$B$39,2)))</f>
        <v>1.4375</v>
      </c>
      <c r="BP98" s="406">
        <f t="shared" ca="1" si="126"/>
        <v>0.19540769750009618</v>
      </c>
      <c r="BQ98" s="405">
        <f ca="1">IF($A98="N/A"," ",(VLOOKUP($A98,GasVolTable,(IF('Pricing Inputs'!$AT$3=2,6,IF('Pricing Inputs'!$AT$3=1,7,5))),FALSE)))</f>
        <v>0.1575</v>
      </c>
      <c r="BR98" s="405">
        <f ca="1">IF($A98="N/A"," ",(VLOOKUP($A98,OmicronVol,(IF('Pricing Inputs'!$AT$3=2,3,IF('Pricing Inputs'!$AT$3=1,4,2))),FALSE)))</f>
        <v>0.95</v>
      </c>
      <c r="BS98" s="406">
        <f ca="1">IF($A98="N/A"," ",IF('Pricing Inputs'!$AN$3=1,(IF(DateToday&gt;$A98,$BR98,((($BQ98^2)*((($A98-1)-DateToday)/((EOMONTH($A98,0)+1)-DateToday-15)))+((($BR98)^2)*((15)/((EOMONTH($A98,0)+1)-DateToday-15))))^0.5)),0.0001))</f>
        <v>0.17010942097753667</v>
      </c>
      <c r="BT98" s="405">
        <f>IF($A98="N/A"," ",IF('Pricing Inputs'!$AN$3=1,(VLOOKUP($A98,CorrelationTable,2,FALSE)),0))</f>
        <v>0.9</v>
      </c>
      <c r="BU98" s="407">
        <f ca="1">IF($A98="N/A"," ",F98+G98+(D98*(VLOOKUP($A98,'Gas Curves'!$B$17:$P$310,14,FALSE))))</f>
        <v>2.6825000000000001</v>
      </c>
      <c r="BV98" s="405">
        <f>IF($A98="N/A"," ",IF('Pricing Inputs'!$AW$3=1,0,(VLOOKUP($A98,InterestRatesTable,2))))</f>
        <v>0</v>
      </c>
      <c r="BW98" s="408">
        <f t="shared" ca="1" si="127"/>
        <v>1</v>
      </c>
    </row>
    <row r="99" spans="1:75">
      <c r="A99" s="248">
        <f>IF(A98="N/A","N/A",IF(EDATE(A98,1)&gt;Inputs!$K$3,"N/A",EDATE(A98,1)))</f>
        <v>39783</v>
      </c>
      <c r="B99" s="262">
        <f t="shared" si="128"/>
        <v>2008</v>
      </c>
      <c r="C99" s="249">
        <f t="shared" ca="1" si="129"/>
        <v>4.2765000000000004</v>
      </c>
      <c r="D99" s="250">
        <f>IF(A99="N/A"," ",(VLOOKUP(MONTH($A99),Inputs!$A$14:$B$25,2))/1000)</f>
        <v>10.5</v>
      </c>
      <c r="E99" s="304">
        <f t="shared" ca="1" si="130"/>
        <v>44.903250000000007</v>
      </c>
      <c r="F99" s="251">
        <f>IF(A99="N/A"," ",Inputs!$F$6)</f>
        <v>2</v>
      </c>
      <c r="G99" s="251">
        <f ca="1">IF(A99="N/A"," ",Inputs!$F$9/IF(AND('Pricing Inputs'!$AQ$3&gt;=4,'Pricing Inputs'!$AQ$3&lt;=6),16,IF(AND('Pricing Inputs'!$AQ$3&gt;=7,'Pricing Inputs'!$AQ$3&lt;=9),8,24))/(BA99/BW99))</f>
        <v>0</v>
      </c>
      <c r="H99" s="252">
        <f t="shared" ca="1" si="131"/>
        <v>46.903250000000007</v>
      </c>
      <c r="I99" s="255">
        <f>VLOOKUP(A99,ScaledPrice,(IF(AND('Pricing Inputs'!$AQ$3&gt;=1,'Pricing Inputs'!$AQ$3&lt;=6),2,4)))</f>
        <v>30.383028771821024</v>
      </c>
      <c r="J99" s="255">
        <f>IF(A99="N/A"," ",IF(AND('Pricing Inputs'!$AQ$3&gt;=1,'Pricing Inputs'!$AQ$3&lt;=6),I99,(VLOOKUP(A99,ScaledPrice,2))*(2-(VLOOKUP(A99,ScaledPrice,3)))))</f>
        <v>31.716971228178974</v>
      </c>
      <c r="K99" s="255">
        <f>IF(A99="N/A"," ",IF(OR('Pricing Inputs'!$AQ$3=2,'Pricing Inputs'!$AQ$3=3,'Pricing Inputs'!$AQ$3=5,'Pricing Inputs'!$AQ$3=6,'Pricing Inputs'!$AQ$3=8,'Pricing Inputs'!$AQ$3=9),VLOOKUP(A99,ScaledPrice,IF(AND('Pricing Inputs'!$AQ$3&gt;=2,'Pricing Inputs'!$AQ$3&lt;=6),5,6)),0))</f>
        <v>25.886730353612275</v>
      </c>
      <c r="L99" s="255">
        <f>IF(A99="N/A"," ",IF(OR('Pricing Inputs'!$AQ$3=2,'Pricing Inputs'!$AQ$3=3,'Pricing Inputs'!$AQ$3=5,'Pricing Inputs'!$AQ$3=6,'Pricing Inputs'!$AQ$3=8,'Pricing Inputs'!$AQ$3=9),IF(AND('Pricing Inputs'!$AQ$3&gt;=2,'Pricing Inputs'!$AQ$3&lt;=6),K99,(VLOOKUP(A99,ScaledPrice,5))*(2-(VLOOKUP(A99,ScaledPrice,3)))),0))</f>
        <v>27.023266442042008</v>
      </c>
      <c r="M99" s="255">
        <f>IF(A99="N/A"," ",IF(OR('Pricing Inputs'!$AQ$3=3,'Pricing Inputs'!$AQ$3=6,'Pricing Inputs'!$AQ$3=9),(VLOOKUP(A99,ScaledPrice,IF(AND('Pricing Inputs'!$AQ$3&gt;=3,'Pricing Inputs'!$AQ$3&lt;=6),7,8))),0))</f>
        <v>22.457020519577487</v>
      </c>
      <c r="N99" s="255">
        <f>IF(A99="N/A"," ",IF(OR('Pricing Inputs'!$AQ$3=3,'Pricing Inputs'!$AQ$3=6,'Pricing Inputs'!$AQ$3=9),IF(AND('Pricing Inputs'!$AQ$3&gt;=3,'Pricing Inputs'!$AQ$3&lt;=6),M99,(VLOOKUP(A99,ScaledPrice,7))*(2-(VLOOKUP(A99,ScaledPrice,3)))),0))</f>
        <v>23.442977954543593</v>
      </c>
      <c r="O99" s="255">
        <f>IF(A99="N/A"," ",IF(AND('Pricing Inputs'!$AQ$3&gt;=1,'Pricing Inputs'!$AQ$3&lt;=3),VLOOKUP(A99,ScaledPrice,9),0))</f>
        <v>0</v>
      </c>
      <c r="P99" s="320">
        <f ca="1">IF($A99="N/A"," ",IF('Pricing Inputs'!$AN$8=2,(I99-H99),IF('Pricing Inputs'!$AN$3=2,IF((I99-$H99)&gt;0,I99-$H99,0),(_xll.xSPRDOPT(I99,$E99,$BU99,0,$BP99,$BS99,$BT99,($A99-Inputs!$D$1)+15,1,0)))))</f>
        <v>0.17281395021965645</v>
      </c>
      <c r="Q99" s="320">
        <f ca="1">IF($A99="N/A"," ",IF('Pricing Inputs'!$AN$8=2,(J99-$H99),IF('Pricing Inputs'!$AN$3=2,IF((J99-$H99)&gt;0,J99-$H99,0),(_xll.xSPRDOPT(J99,$E99,$BU99,0,$BP99,$BS99,$BT99,($A99-Inputs!$D$1)+15,1,0)))))</f>
        <v>0.26157747492391681</v>
      </c>
      <c r="R99" s="320">
        <f ca="1">IF($A99="N/A"," ",IF('Pricing Inputs'!$AN$8=2,(K99-$H99),IF('Pricing Inputs'!$AN$3=2,IF((K99-$H99)&gt;0,K99-$H99,0),(_xll.xSPRDOPT(K99,$E99,$BU99,0,$BP99,$BS99,$BT99,($A99-Inputs!$D$1)+15,1,0)))))</f>
        <v>3.0369853784850864E-2</v>
      </c>
      <c r="S99" s="320">
        <f ca="1">IF($A99="N/A"," ",IF('Pricing Inputs'!$AN$8=2,(L99-$H99),IF('Pricing Inputs'!$AN$3=2,IF((L99-$H99)&gt;0,L99-$H99,0),(_xll.xSPRDOPT(L99,$E99,$BU99,0,$BP99,$BS99,$BT99,($A99-Inputs!$D$1)+15,1,0)))))</f>
        <v>4.9926537451873448E-2</v>
      </c>
      <c r="T99" s="320">
        <f ca="1">IF($A99="N/A"," ",IF('Pricing Inputs'!$AN$8=2,(M99-$H99),IF('Pricing Inputs'!$AN$3=2,IF((M99-$H99)&gt;0,M99-$H99,0),(_xll.xSPRDOPT(M99,$E99,$BU99,0,$BP99,$BS99,$BT99,($A99-Inputs!$D$1)+15,1,0)))))</f>
        <v>4.9730005090234909E-3</v>
      </c>
      <c r="U99" s="320">
        <f ca="1">IF($A99="N/A"," ",IF('Pricing Inputs'!$AN$8=2,(N99-$H99),IF('Pricing Inputs'!$AN$3=2,IF((N99-$H99)&gt;0,N99-$H99,0),(_xll.xSPRDOPT(N99,$E99,$BU99,0,$BP99,$BS99,$BT99,($A99-Inputs!$D$1)+15,1,0)))))</f>
        <v>8.8298818955407279E-3</v>
      </c>
      <c r="V99" s="259">
        <f ca="1">IF($A99="N/A"," ",(IF('Pricing Inputs'!$AN$8=2,(O99-$H99),IF((O99-$H99)&lt;=0,0,(O99-$H99)))))</f>
        <v>0</v>
      </c>
      <c r="W99" s="306">
        <f ca="1">IF($A99="N/A"," ",IF(0&lt;&gt;P99,IF('Pricing Inputs'!$AN$3=2,8*VLOOKUP($A99,NumberofDaysTable,2),(_xll.xSPRDOPT(I99,$E99,$BU99,0,$BP99,$BS99,$BT99,$A99-Inputs!$D$1,1,1))*(8*VLOOKUP($A99,NumberofDaysTable,2))),0))</f>
        <v>9.821688533408361</v>
      </c>
      <c r="X99" s="306">
        <f ca="1">IF($A99="N/A"," ",IF(Q99&lt;&gt;0,IF('Pricing Inputs'!$AN$3=2,8*VLOOKUP($A99,NumberofDaysTable,2),(_xll.xSPRDOPT(J99,$E99,$BU99,0,$BP99,$BS99,$BT99,$A99-Inputs!$D$1,1,1))*(8*VLOOKUP($A99,NumberofDaysTable,2))),0))</f>
        <v>13.541410741170239</v>
      </c>
      <c r="Y99" s="306">
        <f ca="1">IF($A99="N/A"," ",IF(R99&lt;&gt;0,IF('Pricing Inputs'!$AN$3=2,8*VLOOKUP($A99,NumberofDaysTable,3),(_xll.xSPRDOPT(K99,$E99,$BU99,0,$BP99,$BS99,$BT99,$A99-Inputs!$D$1,1,1))*(8*VLOOKUP($A99,NumberofDaysTable,3))),0))</f>
        <v>0.4377810503038741</v>
      </c>
      <c r="Z99" s="306">
        <f ca="1">IF($A99="N/A"," ",IF(S99&lt;&gt;0,IF('Pricing Inputs'!$AN$3=2,8*VLOOKUP($A99,NumberofDaysTable,3),(_xll.xSPRDOPT(L99,$E99,$BU99,0,$BP99,$BS99,$BT99,$A99-Inputs!$D$1,1,1))*(8*VLOOKUP($A99,NumberofDaysTable,3))),0))</f>
        <v>0.65967787022809454</v>
      </c>
      <c r="AA99" s="306">
        <f ca="1">IF($A99="N/A"," ",IF(T99&lt;&gt;0,IF('Pricing Inputs'!$AN$3=2,8*VLOOKUP($A99,NumberofDaysTable,4),(_xll.xSPRDOPT(M99,$E99,$BU99,0,$BP99,$BS99,$BT99,$A99-Inputs!$D$1,1,1))*(8*VLOOKUP($A99,NumberofDaysTable,4))),0))</f>
        <v>9.4597054599395852E-2</v>
      </c>
      <c r="AB99" s="306">
        <f ca="1">IF($A99="N/A"," ",IF(U99&lt;&gt;0,IF('Pricing Inputs'!$AN$3=2,8*VLOOKUP($A99,NumberofDaysTable,4),(_xll.xSPRDOPT(N99,$E99,$BU99,0,$BP99,$BS99,$BT99,$A99-Inputs!$D$1,1,1))*(8*VLOOKUP($A99,NumberofDaysTable,4))),0))</f>
        <v>0.15470948432571568</v>
      </c>
      <c r="AC99" s="306">
        <f t="shared" ca="1" si="132"/>
        <v>0</v>
      </c>
      <c r="AD99" s="277">
        <f t="shared" ca="1" si="175"/>
        <v>53</v>
      </c>
      <c r="AE99" s="278">
        <f t="shared" ca="1" si="176"/>
        <v>47</v>
      </c>
      <c r="AF99" s="278">
        <f t="shared" ca="1" si="177"/>
        <v>64</v>
      </c>
      <c r="AG99" s="278">
        <f t="shared" ca="1" si="178"/>
        <v>61</v>
      </c>
      <c r="AH99" s="278">
        <f t="shared" ca="1" si="179"/>
        <v>72</v>
      </c>
      <c r="AI99" s="278">
        <f t="shared" ca="1" si="180"/>
        <v>71</v>
      </c>
      <c r="AJ99" s="279">
        <f t="shared" ca="1" si="181"/>
        <v>73</v>
      </c>
      <c r="AK99" s="316">
        <f t="shared" ca="1" si="158"/>
        <v>9.821688533408361</v>
      </c>
      <c r="AL99" s="317">
        <f t="shared" ca="1" si="159"/>
        <v>13.541410741170239</v>
      </c>
      <c r="AM99" s="317">
        <f t="shared" ca="1" si="160"/>
        <v>0.4377810503038741</v>
      </c>
      <c r="AN99" s="317">
        <f t="shared" ca="1" si="161"/>
        <v>0.65967787022809454</v>
      </c>
      <c r="AO99" s="317">
        <f t="shared" ca="1" si="162"/>
        <v>9.4597054599395852E-2</v>
      </c>
      <c r="AP99" s="317">
        <f t="shared" ca="1" si="163"/>
        <v>0.15470948432571568</v>
      </c>
      <c r="AQ99" s="317">
        <f t="shared" ca="1" si="164"/>
        <v>0</v>
      </c>
      <c r="AR99" s="279">
        <f ca="1">IF(($AP$2-AR98)&gt;=0,$AP$2-AR98,0)</f>
        <v>0</v>
      </c>
      <c r="AS99" s="325">
        <f t="shared" ca="1" si="168"/>
        <v>0</v>
      </c>
      <c r="AT99" s="326">
        <f t="shared" ca="1" si="169"/>
        <v>0</v>
      </c>
      <c r="AU99" s="326">
        <f t="shared" ca="1" si="170"/>
        <v>0</v>
      </c>
      <c r="AV99" s="326">
        <f t="shared" ca="1" si="171"/>
        <v>0</v>
      </c>
      <c r="AW99" s="326">
        <f t="shared" ca="1" si="172"/>
        <v>0</v>
      </c>
      <c r="AX99" s="326">
        <f t="shared" ca="1" si="173"/>
        <v>0</v>
      </c>
      <c r="AY99" s="326">
        <f t="shared" ca="1" si="174"/>
        <v>0</v>
      </c>
      <c r="AZ99" s="285">
        <f ca="1">AR98+AZ98</f>
        <v>2231.7615036257348</v>
      </c>
      <c r="BA99" s="267">
        <f ca="1">IF($A99="N/A"," ",(IF(MONTH(A99)&gt;=4,IF(MONTH(A99)&lt;=10,Inputs!$F$13,Inputs!$F$14),Inputs!$F$14))*$BW99)</f>
        <v>180</v>
      </c>
      <c r="BB99" s="268">
        <f t="shared" ca="1" si="165"/>
        <v>5474.7459429587161</v>
      </c>
      <c r="BC99" s="268">
        <f t="shared" ca="1" si="166"/>
        <v>8286.7744055896837</v>
      </c>
      <c r="BD99" s="268">
        <f t="shared" ca="1" si="133"/>
        <v>174.93035780074098</v>
      </c>
      <c r="BE99" s="268">
        <f t="shared" ca="1" si="134"/>
        <v>287.57685572279104</v>
      </c>
      <c r="BF99" s="268">
        <f t="shared" ca="1" si="135"/>
        <v>35.805603664969134</v>
      </c>
      <c r="BG99" s="268">
        <f t="shared" ca="1" si="136"/>
        <v>63.575149647893241</v>
      </c>
      <c r="BH99" s="268">
        <f t="shared" ca="1" si="157"/>
        <v>0</v>
      </c>
      <c r="BI99" s="268">
        <f t="shared" ca="1" si="137"/>
        <v>14323.408315384793</v>
      </c>
      <c r="BJ99" s="296">
        <f t="shared" ca="1" si="138"/>
        <v>208615.13335559863</v>
      </c>
      <c r="BK99" s="296">
        <f t="shared" ca="1" si="139"/>
        <v>199719.58205134582</v>
      </c>
      <c r="BL99" s="296">
        <f t="shared" ca="1" si="140"/>
        <v>8895.5513042528455</v>
      </c>
      <c r="BM99" s="296">
        <f t="shared" ca="1" si="141"/>
        <v>0</v>
      </c>
      <c r="BN99" s="405">
        <f>IF(A99="N/A"," ",(VLOOKUP(A99,PowerVolTable,(IF('Pricing Inputs'!$AT$3=2,7,IF('Pricing Inputs'!$AT$3=1,6,8))),FALSE)))</f>
        <v>0.17510109362254683</v>
      </c>
      <c r="BO99" s="405">
        <f>IF(A99="N/A"," ",(VLOOKUP(A99,IntraPowerVol,(IF('Pricing Inputs'!$AT$3=2,3,IF('Pricing Inputs'!$AT$3=1,2,4))),FALSE)*VLOOKUP(MONTH($A99),Inputs!$A$28:$B$39,2)))</f>
        <v>1.4375</v>
      </c>
      <c r="BP99" s="406">
        <f t="shared" ca="1" si="126"/>
        <v>0.20037018150042693</v>
      </c>
      <c r="BQ99" s="405">
        <f ca="1">IF($A99="N/A"," ",(VLOOKUP($A99,GasVolTable,(IF('Pricing Inputs'!$AT$3=2,6,IF('Pricing Inputs'!$AT$3=1,7,5))),FALSE)))</f>
        <v>0.1575</v>
      </c>
      <c r="BR99" s="405">
        <f ca="1">IF($A99="N/A"," ",(VLOOKUP($A99,OmicronVol,(IF('Pricing Inputs'!$AT$3=2,3,IF('Pricing Inputs'!$AT$3=1,4,2))),FALSE)))</f>
        <v>1.25</v>
      </c>
      <c r="BS99" s="406">
        <f ca="1">IF($A99="N/A"," ",IF('Pricing Inputs'!$AN$3=1,(IF(DateToday&gt;$A99,$BR99,((($BQ99^2)*((($A99-1)-DateToday)/((EOMONTH($A99,0)+1)-DateToday-15)))+((($BR99)^2)*((15)/((EOMONTH($A99,0)+1)-DateToday-15))))^0.5)),0.0001))</f>
        <v>0.17880664047883549</v>
      </c>
      <c r="BT99" s="405">
        <f>IF($A99="N/A"," ",IF('Pricing Inputs'!$AN$3=1,(VLOOKUP($A99,CorrelationTable,2,FALSE)),0))</f>
        <v>0.9</v>
      </c>
      <c r="BU99" s="407">
        <f ca="1">IF($A99="N/A"," ",F99+G99+(D99*(VLOOKUP($A99,'Gas Curves'!$B$17:$P$310,14,FALSE))))</f>
        <v>2.6825000000000001</v>
      </c>
      <c r="BV99" s="405">
        <f>IF($A99="N/A"," ",IF('Pricing Inputs'!$AW$3=1,0,(VLOOKUP($A99,InterestRatesTable,2))))</f>
        <v>0</v>
      </c>
      <c r="BW99" s="408">
        <f t="shared" ca="1" si="127"/>
        <v>1</v>
      </c>
    </row>
    <row r="100" spans="1:75">
      <c r="A100" s="248">
        <f>IF(A99="N/A","N/A",IF(EDATE(A99,1)&gt;Inputs!$K$3,"N/A",EDATE(A99,1)))</f>
        <v>39814</v>
      </c>
      <c r="B100" s="262">
        <f t="shared" si="128"/>
        <v>2009</v>
      </c>
      <c r="C100" s="249">
        <f t="shared" ca="1" si="129"/>
        <v>4.8100000000000005</v>
      </c>
      <c r="D100" s="250">
        <f>IF(A100="N/A"," ",(VLOOKUP(MONTH($A100),Inputs!$A$14:$B$25,2))/1000)</f>
        <v>10.5</v>
      </c>
      <c r="E100" s="304">
        <f t="shared" ca="1" si="130"/>
        <v>50.505000000000003</v>
      </c>
      <c r="F100" s="251">
        <f>IF(A100="N/A"," ",Inputs!$F$6)</f>
        <v>2</v>
      </c>
      <c r="G100" s="251">
        <f ca="1">IF(A100="N/A"," ",Inputs!$F$9/IF(AND('Pricing Inputs'!$AQ$3&gt;=4,'Pricing Inputs'!$AQ$3&lt;=6),16,IF(AND('Pricing Inputs'!$AQ$3&gt;=7,'Pricing Inputs'!$AQ$3&lt;=9),8,24))/(BA100/BW100))</f>
        <v>0</v>
      </c>
      <c r="H100" s="252">
        <f t="shared" ca="1" si="131"/>
        <v>52.505000000000003</v>
      </c>
      <c r="I100" s="255">
        <f>VLOOKUP(A100,ScaledPrice,(IF(AND('Pricing Inputs'!$AQ$3&gt;=1,'Pricing Inputs'!$AQ$3&lt;=6),2,4)))</f>
        <v>36.003765323232962</v>
      </c>
      <c r="J100" s="255">
        <f>IF(A100="N/A"," ",IF(AND('Pricing Inputs'!$AQ$3&gt;=1,'Pricing Inputs'!$AQ$3&lt;=6),I100,(VLOOKUP(A100,ScaledPrice,2))*(2-(VLOOKUP(A100,ScaledPrice,3)))))</f>
        <v>38.296234676767035</v>
      </c>
      <c r="K100" s="255">
        <f>IF(A100="N/A"," ",IF(OR('Pricing Inputs'!$AQ$3=2,'Pricing Inputs'!$AQ$3=3,'Pricing Inputs'!$AQ$3=5,'Pricing Inputs'!$AQ$3=6,'Pricing Inputs'!$AQ$3=8,'Pricing Inputs'!$AQ$3=9),VLOOKUP(A100,ScaledPrice,IF(AND('Pricing Inputs'!$AQ$3&gt;=2,'Pricing Inputs'!$AQ$3&lt;=6),5,6)),0))</f>
        <v>28.927788223623001</v>
      </c>
      <c r="L100" s="255">
        <f>IF(A100="N/A"," ",IF(OR('Pricing Inputs'!$AQ$3=2,'Pricing Inputs'!$AQ$3=3,'Pricing Inputs'!$AQ$3=5,'Pricing Inputs'!$AQ$3=6,'Pricing Inputs'!$AQ$3=8,'Pricing Inputs'!$AQ$3=9),IF(AND('Pricing Inputs'!$AQ$3&gt;=2,'Pricing Inputs'!$AQ$3&lt;=6),K100,(VLOOKUP(A100,ScaledPrice,5))*(2-(VLOOKUP(A100,ScaledPrice,3)))),0))</f>
        <v>30.769708572031288</v>
      </c>
      <c r="M100" s="255">
        <f>IF(A100="N/A"," ",IF(OR('Pricing Inputs'!$AQ$3=3,'Pricing Inputs'!$AQ$3=6,'Pricing Inputs'!$AQ$3=9),(VLOOKUP(A100,ScaledPrice,IF(AND('Pricing Inputs'!$AQ$3&gt;=3,'Pricing Inputs'!$AQ$3&lt;=6),7,8))),0))</f>
        <v>27.477705567179033</v>
      </c>
      <c r="N100" s="255">
        <f>IF(A100="N/A"," ",IF(OR('Pricing Inputs'!$AQ$3=3,'Pricing Inputs'!$AQ$3=6,'Pricing Inputs'!$AQ$3=9),IF(AND('Pricing Inputs'!$AQ$3&gt;=3,'Pricing Inputs'!$AQ$3&lt;=6),M100,(VLOOKUP(A100,ScaledPrice,7))*(2-(VLOOKUP(A100,ScaledPrice,3)))),0))</f>
        <v>29.22729473799674</v>
      </c>
      <c r="O100" s="255">
        <f>IF(A100="N/A"," ",IF(AND('Pricing Inputs'!$AQ$3&gt;=1,'Pricing Inputs'!$AQ$3&lt;=3),VLOOKUP(A100,ScaledPrice,9),0))</f>
        <v>0</v>
      </c>
      <c r="P100" s="320">
        <f ca="1">IF($A100="N/A"," ",IF('Pricing Inputs'!$AN$8=2,(I100-H100),IF('Pricing Inputs'!$AN$3=2,IF((I100-$H100)&gt;0,I100-$H100,0),(_xll.xSPRDOPT(I100,$E100,$BU100,0,$BP100,$BS100,$BT100,($A100-Inputs!$D$1)+15,1,0)))))</f>
        <v>0.93943422223779205</v>
      </c>
      <c r="Q100" s="320">
        <f ca="1">IF($A100="N/A"," ",IF('Pricing Inputs'!$AN$8=2,(J100-$H100),IF('Pricing Inputs'!$AN$3=2,IF((J100-$H100)&gt;0,J100-$H100,0),(_xll.xSPRDOPT(J100,$E100,$BU100,0,$BP100,$BS100,$BT100,($A100-Inputs!$D$1)+15,1,0)))))</f>
        <v>1.3774486471436331</v>
      </c>
      <c r="R100" s="320">
        <f ca="1">IF($A100="N/A"," ",IF('Pricing Inputs'!$AN$8=2,(K100-$H100),IF('Pricing Inputs'!$AN$3=2,IF((K100-$H100)&gt;0,K100-$H100,0),(_xll.xSPRDOPT(K100,$E100,$BU100,0,$BP100,$BS100,$BT100,($A100-Inputs!$D$1)+15,1,0)))))</f>
        <v>0.19784067375773901</v>
      </c>
      <c r="S100" s="320">
        <f ca="1">IF($A100="N/A"," ",IF('Pricing Inputs'!$AN$8=2,(L100-$H100),IF('Pricing Inputs'!$AN$3=2,IF((L100-$H100)&gt;0,L100-$H100,0),(_xll.xSPRDOPT(L100,$E100,$BU100,0,$BP100,$BS100,$BT100,($A100-Inputs!$D$1)+15,1,0)))))</f>
        <v>0.3172508098029348</v>
      </c>
      <c r="T100" s="320">
        <f ca="1">IF($A100="N/A"," ",IF('Pricing Inputs'!$AN$8=2,(M100-$H100),IF('Pricing Inputs'!$AN$3=2,IF((M100-$H100)&gt;0,M100-$H100,0),(_xll.xSPRDOPT(M100,$E100,$BU100,0,$BP100,$BS100,$BT100,($A100-Inputs!$D$1)+15,1,0)))))</f>
        <v>0.13080235915614552</v>
      </c>
      <c r="U100" s="320">
        <f ca="1">IF($A100="N/A"," ",IF('Pricing Inputs'!$AN$8=2,(N100-$H100),IF('Pricing Inputs'!$AN$3=2,IF((N100-$H100)&gt;0,N100-$H100,0),(_xll.xSPRDOPT(N100,$E100,$BU100,0,$BP100,$BS100,$BT100,($A100-Inputs!$D$1)+15,1,0)))))</f>
        <v>0.2144551076320356</v>
      </c>
      <c r="V100" s="259">
        <f ca="1">IF($A100="N/A"," ",(IF('Pricing Inputs'!$AN$8=2,(O100-$H100),IF((O100-$H100)&lt;=0,0,(O100-$H100)))))</f>
        <v>0</v>
      </c>
      <c r="W100" s="306">
        <f ca="1">IF($A100="N/A"," ",IF(0&lt;&gt;P100,IF('Pricing Inputs'!$AN$3=2,8*VLOOKUP($A100,NumberofDaysTable,2),(_xll.xSPRDOPT(I100,$E100,$BU100,0,$BP100,$BS100,$BT100,$A100-Inputs!$D$1,1,1))*(8*VLOOKUP($A100,NumberofDaysTable,2))),0))</f>
        <v>27.907099022362647</v>
      </c>
      <c r="X100" s="306">
        <f ca="1">IF($A100="N/A"," ",IF(Q100&lt;&gt;0,IF('Pricing Inputs'!$AN$3=2,8*VLOOKUP($A100,NumberofDaysTable,2),(_xll.xSPRDOPT(J100,$E100,$BU100,0,$BP100,$BS100,$BT100,$A100-Inputs!$D$1,1,1))*(8*VLOOKUP($A100,NumberofDaysTable,2))),0))</f>
        <v>36.166174490107217</v>
      </c>
      <c r="Y100" s="306">
        <f ca="1">IF($A100="N/A"," ",IF(R100&lt;&gt;0,IF('Pricing Inputs'!$AN$3=2,8*VLOOKUP($A100,NumberofDaysTable,3),(_xll.xSPRDOPT(K100,$E100,$BU100,0,$BP100,$BS100,$BT100,$A100-Inputs!$D$1,1,1))*(8*VLOOKUP($A100,NumberofDaysTable,3))),0))</f>
        <v>2.1317408892325203</v>
      </c>
      <c r="Z100" s="306">
        <f ca="1">IF($A100="N/A"," ",IF(S100&lt;&gt;0,IF('Pricing Inputs'!$AN$3=2,8*VLOOKUP($A100,NumberofDaysTable,3),(_xll.xSPRDOPT(L100,$E100,$BU100,0,$BP100,$BS100,$BT100,$A100-Inputs!$D$1,1,1))*(8*VLOOKUP($A100,NumberofDaysTable,3))),0))</f>
        <v>3.0436301296860262</v>
      </c>
      <c r="AA100" s="306">
        <f ca="1">IF($A100="N/A"," ",IF(T100&lt;&gt;0,IF('Pricing Inputs'!$AN$3=2,8*VLOOKUP($A100,NumberofDaysTable,4),(_xll.xSPRDOPT(M100,$E100,$BU100,0,$BP100,$BS100,$BT100,$A100-Inputs!$D$1,1,1))*(8*VLOOKUP($A100,NumberofDaysTable,4))),0))</f>
        <v>1.2401376351561451</v>
      </c>
      <c r="AB100" s="306">
        <f ca="1">IF($A100="N/A"," ",IF(U100&lt;&gt;0,IF('Pricing Inputs'!$AN$3=2,8*VLOOKUP($A100,NumberofDaysTable,4),(_xll.xSPRDOPT(N100,$E100,$BU100,0,$BP100,$BS100,$BT100,$A100-Inputs!$D$1,1,1))*(8*VLOOKUP($A100,NumberofDaysTable,4))),0))</f>
        <v>1.8133914728190632</v>
      </c>
      <c r="AC100" s="306">
        <f t="shared" ca="1" si="132"/>
        <v>0</v>
      </c>
      <c r="AD100" s="271">
        <f t="shared" ref="AD100:AJ100" ca="1" si="182">IF($A100="N/A"," ",RANK(P100,$P$100:$V$111))</f>
        <v>32</v>
      </c>
      <c r="AE100" s="272">
        <f t="shared" ca="1" si="182"/>
        <v>27</v>
      </c>
      <c r="AF100" s="272">
        <f t="shared" ca="1" si="182"/>
        <v>49</v>
      </c>
      <c r="AG100" s="272">
        <f t="shared" ca="1" si="182"/>
        <v>38</v>
      </c>
      <c r="AH100" s="272">
        <f t="shared" ca="1" si="182"/>
        <v>55</v>
      </c>
      <c r="AI100" s="272">
        <f t="shared" ca="1" si="182"/>
        <v>48</v>
      </c>
      <c r="AJ100" s="273">
        <f t="shared" ca="1" si="182"/>
        <v>73</v>
      </c>
      <c r="AK100" s="312">
        <f t="shared" ca="1" si="158"/>
        <v>27.907099022362647</v>
      </c>
      <c r="AL100" s="313">
        <f t="shared" ca="1" si="159"/>
        <v>36.166174490107217</v>
      </c>
      <c r="AM100" s="313">
        <f t="shared" ca="1" si="160"/>
        <v>2.1317408892325203</v>
      </c>
      <c r="AN100" s="313">
        <f t="shared" ca="1" si="161"/>
        <v>3.0436301296860262</v>
      </c>
      <c r="AO100" s="313">
        <f t="shared" ca="1" si="162"/>
        <v>1.2401376351561451</v>
      </c>
      <c r="AP100" s="313">
        <f t="shared" ca="1" si="163"/>
        <v>1.8133914728190632</v>
      </c>
      <c r="AQ100" s="313">
        <f t="shared" ca="1" si="164"/>
        <v>0</v>
      </c>
      <c r="AR100" s="273"/>
      <c r="AS100" s="327">
        <f t="shared" ref="AS100:AS111" ca="1" si="183">IF($A100="N/A"," ",IF(AND(AD100=$AJ$2+1,AK100=0),MIN($AR$111,W100),0))</f>
        <v>0</v>
      </c>
      <c r="AT100" s="322">
        <f t="shared" ref="AT100:AT111" ca="1" si="184">IF($A100="N/A"," ",IF(AND(AE100=$AJ$2+1,AL100=0),MIN($AR$111,X100),0))</f>
        <v>0</v>
      </c>
      <c r="AU100" s="322">
        <f t="shared" ref="AU100:AU111" ca="1" si="185">IF($A100="N/A"," ",IF(AND(AF100=$AJ$2+1,AM100=0),MIN($AR$111,Y100),0))</f>
        <v>0</v>
      </c>
      <c r="AV100" s="322">
        <f t="shared" ref="AV100:AV111" ca="1" si="186">IF($A100="N/A"," ",IF(AND(AG100=$AJ$2+1,AN100=0),MIN($AR$111,Z100),0))</f>
        <v>0</v>
      </c>
      <c r="AW100" s="322">
        <f t="shared" ref="AW100:AW111" ca="1" si="187">IF($A100="N/A"," ",IF(AND(AH100=$AJ$2+1,AO100=0),MIN($AR$111,AA100),0))</f>
        <v>0</v>
      </c>
      <c r="AX100" s="322">
        <f t="shared" ref="AX100:AX111" ca="1" si="188">IF($A100="N/A"," ",IF(AND(AI100=$AJ$2+1,AP100=0),MIN($AR$111,AB100),0))</f>
        <v>0</v>
      </c>
      <c r="AY100" s="322">
        <f t="shared" ref="AY100:AY111" ca="1" si="189">IF($A100="N/A"," ",IF(AND(AJ100=$AJ$2+1,AQ100=0),MIN($AR$111,AC100),0))</f>
        <v>0</v>
      </c>
      <c r="AZ100" s="273"/>
      <c r="BA100" s="267">
        <f ca="1">IF($A100="N/A"," ",(IF(MONTH(A100)&gt;=4,IF(MONTH(A100)&lt;=10,Inputs!$F$13,Inputs!$F$14),Inputs!$F$14))*$BW100)</f>
        <v>180</v>
      </c>
      <c r="BB100" s="268">
        <f t="shared" ca="1" si="165"/>
        <v>28408.490880470832</v>
      </c>
      <c r="BC100" s="268">
        <f t="shared" ca="1" si="166"/>
        <v>41654.047089623469</v>
      </c>
      <c r="BD100" s="268">
        <f t="shared" ca="1" si="133"/>
        <v>1424.4528510557209</v>
      </c>
      <c r="BE100" s="268">
        <f t="shared" ca="1" si="134"/>
        <v>2284.2058305811306</v>
      </c>
      <c r="BF100" s="268">
        <f t="shared" ca="1" si="135"/>
        <v>941.7769859242477</v>
      </c>
      <c r="BG100" s="268">
        <f t="shared" ca="1" si="136"/>
        <v>1544.0767749506563</v>
      </c>
      <c r="BH100" s="268">
        <f t="shared" ca="1" si="157"/>
        <v>0</v>
      </c>
      <c r="BI100" s="268">
        <f t="shared" ca="1" si="137"/>
        <v>76257.05041260607</v>
      </c>
      <c r="BJ100" s="296">
        <f t="shared" ca="1" si="138"/>
        <v>683320.6128482616</v>
      </c>
      <c r="BK100" s="296">
        <f t="shared" ca="1" si="139"/>
        <v>657291.83033809066</v>
      </c>
      <c r="BL100" s="296">
        <f t="shared" ca="1" si="140"/>
        <v>26028.782510170902</v>
      </c>
      <c r="BM100" s="296">
        <f t="shared" ca="1" si="141"/>
        <v>0</v>
      </c>
      <c r="BN100" s="405">
        <f>IF(A100="N/A"," ",(VLOOKUP(A100,PowerVolTable,(IF('Pricing Inputs'!$AT$3=2,7,IF('Pricing Inputs'!$AT$3=1,6,8))),FALSE)))</f>
        <v>0.18841140248609373</v>
      </c>
      <c r="BO100" s="405">
        <f>IF(A100="N/A"," ",(VLOOKUP(A100,IntraPowerVol,(IF('Pricing Inputs'!$AT$3=2,3,IF('Pricing Inputs'!$AT$3=1,2,4))),FALSE)*VLOOKUP(MONTH($A100),Inputs!$A$28:$B$39,2)))</f>
        <v>2.2999999999999998</v>
      </c>
      <c r="BP100" s="406">
        <f t="shared" ca="1" si="126"/>
        <v>0.24450123632274207</v>
      </c>
      <c r="BQ100" s="405">
        <f ca="1">IF($A100="N/A"," ",(VLOOKUP($A100,GasVolTable,(IF('Pricing Inputs'!$AT$3=2,6,IF('Pricing Inputs'!$AT$3=1,7,5))),FALSE)))</f>
        <v>0.1575</v>
      </c>
      <c r="BR100" s="405">
        <f ca="1">IF($A100="N/A"," ",(VLOOKUP($A100,OmicronVol,(IF('Pricing Inputs'!$AT$3=2,3,IF('Pricing Inputs'!$AT$3=1,4,2))),FALSE)))</f>
        <v>1.45</v>
      </c>
      <c r="BS100" s="406">
        <f ca="1">IF($A100="N/A"," ",IF('Pricing Inputs'!$AN$3=1,(IF(DateToday&gt;$A100,$BR100,((($BQ100^2)*((($A100-1)-DateToday)/((EOMONTH($A100,0)+1)-DateToday-15)))+((($BR100)^2)*((15)/((EOMONTH($A100,0)+1)-DateToday-15))))^0.5)),0.0001))</f>
        <v>0.18547508191924589</v>
      </c>
      <c r="BT100" s="405">
        <f>IF($A100="N/A"," ",IF('Pricing Inputs'!$AN$3=1,(VLOOKUP($A100,CorrelationTable,2,FALSE)),0))</f>
        <v>0.9</v>
      </c>
      <c r="BU100" s="407">
        <f ca="1">IF($A100="N/A"," ",F100+G100+(D100*(VLOOKUP($A100,'Gas Curves'!$B$17:$P$310,14,FALSE))))</f>
        <v>2.6825000000000001</v>
      </c>
      <c r="BV100" s="405">
        <f>IF($A100="N/A"," ",IF('Pricing Inputs'!$AW$3=1,0,(VLOOKUP($A100,InterestRatesTable,2))))</f>
        <v>0</v>
      </c>
      <c r="BW100" s="408">
        <f t="shared" ca="1" si="127"/>
        <v>1</v>
      </c>
    </row>
    <row r="101" spans="1:75">
      <c r="A101" s="248">
        <f>IF(A100="N/A","N/A",IF(EDATE(A100,1)&gt;Inputs!$K$3,"N/A",EDATE(A100,1)))</f>
        <v>39845</v>
      </c>
      <c r="B101" s="262">
        <f t="shared" si="128"/>
        <v>2009</v>
      </c>
      <c r="C101" s="249">
        <f t="shared" ca="1" si="129"/>
        <v>4.5920000000000005</v>
      </c>
      <c r="D101" s="250">
        <f>IF(A101="N/A"," ",(VLOOKUP(MONTH($A101),Inputs!$A$14:$B$25,2))/1000)</f>
        <v>10.5</v>
      </c>
      <c r="E101" s="304">
        <f t="shared" ca="1" si="130"/>
        <v>48.216000000000008</v>
      </c>
      <c r="F101" s="251">
        <f>IF(A101="N/A"," ",Inputs!$F$6)</f>
        <v>2</v>
      </c>
      <c r="G101" s="251">
        <f ca="1">IF(A101="N/A"," ",Inputs!$F$9/IF(AND('Pricing Inputs'!$AQ$3&gt;=4,'Pricing Inputs'!$AQ$3&lt;=6),16,IF(AND('Pricing Inputs'!$AQ$3&gt;=7,'Pricing Inputs'!$AQ$3&lt;=9),8,24))/(BA101/BW101))</f>
        <v>0</v>
      </c>
      <c r="H101" s="252">
        <f t="shared" ca="1" si="131"/>
        <v>50.216000000000008</v>
      </c>
      <c r="I101" s="255">
        <f>VLOOKUP(A101,ScaledPrice,(IF(AND('Pricing Inputs'!$AQ$3&gt;=1,'Pricing Inputs'!$AQ$3&lt;=6),2,4)))</f>
        <v>36.003765323232962</v>
      </c>
      <c r="J101" s="255">
        <f>IF(A101="N/A"," ",IF(AND('Pricing Inputs'!$AQ$3&gt;=1,'Pricing Inputs'!$AQ$3&lt;=6),I101,(VLOOKUP(A101,ScaledPrice,2))*(2-(VLOOKUP(A101,ScaledPrice,3)))))</f>
        <v>38.296234676767035</v>
      </c>
      <c r="K101" s="255">
        <f>IF(A101="N/A"," ",IF(OR('Pricing Inputs'!$AQ$3=2,'Pricing Inputs'!$AQ$3=3,'Pricing Inputs'!$AQ$3=5,'Pricing Inputs'!$AQ$3=6,'Pricing Inputs'!$AQ$3=8,'Pricing Inputs'!$AQ$3=9),VLOOKUP(A101,ScaledPrice,IF(AND('Pricing Inputs'!$AQ$3&gt;=2,'Pricing Inputs'!$AQ$3&lt;=6),5,6)),0))</f>
        <v>27.956221290687679</v>
      </c>
      <c r="L101" s="255">
        <f>IF(A101="N/A"," ",IF(OR('Pricing Inputs'!$AQ$3=2,'Pricing Inputs'!$AQ$3=3,'Pricing Inputs'!$AQ$3=5,'Pricing Inputs'!$AQ$3=6,'Pricing Inputs'!$AQ$3=8,'Pricing Inputs'!$AQ$3=9),IF(AND('Pricing Inputs'!$AQ$3&gt;=2,'Pricing Inputs'!$AQ$3&lt;=6),K101,(VLOOKUP(A101,ScaledPrice,5))*(2-(VLOOKUP(A101,ScaledPrice,3)))),0))</f>
        <v>29.73627901448809</v>
      </c>
      <c r="M101" s="255">
        <f>IF(A101="N/A"," ",IF(OR('Pricing Inputs'!$AQ$3=3,'Pricing Inputs'!$AQ$3=6,'Pricing Inputs'!$AQ$3=9),(VLOOKUP(A101,ScaledPrice,IF(AND('Pricing Inputs'!$AQ$3&gt;=3,'Pricing Inputs'!$AQ$3&lt;=6),7,8))),0))</f>
        <v>25.534567634610905</v>
      </c>
      <c r="N101" s="255">
        <f>IF(A101="N/A"," ",IF(OR('Pricing Inputs'!$AQ$3=3,'Pricing Inputs'!$AQ$3=6,'Pricing Inputs'!$AQ$3=9),IF(AND('Pricing Inputs'!$AQ$3&gt;=3,'Pricing Inputs'!$AQ$3&lt;=6),M101,(VLOOKUP(A101,ScaledPrice,7))*(2-(VLOOKUP(A101,ScaledPrice,3)))),0))</f>
        <v>27.160431297273849</v>
      </c>
      <c r="O101" s="255">
        <f>IF(A101="N/A"," ",IF(AND('Pricing Inputs'!$AQ$3&gt;=1,'Pricing Inputs'!$AQ$3&lt;=3),VLOOKUP(A101,ScaledPrice,9),0))</f>
        <v>0</v>
      </c>
      <c r="P101" s="320">
        <f ca="1">IF($A101="N/A"," ",IF('Pricing Inputs'!$AN$8=2,(I101-H101),IF('Pricing Inputs'!$AN$3=2,IF((I101-$H101)&gt;0,I101-$H101,0),(_xll.xSPRDOPT(I101,$E101,$BU101,0,$BP101,$BS101,$BT101,($A101-Inputs!$D$1)+15,1,0)))))</f>
        <v>1.088450811546414</v>
      </c>
      <c r="Q101" s="320">
        <f ca="1">IF($A101="N/A"," ",IF('Pricing Inputs'!$AN$8=2,(J101-$H101),IF('Pricing Inputs'!$AN$3=2,IF((J101-$H101)&gt;0,J101-$H101,0),(_xll.xSPRDOPT(J101,$E101,$BU101,0,$BP101,$BS101,$BT101,($A101-Inputs!$D$1)+15,1,0)))))</f>
        <v>1.589840923506574</v>
      </c>
      <c r="R101" s="320">
        <f ca="1">IF($A101="N/A"," ",IF('Pricing Inputs'!$AN$8=2,(K101-$H101),IF('Pricing Inputs'!$AN$3=2,IF((K101-$H101)&gt;0,K101-$H101,0),(_xll.xSPRDOPT(K101,$E101,$BU101,0,$BP101,$BS101,$BT101,($A101-Inputs!$D$1)+15,1,0)))))</f>
        <v>0.17531937407745093</v>
      </c>
      <c r="S101" s="320">
        <f ca="1">IF($A101="N/A"," ",IF('Pricing Inputs'!$AN$8=2,(L101-$H101),IF('Pricing Inputs'!$AN$3=2,IF((L101-$H101)&gt;0,L101-$H101,0),(_xll.xSPRDOPT(L101,$E101,$BU101,0,$BP101,$BS101,$BT101,($A101-Inputs!$D$1)+15,1,0)))))</f>
        <v>0.28548711312037617</v>
      </c>
      <c r="T101" s="320">
        <f ca="1">IF($A101="N/A"," ",IF('Pricing Inputs'!$AN$8=2,(M101-$H101),IF('Pricing Inputs'!$AN$3=2,IF((M101-$H101)&gt;0,M101-$H101,0),(_xll.xSPRDOPT(M101,$E101,$BU101,0,$BP101,$BS101,$BT101,($A101-Inputs!$D$1)+15,1,0)))))</f>
        <v>8.1414227098379768E-2</v>
      </c>
      <c r="U101" s="320">
        <f ca="1">IF($A101="N/A"," ",IF('Pricing Inputs'!$AN$8=2,(N101-$H101),IF('Pricing Inputs'!$AN$3=2,IF((N101-$H101)&gt;0,N101-$H101,0),(_xll.xSPRDOPT(N101,$E101,$BU101,0,$BP101,$BS101,$BT101,($A101-Inputs!$D$1)+15,1,0)))))</f>
        <v>0.13821759242315237</v>
      </c>
      <c r="V101" s="259">
        <f ca="1">IF($A101="N/A"," ",(IF('Pricing Inputs'!$AN$8=2,(O101-$H101),IF((O101-$H101)&lt;=0,0,(O101-$H101)))))</f>
        <v>0</v>
      </c>
      <c r="W101" s="306">
        <f ca="1">IF($A101="N/A"," ",IF(0&lt;&gt;P101,IF('Pricing Inputs'!$AN$3=2,8*VLOOKUP($A101,NumberofDaysTable,2),(_xll.xSPRDOPT(I101,$E101,$BU101,0,$BP101,$BS101,$BT101,$A101-Inputs!$D$1,1,1))*(8*VLOOKUP($A101,NumberofDaysTable,2))),0))</f>
        <v>30.550145282696292</v>
      </c>
      <c r="X101" s="306">
        <f ca="1">IF($A101="N/A"," ",IF(Q101&lt;&gt;0,IF('Pricing Inputs'!$AN$3=2,8*VLOOKUP($A101,NumberofDaysTable,2),(_xll.xSPRDOPT(J101,$E101,$BU101,0,$BP101,$BS101,$BT101,$A101-Inputs!$D$1,1,1))*(8*VLOOKUP($A101,NumberofDaysTable,2))),0))</f>
        <v>39.31786078570412</v>
      </c>
      <c r="Y101" s="306">
        <f ca="1">IF($A101="N/A"," ",IF(R101&lt;&gt;0,IF('Pricing Inputs'!$AN$3=2,8*VLOOKUP($A101,NumberofDaysTable,3),(_xll.xSPRDOPT(K101,$E101,$BU101,0,$BP101,$BS101,$BT101,$A101-Inputs!$D$1,1,1))*(8*VLOOKUP($A101,NumberofDaysTable,3))),0))</f>
        <v>1.6156375895014972</v>
      </c>
      <c r="Z101" s="306">
        <f ca="1">IF($A101="N/A"," ",IF(S101&lt;&gt;0,IF('Pricing Inputs'!$AN$3=2,8*VLOOKUP($A101,NumberofDaysTable,3),(_xll.xSPRDOPT(L101,$E101,$BU101,0,$BP101,$BS101,$BT101,$A101-Inputs!$D$1,1,1))*(8*VLOOKUP($A101,NumberofDaysTable,3))),0))</f>
        <v>2.3391191434321459</v>
      </c>
      <c r="AA101" s="306">
        <f ca="1">IF($A101="N/A"," ",IF(T101&lt;&gt;0,IF('Pricing Inputs'!$AN$3=2,8*VLOOKUP($A101,NumberofDaysTable,4),(_xll.xSPRDOPT(M101,$E101,$BU101,0,$BP101,$BS101,$BT101,$A101-Inputs!$D$1,1,1))*(8*VLOOKUP($A101,NumberofDaysTable,4))),0))</f>
        <v>0.88812428015213551</v>
      </c>
      <c r="AB101" s="306">
        <f ca="1">IF($A101="N/A"," ",IF(U101&lt;&gt;0,IF('Pricing Inputs'!$AN$3=2,8*VLOOKUP($A101,NumberofDaysTable,4),(_xll.xSPRDOPT(N101,$E101,$BU101,0,$BP101,$BS101,$BT101,$A101-Inputs!$D$1,1,1))*(8*VLOOKUP($A101,NumberofDaysTable,4))),0))</f>
        <v>1.3447444892823703</v>
      </c>
      <c r="AC101" s="306">
        <f t="shared" ca="1" si="132"/>
        <v>0</v>
      </c>
      <c r="AD101" s="274">
        <f t="shared" ref="AD101:AD111" ca="1" si="190">IF($A101="N/A"," ",RANK(P101,$P$100:$V$111))</f>
        <v>29</v>
      </c>
      <c r="AE101" s="275">
        <f t="shared" ref="AE101:AE111" ca="1" si="191">IF($A101="N/A"," ",RANK(Q101,$P$100:$V$111))</f>
        <v>25</v>
      </c>
      <c r="AF101" s="275">
        <f t="shared" ref="AF101:AF111" ca="1" si="192">IF($A101="N/A"," ",RANK(R101,$P$100:$V$111))</f>
        <v>50</v>
      </c>
      <c r="AG101" s="275">
        <f t="shared" ref="AG101:AG111" ca="1" si="193">IF($A101="N/A"," ",RANK(S101,$P$100:$V$111))</f>
        <v>41</v>
      </c>
      <c r="AH101" s="275">
        <f t="shared" ref="AH101:AH111" ca="1" si="194">IF($A101="N/A"," ",RANK(T101,$P$100:$V$111))</f>
        <v>58</v>
      </c>
      <c r="AI101" s="275">
        <f t="shared" ref="AI101:AI111" ca="1" si="195">IF($A101="N/A"," ",RANK(U101,$P$100:$V$111))</f>
        <v>54</v>
      </c>
      <c r="AJ101" s="276">
        <f t="shared" ref="AJ101:AJ111" ca="1" si="196">IF($A101="N/A"," ",RANK(V101,$P$100:$V$111))</f>
        <v>73</v>
      </c>
      <c r="AK101" s="314">
        <f t="shared" ca="1" si="158"/>
        <v>30.550145282696292</v>
      </c>
      <c r="AL101" s="315">
        <f t="shared" ca="1" si="159"/>
        <v>39.31786078570412</v>
      </c>
      <c r="AM101" s="315">
        <f t="shared" ca="1" si="160"/>
        <v>1.6156375895014972</v>
      </c>
      <c r="AN101" s="315">
        <f t="shared" ca="1" si="161"/>
        <v>2.3391191434321459</v>
      </c>
      <c r="AO101" s="315">
        <f t="shared" ca="1" si="162"/>
        <v>0.88812428015213551</v>
      </c>
      <c r="AP101" s="315">
        <f t="shared" ca="1" si="163"/>
        <v>1.3447444892823703</v>
      </c>
      <c r="AQ101" s="315">
        <f t="shared" ca="1" si="164"/>
        <v>0</v>
      </c>
      <c r="AR101" s="276"/>
      <c r="AS101" s="321">
        <f t="shared" ca="1" si="183"/>
        <v>0</v>
      </c>
      <c r="AT101" s="324">
        <f t="shared" ca="1" si="184"/>
        <v>0</v>
      </c>
      <c r="AU101" s="324">
        <f t="shared" ca="1" si="185"/>
        <v>0</v>
      </c>
      <c r="AV101" s="324">
        <f t="shared" ca="1" si="186"/>
        <v>0</v>
      </c>
      <c r="AW101" s="324">
        <f t="shared" ca="1" si="187"/>
        <v>0</v>
      </c>
      <c r="AX101" s="324">
        <f t="shared" ca="1" si="188"/>
        <v>0</v>
      </c>
      <c r="AY101" s="324">
        <f t="shared" ca="1" si="189"/>
        <v>0</v>
      </c>
      <c r="AZ101" s="276"/>
      <c r="BA101" s="267">
        <f ca="1">IF($A101="N/A"," ",(IF(MONTH(A101)&gt;=4,IF(MONTH(A101)&lt;=10,Inputs!$F$13,Inputs!$F$14),Inputs!$F$14))*$BW101)</f>
        <v>180</v>
      </c>
      <c r="BB101" s="268">
        <f t="shared" ca="1" si="165"/>
        <v>31347.383372536722</v>
      </c>
      <c r="BC101" s="268">
        <f t="shared" ca="1" si="166"/>
        <v>45787.41859698933</v>
      </c>
      <c r="BD101" s="268">
        <f t="shared" ca="1" si="133"/>
        <v>1009.8395946861174</v>
      </c>
      <c r="BE101" s="268">
        <f t="shared" ca="1" si="134"/>
        <v>1644.4057715733668</v>
      </c>
      <c r="BF101" s="268">
        <f t="shared" ca="1" si="135"/>
        <v>468.94594808666744</v>
      </c>
      <c r="BG101" s="268">
        <f t="shared" ca="1" si="136"/>
        <v>796.13333235735763</v>
      </c>
      <c r="BH101" s="268">
        <f t="shared" ca="1" si="157"/>
        <v>0</v>
      </c>
      <c r="BI101" s="268">
        <f t="shared" ca="1" si="137"/>
        <v>81054.126616229551</v>
      </c>
      <c r="BJ101" s="296">
        <f t="shared" ca="1" si="138"/>
        <v>687457.72709238867</v>
      </c>
      <c r="BK101" s="296">
        <f t="shared" ca="1" si="139"/>
        <v>660077.69972691208</v>
      </c>
      <c r="BL101" s="296">
        <f t="shared" ca="1" si="140"/>
        <v>27380.027365476686</v>
      </c>
      <c r="BM101" s="296">
        <f t="shared" ca="1" si="141"/>
        <v>0</v>
      </c>
      <c r="BN101" s="405">
        <f>IF(A101="N/A"," ",(VLOOKUP(A101,PowerVolTable,(IF('Pricing Inputs'!$AT$3=2,7,IF('Pricing Inputs'!$AT$3=1,6,8))),FALSE)))</f>
        <v>0.18177719817320309</v>
      </c>
      <c r="BO101" s="405">
        <f>IF(A101="N/A"," ",(VLOOKUP(A101,IntraPowerVol,(IF('Pricing Inputs'!$AT$3=2,3,IF('Pricing Inputs'!$AT$3=1,2,4))),FALSE)*VLOOKUP(MONTH($A101),Inputs!$A$28:$B$39,2)))</f>
        <v>2.2999999999999998</v>
      </c>
      <c r="BP101" s="406">
        <f t="shared" ca="1" si="126"/>
        <v>0.23908191324532255</v>
      </c>
      <c r="BQ101" s="405">
        <f ca="1">IF($A101="N/A"," ",(VLOOKUP($A101,GasVolTable,(IF('Pricing Inputs'!$AT$3=2,6,IF('Pricing Inputs'!$AT$3=1,7,5))),FALSE)))</f>
        <v>0.1575</v>
      </c>
      <c r="BR101" s="405">
        <f ca="1">IF($A101="N/A"," ",(VLOOKUP($A101,OmicronVol,(IF('Pricing Inputs'!$AT$3=2,3,IF('Pricing Inputs'!$AT$3=1,4,2))),FALSE)))</f>
        <v>1.45</v>
      </c>
      <c r="BS101" s="406">
        <f ca="1">IF($A101="N/A"," ",IF('Pricing Inputs'!$AN$3=1,(IF(DateToday&gt;$A101,$BR101,((($BQ101^2)*((($A101-1)-DateToday)/((EOMONTH($A101,0)+1)-DateToday-15)))+((($BR101)^2)*((15)/((EOMONTH($A101,0)+1)-DateToday-15))))^0.5)),0.0001))</f>
        <v>0.18531493536005753</v>
      </c>
      <c r="BT101" s="405">
        <f>IF($A101="N/A"," ",IF('Pricing Inputs'!$AN$3=1,(VLOOKUP($A101,CorrelationTable,2,FALSE)),0))</f>
        <v>0.9</v>
      </c>
      <c r="BU101" s="407">
        <f ca="1">IF($A101="N/A"," ",F101+G101+(D101*(VLOOKUP($A101,'Gas Curves'!$B$17:$P$310,14,FALSE))))</f>
        <v>2.6825000000000001</v>
      </c>
      <c r="BV101" s="405">
        <f>IF($A101="N/A"," ",IF('Pricing Inputs'!$AW$3=1,0,(VLOOKUP($A101,InterestRatesTable,2))))</f>
        <v>0</v>
      </c>
      <c r="BW101" s="408">
        <f t="shared" ca="1" si="127"/>
        <v>1</v>
      </c>
    </row>
    <row r="102" spans="1:75">
      <c r="A102" s="248">
        <f>IF(A101="N/A","N/A",IF(EDATE(A101,1)&gt;Inputs!$K$3,"N/A",EDATE(A101,1)))</f>
        <v>39873</v>
      </c>
      <c r="B102" s="262">
        <f t="shared" si="128"/>
        <v>2009</v>
      </c>
      <c r="C102" s="249">
        <f t="shared" ca="1" si="129"/>
        <v>3.9420000000000002</v>
      </c>
      <c r="D102" s="250">
        <f>IF(A102="N/A"," ",(VLOOKUP(MONTH($A102),Inputs!$A$14:$B$25,2))/1000)</f>
        <v>10.5</v>
      </c>
      <c r="E102" s="304">
        <f t="shared" ca="1" si="130"/>
        <v>41.391000000000005</v>
      </c>
      <c r="F102" s="251">
        <f>IF(A102="N/A"," ",Inputs!$F$6)</f>
        <v>2</v>
      </c>
      <c r="G102" s="251">
        <f ca="1">IF(A102="N/A"," ",Inputs!$F$9/IF(AND('Pricing Inputs'!$AQ$3&gt;=4,'Pricing Inputs'!$AQ$3&lt;=6),16,IF(AND('Pricing Inputs'!$AQ$3&gt;=7,'Pricing Inputs'!$AQ$3&lt;=9),8,24))/(BA102/BW102))</f>
        <v>0</v>
      </c>
      <c r="H102" s="252">
        <f t="shared" ca="1" si="131"/>
        <v>43.391000000000005</v>
      </c>
      <c r="I102" s="255">
        <f>VLOOKUP(A102,ScaledPrice,(IF(AND('Pricing Inputs'!$AQ$3&gt;=1,'Pricing Inputs'!$AQ$3&lt;=6),2,4)))</f>
        <v>32.453110000000002</v>
      </c>
      <c r="J102" s="255">
        <f>IF(A102="N/A"," ",IF(AND('Pricing Inputs'!$AQ$3&gt;=1,'Pricing Inputs'!$AQ$3&lt;=6),I102,(VLOOKUP(A102,ScaledPrice,2))*(2-(VLOOKUP(A102,ScaledPrice,3)))))</f>
        <v>34.346889999999995</v>
      </c>
      <c r="K102" s="255">
        <f>IF(A102="N/A"," ",IF(OR('Pricing Inputs'!$AQ$3=2,'Pricing Inputs'!$AQ$3=3,'Pricing Inputs'!$AQ$3=5,'Pricing Inputs'!$AQ$3=6,'Pricing Inputs'!$AQ$3=8,'Pricing Inputs'!$AQ$3=9),VLOOKUP(A102,ScaledPrice,IF(AND('Pricing Inputs'!$AQ$3&gt;=2,'Pricing Inputs'!$AQ$3&lt;=6),5,6)),0))</f>
        <v>21.410064452018734</v>
      </c>
      <c r="L102" s="255">
        <f>IF(A102="N/A"," ",IF(OR('Pricing Inputs'!$AQ$3=2,'Pricing Inputs'!$AQ$3=3,'Pricing Inputs'!$AQ$3=5,'Pricing Inputs'!$AQ$3=6,'Pricing Inputs'!$AQ$3=8,'Pricing Inputs'!$AQ$3=9),IF(AND('Pricing Inputs'!$AQ$3&gt;=2,'Pricing Inputs'!$AQ$3&lt;=6),K102,(VLOOKUP(A102,ScaledPrice,5))*(2-(VLOOKUP(A102,ScaledPrice,3)))),0))</f>
        <v>22.659434754524224</v>
      </c>
      <c r="M102" s="255">
        <f>IF(A102="N/A"," ",IF(OR('Pricing Inputs'!$AQ$3=3,'Pricing Inputs'!$AQ$3=6,'Pricing Inputs'!$AQ$3=9),(VLOOKUP(A102,ScaledPrice,IF(AND('Pricing Inputs'!$AQ$3&gt;=3,'Pricing Inputs'!$AQ$3&lt;=6),7,8))),0))</f>
        <v>21.050310357513425</v>
      </c>
      <c r="N102" s="255">
        <f>IF(A102="N/A"," ",IF(OR('Pricing Inputs'!$AQ$3=3,'Pricing Inputs'!$AQ$3=6,'Pricing Inputs'!$AQ$3=9),IF(AND('Pricing Inputs'!$AQ$3&gt;=3,'Pricing Inputs'!$AQ$3&lt;=6),M102,(VLOOKUP(A102,ScaledPrice,7))*(2-(VLOOKUP(A102,ScaledPrice,3)))),0))</f>
        <v>22.278687445220939</v>
      </c>
      <c r="O102" s="255">
        <f>IF(A102="N/A"," ",IF(AND('Pricing Inputs'!$AQ$3&gt;=1,'Pricing Inputs'!$AQ$3&lt;=3),VLOOKUP(A102,ScaledPrice,9),0))</f>
        <v>0</v>
      </c>
      <c r="P102" s="320">
        <f ca="1">IF($A102="N/A"," ",IF('Pricing Inputs'!$AN$8=2,(I102-H102),IF('Pricing Inputs'!$AN$3=2,IF((I102-$H102)&gt;0,I102-$H102,0),(_xll.xSPRDOPT(I102,$E102,$BU102,0,$BP102,$BS102,$BT102,($A102-Inputs!$D$1)+15,1,0)))))</f>
        <v>0.68866343135245356</v>
      </c>
      <c r="Q102" s="320">
        <f ca="1">IF($A102="N/A"," ",IF('Pricing Inputs'!$AN$8=2,(J102-$H102),IF('Pricing Inputs'!$AN$3=2,IF((J102-$H102)&gt;0,J102-$H102,0),(_xll.xSPRDOPT(J102,$E102,$BU102,0,$BP102,$BS102,$BT102,($A102-Inputs!$D$1)+15,1,0)))))</f>
        <v>1.0528087142096028</v>
      </c>
      <c r="R102" s="320">
        <f ca="1">IF($A102="N/A"," ",IF('Pricing Inputs'!$AN$8=2,(K102-$H102),IF('Pricing Inputs'!$AN$3=2,IF((K102-$H102)&gt;0,K102-$H102,0),(_xll.xSPRDOPT(K102,$E102,$BU102,0,$BP102,$BS102,$BT102,($A102-Inputs!$D$1)+15,1,0)))))</f>
        <v>1.0976504814152358E-2</v>
      </c>
      <c r="S102" s="320">
        <f ca="1">IF($A102="N/A"," ",IF('Pricing Inputs'!$AN$8=2,(L102-$H102),IF('Pricing Inputs'!$AN$3=2,IF((L102-$H102)&gt;0,L102-$H102,0),(_xll.xSPRDOPT(L102,$E102,$BU102,0,$BP102,$BS102,$BT102,($A102-Inputs!$D$1)+15,1,0)))))</f>
        <v>2.1602834889751007E-2</v>
      </c>
      <c r="T102" s="320">
        <f ca="1">IF($A102="N/A"," ",IF('Pricing Inputs'!$AN$8=2,(M102-$H102),IF('Pricing Inputs'!$AN$3=2,IF((M102-$H102)&gt;0,M102-$H102,0),(_xll.xSPRDOPT(M102,$E102,$BU102,0,$BP102,$BS102,$BT102,($A102-Inputs!$D$1)+15,1,0)))))</f>
        <v>8.9015397105744118E-3</v>
      </c>
      <c r="U102" s="320">
        <f ca="1">IF($A102="N/A"," ",IF('Pricing Inputs'!$AN$8=2,(N102-$H102),IF('Pricing Inputs'!$AN$3=2,IF((N102-$H102)&gt;0,N102-$H102,0),(_xll.xSPRDOPT(N102,$E102,$BU102,0,$BP102,$BS102,$BT102,($A102-Inputs!$D$1)+15,1,0)))))</f>
        <v>1.771498141247525E-2</v>
      </c>
      <c r="V102" s="259">
        <f ca="1">IF($A102="N/A"," ",(IF('Pricing Inputs'!$AN$8=2,(O102-$H102),IF((O102-$H102)&lt;=0,0,(O102-$H102)))))</f>
        <v>0</v>
      </c>
      <c r="W102" s="306">
        <f ca="1">IF($A102="N/A"," ",IF(0&lt;&gt;P102,IF('Pricing Inputs'!$AN$3=2,8*VLOOKUP($A102,NumberofDaysTable,2),(_xll.xSPRDOPT(I102,$E102,$BU102,0,$BP102,$BS102,$BT102,$A102-Inputs!$D$1,1,1))*(8*VLOOKUP($A102,NumberofDaysTable,2))),0))</f>
        <v>28.856266409930846</v>
      </c>
      <c r="X102" s="306">
        <f ca="1">IF($A102="N/A"," ",IF(Q102&lt;&gt;0,IF('Pricing Inputs'!$AN$3=2,8*VLOOKUP($A102,NumberofDaysTable,2),(_xll.xSPRDOPT(J102,$E102,$BU102,0,$BP102,$BS102,$BT102,$A102-Inputs!$D$1,1,1))*(8*VLOOKUP($A102,NumberofDaysTable,2))),0))</f>
        <v>38.781911455559822</v>
      </c>
      <c r="Y102" s="306">
        <f ca="1">IF($A102="N/A"," ",IF(R102&lt;&gt;0,IF('Pricing Inputs'!$AN$3=2,8*VLOOKUP($A102,NumberofDaysTable,3),(_xll.xSPRDOPT(K102,$E102,$BU102,0,$BP102,$BS102,$BT102,$A102-Inputs!$D$1,1,1))*(8*VLOOKUP($A102,NumberofDaysTable,3))),0))</f>
        <v>0.19767874124634641</v>
      </c>
      <c r="Z102" s="306">
        <f ca="1">IF($A102="N/A"," ",IF(S102&lt;&gt;0,IF('Pricing Inputs'!$AN$3=2,8*VLOOKUP($A102,NumberofDaysTable,3),(_xll.xSPRDOPT(L102,$E102,$BU102,0,$BP102,$BS102,$BT102,$A102-Inputs!$D$1,1,1))*(8*VLOOKUP($A102,NumberofDaysTable,3))),0))</f>
        <v>0.34881532717433023</v>
      </c>
      <c r="AA102" s="306">
        <f ca="1">IF($A102="N/A"," ",IF(T102&lt;&gt;0,IF('Pricing Inputs'!$AN$3=2,8*VLOOKUP($A102,NumberofDaysTable,4),(_xll.xSPRDOPT(M102,$E102,$BU102,0,$BP102,$BS102,$BT102,$A102-Inputs!$D$1,1,1))*(8*VLOOKUP($A102,NumberofDaysTable,4))),0))</f>
        <v>0.20694007051119792</v>
      </c>
      <c r="AB102" s="306">
        <f ca="1">IF($A102="N/A"," ",IF(U102&lt;&gt;0,IF('Pricing Inputs'!$AN$3=2,8*VLOOKUP($A102,NumberofDaysTable,4),(_xll.xSPRDOPT(N102,$E102,$BU102,0,$BP102,$BS102,$BT102,$A102-Inputs!$D$1,1,1))*(8*VLOOKUP($A102,NumberofDaysTable,4))),0))</f>
        <v>0.36949372108439871</v>
      </c>
      <c r="AC102" s="306">
        <f t="shared" ca="1" si="132"/>
        <v>0</v>
      </c>
      <c r="AD102" s="274">
        <f t="shared" ca="1" si="190"/>
        <v>33</v>
      </c>
      <c r="AE102" s="275">
        <f t="shared" ca="1" si="191"/>
        <v>30</v>
      </c>
      <c r="AF102" s="275">
        <f t="shared" ca="1" si="192"/>
        <v>69</v>
      </c>
      <c r="AG102" s="275">
        <f t="shared" ca="1" si="193"/>
        <v>65</v>
      </c>
      <c r="AH102" s="275">
        <f t="shared" ca="1" si="194"/>
        <v>70</v>
      </c>
      <c r="AI102" s="275">
        <f t="shared" ca="1" si="195"/>
        <v>67</v>
      </c>
      <c r="AJ102" s="276">
        <f t="shared" ca="1" si="196"/>
        <v>73</v>
      </c>
      <c r="AK102" s="314">
        <f t="shared" ca="1" si="158"/>
        <v>28.856266409930846</v>
      </c>
      <c r="AL102" s="315">
        <f t="shared" ca="1" si="159"/>
        <v>38.781911455559822</v>
      </c>
      <c r="AM102" s="315">
        <f t="shared" ca="1" si="160"/>
        <v>0.19767874124634641</v>
      </c>
      <c r="AN102" s="315">
        <f t="shared" ca="1" si="161"/>
        <v>0.34881532717433023</v>
      </c>
      <c r="AO102" s="315">
        <f t="shared" ca="1" si="162"/>
        <v>0.20694007051119792</v>
      </c>
      <c r="AP102" s="315">
        <f t="shared" ca="1" si="163"/>
        <v>0.36949372108439871</v>
      </c>
      <c r="AQ102" s="315">
        <f t="shared" ca="1" si="164"/>
        <v>0</v>
      </c>
      <c r="AR102" s="276"/>
      <c r="AS102" s="321">
        <f t="shared" ca="1" si="183"/>
        <v>0</v>
      </c>
      <c r="AT102" s="324">
        <f t="shared" ca="1" si="184"/>
        <v>0</v>
      </c>
      <c r="AU102" s="324">
        <f t="shared" ca="1" si="185"/>
        <v>0</v>
      </c>
      <c r="AV102" s="324">
        <f t="shared" ca="1" si="186"/>
        <v>0</v>
      </c>
      <c r="AW102" s="324">
        <f t="shared" ca="1" si="187"/>
        <v>0</v>
      </c>
      <c r="AX102" s="324">
        <f t="shared" ca="1" si="188"/>
        <v>0</v>
      </c>
      <c r="AY102" s="324">
        <f t="shared" ca="1" si="189"/>
        <v>0</v>
      </c>
      <c r="AZ102" s="276"/>
      <c r="BA102" s="267">
        <f ca="1">IF($A102="N/A"," ",(IF(MONTH(A102)&gt;=4,IF(MONTH(A102)&lt;=10,Inputs!$F$13,Inputs!$F$14),Inputs!$F$14))*$BW102)</f>
        <v>180</v>
      </c>
      <c r="BB102" s="268">
        <f t="shared" ca="1" si="165"/>
        <v>21816.857505245727</v>
      </c>
      <c r="BC102" s="268">
        <f t="shared" ca="1" si="166"/>
        <v>33352.980066160213</v>
      </c>
      <c r="BD102" s="268">
        <f t="shared" ca="1" si="133"/>
        <v>63.224667729517584</v>
      </c>
      <c r="BE102" s="268">
        <f t="shared" ca="1" si="134"/>
        <v>124.43232896496581</v>
      </c>
      <c r="BF102" s="268">
        <f t="shared" ca="1" si="135"/>
        <v>64.091085916135768</v>
      </c>
      <c r="BG102" s="268">
        <f t="shared" ca="1" si="136"/>
        <v>127.5478661698218</v>
      </c>
      <c r="BH102" s="268">
        <f t="shared" ca="1" si="157"/>
        <v>0</v>
      </c>
      <c r="BI102" s="268">
        <f t="shared" ca="1" si="137"/>
        <v>55549.133520186384</v>
      </c>
      <c r="BJ102" s="296">
        <f t="shared" ca="1" si="138"/>
        <v>537050.36493638495</v>
      </c>
      <c r="BK102" s="296">
        <f t="shared" ca="1" si="139"/>
        <v>512296.36687520245</v>
      </c>
      <c r="BL102" s="296">
        <f t="shared" ca="1" si="140"/>
        <v>24753.998061182498</v>
      </c>
      <c r="BM102" s="296">
        <f t="shared" ca="1" si="141"/>
        <v>0</v>
      </c>
      <c r="BN102" s="405">
        <f>IF(A102="N/A"," ",(VLOOKUP(A102,PowerVolTable,(IF('Pricing Inputs'!$AT$3=2,7,IF('Pricing Inputs'!$AT$3=1,6,8))),FALSE)))</f>
        <v>0.17718301168652634</v>
      </c>
      <c r="BO102" s="405">
        <f>IF(A102="N/A"," ",(VLOOKUP(A102,IntraPowerVol,(IF('Pricing Inputs'!$AT$3=2,3,IF('Pricing Inputs'!$AT$3=1,2,4))),FALSE)*VLOOKUP(MONTH($A102),Inputs!$A$28:$B$39,2)))</f>
        <v>1.4949999999999999</v>
      </c>
      <c r="BP102" s="406">
        <f t="shared" ca="1" si="126"/>
        <v>0.20343363298666151</v>
      </c>
      <c r="BQ102" s="405">
        <f ca="1">IF($A102="N/A"," ",(VLOOKUP($A102,GasVolTable,(IF('Pricing Inputs'!$AT$3=2,6,IF('Pricing Inputs'!$AT$3=1,7,5))),FALSE)))</f>
        <v>0.1575</v>
      </c>
      <c r="BR102" s="405">
        <f ca="1">IF($A102="N/A"," ",(VLOOKUP($A102,OmicronVol,(IF('Pricing Inputs'!$AT$3=2,3,IF('Pricing Inputs'!$AT$3=1,4,2))),FALSE)))</f>
        <v>1</v>
      </c>
      <c r="BS102" s="406">
        <f ca="1">IF($A102="N/A"," ",IF('Pricing Inputs'!$AN$3=1,(IF(DateToday&gt;$A102,$BR102,((($BQ102^2)*((($A102-1)-DateToday)/((EOMONTH($A102,0)+1)-DateToday-15)))+((($BR102)^2)*((15)/((EOMONTH($A102,0)+1)-DateToday-15))))^0.5)),0.0001))</f>
        <v>0.17094220959670836</v>
      </c>
      <c r="BT102" s="405">
        <f>IF($A102="N/A"," ",IF('Pricing Inputs'!$AN$3=1,(VLOOKUP($A102,CorrelationTable,2,FALSE)),0))</f>
        <v>0.9</v>
      </c>
      <c r="BU102" s="407">
        <f ca="1">IF($A102="N/A"," ",F102+G102+(D102*(VLOOKUP($A102,'Gas Curves'!$B$17:$P$310,14,FALSE))))</f>
        <v>2.6825000000000001</v>
      </c>
      <c r="BV102" s="405">
        <f>IF($A102="N/A"," ",IF('Pricing Inputs'!$AW$3=1,0,(VLOOKUP($A102,InterestRatesTable,2))))</f>
        <v>0</v>
      </c>
      <c r="BW102" s="408">
        <f t="shared" ca="1" si="127"/>
        <v>1</v>
      </c>
    </row>
    <row r="103" spans="1:75">
      <c r="A103" s="248">
        <f>IF(A102="N/A","N/A",IF(EDATE(A102,1)&gt;Inputs!$K$3,"N/A",EDATE(A102,1)))</f>
        <v>39904</v>
      </c>
      <c r="B103" s="262">
        <f t="shared" si="128"/>
        <v>2009</v>
      </c>
      <c r="C103" s="249">
        <f t="shared" ca="1" si="129"/>
        <v>2.97749415975</v>
      </c>
      <c r="D103" s="250">
        <f>IF(A103="N/A"," ",(VLOOKUP(MONTH($A103),Inputs!$A$14:$B$25,2))/1000)</f>
        <v>10.5</v>
      </c>
      <c r="E103" s="304">
        <f t="shared" ca="1" si="130"/>
        <v>31.263688677375001</v>
      </c>
      <c r="F103" s="251">
        <f>IF(A103="N/A"," ",Inputs!$F$6)</f>
        <v>2</v>
      </c>
      <c r="G103" s="251">
        <f ca="1">IF(A103="N/A"," ",Inputs!$F$9/IF(AND('Pricing Inputs'!$AQ$3&gt;=4,'Pricing Inputs'!$AQ$3&lt;=6),16,IF(AND('Pricing Inputs'!$AQ$3&gt;=7,'Pricing Inputs'!$AQ$3&lt;=9),8,24))/(BA103/BW103))</f>
        <v>0</v>
      </c>
      <c r="H103" s="252">
        <f t="shared" ca="1" si="131"/>
        <v>33.263688677375001</v>
      </c>
      <c r="I103" s="255">
        <f>VLOOKUP(A103,ScaledPrice,(IF(AND('Pricing Inputs'!$AQ$3&gt;=1,'Pricing Inputs'!$AQ$3&lt;=6),2,4)))</f>
        <v>29.73839666988907</v>
      </c>
      <c r="J103" s="255">
        <f>IF(A103="N/A"," ",IF(AND('Pricing Inputs'!$AQ$3&gt;=1,'Pricing Inputs'!$AQ$3&lt;=6),I103,(VLOOKUP(A103,ScaledPrice,2))*(2-(VLOOKUP(A103,ScaledPrice,3)))))</f>
        <v>34.561603330110927</v>
      </c>
      <c r="K103" s="255">
        <f>IF(A103="N/A"," ",IF(OR('Pricing Inputs'!$AQ$3=2,'Pricing Inputs'!$AQ$3=3,'Pricing Inputs'!$AQ$3=5,'Pricing Inputs'!$AQ$3=6,'Pricing Inputs'!$AQ$3=8,'Pricing Inputs'!$AQ$3=9),VLOOKUP(A103,ScaledPrice,IF(AND('Pricing Inputs'!$AQ$3&gt;=2,'Pricing Inputs'!$AQ$3&lt;=6),5,6)),0))</f>
        <v>21.013438115820943</v>
      </c>
      <c r="L103" s="255">
        <f>IF(A103="N/A"," ",IF(OR('Pricing Inputs'!$AQ$3=2,'Pricing Inputs'!$AQ$3=3,'Pricing Inputs'!$AQ$3=5,'Pricing Inputs'!$AQ$3=6,'Pricing Inputs'!$AQ$3=8,'Pricing Inputs'!$AQ$3=9),IF(AND('Pricing Inputs'!$AQ$3&gt;=2,'Pricing Inputs'!$AQ$3&lt;=6),K103,(VLOOKUP(A103,ScaledPrice,5))*(2-(VLOOKUP(A103,ScaledPrice,3)))),0))</f>
        <v>24.421562494530608</v>
      </c>
      <c r="M103" s="255">
        <f>IF(A103="N/A"," ",IF(OR('Pricing Inputs'!$AQ$3=3,'Pricing Inputs'!$AQ$3=6,'Pricing Inputs'!$AQ$3=9),(VLOOKUP(A103,ScaledPrice,IF(AND('Pricing Inputs'!$AQ$3&gt;=3,'Pricing Inputs'!$AQ$3&lt;=6),7,8))),0))</f>
        <v>19.827138581423227</v>
      </c>
      <c r="N103" s="255">
        <f>IF(A103="N/A"," ",IF(OR('Pricing Inputs'!$AQ$3=3,'Pricing Inputs'!$AQ$3=6,'Pricing Inputs'!$AQ$3=9),IF(AND('Pricing Inputs'!$AQ$3&gt;=3,'Pricing Inputs'!$AQ$3&lt;=6),M103,(VLOOKUP(A103,ScaledPrice,7))*(2-(VLOOKUP(A103,ScaledPrice,3)))),0))</f>
        <v>23.042859587522074</v>
      </c>
      <c r="O103" s="255">
        <f>IF(A103="N/A"," ",IF(AND('Pricing Inputs'!$AQ$3&gt;=1,'Pricing Inputs'!$AQ$3&lt;=3),VLOOKUP(A103,ScaledPrice,9),0))</f>
        <v>0</v>
      </c>
      <c r="P103" s="320">
        <f ca="1">IF($A103="N/A"," ",IF('Pricing Inputs'!$AN$8=2,(I103-H103),IF('Pricing Inputs'!$AN$3=2,IF((I103-$H103)&gt;0,I103-$H103,0),(_xll.xSPRDOPT(I103,$E103,$BU103,0,$BP103,$BS103,$BT103,($A103-Inputs!$D$1)+15,1,0)))))</f>
        <v>1.3780770713121377</v>
      </c>
      <c r="Q103" s="320">
        <f ca="1">IF($A103="N/A"," ",IF('Pricing Inputs'!$AN$8=2,(J103-$H103),IF('Pricing Inputs'!$AN$3=2,IF((J103-$H103)&gt;0,J103-$H103,0),(_xll.xSPRDOPT(J103,$E103,$BU103,0,$BP103,$BS103,$BT103,($A103-Inputs!$D$1)+15,1,0)))))</f>
        <v>3.5816206792510328</v>
      </c>
      <c r="R103" s="320">
        <f ca="1">IF($A103="N/A"," ",IF('Pricing Inputs'!$AN$8=2,(K103-$H103),IF('Pricing Inputs'!$AN$3=2,IF((K103-$H103)&gt;0,K103-$H103,0),(_xll.xSPRDOPT(K103,$E103,$BU103,0,$BP103,$BS103,$BT103,($A103-Inputs!$D$1)+15,1,0)))))</f>
        <v>5.2870932347562863E-2</v>
      </c>
      <c r="S103" s="320">
        <f ca="1">IF($A103="N/A"," ",IF('Pricing Inputs'!$AN$8=2,(L103-$H103),IF('Pricing Inputs'!$AN$3=2,IF((L103-$H103)&gt;0,L103-$H103,0),(_xll.xSPRDOPT(L103,$E103,$BU103,0,$BP103,$BS103,$BT103,($A103-Inputs!$D$1)+15,1,0)))))</f>
        <v>0.26398945474909974</v>
      </c>
      <c r="T103" s="320">
        <f ca="1">IF($A103="N/A"," ",IF('Pricing Inputs'!$AN$8=2,(M103-$H103),IF('Pricing Inputs'!$AN$3=2,IF((M103-$H103)&gt;0,M103-$H103,0),(_xll.xSPRDOPT(M103,$E103,$BU103,0,$BP103,$BS103,$BT103,($A103-Inputs!$D$1)+15,1,0)))))</f>
        <v>2.6038670176720662E-2</v>
      </c>
      <c r="U103" s="320">
        <f ca="1">IF($A103="N/A"," ",IF('Pricing Inputs'!$AN$8=2,(N103-$H103),IF('Pricing Inputs'!$AN$3=2,IF((N103-$H103)&gt;0,N103-$H103,0),(_xll.xSPRDOPT(N103,$E103,$BU103,0,$BP103,$BS103,$BT103,($A103-Inputs!$D$1)+15,1,0)))))</f>
        <v>0.1471753512710153</v>
      </c>
      <c r="V103" s="259">
        <f ca="1">IF($A103="N/A"," ",(IF('Pricing Inputs'!$AN$8=2,(O103-$H103),IF((O103-$H103)&lt;=0,0,(O103-$H103)))))</f>
        <v>0</v>
      </c>
      <c r="W103" s="306">
        <f ca="1">IF($A103="N/A"," ",IF(0&lt;&gt;P103,IF('Pricing Inputs'!$AN$3=2,8*VLOOKUP($A103,NumberofDaysTable,2),(_xll.xSPRDOPT(I103,$E103,$BU103,0,$BP103,$BS103,$BT103,$A103-Inputs!$D$1,1,1))*(8*VLOOKUP($A103,NumberofDaysTable,2))),0))</f>
        <v>58.471952727522513</v>
      </c>
      <c r="X103" s="306">
        <f ca="1">IF($A103="N/A"," ",IF(Q103&lt;&gt;0,IF('Pricing Inputs'!$AN$3=2,8*VLOOKUP($A103,NumberofDaysTable,2),(_xll.xSPRDOPT(J103,$E103,$BU103,0,$BP103,$BS103,$BT103,$A103-Inputs!$D$1,1,1))*(8*VLOOKUP($A103,NumberofDaysTable,2))),0))</f>
        <v>101.66873954762806</v>
      </c>
      <c r="Y103" s="306">
        <f ca="1">IF($A103="N/A"," ",IF(R103&lt;&gt;0,IF('Pricing Inputs'!$AN$3=2,8*VLOOKUP($A103,NumberofDaysTable,3),(_xll.xSPRDOPT(K103,$E103,$BU103,0,$BP103,$BS103,$BT103,$A103-Inputs!$D$1,1,1))*(8*VLOOKUP($A103,NumberofDaysTable,3))),0))</f>
        <v>0.93681056446437805</v>
      </c>
      <c r="Z103" s="306">
        <f ca="1">IF($A103="N/A"," ",IF(S103&lt;&gt;0,IF('Pricing Inputs'!$AN$3=2,8*VLOOKUP($A103,NumberofDaysTable,3),(_xll.xSPRDOPT(L103,$E103,$BU103,0,$BP103,$BS103,$BT103,$A103-Inputs!$D$1,1,1))*(8*VLOOKUP($A103,NumberofDaysTable,3))),0))</f>
        <v>3.3216904252558366</v>
      </c>
      <c r="AA103" s="306">
        <f ca="1">IF($A103="N/A"," ",IF(T103&lt;&gt;0,IF('Pricing Inputs'!$AN$3=2,8*VLOOKUP($A103,NumberofDaysTable,4),(_xll.xSPRDOPT(M103,$E103,$BU103,0,$BP103,$BS103,$BT103,$A103-Inputs!$D$1,1,1))*(8*VLOOKUP($A103,NumberofDaysTable,4))),0))</f>
        <v>0.523118671079013</v>
      </c>
      <c r="AB103" s="306">
        <f ca="1">IF($A103="N/A"," ",IF(U103&lt;&gt;0,IF('Pricing Inputs'!$AN$3=2,8*VLOOKUP($A103,NumberofDaysTable,4),(_xll.xSPRDOPT(N103,$E103,$BU103,0,$BP103,$BS103,$BT103,$A103-Inputs!$D$1,1,1))*(8*VLOOKUP($A103,NumberofDaysTable,4))),0))</f>
        <v>2.1204536158196579</v>
      </c>
      <c r="AC103" s="306">
        <f t="shared" ca="1" si="132"/>
        <v>0</v>
      </c>
      <c r="AD103" s="274">
        <f t="shared" ca="1" si="190"/>
        <v>26</v>
      </c>
      <c r="AE103" s="275">
        <f t="shared" ca="1" si="191"/>
        <v>18</v>
      </c>
      <c r="AF103" s="275">
        <f t="shared" ca="1" si="192"/>
        <v>59</v>
      </c>
      <c r="AG103" s="275">
        <f t="shared" ca="1" si="193"/>
        <v>43</v>
      </c>
      <c r="AH103" s="275">
        <f t="shared" ca="1" si="194"/>
        <v>64</v>
      </c>
      <c r="AI103" s="275">
        <f t="shared" ca="1" si="195"/>
        <v>53</v>
      </c>
      <c r="AJ103" s="276">
        <f t="shared" ca="1" si="196"/>
        <v>73</v>
      </c>
      <c r="AK103" s="314">
        <f t="shared" ca="1" si="158"/>
        <v>58.471952727522513</v>
      </c>
      <c r="AL103" s="315">
        <f t="shared" ca="1" si="159"/>
        <v>101.66873954762806</v>
      </c>
      <c r="AM103" s="315">
        <f t="shared" ca="1" si="160"/>
        <v>0.93681056446437805</v>
      </c>
      <c r="AN103" s="315">
        <f t="shared" ca="1" si="161"/>
        <v>3.3216904252558366</v>
      </c>
      <c r="AO103" s="315">
        <f t="shared" ca="1" si="162"/>
        <v>0.523118671079013</v>
      </c>
      <c r="AP103" s="315">
        <f t="shared" ca="1" si="163"/>
        <v>2.1204536158196579</v>
      </c>
      <c r="AQ103" s="315">
        <f t="shared" ca="1" si="164"/>
        <v>0</v>
      </c>
      <c r="AR103" s="276"/>
      <c r="AS103" s="321">
        <f t="shared" ca="1" si="183"/>
        <v>0</v>
      </c>
      <c r="AT103" s="324">
        <f t="shared" ca="1" si="184"/>
        <v>0</v>
      </c>
      <c r="AU103" s="324">
        <f t="shared" ca="1" si="185"/>
        <v>0</v>
      </c>
      <c r="AV103" s="324">
        <f t="shared" ca="1" si="186"/>
        <v>0</v>
      </c>
      <c r="AW103" s="324">
        <f t="shared" ca="1" si="187"/>
        <v>0</v>
      </c>
      <c r="AX103" s="324">
        <f t="shared" ca="1" si="188"/>
        <v>0</v>
      </c>
      <c r="AY103" s="324">
        <f t="shared" ca="1" si="189"/>
        <v>0</v>
      </c>
      <c r="AZ103" s="276"/>
      <c r="BA103" s="267">
        <f ca="1">IF($A103="N/A"," ",(IF(MONTH(A103)&gt;=4,IF(MONTH(A103)&lt;=10,Inputs!$F$13,Inputs!$F$14),Inputs!$F$14))*$BW103)</f>
        <v>180</v>
      </c>
      <c r="BB103" s="268">
        <f t="shared" ca="1" si="165"/>
        <v>43657.481619168524</v>
      </c>
      <c r="BC103" s="268">
        <f t="shared" ca="1" si="166"/>
        <v>113465.74311867272</v>
      </c>
      <c r="BD103" s="268">
        <f t="shared" ca="1" si="133"/>
        <v>304.53657032196207</v>
      </c>
      <c r="BE103" s="268">
        <f t="shared" ca="1" si="134"/>
        <v>1520.5792593548144</v>
      </c>
      <c r="BF103" s="268">
        <f t="shared" ca="1" si="135"/>
        <v>149.98274021791102</v>
      </c>
      <c r="BG103" s="268">
        <f t="shared" ca="1" si="136"/>
        <v>847.73002332104818</v>
      </c>
      <c r="BH103" s="268">
        <f t="shared" ca="1" si="157"/>
        <v>0</v>
      </c>
      <c r="BI103" s="268">
        <f t="shared" ca="1" si="137"/>
        <v>159946.05333105699</v>
      </c>
      <c r="BJ103" s="296">
        <f t="shared" ca="1" si="138"/>
        <v>1000162.5388419239</v>
      </c>
      <c r="BK103" s="296">
        <f t="shared" ca="1" si="139"/>
        <v>940027.14324328699</v>
      </c>
      <c r="BL103" s="296">
        <f t="shared" ca="1" si="140"/>
        <v>60135.395598636998</v>
      </c>
      <c r="BM103" s="296">
        <f t="shared" ca="1" si="141"/>
        <v>0</v>
      </c>
      <c r="BN103" s="405">
        <f>IF(A103="N/A"," ",(VLOOKUP(A103,PowerVolTable,(IF('Pricing Inputs'!$AT$3=2,7,IF('Pricing Inputs'!$AT$3=1,6,8))),FALSE)))</f>
        <v>0.15792723366836126</v>
      </c>
      <c r="BO103" s="405">
        <f>IF(A103="N/A"," ",(VLOOKUP(A103,IntraPowerVol,(IF('Pricing Inputs'!$AT$3=2,3,IF('Pricing Inputs'!$AT$3=1,2,4))),FALSE)*VLOOKUP(MONTH($A103),Inputs!$A$28:$B$39,2)))</f>
        <v>1.2649999999999999</v>
      </c>
      <c r="BP103" s="406">
        <f t="shared" ca="1" si="126"/>
        <v>0.17895569404860134</v>
      </c>
      <c r="BQ103" s="405">
        <f ca="1">IF($A103="N/A"," ",(VLOOKUP($A103,GasVolTable,(IF('Pricing Inputs'!$AT$3=2,6,IF('Pricing Inputs'!$AT$3=1,7,5))),FALSE)))</f>
        <v>0.1575</v>
      </c>
      <c r="BR103" s="405">
        <f ca="1">IF($A103="N/A"," ",(VLOOKUP($A103,OmicronVol,(IF('Pricing Inputs'!$AT$3=2,3,IF('Pricing Inputs'!$AT$3=1,4,2))),FALSE)))</f>
        <v>0.45</v>
      </c>
      <c r="BS103" s="406">
        <f ca="1">IF($A103="N/A"," ",IF('Pricing Inputs'!$AN$3=1,(IF(DateToday&gt;$A103,$BR103,((($BQ103^2)*((($A103-1)-DateToday)/((EOMONTH($A103,0)+1)-DateToday-15)))+((($BR103)^2)*((15)/((EOMONTH($A103,0)+1)-DateToday-15))))^0.5)),0.0001))</f>
        <v>0.15999608432333437</v>
      </c>
      <c r="BT103" s="405">
        <f>IF($A103="N/A"," ",IF('Pricing Inputs'!$AN$3=1,(VLOOKUP($A103,CorrelationTable,2,FALSE)),0))</f>
        <v>0.9</v>
      </c>
      <c r="BU103" s="407">
        <f ca="1">IF($A103="N/A"," ",F103+G103+(D103*(VLOOKUP($A103,'Gas Curves'!$B$17:$P$310,14,FALSE))))</f>
        <v>2.6825000000000001</v>
      </c>
      <c r="BV103" s="405">
        <f>IF($A103="N/A"," ",IF('Pricing Inputs'!$AW$3=1,0,(VLOOKUP($A103,InterestRatesTable,2))))</f>
        <v>0</v>
      </c>
      <c r="BW103" s="408">
        <f t="shared" ca="1" si="127"/>
        <v>1</v>
      </c>
    </row>
    <row r="104" spans="1:75">
      <c r="A104" s="248">
        <f>IF(A103="N/A","N/A",IF(EDATE(A103,1)&gt;Inputs!$K$3,"N/A",EDATE(A103,1)))</f>
        <v>39934</v>
      </c>
      <c r="B104" s="262">
        <f t="shared" si="128"/>
        <v>2009</v>
      </c>
      <c r="C104" s="249">
        <f t="shared" ca="1" si="129"/>
        <v>2.9514920309999999</v>
      </c>
      <c r="D104" s="250">
        <f>IF(A104="N/A"," ",(VLOOKUP(MONTH($A104),Inputs!$A$14:$B$25,2))/1000)</f>
        <v>10.5</v>
      </c>
      <c r="E104" s="304">
        <f t="shared" ca="1" si="130"/>
        <v>30.990666325499998</v>
      </c>
      <c r="F104" s="251">
        <f>IF(A104="N/A"," ",Inputs!$F$6)</f>
        <v>2</v>
      </c>
      <c r="G104" s="251">
        <f ca="1">IF(A104="N/A"," ",Inputs!$F$9/IF(AND('Pricing Inputs'!$AQ$3&gt;=4,'Pricing Inputs'!$AQ$3&lt;=6),16,IF(AND('Pricing Inputs'!$AQ$3&gt;=7,'Pricing Inputs'!$AQ$3&lt;=9),8,24))/(BA104/BW104))</f>
        <v>0</v>
      </c>
      <c r="H104" s="252">
        <f t="shared" ca="1" si="131"/>
        <v>32.990666325500001</v>
      </c>
      <c r="I104" s="255">
        <f>VLOOKUP(A104,ScaledPrice,(IF(AND('Pricing Inputs'!$AQ$3&gt;=1,'Pricing Inputs'!$AQ$3&lt;=6),2,4)))</f>
        <v>33.205939024514947</v>
      </c>
      <c r="J104" s="255">
        <f>IF(A104="N/A"," ",IF(AND('Pricing Inputs'!$AQ$3&gt;=1,'Pricing Inputs'!$AQ$3&lt;=6),I104,(VLOOKUP(A104,ScaledPrice,2))*(2-(VLOOKUP(A104,ScaledPrice,3)))))</f>
        <v>35.09406097548505</v>
      </c>
      <c r="K104" s="255">
        <f>IF(A104="N/A"," ",IF(OR('Pricing Inputs'!$AQ$3=2,'Pricing Inputs'!$AQ$3=3,'Pricing Inputs'!$AQ$3=5,'Pricing Inputs'!$AQ$3=6,'Pricing Inputs'!$AQ$3=8,'Pricing Inputs'!$AQ$3=9),VLOOKUP(A104,ScaledPrice,IF(AND('Pricing Inputs'!$AQ$3&gt;=2,'Pricing Inputs'!$AQ$3&lt;=6),5,6)),0))</f>
        <v>22.201306158437756</v>
      </c>
      <c r="L104" s="255">
        <f>IF(A104="N/A"," ",IF(OR('Pricing Inputs'!$AQ$3=2,'Pricing Inputs'!$AQ$3=3,'Pricing Inputs'!$AQ$3=5,'Pricing Inputs'!$AQ$3=6,'Pricing Inputs'!$AQ$3=8,'Pricing Inputs'!$AQ$3=9),IF(AND('Pricing Inputs'!$AQ$3&gt;=2,'Pricing Inputs'!$AQ$3&lt;=6),K104,(VLOOKUP(A104,ScaledPrice,5))*(2-(VLOOKUP(A104,ScaledPrice,3)))),0))</f>
        <v>23.463693994150123</v>
      </c>
      <c r="M104" s="255">
        <f>IF(A104="N/A"," ",IF(OR('Pricing Inputs'!$AQ$3=3,'Pricing Inputs'!$AQ$3=6,'Pricing Inputs'!$AQ$3=9),(VLOOKUP(A104,ScaledPrice,IF(AND('Pricing Inputs'!$AQ$3&gt;=3,'Pricing Inputs'!$AQ$3&lt;=6),7,8))),0))</f>
        <v>21.357787498484168</v>
      </c>
      <c r="N104" s="255">
        <f>IF(A104="N/A"," ",IF(OR('Pricing Inputs'!$AQ$3=3,'Pricing Inputs'!$AQ$3=6,'Pricing Inputs'!$AQ$3=9),IF(AND('Pricing Inputs'!$AQ$3&gt;=3,'Pricing Inputs'!$AQ$3&lt;=6),M104,(VLOOKUP(A104,ScaledPrice,7))*(2-(VLOOKUP(A104,ScaledPrice,3)))),0))</f>
        <v>22.572212043752149</v>
      </c>
      <c r="O104" s="255">
        <f>IF(A104="N/A"," ",IF(AND('Pricing Inputs'!$AQ$3&gt;=1,'Pricing Inputs'!$AQ$3&lt;=3),VLOOKUP(A104,ScaledPrice,9),0))</f>
        <v>0</v>
      </c>
      <c r="P104" s="320">
        <f ca="1">IF($A104="N/A"," ",IF('Pricing Inputs'!$AN$8=2,(I104-H104),IF('Pricing Inputs'!$AN$3=2,IF((I104-$H104)&gt;0,I104-$H104,0),(_xll.xSPRDOPT(I104,$E104,$BU104,0,$BP104,$BS104,$BT104,($A104-Inputs!$D$1)+15,1,0)))))</f>
        <v>3.5209580905796778</v>
      </c>
      <c r="Q104" s="320">
        <f ca="1">IF($A104="N/A"," ",IF('Pricing Inputs'!$AN$8=2,(J104-$H104),IF('Pricing Inputs'!$AN$3=2,IF((J104-$H104)&gt;0,J104-$H104,0),(_xll.xSPRDOPT(J104,$E104,$BU104,0,$BP104,$BS104,$BT104,($A104-Inputs!$D$1)+15,1,0)))))</f>
        <v>4.6101863540921659</v>
      </c>
      <c r="R104" s="320">
        <f ca="1">IF($A104="N/A"," ",IF('Pricing Inputs'!$AN$8=2,(K104-$H104),IF('Pricing Inputs'!$AN$3=2,IF((K104-$H104)&gt;0,K104-$H104,0),(_xll.xSPRDOPT(K104,$E104,$BU104,0,$BP104,$BS104,$BT104,($A104-Inputs!$D$1)+15,1,0)))))</f>
        <v>0.23168455374430624</v>
      </c>
      <c r="S104" s="320">
        <f ca="1">IF($A104="N/A"," ",IF('Pricing Inputs'!$AN$8=2,(L104-$H104),IF('Pricing Inputs'!$AN$3=2,IF((L104-$H104)&gt;0,L104-$H104,0),(_xll.xSPRDOPT(L104,$E104,$BU104,0,$BP104,$BS104,$BT104,($A104-Inputs!$D$1)+15,1,0)))))</f>
        <v>0.36766834485552158</v>
      </c>
      <c r="T104" s="320">
        <f ca="1">IF($A104="N/A"," ",IF('Pricing Inputs'!$AN$8=2,(M104-$H104),IF('Pricing Inputs'!$AN$3=2,IF((M104-$H104)&gt;0,M104-$H104,0),(_xll.xSPRDOPT(M104,$E104,$BU104,0,$BP104,$BS104,$BT104,($A104-Inputs!$D$1)+15,1,0)))))</f>
        <v>0.16462508726711494</v>
      </c>
      <c r="U104" s="320">
        <f ca="1">IF($A104="N/A"," ",IF('Pricing Inputs'!$AN$8=2,(N104-$H104),IF('Pricing Inputs'!$AN$3=2,IF((N104-$H104)&gt;0,N104-$H104,0),(_xll.xSPRDOPT(N104,$E104,$BU104,0,$BP104,$BS104,$BT104,($A104-Inputs!$D$1)+15,1,0)))))</f>
        <v>0.26691145526537008</v>
      </c>
      <c r="V104" s="259">
        <f ca="1">IF($A104="N/A"," ",(IF('Pricing Inputs'!$AN$8=2,(O104-$H104),IF((O104-$H104)&lt;=0,0,(O104-$H104)))))</f>
        <v>0</v>
      </c>
      <c r="W104" s="306">
        <f ca="1">IF($A104="N/A"," ",IF(0&lt;&gt;P104,IF('Pricing Inputs'!$AN$3=2,8*VLOOKUP($A104,NumberofDaysTable,2),(_xll.xSPRDOPT(I104,$E104,$BU104,0,$BP104,$BS104,$BT104,$A104-Inputs!$D$1,1,1))*(8*VLOOKUP($A104,NumberofDaysTable,2))),0))</f>
        <v>86.039641373354257</v>
      </c>
      <c r="X104" s="306">
        <f ca="1">IF($A104="N/A"," ",IF(Q104&lt;&gt;0,IF('Pricing Inputs'!$AN$3=2,8*VLOOKUP($A104,NumberofDaysTable,2),(_xll.xSPRDOPT(J104,$E104,$BU104,0,$BP104,$BS104,$BT104,$A104-Inputs!$D$1,1,1))*(8*VLOOKUP($A104,NumberofDaysTable,2))),0))</f>
        <v>98.342368051859793</v>
      </c>
      <c r="Y104" s="306">
        <f ca="1">IF($A104="N/A"," ",IF(R104&lt;&gt;0,IF('Pricing Inputs'!$AN$3=2,8*VLOOKUP($A104,NumberofDaysTable,3),(_xll.xSPRDOPT(K104,$E104,$BU104,0,$BP104,$BS104,$BT104,$A104-Inputs!$D$1,1,1))*(8*VLOOKUP($A104,NumberofDaysTable,3))),0))</f>
        <v>3.5770418154130179</v>
      </c>
      <c r="Z104" s="306">
        <f ca="1">IF($A104="N/A"," ",IF(S104&lt;&gt;0,IF('Pricing Inputs'!$AN$3=2,8*VLOOKUP($A104,NumberofDaysTable,3),(_xll.xSPRDOPT(L104,$E104,$BU104,0,$BP104,$BS104,$BT104,$A104-Inputs!$D$1,1,1))*(8*VLOOKUP($A104,NumberofDaysTable,3))),0))</f>
        <v>5.0364849307176094</v>
      </c>
      <c r="AA104" s="306">
        <f ca="1">IF($A104="N/A"," ",IF(T104&lt;&gt;0,IF('Pricing Inputs'!$AN$3=2,8*VLOOKUP($A104,NumberofDaysTable,4),(_xll.xSPRDOPT(M104,$E104,$BU104,0,$BP104,$BS104,$BT104,$A104-Inputs!$D$1,1,1))*(8*VLOOKUP($A104,NumberofDaysTable,4))),0))</f>
        <v>2.759631462641472</v>
      </c>
      <c r="AB104" s="306">
        <f ca="1">IF($A104="N/A"," ",IF(U104&lt;&gt;0,IF('Pricing Inputs'!$AN$3=2,8*VLOOKUP($A104,NumberofDaysTable,4),(_xll.xSPRDOPT(N104,$E104,$BU104,0,$BP104,$BS104,$BT104,$A104-Inputs!$D$1,1,1))*(8*VLOOKUP($A104,NumberofDaysTable,4))),0))</f>
        <v>3.9769097875156021</v>
      </c>
      <c r="AC104" s="306">
        <f t="shared" ca="1" si="132"/>
        <v>0</v>
      </c>
      <c r="AD104" s="274">
        <f t="shared" ca="1" si="190"/>
        <v>19</v>
      </c>
      <c r="AE104" s="275">
        <f t="shared" ca="1" si="191"/>
        <v>16</v>
      </c>
      <c r="AF104" s="275">
        <f t="shared" ca="1" si="192"/>
        <v>46</v>
      </c>
      <c r="AG104" s="275">
        <f t="shared" ca="1" si="193"/>
        <v>37</v>
      </c>
      <c r="AH104" s="275">
        <f t="shared" ca="1" si="194"/>
        <v>51</v>
      </c>
      <c r="AI104" s="275">
        <f t="shared" ca="1" si="195"/>
        <v>42</v>
      </c>
      <c r="AJ104" s="276">
        <f t="shared" ca="1" si="196"/>
        <v>73</v>
      </c>
      <c r="AK104" s="314">
        <f t="shared" ca="1" si="158"/>
        <v>86.039641373354257</v>
      </c>
      <c r="AL104" s="315">
        <f t="shared" ca="1" si="159"/>
        <v>98.342368051859793</v>
      </c>
      <c r="AM104" s="315">
        <f t="shared" ca="1" si="160"/>
        <v>3.5770418154130179</v>
      </c>
      <c r="AN104" s="315">
        <f t="shared" ca="1" si="161"/>
        <v>5.0364849307176094</v>
      </c>
      <c r="AO104" s="315">
        <f t="shared" ca="1" si="162"/>
        <v>2.759631462641472</v>
      </c>
      <c r="AP104" s="315">
        <f t="shared" ca="1" si="163"/>
        <v>3.9769097875156021</v>
      </c>
      <c r="AQ104" s="315">
        <f t="shared" ca="1" si="164"/>
        <v>0</v>
      </c>
      <c r="AR104" s="276"/>
      <c r="AS104" s="321">
        <f t="shared" ca="1" si="183"/>
        <v>0</v>
      </c>
      <c r="AT104" s="324">
        <f t="shared" ca="1" si="184"/>
        <v>0</v>
      </c>
      <c r="AU104" s="324">
        <f t="shared" ca="1" si="185"/>
        <v>0</v>
      </c>
      <c r="AV104" s="324">
        <f t="shared" ca="1" si="186"/>
        <v>0</v>
      </c>
      <c r="AW104" s="324">
        <f t="shared" ca="1" si="187"/>
        <v>0</v>
      </c>
      <c r="AX104" s="324">
        <f t="shared" ca="1" si="188"/>
        <v>0</v>
      </c>
      <c r="AY104" s="324">
        <f t="shared" ca="1" si="189"/>
        <v>0</v>
      </c>
      <c r="AZ104" s="276"/>
      <c r="BA104" s="267">
        <f ca="1">IF($A104="N/A"," ",(IF(MONTH(A104)&gt;=4,IF(MONTH(A104)&lt;=10,Inputs!$F$13,Inputs!$F$14),Inputs!$F$14))*$BW104)</f>
        <v>180</v>
      </c>
      <c r="BB104" s="268">
        <f t="shared" ca="1" si="165"/>
        <v>101403.59300869472</v>
      </c>
      <c r="BC104" s="268">
        <f t="shared" ca="1" si="166"/>
        <v>132773.36699785438</v>
      </c>
      <c r="BD104" s="268">
        <f t="shared" ca="1" si="133"/>
        <v>1668.1287869590049</v>
      </c>
      <c r="BE104" s="268">
        <f t="shared" ca="1" si="134"/>
        <v>2647.2120829597552</v>
      </c>
      <c r="BF104" s="268">
        <f t="shared" ca="1" si="135"/>
        <v>1422.3607539878731</v>
      </c>
      <c r="BG104" s="268">
        <f t="shared" ca="1" si="136"/>
        <v>2306.1149734927976</v>
      </c>
      <c r="BH104" s="268">
        <f t="shared" ca="1" si="157"/>
        <v>0</v>
      </c>
      <c r="BI104" s="268">
        <f t="shared" ca="1" si="137"/>
        <v>242220.77660394853</v>
      </c>
      <c r="BJ104" s="296">
        <f t="shared" ca="1" si="138"/>
        <v>1186072.9777281056</v>
      </c>
      <c r="BK104" s="296">
        <f t="shared" ca="1" si="139"/>
        <v>1114169.4298563648</v>
      </c>
      <c r="BL104" s="296">
        <f t="shared" ca="1" si="140"/>
        <v>71903.547871740637</v>
      </c>
      <c r="BM104" s="296">
        <f t="shared" ca="1" si="141"/>
        <v>0</v>
      </c>
      <c r="BN104" s="405">
        <f>IF(A104="N/A"," ",(VLOOKUP(A104,PowerVolTable,(IF('Pricing Inputs'!$AT$3=2,7,IF('Pricing Inputs'!$AT$3=1,6,8))),FALSE)))</f>
        <v>0.18181036919476751</v>
      </c>
      <c r="BO104" s="405">
        <f>IF(A104="N/A"," ",(VLOOKUP(A104,IntraPowerVol,(IF('Pricing Inputs'!$AT$3=2,3,IF('Pricing Inputs'!$AT$3=1,2,4))),FALSE)*VLOOKUP(MONTH($A104),Inputs!$A$28:$B$39,2)))</f>
        <v>1.2649999999999999</v>
      </c>
      <c r="BP104" s="406">
        <f t="shared" ca="1" si="126"/>
        <v>0.20006350435464434</v>
      </c>
      <c r="BQ104" s="405">
        <f ca="1">IF($A104="N/A"," ",(VLOOKUP($A104,GasVolTable,(IF('Pricing Inputs'!$AT$3=2,6,IF('Pricing Inputs'!$AT$3=1,7,5))),FALSE)))</f>
        <v>0.1575</v>
      </c>
      <c r="BR104" s="405">
        <f ca="1">IF($A104="N/A"," ",(VLOOKUP($A104,OmicronVol,(IF('Pricing Inputs'!$AT$3=2,3,IF('Pricing Inputs'!$AT$3=1,4,2))),FALSE)))</f>
        <v>0.5</v>
      </c>
      <c r="BS104" s="406">
        <f ca="1">IF($A104="N/A"," ",IF('Pricing Inputs'!$AN$3=1,(IF(DateToday&gt;$A104,$BR104,((($BQ104^2)*((($A104-1)-DateToday)/((EOMONTH($A104,0)+1)-DateToday-15)))+((($BR104)^2)*((15)/((EOMONTH($A104,0)+1)-DateToday-15))))^0.5)),0.0001))</f>
        <v>0.16061111410247481</v>
      </c>
      <c r="BT104" s="405">
        <f>IF($A104="N/A"," ",IF('Pricing Inputs'!$AN$3=1,(VLOOKUP($A104,CorrelationTable,2,FALSE)),0))</f>
        <v>0.9</v>
      </c>
      <c r="BU104" s="407">
        <f ca="1">IF($A104="N/A"," ",F104+G104+(D104*(VLOOKUP($A104,'Gas Curves'!$B$17:$P$310,14,FALSE))))</f>
        <v>2.6825000000000001</v>
      </c>
      <c r="BV104" s="405">
        <f>IF($A104="N/A"," ",IF('Pricing Inputs'!$AW$3=1,0,(VLOOKUP($A104,InterestRatesTable,2))))</f>
        <v>0</v>
      </c>
      <c r="BW104" s="408">
        <f t="shared" ca="1" si="127"/>
        <v>1</v>
      </c>
    </row>
    <row r="105" spans="1:75">
      <c r="A105" s="248">
        <f>IF(A104="N/A","N/A",IF(EDATE(A104,1)&gt;Inputs!$K$3,"N/A",EDATE(A104,1)))</f>
        <v>39965</v>
      </c>
      <c r="B105" s="262">
        <f t="shared" si="128"/>
        <v>2009</v>
      </c>
      <c r="C105" s="249">
        <f t="shared" ca="1" si="129"/>
        <v>2.9574920309999997</v>
      </c>
      <c r="D105" s="250">
        <f>IF(A105="N/A"," ",(VLOOKUP(MONTH($A105),Inputs!$A$14:$B$25,2))/1000)</f>
        <v>10.5</v>
      </c>
      <c r="E105" s="304">
        <f t="shared" ca="1" si="130"/>
        <v>31.053666325499997</v>
      </c>
      <c r="F105" s="251">
        <f>IF(A105="N/A"," ",Inputs!$F$6)</f>
        <v>2</v>
      </c>
      <c r="G105" s="251">
        <f ca="1">IF(A105="N/A"," ",Inputs!$F$9/IF(AND('Pricing Inputs'!$AQ$3&gt;=4,'Pricing Inputs'!$AQ$3&lt;=6),16,IF(AND('Pricing Inputs'!$AQ$3&gt;=7,'Pricing Inputs'!$AQ$3&lt;=9),8,24))/(BA105/BW105))</f>
        <v>0</v>
      </c>
      <c r="H105" s="252">
        <f t="shared" ca="1" si="131"/>
        <v>33.053666325499997</v>
      </c>
      <c r="I105" s="255">
        <f>VLOOKUP(A105,ScaledPrice,(IF(AND('Pricing Inputs'!$AQ$3&gt;=1,'Pricing Inputs'!$AQ$3&lt;=6),2,4)))</f>
        <v>58.440003355282464</v>
      </c>
      <c r="J105" s="255">
        <f>IF(A105="N/A"," ",IF(AND('Pricing Inputs'!$AQ$3&gt;=1,'Pricing Inputs'!$AQ$3&lt;=6),I105,(VLOOKUP(A105,ScaledPrice,2))*(2-(VLOOKUP(A105,ScaledPrice,3)))))</f>
        <v>44.059996644717536</v>
      </c>
      <c r="K105" s="255">
        <f>IF(A105="N/A"," ",IF(OR('Pricing Inputs'!$AQ$3=2,'Pricing Inputs'!$AQ$3=3,'Pricing Inputs'!$AQ$3=5,'Pricing Inputs'!$AQ$3=6,'Pricing Inputs'!$AQ$3=8,'Pricing Inputs'!$AQ$3=9),VLOOKUP(A105,ScaledPrice,IF(AND('Pricing Inputs'!$AQ$3&gt;=2,'Pricing Inputs'!$AQ$3&lt;=6),5,6)),0))</f>
        <v>31.082955129327658</v>
      </c>
      <c r="L105" s="255">
        <f>IF(A105="N/A"," ",IF(OR('Pricing Inputs'!$AQ$3=2,'Pricing Inputs'!$AQ$3=3,'Pricing Inputs'!$AQ$3=5,'Pricing Inputs'!$AQ$3=6,'Pricing Inputs'!$AQ$3=8,'Pricing Inputs'!$AQ$3=9),IF(AND('Pricing Inputs'!$AQ$3&gt;=2,'Pricing Inputs'!$AQ$3&lt;=6),K105,(VLOOKUP(A105,ScaledPrice,5))*(2-(VLOOKUP(A105,ScaledPrice,3)))),0))</f>
        <v>23.434545175848115</v>
      </c>
      <c r="M105" s="255">
        <f>IF(A105="N/A"," ",IF(OR('Pricing Inputs'!$AQ$3=3,'Pricing Inputs'!$AQ$3=6,'Pricing Inputs'!$AQ$3=9),(VLOOKUP(A105,ScaledPrice,IF(AND('Pricing Inputs'!$AQ$3&gt;=3,'Pricing Inputs'!$AQ$3&lt;=6),7,8))),0))</f>
        <v>23.652521811614356</v>
      </c>
      <c r="N105" s="255">
        <f>IF(A105="N/A"," ",IF(OR('Pricing Inputs'!$AQ$3=3,'Pricing Inputs'!$AQ$3=6,'Pricing Inputs'!$AQ$3=9),IF(AND('Pricing Inputs'!$AQ$3&gt;=3,'Pricing Inputs'!$AQ$3&lt;=6),M105,(VLOOKUP(A105,ScaledPrice,7))*(2-(VLOOKUP(A105,ScaledPrice,3)))),0))</f>
        <v>17.832477272858291</v>
      </c>
      <c r="O105" s="255">
        <f>IF(A105="N/A"," ",IF(AND('Pricing Inputs'!$AQ$3&gt;=1,'Pricing Inputs'!$AQ$3&lt;=3),VLOOKUP(A105,ScaledPrice,9),0))</f>
        <v>0</v>
      </c>
      <c r="P105" s="320">
        <f ca="1">IF($A105="N/A"," ",IF('Pricing Inputs'!$AN$8=2,(I105-H105),IF('Pricing Inputs'!$AN$3=2,IF((I105-$H105)&gt;0,I105-$H105,0),(_xll.xSPRDOPT(I105,$E105,$BU105,0,$BP105,$BS105,$BT105,($A105-Inputs!$D$1)+15,1,0)))))</f>
        <v>25.979134181570799</v>
      </c>
      <c r="Q105" s="320">
        <f ca="1">IF($A105="N/A"," ",IF('Pricing Inputs'!$AN$8=2,(J105-$H105),IF('Pricing Inputs'!$AN$3=2,IF((J105-$H105)&gt;0,J105-$H105,0),(_xll.xSPRDOPT(J105,$E105,$BU105,0,$BP105,$BS105,$BT105,($A105-Inputs!$D$1)+15,1,0)))))</f>
        <v>13.538989251604271</v>
      </c>
      <c r="R105" s="320">
        <f ca="1">IF($A105="N/A"," ",IF('Pricing Inputs'!$AN$8=2,(K105-$H105),IF('Pricing Inputs'!$AN$3=2,IF((K105-$H105)&gt;0,K105-$H105,0),(_xll.xSPRDOPT(K105,$E105,$BU105,0,$BP105,$BS105,$BT105,($A105-Inputs!$D$1)+15,1,0)))))</f>
        <v>4.7946839939819981</v>
      </c>
      <c r="S105" s="320">
        <f ca="1">IF($A105="N/A"," ",IF('Pricing Inputs'!$AN$8=2,(L105-$H105),IF('Pricing Inputs'!$AN$3=2,IF((L105-$H105)&gt;0,L105-$H105,0),(_xll.xSPRDOPT(L105,$E105,$BU105,0,$BP105,$BS105,$BT105,($A105-Inputs!$D$1)+15,1,0)))))</f>
        <v>1.6246633148442196</v>
      </c>
      <c r="T105" s="320">
        <f ca="1">IF($A105="N/A"," ",IF('Pricing Inputs'!$AN$8=2,(M105-$H105),IF('Pricing Inputs'!$AN$3=2,IF((M105-$H105)&gt;0,M105-$H105,0),(_xll.xSPRDOPT(M105,$E105,$BU105,0,$BP105,$BS105,$BT105,($A105-Inputs!$D$1)+15,1,0)))))</f>
        <v>1.6899112619409442</v>
      </c>
      <c r="U105" s="320">
        <f ca="1">IF($A105="N/A"," ",IF('Pricing Inputs'!$AN$8=2,(N105-$H105),IF('Pricing Inputs'!$AN$3=2,IF((N105-$H105)&gt;0,N105-$H105,0),(_xll.xSPRDOPT(N105,$E105,$BU105,0,$BP105,$BS105,$BT105,($A105-Inputs!$D$1)+15,1,0)))))</f>
        <v>0.44635433052854168</v>
      </c>
      <c r="V105" s="259">
        <f ca="1">IF($A105="N/A"," ",(IF('Pricing Inputs'!$AN$8=2,(O105-$H105),IF((O105-$H105)&lt;=0,0,(O105-$H105)))))</f>
        <v>0</v>
      </c>
      <c r="W105" s="306">
        <f ca="1">IF($A105="N/A"," ",IF(0&lt;&gt;P105,IF('Pricing Inputs'!$AN$3=2,8*VLOOKUP($A105,NumberofDaysTable,2),(_xll.xSPRDOPT(I105,$E105,$BU105,0,$BP105,$BS105,$BT105,$A105-Inputs!$D$1,1,1))*(8*VLOOKUP($A105,NumberofDaysTable,2))),0))</f>
        <v>161.88410716154462</v>
      </c>
      <c r="X105" s="306">
        <f ca="1">IF($A105="N/A"," ",IF(Q105&lt;&gt;0,IF('Pricing Inputs'!$AN$3=2,8*VLOOKUP($A105,NumberofDaysTable,2),(_xll.xSPRDOPT(J105,$E105,$BU105,0,$BP105,$BS105,$BT105,$A105-Inputs!$D$1,1,1))*(8*VLOOKUP($A105,NumberofDaysTable,2))),0))</f>
        <v>139.18746980499287</v>
      </c>
      <c r="Y105" s="306">
        <f ca="1">IF($A105="N/A"," ",IF(R105&lt;&gt;0,IF('Pricing Inputs'!$AN$3=2,8*VLOOKUP($A105,NumberofDaysTable,3),(_xll.xSPRDOPT(K105,$E105,$BU105,0,$BP105,$BS105,$BT105,$A105-Inputs!$D$1,1,1))*(8*VLOOKUP($A105,NumberofDaysTable,3))),0))</f>
        <v>16.859458092209984</v>
      </c>
      <c r="Z105" s="306">
        <f ca="1">IF($A105="N/A"," ",IF(S105&lt;&gt;0,IF('Pricing Inputs'!$AN$3=2,8*VLOOKUP($A105,NumberofDaysTable,3),(_xll.xSPRDOPT(L105,$E105,$BU105,0,$BP105,$BS105,$BT105,$A105-Inputs!$D$1,1,1))*(8*VLOOKUP($A105,NumberofDaysTable,3))),0))</f>
        <v>9.4434188814294906</v>
      </c>
      <c r="AA105" s="306">
        <f ca="1">IF($A105="N/A"," ",IF(T105&lt;&gt;0,IF('Pricing Inputs'!$AN$3=2,8*VLOOKUP($A105,NumberofDaysTable,4),(_xll.xSPRDOPT(M105,$E105,$BU105,0,$BP105,$BS105,$BT105,$A105-Inputs!$D$1,1,1))*(8*VLOOKUP($A105,NumberofDaysTable,4))),0))</f>
        <v>9.6646384638697</v>
      </c>
      <c r="AB105" s="306">
        <f ca="1">IF($A105="N/A"," ",IF(U105&lt;&gt;0,IF('Pricing Inputs'!$AN$3=2,8*VLOOKUP($A105,NumberofDaysTable,4),(_xll.xSPRDOPT(N105,$E105,$BU105,0,$BP105,$BS105,$BT105,$A105-Inputs!$D$1,1,1))*(8*VLOOKUP($A105,NumberofDaysTable,4))),0))</f>
        <v>4.1471481941907617</v>
      </c>
      <c r="AC105" s="306">
        <f t="shared" ca="1" si="132"/>
        <v>0</v>
      </c>
      <c r="AD105" s="274">
        <f t="shared" ca="1" si="190"/>
        <v>5</v>
      </c>
      <c r="AE105" s="275">
        <f t="shared" ca="1" si="191"/>
        <v>8</v>
      </c>
      <c r="AF105" s="275">
        <f t="shared" ca="1" si="192"/>
        <v>15</v>
      </c>
      <c r="AG105" s="275">
        <f t="shared" ca="1" si="193"/>
        <v>24</v>
      </c>
      <c r="AH105" s="275">
        <f t="shared" ca="1" si="194"/>
        <v>22</v>
      </c>
      <c r="AI105" s="275">
        <f t="shared" ca="1" si="195"/>
        <v>35</v>
      </c>
      <c r="AJ105" s="276">
        <f t="shared" ca="1" si="196"/>
        <v>73</v>
      </c>
      <c r="AK105" s="314">
        <f t="shared" ca="1" si="158"/>
        <v>161.88410716154462</v>
      </c>
      <c r="AL105" s="315">
        <f t="shared" ca="1" si="159"/>
        <v>139.18746980499287</v>
      </c>
      <c r="AM105" s="315">
        <f t="shared" ca="1" si="160"/>
        <v>16.859458092209984</v>
      </c>
      <c r="AN105" s="315">
        <f t="shared" ca="1" si="161"/>
        <v>9.4434188814294906</v>
      </c>
      <c r="AO105" s="315">
        <f t="shared" ca="1" si="162"/>
        <v>9.6646384638697</v>
      </c>
      <c r="AP105" s="315">
        <f t="shared" ca="1" si="163"/>
        <v>4.1471481941907617</v>
      </c>
      <c r="AQ105" s="315">
        <f t="shared" ca="1" si="164"/>
        <v>0</v>
      </c>
      <c r="AR105" s="276"/>
      <c r="AS105" s="321">
        <f t="shared" ca="1" si="183"/>
        <v>0</v>
      </c>
      <c r="AT105" s="324">
        <f t="shared" ca="1" si="184"/>
        <v>0</v>
      </c>
      <c r="AU105" s="324">
        <f t="shared" ca="1" si="185"/>
        <v>0</v>
      </c>
      <c r="AV105" s="324">
        <f t="shared" ca="1" si="186"/>
        <v>0</v>
      </c>
      <c r="AW105" s="324">
        <f t="shared" ca="1" si="187"/>
        <v>0</v>
      </c>
      <c r="AX105" s="324">
        <f t="shared" ca="1" si="188"/>
        <v>0</v>
      </c>
      <c r="AY105" s="324">
        <f t="shared" ca="1" si="189"/>
        <v>0</v>
      </c>
      <c r="AZ105" s="276"/>
      <c r="BA105" s="267">
        <f ca="1">IF($A105="N/A"," ",(IF(MONTH(A105)&gt;=4,IF(MONTH(A105)&lt;=10,Inputs!$F$13,Inputs!$F$14),Inputs!$F$14))*$BW105)</f>
        <v>180</v>
      </c>
      <c r="BB105" s="268">
        <f t="shared" ca="1" si="165"/>
        <v>823018.97087216296</v>
      </c>
      <c r="BC105" s="268">
        <f t="shared" ca="1" si="166"/>
        <v>428915.1794908233</v>
      </c>
      <c r="BD105" s="268">
        <f t="shared" ca="1" si="133"/>
        <v>27617.37980533631</v>
      </c>
      <c r="BE105" s="268">
        <f t="shared" ca="1" si="134"/>
        <v>9358.0606935027045</v>
      </c>
      <c r="BF105" s="268">
        <f t="shared" ca="1" si="135"/>
        <v>9733.888868779839</v>
      </c>
      <c r="BG105" s="268">
        <f t="shared" ca="1" si="136"/>
        <v>2571.0009438443999</v>
      </c>
      <c r="BH105" s="268">
        <f t="shared" ca="1" si="157"/>
        <v>0</v>
      </c>
      <c r="BI105" s="268">
        <f t="shared" ca="1" si="137"/>
        <v>1301214.4806744494</v>
      </c>
      <c r="BJ105" s="296">
        <f t="shared" ca="1" si="138"/>
        <v>2029942.1072854621</v>
      </c>
      <c r="BK105" s="296">
        <f t="shared" ca="1" si="139"/>
        <v>1907115.0606700967</v>
      </c>
      <c r="BL105" s="296">
        <f t="shared" ca="1" si="140"/>
        <v>122827.04661536547</v>
      </c>
      <c r="BM105" s="296">
        <f t="shared" ca="1" si="141"/>
        <v>0</v>
      </c>
      <c r="BN105" s="405">
        <f>IF(A105="N/A"," ",(VLOOKUP(A105,PowerVolTable,(IF('Pricing Inputs'!$AT$3=2,7,IF('Pricing Inputs'!$AT$3=1,6,8))),FALSE)))</f>
        <v>0.22793467468013953</v>
      </c>
      <c r="BO105" s="405">
        <f>IF(A105="N/A"," ",(VLOOKUP(A105,IntraPowerVol,(IF('Pricing Inputs'!$AT$3=2,3,IF('Pricing Inputs'!$AT$3=1,2,4))),FALSE)*VLOOKUP(MONTH($A105),Inputs!$A$28:$B$39,2)))</f>
        <v>2.2999999999999998</v>
      </c>
      <c r="BP105" s="406">
        <f t="shared" ca="1" si="126"/>
        <v>0.27403577289063519</v>
      </c>
      <c r="BQ105" s="405">
        <f ca="1">IF($A105="N/A"," ",(VLOOKUP($A105,GasVolTable,(IF('Pricing Inputs'!$AT$3=2,6,IF('Pricing Inputs'!$AT$3=1,7,5))),FALSE)))</f>
        <v>0.1575</v>
      </c>
      <c r="BR105" s="405">
        <f ca="1">IF($A105="N/A"," ",(VLOOKUP($A105,OmicronVol,(IF('Pricing Inputs'!$AT$3=2,3,IF('Pricing Inputs'!$AT$3=1,4,2))),FALSE)))</f>
        <v>0.5</v>
      </c>
      <c r="BS105" s="406">
        <f ca="1">IF($A105="N/A"," ",IF('Pricing Inputs'!$AN$3=1,(IF(DateToday&gt;$A105,$BR105,((($BQ105^2)*((($A105-1)-DateToday)/((EOMONTH($A105,0)+1)-DateToday-15)))+((($BR105)^2)*((15)/((EOMONTH($A105,0)+1)-DateToday-15))))^0.5)),0.0001))</f>
        <v>0.16060663278687168</v>
      </c>
      <c r="BT105" s="405">
        <f>IF($A105="N/A"," ",IF('Pricing Inputs'!$AN$3=1,(VLOOKUP($A105,CorrelationTable,2,FALSE)),0))</f>
        <v>0.9</v>
      </c>
      <c r="BU105" s="407">
        <f ca="1">IF($A105="N/A"," ",F105+G105+(D105*(VLOOKUP($A105,'Gas Curves'!$B$17:$P$310,14,FALSE))))</f>
        <v>2.6825000000000001</v>
      </c>
      <c r="BV105" s="405">
        <f>IF($A105="N/A"," ",IF('Pricing Inputs'!$AW$3=1,0,(VLOOKUP($A105,InterestRatesTable,2))))</f>
        <v>0</v>
      </c>
      <c r="BW105" s="408">
        <f t="shared" ca="1" si="127"/>
        <v>1</v>
      </c>
    </row>
    <row r="106" spans="1:75">
      <c r="A106" s="248">
        <f>IF(A105="N/A","N/A",IF(EDATE(A105,1)&gt;Inputs!$K$3,"N/A",EDATE(A105,1)))</f>
        <v>39995</v>
      </c>
      <c r="B106" s="262">
        <f t="shared" si="128"/>
        <v>2009</v>
      </c>
      <c r="C106" s="249">
        <f t="shared" ca="1" si="129"/>
        <v>2.9674920309999999</v>
      </c>
      <c r="D106" s="250">
        <f>IF(A106="N/A"," ",(VLOOKUP(MONTH($A106),Inputs!$A$14:$B$25,2))/1000)</f>
        <v>10.5</v>
      </c>
      <c r="E106" s="304">
        <f t="shared" ca="1" si="130"/>
        <v>31.1586663255</v>
      </c>
      <c r="F106" s="251">
        <f>IF(A106="N/A"," ",Inputs!$F$6)</f>
        <v>2</v>
      </c>
      <c r="G106" s="251">
        <f ca="1">IF(A106="N/A"," ",Inputs!$F$9/IF(AND('Pricing Inputs'!$AQ$3&gt;=4,'Pricing Inputs'!$AQ$3&lt;=6),16,IF(AND('Pricing Inputs'!$AQ$3&gt;=7,'Pricing Inputs'!$AQ$3&lt;=9),8,24))/(BA106/BW106))</f>
        <v>0</v>
      </c>
      <c r="H106" s="252">
        <f t="shared" ca="1" si="131"/>
        <v>33.1586663255</v>
      </c>
      <c r="I106" s="255">
        <f>VLOOKUP(A106,ScaledPrice,(IF(AND('Pricing Inputs'!$AQ$3&gt;=1,'Pricing Inputs'!$AQ$3&lt;=6),2,4)))</f>
        <v>88.779036134993333</v>
      </c>
      <c r="J106" s="255">
        <f>IF(A106="N/A"," ",IF(AND('Pricing Inputs'!$AQ$3&gt;=1,'Pricing Inputs'!$AQ$3&lt;=6),I106,(VLOOKUP(A106,ScaledPrice,2))*(2-(VLOOKUP(A106,ScaledPrice,3)))))</f>
        <v>60.220963865006674</v>
      </c>
      <c r="K106" s="255">
        <f>IF(A106="N/A"," ",IF(OR('Pricing Inputs'!$AQ$3=2,'Pricing Inputs'!$AQ$3=3,'Pricing Inputs'!$AQ$3=5,'Pricing Inputs'!$AQ$3=6,'Pricing Inputs'!$AQ$3=8,'Pricing Inputs'!$AQ$3=9),VLOOKUP(A106,ScaledPrice,IF(AND('Pricing Inputs'!$AQ$3&gt;=2,'Pricing Inputs'!$AQ$3&lt;=6),5,6)),0))</f>
        <v>48.21625147888836</v>
      </c>
      <c r="L106" s="255">
        <f>IF(A106="N/A"," ",IF(OR('Pricing Inputs'!$AQ$3=2,'Pricing Inputs'!$AQ$3=3,'Pricing Inputs'!$AQ$3=5,'Pricing Inputs'!$AQ$3=6,'Pricing Inputs'!$AQ$3=8,'Pricing Inputs'!$AQ$3=9),IF(AND('Pricing Inputs'!$AQ$3&gt;=2,'Pricing Inputs'!$AQ$3&lt;=6),K106,(VLOOKUP(A106,ScaledPrice,5))*(2-(VLOOKUP(A106,ScaledPrice,3)))),0))</f>
        <v>32.706247605584331</v>
      </c>
      <c r="M106" s="255">
        <f>IF(A106="N/A"," ",IF(OR('Pricing Inputs'!$AQ$3=3,'Pricing Inputs'!$AQ$3=6,'Pricing Inputs'!$AQ$3=9),(VLOOKUP(A106,ScaledPrice,IF(AND('Pricing Inputs'!$AQ$3&gt;=3,'Pricing Inputs'!$AQ$3&lt;=6),7,8))),0))</f>
        <v>35.687384392477746</v>
      </c>
      <c r="N106" s="255">
        <f>IF(A106="N/A"," ",IF(OR('Pricing Inputs'!$AQ$3=3,'Pricing Inputs'!$AQ$3=6,'Pricing Inputs'!$AQ$3=9),IF(AND('Pricing Inputs'!$AQ$3&gt;=3,'Pricing Inputs'!$AQ$3&lt;=6),M106,(VLOOKUP(A106,ScaledPrice,7))*(2-(VLOOKUP(A106,ScaledPrice,3)))),0))</f>
        <v>24.207614539407015</v>
      </c>
      <c r="O106" s="255">
        <f>IF(A106="N/A"," ",IF(AND('Pricing Inputs'!$AQ$3&gt;=1,'Pricing Inputs'!$AQ$3&lt;=3),VLOOKUP(A106,ScaledPrice,9),0))</f>
        <v>0</v>
      </c>
      <c r="P106" s="320">
        <f ca="1">IF($A106="N/A"," ",IF('Pricing Inputs'!$AN$8=2,(I106-H106),IF('Pricing Inputs'!$AN$3=2,IF((I106-$H106)&gt;0,I106-$H106,0),(_xll.xSPRDOPT(I106,$E106,$BU106,0,$BP106,$BS106,$BT106,($A106-Inputs!$D$1)+15,1,0)))))</f>
        <v>56.403234403567389</v>
      </c>
      <c r="Q106" s="320">
        <f ca="1">IF($A106="N/A"," ",IF('Pricing Inputs'!$AN$8=2,(J106-$H106),IF('Pricing Inputs'!$AN$3=2,IF((J106-$H106)&gt;0,J106-$H106,0),(_xll.xSPRDOPT(J106,$E106,$BU106,0,$BP106,$BS106,$BT106,($A106-Inputs!$D$1)+15,1,0)))))</f>
        <v>29.933531308866563</v>
      </c>
      <c r="R106" s="320">
        <f ca="1">IF($A106="N/A"," ",IF('Pricing Inputs'!$AN$8=2,(K106-$H106),IF('Pricing Inputs'!$AN$3=2,IF((K106-$H106)&gt;0,K106-$H106,0),(_xll.xSPRDOPT(K106,$E106,$BU106,0,$BP106,$BS106,$BT106,($A106-Inputs!$D$1)+15,1,0)))))</f>
        <v>19.769567859913259</v>
      </c>
      <c r="S106" s="320">
        <f ca="1">IF($A106="N/A"," ",IF('Pricing Inputs'!$AN$8=2,(L106-$H106),IF('Pricing Inputs'!$AN$3=2,IF((L106-$H106)&gt;0,L106-$H106,0),(_xll.xSPRDOPT(L106,$E106,$BU106,0,$BP106,$BS106,$BT106,($A106-Inputs!$D$1)+15,1,0)))))</f>
        <v>8.5372598613354747</v>
      </c>
      <c r="T106" s="320">
        <f ca="1">IF($A106="N/A"," ",IF('Pricing Inputs'!$AN$8=2,(M106-$H106),IF('Pricing Inputs'!$AN$3=2,IF((M106-$H106)&gt;0,M106-$H106,0),(_xll.xSPRDOPT(M106,$E106,$BU106,0,$BP106,$BS106,$BT106,($A106-Inputs!$D$1)+15,1,0)))))</f>
        <v>10.458262868634398</v>
      </c>
      <c r="U106" s="320">
        <f ca="1">IF($A106="N/A"," ",IF('Pricing Inputs'!$AN$8=2,(N106-$H106),IF('Pricing Inputs'!$AN$3=2,IF((N106-$H106)&gt;0,N106-$H106,0),(_xll.xSPRDOPT(N106,$E106,$BU106,0,$BP106,$BS106,$BT106,($A106-Inputs!$D$1)+15,1,0)))))</f>
        <v>3.9472166869851826</v>
      </c>
      <c r="V106" s="259">
        <f ca="1">IF($A106="N/A"," ",(IF('Pricing Inputs'!$AN$8=2,(O106-$H106),IF((O106-$H106)&lt;=0,0,(O106-$H106)))))</f>
        <v>0</v>
      </c>
      <c r="W106" s="306">
        <f ca="1">IF($A106="N/A"," ",IF(0&lt;&gt;P106,IF('Pricing Inputs'!$AN$3=2,8*VLOOKUP($A106,NumberofDaysTable,2),(_xll.xSPRDOPT(I106,$E106,$BU106,0,$BP106,$BS106,$BT106,$A106-Inputs!$D$1,1,1))*(8*VLOOKUP($A106,NumberofDaysTable,2))),0))</f>
        <v>176.29442840661267</v>
      </c>
      <c r="X106" s="306">
        <f ca="1">IF($A106="N/A"," ",IF(Q106&lt;&gt;0,IF('Pricing Inputs'!$AN$3=2,8*VLOOKUP($A106,NumberofDaysTable,2),(_xll.xSPRDOPT(J106,$E106,$BU106,0,$BP106,$BS106,$BT106,$A106-Inputs!$D$1,1,1))*(8*VLOOKUP($A106,NumberofDaysTable,2))),0))</f>
        <v>162.09157226701629</v>
      </c>
      <c r="Y106" s="306">
        <f ca="1">IF($A106="N/A"," ",IF(R106&lt;&gt;0,IF('Pricing Inputs'!$AN$3=2,8*VLOOKUP($A106,NumberofDaysTable,3),(_xll.xSPRDOPT(K106,$E106,$BU106,0,$BP106,$BS106,$BT106,$A106-Inputs!$D$1,1,1))*(8*VLOOKUP($A106,NumberofDaysTable,3))),0))</f>
        <v>19.3402691878211</v>
      </c>
      <c r="Z106" s="306">
        <f ca="1">IF($A106="N/A"," ",IF(S106&lt;&gt;0,IF('Pricing Inputs'!$AN$3=2,8*VLOOKUP($A106,NumberofDaysTable,3),(_xll.xSPRDOPT(L106,$E106,$BU106,0,$BP106,$BS106,$BT106,$A106-Inputs!$D$1,1,1))*(8*VLOOKUP($A106,NumberofDaysTable,3))),0))</f>
        <v>14.885320354572833</v>
      </c>
      <c r="AA106" s="306">
        <f ca="1">IF($A106="N/A"," ",IF(T106&lt;&gt;0,IF('Pricing Inputs'!$AN$3=2,8*VLOOKUP($A106,NumberofDaysTable,4),(_xll.xSPRDOPT(M106,$E106,$BU106,0,$BP106,$BS106,$BT106,$A106-Inputs!$D$1,1,1))*(8*VLOOKUP($A106,NumberofDaysTable,4))),0))</f>
        <v>21.342276117524545</v>
      </c>
      <c r="AB106" s="306">
        <f ca="1">IF($A106="N/A"," ",IF(U106&lt;&gt;0,IF('Pricing Inputs'!$AN$3=2,8*VLOOKUP($A106,NumberofDaysTable,4),(_xll.xSPRDOPT(N106,$E106,$BU106,0,$BP106,$BS106,$BT106,$A106-Inputs!$D$1,1,1))*(8*VLOOKUP($A106,NumberofDaysTable,4))),0))</f>
        <v>14.37095713215542</v>
      </c>
      <c r="AC106" s="306">
        <f t="shared" ca="1" si="132"/>
        <v>0</v>
      </c>
      <c r="AD106" s="274">
        <f t="shared" ca="1" si="190"/>
        <v>1</v>
      </c>
      <c r="AE106" s="275">
        <f t="shared" ca="1" si="191"/>
        <v>4</v>
      </c>
      <c r="AF106" s="275">
        <f t="shared" ca="1" si="192"/>
        <v>6</v>
      </c>
      <c r="AG106" s="275">
        <f t="shared" ca="1" si="193"/>
        <v>12</v>
      </c>
      <c r="AH106" s="275">
        <f t="shared" ca="1" si="194"/>
        <v>10</v>
      </c>
      <c r="AI106" s="275">
        <f t="shared" ca="1" si="195"/>
        <v>17</v>
      </c>
      <c r="AJ106" s="276">
        <f t="shared" ca="1" si="196"/>
        <v>73</v>
      </c>
      <c r="AK106" s="314">
        <f t="shared" ca="1" si="158"/>
        <v>176.29442840661267</v>
      </c>
      <c r="AL106" s="315">
        <f t="shared" ca="1" si="159"/>
        <v>162.09157226701629</v>
      </c>
      <c r="AM106" s="315">
        <f t="shared" ca="1" si="160"/>
        <v>19.3402691878211</v>
      </c>
      <c r="AN106" s="315">
        <f t="shared" ca="1" si="161"/>
        <v>14.885320354572833</v>
      </c>
      <c r="AO106" s="315">
        <f t="shared" ca="1" si="162"/>
        <v>21.342276117524545</v>
      </c>
      <c r="AP106" s="315">
        <f t="shared" ca="1" si="163"/>
        <v>14.37095713215542</v>
      </c>
      <c r="AQ106" s="315">
        <f t="shared" ca="1" si="164"/>
        <v>0</v>
      </c>
      <c r="AR106" s="276"/>
      <c r="AS106" s="321">
        <f t="shared" ca="1" si="183"/>
        <v>0</v>
      </c>
      <c r="AT106" s="324">
        <f t="shared" ca="1" si="184"/>
        <v>0</v>
      </c>
      <c r="AU106" s="324">
        <f t="shared" ca="1" si="185"/>
        <v>0</v>
      </c>
      <c r="AV106" s="324">
        <f t="shared" ca="1" si="186"/>
        <v>0</v>
      </c>
      <c r="AW106" s="324">
        <f t="shared" ca="1" si="187"/>
        <v>0</v>
      </c>
      <c r="AX106" s="324">
        <f t="shared" ca="1" si="188"/>
        <v>0</v>
      </c>
      <c r="AY106" s="324">
        <f t="shared" ca="1" si="189"/>
        <v>0</v>
      </c>
      <c r="AZ106" s="276"/>
      <c r="BA106" s="267">
        <f ca="1">IF($A106="N/A"," ",(IF(MONTH(A106)&gt;=4,IF(MONTH(A106)&lt;=10,Inputs!$F$13,Inputs!$F$14),Inputs!$F$14))*$BW106)</f>
        <v>180</v>
      </c>
      <c r="BB106" s="268">
        <f t="shared" ca="1" si="165"/>
        <v>1868075.1234461518</v>
      </c>
      <c r="BC106" s="268">
        <f t="shared" ca="1" si="166"/>
        <v>991398.55694966053</v>
      </c>
      <c r="BD106" s="268">
        <f t="shared" ca="1" si="133"/>
        <v>85404.533154825273</v>
      </c>
      <c r="BE106" s="268">
        <f t="shared" ca="1" si="134"/>
        <v>36880.962600969251</v>
      </c>
      <c r="BF106" s="268">
        <f t="shared" ca="1" si="135"/>
        <v>75299.492654167669</v>
      </c>
      <c r="BG106" s="268">
        <f t="shared" ca="1" si="136"/>
        <v>28419.960146293313</v>
      </c>
      <c r="BH106" s="268">
        <f t="shared" ca="1" si="157"/>
        <v>0</v>
      </c>
      <c r="BI106" s="268">
        <f t="shared" ca="1" si="137"/>
        <v>3085478.6289520678</v>
      </c>
      <c r="BJ106" s="296">
        <f t="shared" ca="1" si="138"/>
        <v>2437111.1832692279</v>
      </c>
      <c r="BK106" s="296">
        <f t="shared" ca="1" si="139"/>
        <v>2290114.2468215749</v>
      </c>
      <c r="BL106" s="296">
        <f t="shared" ca="1" si="140"/>
        <v>146996.93644765302</v>
      </c>
      <c r="BM106" s="296">
        <f t="shared" ca="1" si="141"/>
        <v>0</v>
      </c>
      <c r="BN106" s="405">
        <f>IF(A106="N/A"," ",(VLOOKUP(A106,PowerVolTable,(IF('Pricing Inputs'!$AT$3=2,7,IF('Pricing Inputs'!$AT$3=1,6,8))),FALSE)))</f>
        <v>0.26973016185135051</v>
      </c>
      <c r="BO106" s="405">
        <f>IF(A106="N/A"," ",(VLOOKUP(A106,IntraPowerVol,(IF('Pricing Inputs'!$AT$3=2,3,IF('Pricing Inputs'!$AT$3=1,2,4))),FALSE)*VLOOKUP(MONTH($A106),Inputs!$A$28:$B$39,2)))</f>
        <v>3.4499999999999997</v>
      </c>
      <c r="BP106" s="406">
        <f t="shared" ca="1" si="126"/>
        <v>0.35289672662442756</v>
      </c>
      <c r="BQ106" s="405">
        <f ca="1">IF($A106="N/A"," ",(VLOOKUP($A106,GasVolTable,(IF('Pricing Inputs'!$AT$3=2,6,IF('Pricing Inputs'!$AT$3=1,7,5))),FALSE)))</f>
        <v>0.1575</v>
      </c>
      <c r="BR106" s="405">
        <f ca="1">IF($A106="N/A"," ",(VLOOKUP($A106,OmicronVol,(IF('Pricing Inputs'!$AT$3=2,3,IF('Pricing Inputs'!$AT$3=1,4,2))),FALSE)))</f>
        <v>0.5</v>
      </c>
      <c r="BS106" s="406">
        <f ca="1">IF($A106="N/A"," ",IF('Pricing Inputs'!$AN$3=1,(IF(DateToday&gt;$A106,$BR106,((($BQ106^2)*((($A106-1)-DateToday)/((EOMONTH($A106,0)+1)-DateToday-15)))+((($BR106)^2)*((15)/((EOMONTH($A106,0)+1)-DateToday-15))))^0.5)),0.0001))</f>
        <v>0.16055621572612627</v>
      </c>
      <c r="BT106" s="405">
        <f>IF($A106="N/A"," ",IF('Pricing Inputs'!$AN$3=1,(VLOOKUP($A106,CorrelationTable,2,FALSE)),0))</f>
        <v>0.9</v>
      </c>
      <c r="BU106" s="407">
        <f ca="1">IF($A106="N/A"," ",F106+G106+(D106*(VLOOKUP($A106,'Gas Curves'!$B$17:$P$310,14,FALSE))))</f>
        <v>2.6825000000000001</v>
      </c>
      <c r="BV106" s="405">
        <f>IF($A106="N/A"," ",IF('Pricing Inputs'!$AW$3=1,0,(VLOOKUP($A106,InterestRatesTable,2))))</f>
        <v>0</v>
      </c>
      <c r="BW106" s="408">
        <f t="shared" ca="1" si="127"/>
        <v>1</v>
      </c>
    </row>
    <row r="107" spans="1:75">
      <c r="A107" s="248">
        <f>IF(A106="N/A","N/A",IF(EDATE(A106,1)&gt;Inputs!$K$3,"N/A",EDATE(A106,1)))</f>
        <v>40026</v>
      </c>
      <c r="B107" s="262">
        <f t="shared" si="128"/>
        <v>2009</v>
      </c>
      <c r="C107" s="249">
        <f t="shared" ca="1" si="129"/>
        <v>2.974492031</v>
      </c>
      <c r="D107" s="250">
        <f>IF(A107="N/A"," ",(VLOOKUP(MONTH($A107),Inputs!$A$14:$B$25,2))/1000)</f>
        <v>10.5</v>
      </c>
      <c r="E107" s="304">
        <f t="shared" ca="1" si="130"/>
        <v>31.2321663255</v>
      </c>
      <c r="F107" s="251">
        <f>IF(A107="N/A"," ",Inputs!$F$6)</f>
        <v>2</v>
      </c>
      <c r="G107" s="251">
        <f ca="1">IF(A107="N/A"," ",Inputs!$F$9/IF(AND('Pricing Inputs'!$AQ$3&gt;=4,'Pricing Inputs'!$AQ$3&lt;=6),16,IF(AND('Pricing Inputs'!$AQ$3&gt;=7,'Pricing Inputs'!$AQ$3&lt;=9),8,24))/(BA107/BW107))</f>
        <v>0</v>
      </c>
      <c r="H107" s="252">
        <f t="shared" ca="1" si="131"/>
        <v>33.232166325500003</v>
      </c>
      <c r="I107" s="255">
        <f>VLOOKUP(A107,ScaledPrice,(IF(AND('Pricing Inputs'!$AQ$3&gt;=1,'Pricing Inputs'!$AQ$3&lt;=6),2,4)))</f>
        <v>77.625026385781226</v>
      </c>
      <c r="J107" s="255">
        <f>IF(A107="N/A"," ",IF(AND('Pricing Inputs'!$AQ$3&gt;=1,'Pricing Inputs'!$AQ$3&lt;=6),I107,(VLOOKUP(A107,ScaledPrice,2))*(2-(VLOOKUP(A107,ScaledPrice,3)))))</f>
        <v>62.374973614218781</v>
      </c>
      <c r="K107" s="255">
        <f>IF(A107="N/A"," ",IF(OR('Pricing Inputs'!$AQ$3=2,'Pricing Inputs'!$AQ$3=3,'Pricing Inputs'!$AQ$3=5,'Pricing Inputs'!$AQ$3=6,'Pricing Inputs'!$AQ$3=8,'Pricing Inputs'!$AQ$3=9),VLOOKUP(A107,ScaledPrice,IF(AND('Pricing Inputs'!$AQ$3&gt;=2,'Pricing Inputs'!$AQ$3&lt;=6),5,6)),0))</f>
        <v>47.376215981410077</v>
      </c>
      <c r="L107" s="255">
        <f>IF(A107="N/A"," ",IF(OR('Pricing Inputs'!$AQ$3=2,'Pricing Inputs'!$AQ$3=3,'Pricing Inputs'!$AQ$3=5,'Pricing Inputs'!$AQ$3=6,'Pricing Inputs'!$AQ$3=8,'Pricing Inputs'!$AQ$3=9),IF(AND('Pricing Inputs'!$AQ$3&gt;=2,'Pricing Inputs'!$AQ$3&lt;=6),K107,(VLOOKUP(A107,ScaledPrice,5))*(2-(VLOOKUP(A107,ScaledPrice,3)))),0))</f>
        <v>38.06878218753527</v>
      </c>
      <c r="M107" s="255">
        <f>IF(A107="N/A"," ",IF(OR('Pricing Inputs'!$AQ$3=3,'Pricing Inputs'!$AQ$3=6,'Pricing Inputs'!$AQ$3=9),(VLOOKUP(A107,ScaledPrice,IF(AND('Pricing Inputs'!$AQ$3&gt;=3,'Pricing Inputs'!$AQ$3&lt;=6),7,8))),0))</f>
        <v>34.870271712091494</v>
      </c>
      <c r="N107" s="255">
        <f>IF(A107="N/A"," ",IF(OR('Pricing Inputs'!$AQ$3=3,'Pricing Inputs'!$AQ$3=6,'Pricing Inputs'!$AQ$3=9),IF(AND('Pricing Inputs'!$AQ$3&gt;=3,'Pricing Inputs'!$AQ$3&lt;=6),M107,(VLOOKUP(A107,ScaledPrice,7))*(2-(VLOOKUP(A107,ScaledPrice,3)))),0))</f>
        <v>28.019729966375291</v>
      </c>
      <c r="O107" s="255">
        <f>IF(A107="N/A"," ",IF(AND('Pricing Inputs'!$AQ$3&gt;=1,'Pricing Inputs'!$AQ$3&lt;=3),VLOOKUP(A107,ScaledPrice,9),0))</f>
        <v>0</v>
      </c>
      <c r="P107" s="320">
        <f ca="1">IF($A107="N/A"," ",IF('Pricing Inputs'!$AN$8=2,(I107-H107),IF('Pricing Inputs'!$AN$3=2,IF((I107-$H107)&gt;0,I107-$H107,0),(_xll.xSPRDOPT(I107,$E107,$BU107,0,$BP107,$BS107,$BT107,($A107-Inputs!$D$1)+15,1,0)))))</f>
        <v>45.654239151733279</v>
      </c>
      <c r="Q107" s="320">
        <f ca="1">IF($A107="N/A"," ",IF('Pricing Inputs'!$AN$8=2,(J107-$H107),IF('Pricing Inputs'!$AN$3=2,IF((J107-$H107)&gt;0,J107-$H107,0),(_xll.xSPRDOPT(J107,$E107,$BU107,0,$BP107,$BS107,$BT107,($A107-Inputs!$D$1)+15,1,0)))))</f>
        <v>31.654929043660569</v>
      </c>
      <c r="R107" s="320">
        <f ca="1">IF($A107="N/A"," ",IF('Pricing Inputs'!$AN$8=2,(K107-$H107),IF('Pricing Inputs'!$AN$3=2,IF((K107-$H107)&gt;0,K107-$H107,0),(_xll.xSPRDOPT(K107,$E107,$BU107,0,$BP107,$BS107,$BT107,($A107-Inputs!$D$1)+15,1,0)))))</f>
        <v>18.900797846466631</v>
      </c>
      <c r="S107" s="320">
        <f ca="1">IF($A107="N/A"," ",IF('Pricing Inputs'!$AN$8=2,(L107-$H107),IF('Pricing Inputs'!$AN$3=2,IF((L107-$H107)&gt;0,L107-$H107,0),(_xll.xSPRDOPT(L107,$E107,$BU107,0,$BP107,$BS107,$BT107,($A107-Inputs!$D$1)+15,1,0)))))</f>
        <v>11.901864467436374</v>
      </c>
      <c r="T107" s="320">
        <f ca="1">IF($A107="N/A"," ",IF('Pricing Inputs'!$AN$8=2,(M107-$H107),IF('Pricing Inputs'!$AN$3=2,IF((M107-$H107)&gt;0,M107-$H107,0),(_xll.xSPRDOPT(M107,$E107,$BU107,0,$BP107,$BS107,$BT107,($A107-Inputs!$D$1)+15,1,0)))))</f>
        <v>9.7409557098617796</v>
      </c>
      <c r="U107" s="320">
        <f ca="1">IF($A107="N/A"," ",IF('Pricing Inputs'!$AN$8=2,(N107-$H107),IF('Pricing Inputs'!$AN$3=2,IF((N107-$H107)&gt;0,N107-$H107,0),(_xll.xSPRDOPT(N107,$E107,$BU107,0,$BP107,$BS107,$BT107,($A107-Inputs!$D$1)+15,1,0)))))</f>
        <v>5.6767741712904254</v>
      </c>
      <c r="V107" s="259">
        <f ca="1">IF($A107="N/A"," ",(IF('Pricing Inputs'!$AN$8=2,(O107-$H107),IF((O107-$H107)&lt;=0,0,(O107-$H107)))))</f>
        <v>0</v>
      </c>
      <c r="W107" s="306">
        <f ca="1">IF($A107="N/A"," ",IF(0&lt;&gt;P107,IF('Pricing Inputs'!$AN$3=2,8*VLOOKUP($A107,NumberofDaysTable,2),(_xll.xSPRDOPT(I107,$E107,$BU107,0,$BP107,$BS107,$BT107,$A107-Inputs!$D$1,1,1))*(8*VLOOKUP($A107,NumberofDaysTable,2))),0))</f>
        <v>157.83515309691012</v>
      </c>
      <c r="X107" s="306">
        <f ca="1">IF($A107="N/A"," ",IF(Q107&lt;&gt;0,IF('Pricing Inputs'!$AN$3=2,8*VLOOKUP($A107,NumberofDaysTable,2),(_xll.xSPRDOPT(J107,$E107,$BU107,0,$BP107,$BS107,$BT107,$A107-Inputs!$D$1,1,1))*(8*VLOOKUP($A107,NumberofDaysTable,2))),0))</f>
        <v>149.79900431381353</v>
      </c>
      <c r="Y107" s="306">
        <f ca="1">IF($A107="N/A"," ",IF(R107&lt;&gt;0,IF('Pricing Inputs'!$AN$3=2,8*VLOOKUP($A107,NumberofDaysTable,3),(_xll.xSPRDOPT(K107,$E107,$BU107,0,$BP107,$BS107,$BT107,$A107-Inputs!$D$1,1,1))*(8*VLOOKUP($A107,NumberofDaysTable,3))),0))</f>
        <v>31.94680275456124</v>
      </c>
      <c r="Z107" s="306">
        <f ca="1">IF($A107="N/A"," ",IF(S107&lt;&gt;0,IF('Pricing Inputs'!$AN$3=2,8*VLOOKUP($A107,NumberofDaysTable,3),(_xll.xSPRDOPT(L107,$E107,$BU107,0,$BP107,$BS107,$BT107,$A107-Inputs!$D$1,1,1))*(8*VLOOKUP($A107,NumberofDaysTable,3))),0))</f>
        <v>27.91561142384079</v>
      </c>
      <c r="AA107" s="306">
        <f ca="1">IF($A107="N/A"," ",IF(T107&lt;&gt;0,IF('Pricing Inputs'!$AN$3=2,8*VLOOKUP($A107,NumberofDaysTable,4),(_xll.xSPRDOPT(M107,$E107,$BU107,0,$BP107,$BS107,$BT107,$A107-Inputs!$D$1,1,1))*(8*VLOOKUP($A107,NumberofDaysTable,4))),0))</f>
        <v>26.071721561996615</v>
      </c>
      <c r="AB107" s="306">
        <f ca="1">IF($A107="N/A"," ",IF(U107&lt;&gt;0,IF('Pricing Inputs'!$AN$3=2,8*VLOOKUP($A107,NumberofDaysTable,4),(_xll.xSPRDOPT(N107,$E107,$BU107,0,$BP107,$BS107,$BT107,$A107-Inputs!$D$1,1,1))*(8*VLOOKUP($A107,NumberofDaysTable,4))),0))</f>
        <v>21.11388164694532</v>
      </c>
      <c r="AC107" s="306">
        <f t="shared" ca="1" si="132"/>
        <v>0</v>
      </c>
      <c r="AD107" s="274">
        <f t="shared" ca="1" si="190"/>
        <v>2</v>
      </c>
      <c r="AE107" s="275">
        <f t="shared" ca="1" si="191"/>
        <v>3</v>
      </c>
      <c r="AF107" s="275">
        <f t="shared" ca="1" si="192"/>
        <v>7</v>
      </c>
      <c r="AG107" s="275">
        <f t="shared" ca="1" si="193"/>
        <v>9</v>
      </c>
      <c r="AH107" s="275">
        <f t="shared" ca="1" si="194"/>
        <v>11</v>
      </c>
      <c r="AI107" s="275">
        <f t="shared" ca="1" si="195"/>
        <v>13</v>
      </c>
      <c r="AJ107" s="276">
        <f t="shared" ca="1" si="196"/>
        <v>73</v>
      </c>
      <c r="AK107" s="314">
        <f t="shared" ca="1" si="158"/>
        <v>157.83515309691012</v>
      </c>
      <c r="AL107" s="315">
        <f t="shared" ca="1" si="159"/>
        <v>149.79900431381353</v>
      </c>
      <c r="AM107" s="315">
        <f t="shared" ca="1" si="160"/>
        <v>31.94680275456124</v>
      </c>
      <c r="AN107" s="315">
        <f t="shared" ca="1" si="161"/>
        <v>27.91561142384079</v>
      </c>
      <c r="AO107" s="315">
        <f t="shared" ca="1" si="162"/>
        <v>26.071721561996615</v>
      </c>
      <c r="AP107" s="315">
        <f t="shared" ca="1" si="163"/>
        <v>21.11388164694532</v>
      </c>
      <c r="AQ107" s="315">
        <f t="shared" ca="1" si="164"/>
        <v>0</v>
      </c>
      <c r="AR107" s="276"/>
      <c r="AS107" s="321">
        <f t="shared" ca="1" si="183"/>
        <v>0</v>
      </c>
      <c r="AT107" s="324">
        <f t="shared" ca="1" si="184"/>
        <v>0</v>
      </c>
      <c r="AU107" s="324">
        <f t="shared" ca="1" si="185"/>
        <v>0</v>
      </c>
      <c r="AV107" s="324">
        <f t="shared" ca="1" si="186"/>
        <v>0</v>
      </c>
      <c r="AW107" s="324">
        <f t="shared" ca="1" si="187"/>
        <v>0</v>
      </c>
      <c r="AX107" s="324">
        <f t="shared" ca="1" si="188"/>
        <v>0</v>
      </c>
      <c r="AY107" s="324">
        <f t="shared" ca="1" si="189"/>
        <v>0</v>
      </c>
      <c r="AZ107" s="276"/>
      <c r="BA107" s="267">
        <f ca="1">IF($A107="N/A"," ",(IF(MONTH(A107)&gt;=4,IF(MONTH(A107)&lt;=10,Inputs!$F$13,Inputs!$F$14),Inputs!$F$14))*$BW107)</f>
        <v>180</v>
      </c>
      <c r="BB107" s="268">
        <f t="shared" ca="1" si="165"/>
        <v>1380584.1919484143</v>
      </c>
      <c r="BC107" s="268">
        <f t="shared" ca="1" si="166"/>
        <v>957245.05428029562</v>
      </c>
      <c r="BD107" s="268">
        <f t="shared" ca="1" si="133"/>
        <v>136085.74449455974</v>
      </c>
      <c r="BE107" s="268">
        <f t="shared" ca="1" si="134"/>
        <v>85693.424165541888</v>
      </c>
      <c r="BF107" s="268">
        <f t="shared" ca="1" si="135"/>
        <v>70134.881111004812</v>
      </c>
      <c r="BG107" s="268">
        <f t="shared" ca="1" si="136"/>
        <v>40872.774033291062</v>
      </c>
      <c r="BH107" s="268">
        <f t="shared" ca="1" si="157"/>
        <v>0</v>
      </c>
      <c r="BI107" s="268">
        <f t="shared" ca="1" si="137"/>
        <v>2670616.0700331074</v>
      </c>
      <c r="BJ107" s="296">
        <f t="shared" ca="1" si="138"/>
        <v>2480541.6609197012</v>
      </c>
      <c r="BK107" s="296">
        <f t="shared" ca="1" si="139"/>
        <v>2331256.0779923969</v>
      </c>
      <c r="BL107" s="296">
        <f t="shared" ca="1" si="140"/>
        <v>149285.58292730438</v>
      </c>
      <c r="BM107" s="296">
        <f t="shared" ca="1" si="141"/>
        <v>0</v>
      </c>
      <c r="BN107" s="405">
        <f>IF(A107="N/A"," ",(VLOOKUP(A107,PowerVolTable,(IF('Pricing Inputs'!$AT$3=2,7,IF('Pricing Inputs'!$AT$3=1,6,8))),FALSE)))</f>
        <v>0.26540134353718936</v>
      </c>
      <c r="BO107" s="405">
        <f>IF(A107="N/A"," ",(VLOOKUP(A107,IntraPowerVol,(IF('Pricing Inputs'!$AT$3=2,3,IF('Pricing Inputs'!$AT$3=1,2,4))),FALSE)*VLOOKUP(MONTH($A107),Inputs!$A$28:$B$39,2)))</f>
        <v>3.4499999999999997</v>
      </c>
      <c r="BP107" s="406">
        <f t="shared" ca="1" si="126"/>
        <v>0.34895042457585779</v>
      </c>
      <c r="BQ107" s="405">
        <f ca="1">IF($A107="N/A"," ",(VLOOKUP($A107,GasVolTable,(IF('Pricing Inputs'!$AT$3=2,6,IF('Pricing Inputs'!$AT$3=1,7,5))),FALSE)))</f>
        <v>0.1575</v>
      </c>
      <c r="BR107" s="405">
        <f ca="1">IF($A107="N/A"," ",(VLOOKUP($A107,OmicronVol,(IF('Pricing Inputs'!$AT$3=2,3,IF('Pricing Inputs'!$AT$3=1,4,2))),FALSE)))</f>
        <v>0.6</v>
      </c>
      <c r="BS107" s="406">
        <f ca="1">IF($A107="N/A"," ",IF('Pricing Inputs'!$AN$3=1,(IF(DateToday&gt;$A107,$BR107,((($BQ107^2)*((($A107-1)-DateToday)/((EOMONTH($A107,0)+1)-DateToday-15)))+((($BR107)^2)*((15)/((EOMONTH($A107,0)+1)-DateToday-15))))^0.5)),0.0001))</f>
        <v>0.16200970786156393</v>
      </c>
      <c r="BT107" s="405">
        <f>IF($A107="N/A"," ",IF('Pricing Inputs'!$AN$3=1,(VLOOKUP($A107,CorrelationTable,2,FALSE)),0))</f>
        <v>0.9</v>
      </c>
      <c r="BU107" s="407">
        <f ca="1">IF($A107="N/A"," ",F107+G107+(D107*(VLOOKUP($A107,'Gas Curves'!$B$17:$P$310,14,FALSE))))</f>
        <v>2.6825000000000001</v>
      </c>
      <c r="BV107" s="405">
        <f>IF($A107="N/A"," ",IF('Pricing Inputs'!$AW$3=1,0,(VLOOKUP($A107,InterestRatesTable,2))))</f>
        <v>0</v>
      </c>
      <c r="BW107" s="408">
        <f t="shared" ca="1" si="127"/>
        <v>1</v>
      </c>
    </row>
    <row r="108" spans="1:75">
      <c r="A108" s="248">
        <f>IF(A107="N/A","N/A",IF(EDATE(A107,1)&gt;Inputs!$K$3,"N/A",EDATE(A107,1)))</f>
        <v>40057</v>
      </c>
      <c r="B108" s="262">
        <f t="shared" si="128"/>
        <v>2009</v>
      </c>
      <c r="C108" s="249">
        <f t="shared" ca="1" si="129"/>
        <v>2.9814920310000002</v>
      </c>
      <c r="D108" s="250">
        <f>IF(A108="N/A"," ",(VLOOKUP(MONTH($A108),Inputs!$A$14:$B$25,2))/1000)</f>
        <v>10.5</v>
      </c>
      <c r="E108" s="304">
        <f t="shared" ca="1" si="130"/>
        <v>31.305666325500003</v>
      </c>
      <c r="F108" s="251">
        <f>IF(A108="N/A"," ",Inputs!$F$6)</f>
        <v>2</v>
      </c>
      <c r="G108" s="251">
        <f ca="1">IF(A108="N/A"," ",Inputs!$F$9/IF(AND('Pricing Inputs'!$AQ$3&gt;=4,'Pricing Inputs'!$AQ$3&lt;=6),16,IF(AND('Pricing Inputs'!$AQ$3&gt;=7,'Pricing Inputs'!$AQ$3&lt;=9),8,24))/(BA108/BW108))</f>
        <v>0</v>
      </c>
      <c r="H108" s="252">
        <f t="shared" ca="1" si="131"/>
        <v>33.305666325499999</v>
      </c>
      <c r="I108" s="255">
        <f>VLOOKUP(A108,ScaledPrice,(IF(AND('Pricing Inputs'!$AQ$3&gt;=1,'Pricing Inputs'!$AQ$3&lt;=6),2,4)))</f>
        <v>36.350095215424922</v>
      </c>
      <c r="J108" s="255">
        <f>IF(A108="N/A"," ",IF(AND('Pricing Inputs'!$AQ$3&gt;=1,'Pricing Inputs'!$AQ$3&lt;=6),I108,(VLOOKUP(A108,ScaledPrice,2))*(2-(VLOOKUP(A108,ScaledPrice,3)))))</f>
        <v>29.949904784575075</v>
      </c>
      <c r="K108" s="255">
        <f>IF(A108="N/A"," ",IF(OR('Pricing Inputs'!$AQ$3=2,'Pricing Inputs'!$AQ$3=3,'Pricing Inputs'!$AQ$3=5,'Pricing Inputs'!$AQ$3=6,'Pricing Inputs'!$AQ$3=8,'Pricing Inputs'!$AQ$3=9),VLOOKUP(A108,ScaledPrice,IF(AND('Pricing Inputs'!$AQ$3&gt;=2,'Pricing Inputs'!$AQ$3&lt;=6),5,6)),0))</f>
        <v>26.431946143638118</v>
      </c>
      <c r="L108" s="255">
        <f>IF(A108="N/A"," ",IF(OR('Pricing Inputs'!$AQ$3=2,'Pricing Inputs'!$AQ$3=3,'Pricing Inputs'!$AQ$3=5,'Pricing Inputs'!$AQ$3=6,'Pricing Inputs'!$AQ$3=8,'Pricing Inputs'!$AQ$3=9),IF(AND('Pricing Inputs'!$AQ$3&gt;=2,'Pricing Inputs'!$AQ$3&lt;=6),K108,(VLOOKUP(A108,ScaledPrice,5))*(2-(VLOOKUP(A108,ScaledPrice,3)))),0))</f>
        <v>21.778052177895074</v>
      </c>
      <c r="M108" s="255">
        <f>IF(A108="N/A"," ",IF(OR('Pricing Inputs'!$AQ$3=3,'Pricing Inputs'!$AQ$3=6,'Pricing Inputs'!$AQ$3=9),(VLOOKUP(A108,ScaledPrice,IF(AND('Pricing Inputs'!$AQ$3&gt;=3,'Pricing Inputs'!$AQ$3&lt;=6),7,8))),0))</f>
        <v>26.974731291084559</v>
      </c>
      <c r="N108" s="255">
        <f>IF(A108="N/A"," ",IF(OR('Pricing Inputs'!$AQ$3=3,'Pricing Inputs'!$AQ$3=6,'Pricing Inputs'!$AQ$3=9),IF(AND('Pricing Inputs'!$AQ$3&gt;=3,'Pricing Inputs'!$AQ$3&lt;=6),M108,(VLOOKUP(A108,ScaledPrice,7))*(2-(VLOOKUP(A108,ScaledPrice,3)))),0))</f>
        <v>22.225268708915443</v>
      </c>
      <c r="O108" s="255">
        <f>IF(A108="N/A"," ",IF(AND('Pricing Inputs'!$AQ$3&gt;=1,'Pricing Inputs'!$AQ$3&lt;=3),VLOOKUP(A108,ScaledPrice,9),0))</f>
        <v>0</v>
      </c>
      <c r="P108" s="320">
        <f ca="1">IF($A108="N/A"," ",IF('Pricing Inputs'!$AN$8=2,(I108-H108),IF('Pricing Inputs'!$AN$3=2,IF((I108-$H108)&gt;0,I108-$H108,0),(_xll.xSPRDOPT(I108,$E108,$BU108,0,$BP108,$BS108,$BT108,($A108-Inputs!$D$1)+15,1,0)))))</f>
        <v>5.5547444244141415</v>
      </c>
      <c r="Q108" s="320">
        <f ca="1">IF($A108="N/A"," ",IF('Pricing Inputs'!$AN$8=2,(J108-$H108),IF('Pricing Inputs'!$AN$3=2,IF((J108-$H108)&gt;0,J108-$H108,0),(_xll.xSPRDOPT(J108,$E108,$BU108,0,$BP108,$BS108,$BT108,($A108-Inputs!$D$1)+15,1,0)))))</f>
        <v>2.1787774029500557</v>
      </c>
      <c r="R108" s="320">
        <f ca="1">IF($A108="N/A"," ",IF('Pricing Inputs'!$AN$8=2,(K108-$H108),IF('Pricing Inputs'!$AN$3=2,IF((K108-$H108)&gt;0,K108-$H108,0),(_xll.xSPRDOPT(K108,$E108,$BU108,0,$BP108,$BS108,$BT108,($A108-Inputs!$D$1)+15,1,0)))))</f>
        <v>1.0391972079659835</v>
      </c>
      <c r="S108" s="320">
        <f ca="1">IF($A108="N/A"," ",IF('Pricing Inputs'!$AN$8=2,(L108-$H108),IF('Pricing Inputs'!$AN$3=2,IF((L108-$H108)&gt;0,L108-$H108,0),(_xll.xSPRDOPT(L108,$E108,$BU108,0,$BP108,$BS108,$BT108,($A108-Inputs!$D$1)+15,1,0)))))</f>
        <v>0.25916749206862305</v>
      </c>
      <c r="T108" s="320">
        <f ca="1">IF($A108="N/A"," ",IF('Pricing Inputs'!$AN$8=2,(M108-$H108),IF('Pricing Inputs'!$AN$3=2,IF((M108-$H108)&gt;0,M108-$H108,0),(_xll.xSPRDOPT(M108,$E108,$BU108,0,$BP108,$BS108,$BT108,($A108-Inputs!$D$1)+15,1,0)))))</f>
        <v>1.1815250675206859</v>
      </c>
      <c r="U108" s="320">
        <f ca="1">IF($A108="N/A"," ",IF('Pricing Inputs'!$AN$8=2,(N108-$H108),IF('Pricing Inputs'!$AN$3=2,IF((N108-$H108)&gt;0,N108-$H108,0),(_xll.xSPRDOPT(N108,$E108,$BU108,0,$BP108,$BS108,$BT108,($A108-Inputs!$D$1)+15,1,0)))))</f>
        <v>0.30425290844091474</v>
      </c>
      <c r="V108" s="259">
        <f ca="1">IF($A108="N/A"," ",(IF('Pricing Inputs'!$AN$8=2,(O108-$H108),IF((O108-$H108)&lt;=0,0,(O108-$H108)))))</f>
        <v>0</v>
      </c>
      <c r="W108" s="306">
        <f ca="1">IF($A108="N/A"," ",IF(0&lt;&gt;P108,IF('Pricing Inputs'!$AN$3=2,8*VLOOKUP($A108,NumberofDaysTable,2),(_xll.xSPRDOPT(I108,$E108,$BU108,0,$BP108,$BS108,$BT108,$A108-Inputs!$D$1,1,1))*(8*VLOOKUP($A108,NumberofDaysTable,2))),0))</f>
        <v>108.7140491530004</v>
      </c>
      <c r="X108" s="306">
        <f ca="1">IF($A108="N/A"," ",IF(Q108&lt;&gt;0,IF('Pricing Inputs'!$AN$3=2,8*VLOOKUP($A108,NumberofDaysTable,2),(_xll.xSPRDOPT(J108,$E108,$BU108,0,$BP108,$BS108,$BT108,$A108-Inputs!$D$1,1,1))*(8*VLOOKUP($A108,NumberofDaysTable,2))),0))</f>
        <v>66.791580296593253</v>
      </c>
      <c r="Y108" s="306">
        <f ca="1">IF($A108="N/A"," ",IF(R108&lt;&gt;0,IF('Pricing Inputs'!$AN$3=2,8*VLOOKUP($A108,NumberofDaysTable,3),(_xll.xSPRDOPT(K108,$E108,$BU108,0,$BP108,$BS108,$BT108,$A108-Inputs!$D$1,1,1))*(8*VLOOKUP($A108,NumberofDaysTable,3))),0))</f>
        <v>8.0210370536094686</v>
      </c>
      <c r="Z108" s="306">
        <f ca="1">IF($A108="N/A"," ",IF(S108&lt;&gt;0,IF('Pricing Inputs'!$AN$3=2,8*VLOOKUP($A108,NumberofDaysTable,3),(_xll.xSPRDOPT(L108,$E108,$BU108,0,$BP108,$BS108,$BT108,$A108-Inputs!$D$1,1,1))*(8*VLOOKUP($A108,NumberofDaysTable,3))),0))</f>
        <v>3.019037728550749</v>
      </c>
      <c r="AA108" s="306">
        <f ca="1">IF($A108="N/A"," ",IF(T108&lt;&gt;0,IF('Pricing Inputs'!$AN$3=2,8*VLOOKUP($A108,NumberofDaysTable,4),(_xll.xSPRDOPT(M108,$E108,$BU108,0,$BP108,$BS108,$BT108,$A108-Inputs!$D$1,1,1))*(8*VLOOKUP($A108,NumberofDaysTable,4))),0))</f>
        <v>8.72084795795468</v>
      </c>
      <c r="AB108" s="306">
        <f ca="1">IF($A108="N/A"," ",IF(U108&lt;&gt;0,IF('Pricing Inputs'!$AN$3=2,8*VLOOKUP($A108,NumberofDaysTable,4),(_xll.xSPRDOPT(N108,$E108,$BU108,0,$BP108,$BS108,$BT108,$A108-Inputs!$D$1,1,1))*(8*VLOOKUP($A108,NumberofDaysTable,4))),0))</f>
        <v>3.3986004550295865</v>
      </c>
      <c r="AC108" s="306">
        <f t="shared" ca="1" si="132"/>
        <v>0</v>
      </c>
      <c r="AD108" s="274">
        <f t="shared" ca="1" si="190"/>
        <v>14</v>
      </c>
      <c r="AE108" s="275">
        <f t="shared" ca="1" si="191"/>
        <v>20</v>
      </c>
      <c r="AF108" s="275">
        <f t="shared" ca="1" si="192"/>
        <v>31</v>
      </c>
      <c r="AG108" s="275">
        <f t="shared" ca="1" si="193"/>
        <v>44</v>
      </c>
      <c r="AH108" s="275">
        <f t="shared" ca="1" si="194"/>
        <v>28</v>
      </c>
      <c r="AI108" s="275">
        <f t="shared" ca="1" si="195"/>
        <v>39</v>
      </c>
      <c r="AJ108" s="276">
        <f t="shared" ca="1" si="196"/>
        <v>73</v>
      </c>
      <c r="AK108" s="314">
        <f t="shared" ca="1" si="158"/>
        <v>108.7140491530004</v>
      </c>
      <c r="AL108" s="315">
        <f t="shared" ca="1" si="159"/>
        <v>66.791580296593253</v>
      </c>
      <c r="AM108" s="315">
        <f t="shared" ca="1" si="160"/>
        <v>8.0210370536094686</v>
      </c>
      <c r="AN108" s="315">
        <f t="shared" ca="1" si="161"/>
        <v>3.019037728550749</v>
      </c>
      <c r="AO108" s="315">
        <f t="shared" ca="1" si="162"/>
        <v>8.72084795795468</v>
      </c>
      <c r="AP108" s="315">
        <f t="shared" ca="1" si="163"/>
        <v>3.3986004550295865</v>
      </c>
      <c r="AQ108" s="315">
        <f t="shared" ca="1" si="164"/>
        <v>0</v>
      </c>
      <c r="AR108" s="276"/>
      <c r="AS108" s="321">
        <f t="shared" ca="1" si="183"/>
        <v>0</v>
      </c>
      <c r="AT108" s="324">
        <f t="shared" ca="1" si="184"/>
        <v>0</v>
      </c>
      <c r="AU108" s="324">
        <f t="shared" ca="1" si="185"/>
        <v>0</v>
      </c>
      <c r="AV108" s="324">
        <f t="shared" ca="1" si="186"/>
        <v>0</v>
      </c>
      <c r="AW108" s="324">
        <f t="shared" ca="1" si="187"/>
        <v>0</v>
      </c>
      <c r="AX108" s="324">
        <f t="shared" ca="1" si="188"/>
        <v>0</v>
      </c>
      <c r="AY108" s="324">
        <f t="shared" ca="1" si="189"/>
        <v>0</v>
      </c>
      <c r="AZ108" s="276"/>
      <c r="BA108" s="267">
        <f ca="1">IF($A108="N/A"," ",(IF(MONTH(A108)&gt;=4,IF(MONTH(A108)&lt;=10,Inputs!$F$13,Inputs!$F$14),Inputs!$F$14))*$BW108)</f>
        <v>180</v>
      </c>
      <c r="BB108" s="268">
        <f t="shared" ca="1" si="165"/>
        <v>167975.47139428364</v>
      </c>
      <c r="BC108" s="268">
        <f t="shared" ca="1" si="166"/>
        <v>65886.228665209681</v>
      </c>
      <c r="BD108" s="268">
        <f t="shared" ca="1" si="133"/>
        <v>5985.7759178840652</v>
      </c>
      <c r="BE108" s="268">
        <f t="shared" ca="1" si="134"/>
        <v>1492.8047543152688</v>
      </c>
      <c r="BF108" s="268">
        <f t="shared" ca="1" si="135"/>
        <v>8506.9804861489374</v>
      </c>
      <c r="BG108" s="268">
        <f t="shared" ca="1" si="136"/>
        <v>2190.620940774586</v>
      </c>
      <c r="BH108" s="268">
        <f t="shared" ca="1" si="157"/>
        <v>0</v>
      </c>
      <c r="BI108" s="268">
        <f t="shared" ca="1" si="137"/>
        <v>252037.88215861618</v>
      </c>
      <c r="BJ108" s="296">
        <f t="shared" ca="1" si="138"/>
        <v>1191001.5512082309</v>
      </c>
      <c r="BK108" s="296">
        <f t="shared" ca="1" si="139"/>
        <v>1119482.0962561253</v>
      </c>
      <c r="BL108" s="296">
        <f t="shared" ca="1" si="140"/>
        <v>71519.45495210572</v>
      </c>
      <c r="BM108" s="296">
        <f t="shared" ca="1" si="141"/>
        <v>0</v>
      </c>
      <c r="BN108" s="405">
        <f>IF(A108="N/A"," ",(VLOOKUP(A108,PowerVolTable,(IF('Pricing Inputs'!$AT$3=2,7,IF('Pricing Inputs'!$AT$3=1,6,8))),FALSE)))</f>
        <v>0.17583958531316596</v>
      </c>
      <c r="BO108" s="405">
        <f>IF(A108="N/A"," ",(VLOOKUP(A108,IntraPowerVol,(IF('Pricing Inputs'!$AT$3=2,3,IF('Pricing Inputs'!$AT$3=1,2,4))),FALSE)*VLOOKUP(MONTH($A108),Inputs!$A$28:$B$39,2)))</f>
        <v>1.7249999999999999</v>
      </c>
      <c r="BP108" s="406">
        <f t="shared" ca="1" si="126"/>
        <v>0.2087706228737598</v>
      </c>
      <c r="BQ108" s="405">
        <f ca="1">IF($A108="N/A"," ",(VLOOKUP($A108,GasVolTable,(IF('Pricing Inputs'!$AT$3=2,6,IF('Pricing Inputs'!$AT$3=1,7,5))),FALSE)))</f>
        <v>0.1575</v>
      </c>
      <c r="BR108" s="405">
        <f ca="1">IF($A108="N/A"," ",(VLOOKUP($A108,OmicronVol,(IF('Pricing Inputs'!$AT$3=2,3,IF('Pricing Inputs'!$AT$3=1,4,2))),FALSE)))</f>
        <v>0.6</v>
      </c>
      <c r="BS108" s="406">
        <f ca="1">IF($A108="N/A"," ",IF('Pricing Inputs'!$AN$3=1,(IF(DateToday&gt;$A108,$BR108,((($BQ108^2)*((($A108-1)-DateToday)/((EOMONTH($A108,0)+1)-DateToday-15)))+((($BR108)^2)*((15)/((EOMONTH($A108,0)+1)-DateToday-15))))^0.5)),0.0001))</f>
        <v>0.1619933941742612</v>
      </c>
      <c r="BT108" s="405">
        <f>IF($A108="N/A"," ",IF('Pricing Inputs'!$AN$3=1,(VLOOKUP($A108,CorrelationTable,2,FALSE)),0))</f>
        <v>0.9</v>
      </c>
      <c r="BU108" s="407">
        <f ca="1">IF($A108="N/A"," ",F108+G108+(D108*(VLOOKUP($A108,'Gas Curves'!$B$17:$P$310,14,FALSE))))</f>
        <v>2.6825000000000001</v>
      </c>
      <c r="BV108" s="405">
        <f>IF($A108="N/A"," ",IF('Pricing Inputs'!$AW$3=1,0,(VLOOKUP($A108,InterestRatesTable,2))))</f>
        <v>0</v>
      </c>
      <c r="BW108" s="408">
        <f t="shared" ca="1" si="127"/>
        <v>1</v>
      </c>
    </row>
    <row r="109" spans="1:75">
      <c r="A109" s="248">
        <f>IF(A108="N/A","N/A",IF(EDATE(A108,1)&gt;Inputs!$K$3,"N/A",EDATE(A108,1)))</f>
        <v>40087</v>
      </c>
      <c r="B109" s="262">
        <f t="shared" si="128"/>
        <v>2009</v>
      </c>
      <c r="C109" s="249">
        <f t="shared" ca="1" si="129"/>
        <v>3.007492031</v>
      </c>
      <c r="D109" s="250">
        <f>IF(A109="N/A"," ",(VLOOKUP(MONTH($A109),Inputs!$A$14:$B$25,2))/1000)</f>
        <v>10.5</v>
      </c>
      <c r="E109" s="304">
        <f t="shared" ca="1" si="130"/>
        <v>31.578666325499999</v>
      </c>
      <c r="F109" s="251">
        <f>IF(A109="N/A"," ",Inputs!$F$6)</f>
        <v>2</v>
      </c>
      <c r="G109" s="251">
        <f ca="1">IF(A109="N/A"," ",Inputs!$F$9/IF(AND('Pricing Inputs'!$AQ$3&gt;=4,'Pricing Inputs'!$AQ$3&lt;=6),16,IF(AND('Pricing Inputs'!$AQ$3&gt;=7,'Pricing Inputs'!$AQ$3&lt;=9),8,24))/(BA109/BW109))</f>
        <v>0</v>
      </c>
      <c r="H109" s="252">
        <f t="shared" ca="1" si="131"/>
        <v>33.578666325499995</v>
      </c>
      <c r="I109" s="255">
        <f>VLOOKUP(A109,ScaledPrice,(IF(AND('Pricing Inputs'!$AQ$3&gt;=1,'Pricing Inputs'!$AQ$3&lt;=6),2,4)))</f>
        <v>30.4959825</v>
      </c>
      <c r="J109" s="255">
        <f>IF(A109="N/A"," ",IF(AND('Pricing Inputs'!$AQ$3&gt;=1,'Pricing Inputs'!$AQ$3&lt;=6),I109,(VLOOKUP(A109,ScaledPrice,2))*(2-(VLOOKUP(A109,ScaledPrice,3)))))</f>
        <v>31.304017499999997</v>
      </c>
      <c r="K109" s="255">
        <f>IF(A109="N/A"," ",IF(OR('Pricing Inputs'!$AQ$3=2,'Pricing Inputs'!$AQ$3=3,'Pricing Inputs'!$AQ$3=5,'Pricing Inputs'!$AQ$3=6,'Pricing Inputs'!$AQ$3=8,'Pricing Inputs'!$AQ$3=9),VLOOKUP(A109,ScaledPrice,IF(AND('Pricing Inputs'!$AQ$3&gt;=2,'Pricing Inputs'!$AQ$3&lt;=6),5,6)),0))</f>
        <v>23.884078567914958</v>
      </c>
      <c r="L109" s="255">
        <f>IF(A109="N/A"," ",IF(OR('Pricing Inputs'!$AQ$3=2,'Pricing Inputs'!$AQ$3=3,'Pricing Inputs'!$AQ$3=5,'Pricing Inputs'!$AQ$3=6,'Pricing Inputs'!$AQ$3=8,'Pricing Inputs'!$AQ$3=9),IF(AND('Pricing Inputs'!$AQ$3&gt;=2,'Pricing Inputs'!$AQ$3&lt;=6),K109,(VLOOKUP(A109,ScaledPrice,5))*(2-(VLOOKUP(A109,ScaledPrice,3)))),0))</f>
        <v>24.516921645708077</v>
      </c>
      <c r="M109" s="255">
        <f>IF(A109="N/A"," ",IF(OR('Pricing Inputs'!$AQ$3=3,'Pricing Inputs'!$AQ$3=6,'Pricing Inputs'!$AQ$3=9),(VLOOKUP(A109,ScaledPrice,IF(AND('Pricing Inputs'!$AQ$3&gt;=3,'Pricing Inputs'!$AQ$3&lt;=6),7,8))),0))</f>
        <v>21.910721759347911</v>
      </c>
      <c r="N109" s="255">
        <f>IF(A109="N/A"," ",IF(OR('Pricing Inputs'!$AQ$3=3,'Pricing Inputs'!$AQ$3=6,'Pricing Inputs'!$AQ$3=9),IF(AND('Pricing Inputs'!$AQ$3&gt;=3,'Pricing Inputs'!$AQ$3&lt;=6),M109,(VLOOKUP(A109,ScaledPrice,7))*(2-(VLOOKUP(A109,ScaledPrice,3)))),0))</f>
        <v>22.491277904958718</v>
      </c>
      <c r="O109" s="255">
        <f>IF(A109="N/A"," ",IF(AND('Pricing Inputs'!$AQ$3&gt;=1,'Pricing Inputs'!$AQ$3&lt;=3),VLOOKUP(A109,ScaledPrice,9),0))</f>
        <v>0</v>
      </c>
      <c r="P109" s="320">
        <f ca="1">IF($A109="N/A"," ",IF('Pricing Inputs'!$AN$8=2,(I109-H109),IF('Pricing Inputs'!$AN$3=2,IF((I109-$H109)&gt;0,I109-$H109,0),(_xll.xSPRDOPT(I109,$E109,$BU109,0,$BP109,$BS109,$BT109,($A109-Inputs!$D$1)+15,1,0)))))</f>
        <v>1.6433447181940739</v>
      </c>
      <c r="Q109" s="320">
        <f ca="1">IF($A109="N/A"," ",IF('Pricing Inputs'!$AN$8=2,(J109-$H109),IF('Pricing Inputs'!$AN$3=2,IF((J109-$H109)&gt;0,J109-$H109,0),(_xll.xSPRDOPT(J109,$E109,$BU109,0,$BP109,$BS109,$BT109,($A109-Inputs!$D$1)+15,1,0)))))</f>
        <v>1.9540093392988904</v>
      </c>
      <c r="R109" s="320">
        <f ca="1">IF($A109="N/A"," ",IF('Pricing Inputs'!$AN$8=2,(K109-$H109),IF('Pricing Inputs'!$AN$3=2,IF((K109-$H109)&gt;0,K109-$H109,0),(_xll.xSPRDOPT(K109,$E109,$BU109,0,$BP109,$BS109,$BT109,($A109-Inputs!$D$1)+15,1,0)))))</f>
        <v>0.2237791121091052</v>
      </c>
      <c r="S109" s="320">
        <f ca="1">IF($A109="N/A"," ",IF('Pricing Inputs'!$AN$8=2,(L109-$H109),IF('Pricing Inputs'!$AN$3=2,IF((L109-$H109)&gt;0,L109-$H109,0),(_xll.xSPRDOPT(L109,$E109,$BU109,0,$BP109,$BS109,$BT109,($A109-Inputs!$D$1)+15,1,0)))))</f>
        <v>0.28671782866370071</v>
      </c>
      <c r="T109" s="320">
        <f ca="1">IF($A109="N/A"," ",IF('Pricing Inputs'!$AN$8=2,(M109-$H109),IF('Pricing Inputs'!$AN$3=2,IF((M109-$H109)&gt;0,M109-$H109,0),(_xll.xSPRDOPT(M109,$E109,$BU109,0,$BP109,$BS109,$BT109,($A109-Inputs!$D$1)+15,1,0)))))</f>
        <v>9.2835059726010666E-2</v>
      </c>
      <c r="U109" s="320">
        <f ca="1">IF($A109="N/A"," ",IF('Pricing Inputs'!$AN$8=2,(N109-$H109),IF('Pricing Inputs'!$AN$3=2,IF((N109-$H109)&gt;0,N109-$H109,0),(_xll.xSPRDOPT(N109,$E109,$BU109,0,$BP109,$BS109,$BT109,($A109-Inputs!$D$1)+15,1,0)))))</f>
        <v>0.12247794534658539</v>
      </c>
      <c r="V109" s="259">
        <f ca="1">IF($A109="N/A"," ",(IF('Pricing Inputs'!$AN$8=2,(O109-$H109),IF((O109-$H109)&lt;=0,0,(O109-$H109)))))</f>
        <v>0</v>
      </c>
      <c r="W109" s="306">
        <f ca="1">IF($A109="N/A"," ",IF(0&lt;&gt;P109,IF('Pricing Inputs'!$AN$3=2,8*VLOOKUP($A109,NumberofDaysTable,2),(_xll.xSPRDOPT(I109,$E109,$BU109,0,$BP109,$BS109,$BT109,$A109-Inputs!$D$1,1,1))*(8*VLOOKUP($A109,NumberofDaysTable,2))),0))</f>
        <v>64.023087453463376</v>
      </c>
      <c r="X109" s="306">
        <f ca="1">IF($A109="N/A"," ",IF(Q109&lt;&gt;0,IF('Pricing Inputs'!$AN$3=2,8*VLOOKUP($A109,NumberofDaysTable,2),(_xll.xSPRDOPT(J109,$E109,$BU109,0,$BP109,$BS109,$BT109,$A109-Inputs!$D$1,1,1))*(8*VLOOKUP($A109,NumberofDaysTable,2))),0))</f>
        <v>71.160412170089714</v>
      </c>
      <c r="Y109" s="306">
        <f ca="1">IF($A109="N/A"," ",IF(R109&lt;&gt;0,IF('Pricing Inputs'!$AN$3=2,8*VLOOKUP($A109,NumberofDaysTable,3),(_xll.xSPRDOPT(K109,$E109,$BU109,0,$BP109,$BS109,$BT109,$A109-Inputs!$D$1,1,1))*(8*VLOOKUP($A109,NumberofDaysTable,3))),0))</f>
        <v>3.5920213147210944</v>
      </c>
      <c r="Z109" s="306">
        <f ca="1">IF($A109="N/A"," ",IF(S109&lt;&gt;0,IF('Pricing Inputs'!$AN$3=2,8*VLOOKUP($A109,NumberofDaysTable,3),(_xll.xSPRDOPT(L109,$E109,$BU109,0,$BP109,$BS109,$BT109,$A109-Inputs!$D$1,1,1))*(8*VLOOKUP($A109,NumberofDaysTable,3))),0))</f>
        <v>4.332219223620756</v>
      </c>
      <c r="AA109" s="306">
        <f ca="1">IF($A109="N/A"," ",IF(T109&lt;&gt;0,IF('Pricing Inputs'!$AN$3=2,8*VLOOKUP($A109,NumberofDaysTable,4),(_xll.xSPRDOPT(M109,$E109,$BU109,0,$BP109,$BS109,$BT109,$A109-Inputs!$D$1,1,1))*(8*VLOOKUP($A109,NumberofDaysTable,4))),0))</f>
        <v>1.4474895581671505</v>
      </c>
      <c r="AB109" s="306">
        <f ca="1">IF($A109="N/A"," ",IF(U109&lt;&gt;0,IF('Pricing Inputs'!$AN$3=2,8*VLOOKUP($A109,NumberofDaysTable,4),(_xll.xSPRDOPT(N109,$E109,$BU109,0,$BP109,$BS109,$BT109,$A109-Inputs!$D$1,1,1))*(8*VLOOKUP($A109,NumberofDaysTable,4))),0))</f>
        <v>1.8020532020850919</v>
      </c>
      <c r="AC109" s="306">
        <f t="shared" ca="1" si="132"/>
        <v>0</v>
      </c>
      <c r="AD109" s="274">
        <f t="shared" ca="1" si="190"/>
        <v>23</v>
      </c>
      <c r="AE109" s="275">
        <f t="shared" ca="1" si="191"/>
        <v>21</v>
      </c>
      <c r="AF109" s="275">
        <f t="shared" ca="1" si="192"/>
        <v>47</v>
      </c>
      <c r="AG109" s="275">
        <f t="shared" ca="1" si="193"/>
        <v>40</v>
      </c>
      <c r="AH109" s="275">
        <f t="shared" ca="1" si="194"/>
        <v>57</v>
      </c>
      <c r="AI109" s="275">
        <f t="shared" ca="1" si="195"/>
        <v>56</v>
      </c>
      <c r="AJ109" s="276">
        <f t="shared" ca="1" si="196"/>
        <v>73</v>
      </c>
      <c r="AK109" s="314">
        <f t="shared" ca="1" si="158"/>
        <v>64.023087453463376</v>
      </c>
      <c r="AL109" s="315">
        <f t="shared" ca="1" si="159"/>
        <v>71.160412170089714</v>
      </c>
      <c r="AM109" s="315">
        <f t="shared" ca="1" si="160"/>
        <v>3.5920213147210944</v>
      </c>
      <c r="AN109" s="315">
        <f t="shared" ca="1" si="161"/>
        <v>4.332219223620756</v>
      </c>
      <c r="AO109" s="315">
        <f t="shared" ca="1" si="162"/>
        <v>1.4474895581671505</v>
      </c>
      <c r="AP109" s="315">
        <f t="shared" ca="1" si="163"/>
        <v>1.8020532020850919</v>
      </c>
      <c r="AQ109" s="315">
        <f t="shared" ca="1" si="164"/>
        <v>0</v>
      </c>
      <c r="AR109" s="284" t="s">
        <v>1292</v>
      </c>
      <c r="AS109" s="321">
        <f t="shared" ca="1" si="183"/>
        <v>0</v>
      </c>
      <c r="AT109" s="324">
        <f t="shared" ca="1" si="184"/>
        <v>0</v>
      </c>
      <c r="AU109" s="324">
        <f t="shared" ca="1" si="185"/>
        <v>0</v>
      </c>
      <c r="AV109" s="324">
        <f t="shared" ca="1" si="186"/>
        <v>0</v>
      </c>
      <c r="AW109" s="324">
        <f t="shared" ca="1" si="187"/>
        <v>0</v>
      </c>
      <c r="AX109" s="324">
        <f t="shared" ca="1" si="188"/>
        <v>0</v>
      </c>
      <c r="AY109" s="324">
        <f t="shared" ca="1" si="189"/>
        <v>0</v>
      </c>
      <c r="AZ109" s="283" t="s">
        <v>1304</v>
      </c>
      <c r="BA109" s="267">
        <f ca="1">IF($A109="N/A"," ",(IF(MONTH(A109)&gt;=4,IF(MONTH(A109)&lt;=10,Inputs!$F$13,Inputs!$F$14),Inputs!$F$14))*$BW109)</f>
        <v>180</v>
      </c>
      <c r="BB109" s="268">
        <f t="shared" ca="1" si="165"/>
        <v>52061.160672388258</v>
      </c>
      <c r="BC109" s="268">
        <f t="shared" ca="1" si="166"/>
        <v>61903.015868988849</v>
      </c>
      <c r="BD109" s="268">
        <f t="shared" ca="1" si="133"/>
        <v>1611.2096071855574</v>
      </c>
      <c r="BE109" s="268">
        <f t="shared" ca="1" si="134"/>
        <v>2064.3683663786451</v>
      </c>
      <c r="BF109" s="268">
        <f t="shared" ca="1" si="135"/>
        <v>534.72994402182144</v>
      </c>
      <c r="BG109" s="268">
        <f t="shared" ca="1" si="136"/>
        <v>705.47296519633187</v>
      </c>
      <c r="BH109" s="268">
        <f t="shared" ca="1" si="157"/>
        <v>0</v>
      </c>
      <c r="BI109" s="268">
        <f t="shared" ca="1" si="137"/>
        <v>118879.95742415947</v>
      </c>
      <c r="BJ109" s="296">
        <f t="shared" ca="1" si="138"/>
        <v>884606.82615892403</v>
      </c>
      <c r="BK109" s="296">
        <f t="shared" ca="1" si="139"/>
        <v>831918.20430695126</v>
      </c>
      <c r="BL109" s="296">
        <f t="shared" ca="1" si="140"/>
        <v>52688.621851972981</v>
      </c>
      <c r="BM109" s="296">
        <f t="shared" ca="1" si="141"/>
        <v>0</v>
      </c>
      <c r="BN109" s="405">
        <f>IF(A109="N/A"," ",(VLOOKUP(A109,PowerVolTable,(IF('Pricing Inputs'!$AT$3=2,7,IF('Pricing Inputs'!$AT$3=1,6,8))),FALSE)))</f>
        <v>0.16061408641508196</v>
      </c>
      <c r="BO109" s="405">
        <f>IF(A109="N/A"," ",(VLOOKUP(A109,IntraPowerVol,(IF('Pricing Inputs'!$AT$3=2,3,IF('Pricing Inputs'!$AT$3=1,2,4))),FALSE)*VLOOKUP(MONTH($A109),Inputs!$A$28:$B$39,2)))</f>
        <v>1.2649999999999999</v>
      </c>
      <c r="BP109" s="406">
        <f t="shared" ca="1" si="126"/>
        <v>0.18027494072706093</v>
      </c>
      <c r="BQ109" s="405">
        <f ca="1">IF($A109="N/A"," ",(VLOOKUP($A109,GasVolTable,(IF('Pricing Inputs'!$AT$3=2,6,IF('Pricing Inputs'!$AT$3=1,7,5))),FALSE)))</f>
        <v>0.1575</v>
      </c>
      <c r="BR109" s="405">
        <f ca="1">IF($A109="N/A"," ",(VLOOKUP($A109,OmicronVol,(IF('Pricing Inputs'!$AT$3=2,3,IF('Pricing Inputs'!$AT$3=1,4,2))),FALSE)))</f>
        <v>0.65</v>
      </c>
      <c r="BS109" s="406">
        <f ca="1">IF($A109="N/A"," ",IF('Pricing Inputs'!$AN$3=1,(IF(DateToday&gt;$A109,$BR109,((($BQ109^2)*((($A109-1)-DateToday)/((EOMONTH($A109,0)+1)-DateToday-15)))+((($BR109)^2)*((15)/((EOMONTH($A109,0)+1)-DateToday-15))))^0.5)),0.0001))</f>
        <v>0.16275375631992564</v>
      </c>
      <c r="BT109" s="405">
        <f>IF($A109="N/A"," ",IF('Pricing Inputs'!$AN$3=1,(VLOOKUP($A109,CorrelationTable,2,FALSE)),0))</f>
        <v>0.9</v>
      </c>
      <c r="BU109" s="407">
        <f ca="1">IF($A109="N/A"," ",F109+G109+(D109*(VLOOKUP($A109,'Gas Curves'!$B$17:$P$310,14,FALSE))))</f>
        <v>2.6825000000000001</v>
      </c>
      <c r="BV109" s="405">
        <f>IF($A109="N/A"," ",IF('Pricing Inputs'!$AW$3=1,0,(VLOOKUP($A109,InterestRatesTable,2))))</f>
        <v>0</v>
      </c>
      <c r="BW109" s="408">
        <f t="shared" ca="1" si="127"/>
        <v>1</v>
      </c>
    </row>
    <row r="110" spans="1:75">
      <c r="A110" s="248">
        <f>IF(A109="N/A","N/A",IF(EDATE(A109,1)&gt;Inputs!$K$3,"N/A",EDATE(A109,1)))</f>
        <v>40118</v>
      </c>
      <c r="B110" s="262">
        <f t="shared" si="128"/>
        <v>2009</v>
      </c>
      <c r="C110" s="249">
        <f t="shared" ca="1" si="129"/>
        <v>3.9074999999999998</v>
      </c>
      <c r="D110" s="250">
        <f>IF(A110="N/A"," ",(VLOOKUP(MONTH($A110),Inputs!$A$14:$B$25,2))/1000)</f>
        <v>10.5</v>
      </c>
      <c r="E110" s="304">
        <f t="shared" ca="1" si="130"/>
        <v>41.028749999999995</v>
      </c>
      <c r="F110" s="251">
        <f>IF(A110="N/A"," ",Inputs!$F$6)</f>
        <v>2</v>
      </c>
      <c r="G110" s="251">
        <f ca="1">IF(A110="N/A"," ",Inputs!$F$9/IF(AND('Pricing Inputs'!$AQ$3&gt;=4,'Pricing Inputs'!$AQ$3&lt;=6),16,IF(AND('Pricing Inputs'!$AQ$3&gt;=7,'Pricing Inputs'!$AQ$3&lt;=9),8,24))/(BA110/BW110))</f>
        <v>0</v>
      </c>
      <c r="H110" s="252">
        <f t="shared" ca="1" si="131"/>
        <v>43.028749999999995</v>
      </c>
      <c r="I110" s="255">
        <f>VLOOKUP(A110,ScaledPrice,(IF(AND('Pricing Inputs'!$AQ$3&gt;=1,'Pricing Inputs'!$AQ$3&lt;=6),2,4)))</f>
        <v>30.938011875000001</v>
      </c>
      <c r="J110" s="255">
        <f>IF(A110="N/A"," ",IF(AND('Pricing Inputs'!$AQ$3&gt;=1,'Pricing Inputs'!$AQ$3&lt;=6),I110,(VLOOKUP(A110,ScaledPrice,2))*(2-(VLOOKUP(A110,ScaledPrice,3)))))</f>
        <v>31.611988124999996</v>
      </c>
      <c r="K110" s="255">
        <f>IF(A110="N/A"," ",IF(OR('Pricing Inputs'!$AQ$3=2,'Pricing Inputs'!$AQ$3=3,'Pricing Inputs'!$AQ$3=5,'Pricing Inputs'!$AQ$3=6,'Pricing Inputs'!$AQ$3=8,'Pricing Inputs'!$AQ$3=9),VLOOKUP(A110,ScaledPrice,IF(AND('Pricing Inputs'!$AQ$3&gt;=2,'Pricing Inputs'!$AQ$3&lt;=6),5,6)),0))</f>
        <v>24.93317038856506</v>
      </c>
      <c r="L110" s="255">
        <f>IF(A110="N/A"," ",IF(OR('Pricing Inputs'!$AQ$3=2,'Pricing Inputs'!$AQ$3=3,'Pricing Inputs'!$AQ$3=5,'Pricing Inputs'!$AQ$3=6,'Pricing Inputs'!$AQ$3=8,'Pricing Inputs'!$AQ$3=9),IF(AND('Pricing Inputs'!$AQ$3&gt;=2,'Pricing Inputs'!$AQ$3&lt;=6),K110,(VLOOKUP(A110,ScaledPrice,5))*(2-(VLOOKUP(A110,ScaledPrice,3)))),0))</f>
        <v>25.476332785263054</v>
      </c>
      <c r="M110" s="255">
        <f>IF(A110="N/A"," ",IF(OR('Pricing Inputs'!$AQ$3=3,'Pricing Inputs'!$AQ$3=6,'Pricing Inputs'!$AQ$3=9),(VLOOKUP(A110,ScaledPrice,IF(AND('Pricing Inputs'!$AQ$3&gt;=3,'Pricing Inputs'!$AQ$3&lt;=6),7,8))),0))</f>
        <v>22.954471331367486</v>
      </c>
      <c r="N110" s="255">
        <f>IF(A110="N/A"," ",IF(OR('Pricing Inputs'!$AQ$3=3,'Pricing Inputs'!$AQ$3=6,'Pricing Inputs'!$AQ$3=9),IF(AND('Pricing Inputs'!$AQ$3&gt;=3,'Pricing Inputs'!$AQ$3&lt;=6),M110,(VLOOKUP(A110,ScaledPrice,7))*(2-(VLOOKUP(A110,ScaledPrice,3)))),0))</f>
        <v>23.454528302421565</v>
      </c>
      <c r="O110" s="255">
        <f>IF(A110="N/A"," ",IF(AND('Pricing Inputs'!$AQ$3&gt;=1,'Pricing Inputs'!$AQ$3&lt;=3),VLOOKUP(A110,ScaledPrice,9),0))</f>
        <v>0</v>
      </c>
      <c r="P110" s="320">
        <f ca="1">IF($A110="N/A"," ",IF('Pricing Inputs'!$AN$8=2,(I110-H110),IF('Pricing Inputs'!$AN$3=2,IF((I110-$H110)&gt;0,I110-$H110,0),(_xll.xSPRDOPT(I110,$E110,$BU110,0,$BP110,$BS110,$BT110,($A110-Inputs!$D$1)+15,1,0)))))</f>
        <v>0.36800750074302968</v>
      </c>
      <c r="Q110" s="320">
        <f ca="1">IF($A110="N/A"," ",IF('Pricing Inputs'!$AN$8=2,(J110-$H110),IF('Pricing Inputs'!$AN$3=2,IF((J110-$H110)&gt;0,J110-$H110,0),(_xll.xSPRDOPT(J110,$E110,$BU110,0,$BP110,$BS110,$BT110,($A110-Inputs!$D$1)+15,1,0)))))</f>
        <v>0.44641812056118602</v>
      </c>
      <c r="R110" s="320">
        <f ca="1">IF($A110="N/A"," ",IF('Pricing Inputs'!$AN$8=2,(K110-$H110),IF('Pricing Inputs'!$AN$3=2,IF((K110-$H110)&gt;0,K110-$H110,0),(_xll.xSPRDOPT(K110,$E110,$BU110,0,$BP110,$BS110,$BT110,($A110-Inputs!$D$1)+15,1,0)))))</f>
        <v>3.8839815212508191E-2</v>
      </c>
      <c r="S110" s="320">
        <f ca="1">IF($A110="N/A"," ",IF('Pricing Inputs'!$AN$8=2,(L110-$H110),IF('Pricing Inputs'!$AN$3=2,IF((L110-$H110)&gt;0,L110-$H110,0),(_xll.xSPRDOPT(L110,$E110,$BU110,0,$BP110,$BS110,$BT110,($A110-Inputs!$D$1)+15,1,0)))))</f>
        <v>4.9927343118865986E-2</v>
      </c>
      <c r="T110" s="320">
        <f ca="1">IF($A110="N/A"," ",IF('Pricing Inputs'!$AN$8=2,(M110-$H110),IF('Pricing Inputs'!$AN$3=2,IF((M110-$H110)&gt;0,M110-$H110,0),(_xll.xSPRDOPT(M110,$E110,$BU110,0,$BP110,$BS110,$BT110,($A110-Inputs!$D$1)+15,1,0)))))</f>
        <v>1.4002577855273103E-2</v>
      </c>
      <c r="U110" s="320">
        <f ca="1">IF($A110="N/A"," ",IF('Pricing Inputs'!$AN$8=2,(N110-$H110),IF('Pricing Inputs'!$AN$3=2,IF((N110-$H110)&gt;0,N110-$H110,0),(_xll.xSPRDOPT(N110,$E110,$BU110,0,$BP110,$BS110,$BT110,($A110-Inputs!$D$1)+15,1,0)))))</f>
        <v>1.8428210305389485E-2</v>
      </c>
      <c r="V110" s="259">
        <f ca="1">IF($A110="N/A"," ",(IF('Pricing Inputs'!$AN$8=2,(O110-$H110),IF((O110-$H110)&lt;=0,0,(O110-$H110)))))</f>
        <v>0</v>
      </c>
      <c r="W110" s="306">
        <f ca="1">IF($A110="N/A"," ",IF(0&lt;&gt;P110,IF('Pricing Inputs'!$AN$3=2,8*VLOOKUP($A110,NumberofDaysTable,2),(_xll.xSPRDOPT(I110,$E110,$BU110,0,$BP110,$BS110,$BT110,$A110-Inputs!$D$1,1,1))*(8*VLOOKUP($A110,NumberofDaysTable,2))),0))</f>
        <v>17.207108600279618</v>
      </c>
      <c r="X110" s="306">
        <f ca="1">IF($A110="N/A"," ",IF(Q110&lt;&gt;0,IF('Pricing Inputs'!$AN$3=2,8*VLOOKUP($A110,NumberofDaysTable,2),(_xll.xSPRDOPT(J110,$E110,$BU110,0,$BP110,$BS110,$BT110,$A110-Inputs!$D$1,1,1))*(8*VLOOKUP($A110,NumberofDaysTable,2))),0))</f>
        <v>19.865761240669023</v>
      </c>
      <c r="Y110" s="306">
        <f ca="1">IF($A110="N/A"," ",IF(R110&lt;&gt;0,IF('Pricing Inputs'!$AN$3=2,8*VLOOKUP($A110,NumberofDaysTable,3),(_xll.xSPRDOPT(K110,$E110,$BU110,0,$BP110,$BS110,$BT110,$A110-Inputs!$D$1,1,1))*(8*VLOOKUP($A110,NumberofDaysTable,3))),0))</f>
        <v>0.58069288752734438</v>
      </c>
      <c r="Z110" s="306">
        <f ca="1">IF($A110="N/A"," ",IF(S110&lt;&gt;0,IF('Pricing Inputs'!$AN$3=2,8*VLOOKUP($A110,NumberofDaysTable,3),(_xll.xSPRDOPT(L110,$E110,$BU110,0,$BP110,$BS110,$BT110,$A110-Inputs!$D$1,1,1))*(8*VLOOKUP($A110,NumberofDaysTable,3))),0))</f>
        <v>0.71374158614404837</v>
      </c>
      <c r="AA110" s="306">
        <f ca="1">IF($A110="N/A"," ",IF(T110&lt;&gt;0,IF('Pricing Inputs'!$AN$3=2,8*VLOOKUP($A110,NumberofDaysTable,4),(_xll.xSPRDOPT(M110,$E110,$BU110,0,$BP110,$BS110,$BT110,$A110-Inputs!$D$1,1,1))*(8*VLOOKUP($A110,NumberofDaysTable,4))),0))</f>
        <v>0.30960349430843032</v>
      </c>
      <c r="AB110" s="306">
        <f ca="1">IF($A110="N/A"," ",IF(U110&lt;&gt;0,IF('Pricing Inputs'!$AN$3=2,8*VLOOKUP($A110,NumberofDaysTable,4),(_xll.xSPRDOPT(N110,$E110,$BU110,0,$BP110,$BS110,$BT110,$A110-Inputs!$D$1,1,1))*(8*VLOOKUP($A110,NumberofDaysTable,4))),0))</f>
        <v>0.39021014864216358</v>
      </c>
      <c r="AC110" s="306">
        <f t="shared" ca="1" si="132"/>
        <v>0</v>
      </c>
      <c r="AD110" s="274">
        <f t="shared" ca="1" si="190"/>
        <v>36</v>
      </c>
      <c r="AE110" s="275">
        <f t="shared" ca="1" si="191"/>
        <v>34</v>
      </c>
      <c r="AF110" s="275">
        <f t="shared" ca="1" si="192"/>
        <v>62</v>
      </c>
      <c r="AG110" s="275">
        <f t="shared" ca="1" si="193"/>
        <v>60</v>
      </c>
      <c r="AH110" s="275">
        <f t="shared" ca="1" si="194"/>
        <v>68</v>
      </c>
      <c r="AI110" s="275">
        <f t="shared" ca="1" si="195"/>
        <v>66</v>
      </c>
      <c r="AJ110" s="276">
        <f t="shared" ca="1" si="196"/>
        <v>73</v>
      </c>
      <c r="AK110" s="314">
        <f t="shared" ca="1" si="158"/>
        <v>17.207108600279618</v>
      </c>
      <c r="AL110" s="315">
        <f t="shared" ca="1" si="159"/>
        <v>19.865761240669023</v>
      </c>
      <c r="AM110" s="315">
        <f t="shared" ca="1" si="160"/>
        <v>0.58069288752734438</v>
      </c>
      <c r="AN110" s="315">
        <f t="shared" ca="1" si="161"/>
        <v>0.71374158614404837</v>
      </c>
      <c r="AO110" s="315">
        <f t="shared" ca="1" si="162"/>
        <v>0.30960349430843032</v>
      </c>
      <c r="AP110" s="315">
        <f t="shared" ca="1" si="163"/>
        <v>0.39021014864216358</v>
      </c>
      <c r="AQ110" s="315">
        <f t="shared" ca="1" si="164"/>
        <v>0</v>
      </c>
      <c r="AR110" s="276">
        <f ca="1">SUM(AK100:AQ111)</f>
        <v>2154.5172854930756</v>
      </c>
      <c r="AS110" s="321">
        <f t="shared" ca="1" si="183"/>
        <v>0</v>
      </c>
      <c r="AT110" s="324">
        <f t="shared" ca="1" si="184"/>
        <v>0</v>
      </c>
      <c r="AU110" s="324">
        <f t="shared" ca="1" si="185"/>
        <v>0</v>
      </c>
      <c r="AV110" s="324">
        <f t="shared" ca="1" si="186"/>
        <v>0</v>
      </c>
      <c r="AW110" s="324">
        <f t="shared" ca="1" si="187"/>
        <v>0</v>
      </c>
      <c r="AX110" s="324">
        <f t="shared" ca="1" si="188"/>
        <v>0</v>
      </c>
      <c r="AY110" s="324">
        <f t="shared" ca="1" si="189"/>
        <v>0</v>
      </c>
      <c r="AZ110" s="276">
        <f ca="1">SUM(AS100:AY111)</f>
        <v>0</v>
      </c>
      <c r="BA110" s="267">
        <f ca="1">IF($A110="N/A"," ",(IF(MONTH(A110)&gt;=4,IF(MONTH(A110)&lt;=10,Inputs!$F$13,Inputs!$F$14),Inputs!$F$14))*$BW110)</f>
        <v>180</v>
      </c>
      <c r="BB110" s="268">
        <f t="shared" ca="1" si="165"/>
        <v>10598.616021399255</v>
      </c>
      <c r="BC110" s="268">
        <f t="shared" ca="1" si="166"/>
        <v>12856.841872162157</v>
      </c>
      <c r="BD110" s="268">
        <f t="shared" ca="1" si="133"/>
        <v>223.71733562404719</v>
      </c>
      <c r="BE110" s="268">
        <f t="shared" ca="1" si="134"/>
        <v>287.58149636466806</v>
      </c>
      <c r="BF110" s="268">
        <f t="shared" ca="1" si="135"/>
        <v>120.98227266955961</v>
      </c>
      <c r="BG110" s="268">
        <f t="shared" ca="1" si="136"/>
        <v>159.21973703856514</v>
      </c>
      <c r="BH110" s="268">
        <f t="shared" ca="1" si="157"/>
        <v>0</v>
      </c>
      <c r="BI110" s="268">
        <f t="shared" ca="1" si="137"/>
        <v>24246.958735258253</v>
      </c>
      <c r="BJ110" s="296">
        <f t="shared" ca="1" si="138"/>
        <v>302581.66532702697</v>
      </c>
      <c r="BK110" s="296">
        <f t="shared" ca="1" si="139"/>
        <v>288517.5028623016</v>
      </c>
      <c r="BL110" s="296">
        <f t="shared" ca="1" si="140"/>
        <v>14064.162464725425</v>
      </c>
      <c r="BM110" s="296">
        <f t="shared" ca="1" si="141"/>
        <v>0</v>
      </c>
      <c r="BN110" s="405">
        <f>IF(A110="N/A"," ",(VLOOKUP(A110,PowerVolTable,(IF('Pricing Inputs'!$AT$3=2,7,IF('Pricing Inputs'!$AT$3=1,6,8))),FALSE)))</f>
        <v>0.16061408641508196</v>
      </c>
      <c r="BO110" s="405">
        <f>IF(A110="N/A"," ",(VLOOKUP(A110,IntraPowerVol,(IF('Pricing Inputs'!$AT$3=2,3,IF('Pricing Inputs'!$AT$3=1,2,4))),FALSE)*VLOOKUP(MONTH($A110),Inputs!$A$28:$B$39,2)))</f>
        <v>1.4375</v>
      </c>
      <c r="BP110" s="406">
        <f t="shared" ca="1" si="126"/>
        <v>0.18553066900456078</v>
      </c>
      <c r="BQ110" s="405">
        <f ca="1">IF($A110="N/A"," ",(VLOOKUP($A110,GasVolTable,(IF('Pricing Inputs'!$AT$3=2,6,IF('Pricing Inputs'!$AT$3=1,7,5))),FALSE)))</f>
        <v>0.1575</v>
      </c>
      <c r="BR110" s="405">
        <f ca="1">IF($A110="N/A"," ",(VLOOKUP($A110,OmicronVol,(IF('Pricing Inputs'!$AT$3=2,3,IF('Pricing Inputs'!$AT$3=1,4,2))),FALSE)))</f>
        <v>0.95</v>
      </c>
      <c r="BS110" s="406">
        <f ca="1">IF($A110="N/A"," ",IF('Pricing Inputs'!$AN$3=1,(IF(DateToday&gt;$A110,$BR110,((($BQ110^2)*((($A110-1)-DateToday)/((EOMONTH($A110,0)+1)-DateToday-15)))+((($BR110)^2)*((15)/((EOMONTH($A110,0)+1)-DateToday-15))))^0.5)),0.0001))</f>
        <v>0.16885497612176822</v>
      </c>
      <c r="BT110" s="405">
        <f>IF($A110="N/A"," ",IF('Pricing Inputs'!$AN$3=1,(VLOOKUP($A110,CorrelationTable,2,FALSE)),0))</f>
        <v>0.9</v>
      </c>
      <c r="BU110" s="407">
        <f ca="1">IF($A110="N/A"," ",F110+G110+(D110*(VLOOKUP($A110,'Gas Curves'!$B$17:$P$310,14,FALSE))))</f>
        <v>2.6825000000000001</v>
      </c>
      <c r="BV110" s="405">
        <f>IF($A110="N/A"," ",IF('Pricing Inputs'!$AW$3=1,0,(VLOOKUP($A110,InterestRatesTable,2))))</f>
        <v>0</v>
      </c>
      <c r="BW110" s="408">
        <f t="shared" ca="1" si="127"/>
        <v>1</v>
      </c>
    </row>
    <row r="111" spans="1:75">
      <c r="A111" s="248">
        <f>IF(A110="N/A","N/A",IF(EDATE(A110,1)&gt;Inputs!$K$3,"N/A",EDATE(A110,1)))</f>
        <v>40148</v>
      </c>
      <c r="B111" s="262">
        <f t="shared" si="128"/>
        <v>2009</v>
      </c>
      <c r="C111" s="249">
        <f t="shared" ca="1" si="129"/>
        <v>4.3464999999999998</v>
      </c>
      <c r="D111" s="250">
        <f>IF(A111="N/A"," ",(VLOOKUP(MONTH($A111),Inputs!$A$14:$B$25,2))/1000)</f>
        <v>10.5</v>
      </c>
      <c r="E111" s="304">
        <f t="shared" ca="1" si="130"/>
        <v>45.638249999999999</v>
      </c>
      <c r="F111" s="251">
        <f>IF(A111="N/A"," ",Inputs!$F$6)</f>
        <v>2</v>
      </c>
      <c r="G111" s="251">
        <f ca="1">IF(A111="N/A"," ",Inputs!$F$9/IF(AND('Pricing Inputs'!$AQ$3&gt;=4,'Pricing Inputs'!$AQ$3&lt;=6),16,IF(AND('Pricing Inputs'!$AQ$3&gt;=7,'Pricing Inputs'!$AQ$3&lt;=9),8,24))/(BA111/BW111))</f>
        <v>0</v>
      </c>
      <c r="H111" s="252">
        <f t="shared" ca="1" si="131"/>
        <v>47.638249999999999</v>
      </c>
      <c r="I111" s="255">
        <f>VLOOKUP(A111,ScaledPrice,(IF(AND('Pricing Inputs'!$AQ$3&gt;=1,'Pricing Inputs'!$AQ$3&lt;=6),2,4)))</f>
        <v>30.480880716335744</v>
      </c>
      <c r="J111" s="255">
        <f>IF(A111="N/A"," ",IF(AND('Pricing Inputs'!$AQ$3&gt;=1,'Pricing Inputs'!$AQ$3&lt;=6),I111,(VLOOKUP(A111,ScaledPrice,2))*(2-(VLOOKUP(A111,ScaledPrice,3)))))</f>
        <v>31.81911928366425</v>
      </c>
      <c r="K111" s="255">
        <f>IF(A111="N/A"," ",IF(OR('Pricing Inputs'!$AQ$3=2,'Pricing Inputs'!$AQ$3=3,'Pricing Inputs'!$AQ$3=5,'Pricing Inputs'!$AQ$3=6,'Pricing Inputs'!$AQ$3=8,'Pricing Inputs'!$AQ$3=9),VLOOKUP(A111,ScaledPrice,IF(AND('Pricing Inputs'!$AQ$3&gt;=2,'Pricing Inputs'!$AQ$3&lt;=6),5,6)),0))</f>
        <v>26.082434242641718</v>
      </c>
      <c r="L111" s="255">
        <f>IF(A111="N/A"," ",IF(OR('Pricing Inputs'!$AQ$3=2,'Pricing Inputs'!$AQ$3=3,'Pricing Inputs'!$AQ$3=5,'Pricing Inputs'!$AQ$3=6,'Pricing Inputs'!$AQ$3=8,'Pricing Inputs'!$AQ$3=9),IF(AND('Pricing Inputs'!$AQ$3&gt;=2,'Pricing Inputs'!$AQ$3&lt;=6),K111,(VLOOKUP(A111,ScaledPrice,5))*(2-(VLOOKUP(A111,ScaledPrice,3)))),0))</f>
        <v>27.227562553012564</v>
      </c>
      <c r="M111" s="255">
        <f>IF(A111="N/A"," ",IF(OR('Pricing Inputs'!$AQ$3=3,'Pricing Inputs'!$AQ$3=6,'Pricing Inputs'!$AQ$3=9),(VLOOKUP(A111,ScaledPrice,IF(AND('Pricing Inputs'!$AQ$3&gt;=3,'Pricing Inputs'!$AQ$3&lt;=6),7,8))),0))</f>
        <v>22.652724408606929</v>
      </c>
      <c r="N111" s="255">
        <f>IF(A111="N/A"," ",IF(OR('Pricing Inputs'!$AQ$3=3,'Pricing Inputs'!$AQ$3=6,'Pricing Inputs'!$AQ$3=9),IF(AND('Pricing Inputs'!$AQ$3&gt;=3,'Pricing Inputs'!$AQ$3&lt;=6),M111,(VLOOKUP(A111,ScaledPrice,7))*(2-(VLOOKUP(A111,ScaledPrice,3)))),0))</f>
        <v>23.64727406551415</v>
      </c>
      <c r="O111" s="255">
        <f>IF(A111="N/A"," ",IF(AND('Pricing Inputs'!$AQ$3&gt;=1,'Pricing Inputs'!$AQ$3&lt;=3),VLOOKUP(A111,ScaledPrice,9),0))</f>
        <v>0</v>
      </c>
      <c r="P111" s="320">
        <f ca="1">IF($A111="N/A"," ",IF('Pricing Inputs'!$AN$8=2,(I111-H111),IF('Pricing Inputs'!$AN$3=2,IF((I111-$H111)&gt;0,I111-$H111,0),(_xll.xSPRDOPT(I111,$E111,$BU111,0,$BP111,$BS111,$BT111,($A111-Inputs!$D$1)+15,1,0)))))</f>
        <v>0.15305059698254733</v>
      </c>
      <c r="Q111" s="320">
        <f ca="1">IF($A111="N/A"," ",IF('Pricing Inputs'!$AN$8=2,(J111-$H111),IF('Pricing Inputs'!$AN$3=2,IF((J111-$H111)&gt;0,J111-$H111,0),(_xll.xSPRDOPT(J111,$E111,$BU111,0,$BP111,$BS111,$BT111,($A111-Inputs!$D$1)+15,1,0)))))</f>
        <v>0.23345533622270506</v>
      </c>
      <c r="R111" s="320">
        <f ca="1">IF($A111="N/A"," ",IF('Pricing Inputs'!$AN$8=2,(K111-$H111),IF('Pricing Inputs'!$AN$3=2,IF((K111-$H111)&gt;0,K111-$H111,0),(_xll.xSPRDOPT(K111,$E111,$BU111,0,$BP111,$BS111,$BT111,($A111-Inputs!$D$1)+15,1,0)))))</f>
        <v>2.747685796989903E-2</v>
      </c>
      <c r="S111" s="320">
        <f ca="1">IF($A111="N/A"," ",IF('Pricing Inputs'!$AN$8=2,(L111-$H111),IF('Pricing Inputs'!$AN$3=2,IF((L111-$H111)&gt;0,L111-$H111,0),(_xll.xSPRDOPT(L111,$E111,$BU111,0,$BP111,$BS111,$BT111,($A111-Inputs!$D$1)+15,1,0)))))</f>
        <v>4.5448117556078416E-2</v>
      </c>
      <c r="T111" s="320">
        <f ca="1">IF($A111="N/A"," ",IF('Pricing Inputs'!$AN$8=2,(M111-$H111),IF('Pricing Inputs'!$AN$3=2,IF((M111-$H111)&gt;0,M111-$H111,0),(_xll.xSPRDOPT(M111,$E111,$BU111,0,$BP111,$BS111,$BT111,($A111-Inputs!$D$1)+15,1,0)))))</f>
        <v>4.4748363829600407E-3</v>
      </c>
      <c r="U111" s="320">
        <f ca="1">IF($A111="N/A"," ",IF('Pricing Inputs'!$AN$8=2,(N111-$H111),IF('Pricing Inputs'!$AN$3=2,IF((N111-$H111)&gt;0,N111-$H111,0),(_xll.xSPRDOPT(N111,$E111,$BU111,0,$BP111,$BS111,$BT111,($A111-Inputs!$D$1)+15,1,0)))))</f>
        <v>7.992644414832167E-3</v>
      </c>
      <c r="V111" s="259">
        <f ca="1">IF($A111="N/A"," ",(IF('Pricing Inputs'!$AN$8=2,(O111-$H111),IF((O111-$H111)&lt;=0,0,(O111-$H111)))))</f>
        <v>0</v>
      </c>
      <c r="W111" s="306">
        <f ca="1">IF($A111="N/A"," ",IF(0&lt;&gt;P111,IF('Pricing Inputs'!$AN$3=2,8*VLOOKUP($A111,NumberofDaysTable,2),(_xll.xSPRDOPT(I111,$E111,$BU111,0,$BP111,$BS111,$BT111,$A111-Inputs!$D$1,1,1))*(8*VLOOKUP($A111,NumberofDaysTable,2))),0))</f>
        <v>8.8341530311928356</v>
      </c>
      <c r="X111" s="306">
        <f ca="1">IF($A111="N/A"," ",IF(Q111&lt;&gt;0,IF('Pricing Inputs'!$AN$3=2,8*VLOOKUP($A111,NumberofDaysTable,2),(_xll.xSPRDOPT(J111,$E111,$BU111,0,$BP111,$BS111,$BT111,$A111-Inputs!$D$1,1,1))*(8*VLOOKUP($A111,NumberofDaysTable,2))),0))</f>
        <v>12.278310002799824</v>
      </c>
      <c r="Y111" s="306">
        <f ca="1">IF($A111="N/A"," ",IF(R111&lt;&gt;0,IF('Pricing Inputs'!$AN$3=2,8*VLOOKUP($A111,NumberofDaysTable,3),(_xll.xSPRDOPT(K111,$E111,$BU111,0,$BP111,$BS111,$BT111,$A111-Inputs!$D$1,1,1))*(8*VLOOKUP($A111,NumberofDaysTable,3))),0))</f>
        <v>0.398350109276638</v>
      </c>
      <c r="Z111" s="306">
        <f ca="1">IF($A111="N/A"," ",IF(S111&lt;&gt;0,IF('Pricing Inputs'!$AN$3=2,8*VLOOKUP($A111,NumberofDaysTable,3),(_xll.xSPRDOPT(L111,$E111,$BU111,0,$BP111,$BS111,$BT111,$A111-Inputs!$D$1,1,1))*(8*VLOOKUP($A111,NumberofDaysTable,3))),0))</f>
        <v>0.60401593223204819</v>
      </c>
      <c r="AA111" s="306">
        <f ca="1">IF($A111="N/A"," ",IF(T111&lt;&gt;0,IF('Pricing Inputs'!$AN$3=2,8*VLOOKUP($A111,NumberofDaysTable,4),(_xll.xSPRDOPT(M111,$E111,$BU111,0,$BP111,$BS111,$BT111,$A111-Inputs!$D$1,1,1))*(8*VLOOKUP($A111,NumberofDaysTable,4))),0))</f>
        <v>8.5403507940125939E-2</v>
      </c>
      <c r="AB111" s="306">
        <f ca="1">IF($A111="N/A"," ",IF(U111&lt;&gt;0,IF('Pricing Inputs'!$AN$3=2,8*VLOOKUP($A111,NumberofDaysTable,4),(_xll.xSPRDOPT(N111,$E111,$BU111,0,$BP111,$BS111,$BT111,$A111-Inputs!$D$1,1,1))*(8*VLOOKUP($A111,NumberofDaysTable,4))),0))</f>
        <v>0.14050661426002406</v>
      </c>
      <c r="AC111" s="306">
        <f t="shared" ca="1" si="132"/>
        <v>0</v>
      </c>
      <c r="AD111" s="277">
        <f t="shared" ca="1" si="190"/>
        <v>52</v>
      </c>
      <c r="AE111" s="278">
        <f t="shared" ca="1" si="191"/>
        <v>45</v>
      </c>
      <c r="AF111" s="278">
        <f t="shared" ca="1" si="192"/>
        <v>63</v>
      </c>
      <c r="AG111" s="278">
        <f t="shared" ca="1" si="193"/>
        <v>61</v>
      </c>
      <c r="AH111" s="278">
        <f t="shared" ca="1" si="194"/>
        <v>72</v>
      </c>
      <c r="AI111" s="278">
        <f t="shared" ca="1" si="195"/>
        <v>71</v>
      </c>
      <c r="AJ111" s="279">
        <f t="shared" ca="1" si="196"/>
        <v>73</v>
      </c>
      <c r="AK111" s="316">
        <f t="shared" ca="1" si="158"/>
        <v>8.8341530311928356</v>
      </c>
      <c r="AL111" s="317">
        <f t="shared" ca="1" si="159"/>
        <v>12.278310002799824</v>
      </c>
      <c r="AM111" s="317">
        <f t="shared" ca="1" si="160"/>
        <v>0.398350109276638</v>
      </c>
      <c r="AN111" s="317">
        <f t="shared" ca="1" si="161"/>
        <v>0.60401593223204819</v>
      </c>
      <c r="AO111" s="317">
        <f t="shared" ca="1" si="162"/>
        <v>8.5403507940125939E-2</v>
      </c>
      <c r="AP111" s="317">
        <f t="shared" ca="1" si="163"/>
        <v>0.14050661426002406</v>
      </c>
      <c r="AQ111" s="317">
        <f t="shared" ca="1" si="164"/>
        <v>0</v>
      </c>
      <c r="AR111" s="279">
        <f ca="1">IF(($AP$2-AR110)&gt;=0,$AP$2-AR110,0)</f>
        <v>0</v>
      </c>
      <c r="AS111" s="325">
        <f t="shared" ca="1" si="183"/>
        <v>0</v>
      </c>
      <c r="AT111" s="326">
        <f t="shared" ca="1" si="184"/>
        <v>0</v>
      </c>
      <c r="AU111" s="326">
        <f t="shared" ca="1" si="185"/>
        <v>0</v>
      </c>
      <c r="AV111" s="326">
        <f t="shared" ca="1" si="186"/>
        <v>0</v>
      </c>
      <c r="AW111" s="326">
        <f t="shared" ca="1" si="187"/>
        <v>0</v>
      </c>
      <c r="AX111" s="326">
        <f t="shared" ca="1" si="188"/>
        <v>0</v>
      </c>
      <c r="AY111" s="326">
        <f t="shared" ca="1" si="189"/>
        <v>0</v>
      </c>
      <c r="AZ111" s="285">
        <f ca="1">AR110+AZ110</f>
        <v>2154.5172854930756</v>
      </c>
      <c r="BA111" s="267">
        <f ca="1">IF($A111="N/A"," ",(IF(MONTH(A111)&gt;=4,IF(MONTH(A111)&lt;=10,Inputs!$F$13,Inputs!$F$14),Inputs!$F$14))*$BW111)</f>
        <v>180</v>
      </c>
      <c r="BB111" s="268">
        <f t="shared" ca="1" si="165"/>
        <v>4848.6429124070992</v>
      </c>
      <c r="BC111" s="268">
        <f t="shared" ca="1" si="166"/>
        <v>7395.8650515352965</v>
      </c>
      <c r="BD111" s="268">
        <f t="shared" ca="1" si="133"/>
        <v>158.26670190661841</v>
      </c>
      <c r="BE111" s="268">
        <f t="shared" ca="1" si="134"/>
        <v>261.78115712301167</v>
      </c>
      <c r="BF111" s="268">
        <f t="shared" ca="1" si="135"/>
        <v>32.218821957312294</v>
      </c>
      <c r="BG111" s="268">
        <f t="shared" ca="1" si="136"/>
        <v>57.547039786791601</v>
      </c>
      <c r="BH111" s="268">
        <f t="shared" ca="1" si="157"/>
        <v>0</v>
      </c>
      <c r="BI111" s="268">
        <f t="shared" ca="1" si="137"/>
        <v>12754.321684716131</v>
      </c>
      <c r="BJ111" s="296">
        <f t="shared" ca="1" si="138"/>
        <v>191569.26943528256</v>
      </c>
      <c r="BK111" s="296">
        <f t="shared" ca="1" si="139"/>
        <v>183526.60332411004</v>
      </c>
      <c r="BL111" s="296">
        <f t="shared" ca="1" si="140"/>
        <v>8042.666111172538</v>
      </c>
      <c r="BM111" s="296">
        <f t="shared" ca="1" si="141"/>
        <v>0</v>
      </c>
      <c r="BN111" s="405">
        <f>IF(A111="N/A"," ",(VLOOKUP(A111,PowerVolTable,(IF('Pricing Inputs'!$AT$3=2,7,IF('Pricing Inputs'!$AT$3=1,6,8))),FALSE)))</f>
        <v>0.16634603894141947</v>
      </c>
      <c r="BO111" s="405">
        <f>IF(A111="N/A"," ",(VLOOKUP(A111,IntraPowerVol,(IF('Pricing Inputs'!$AT$3=2,3,IF('Pricing Inputs'!$AT$3=1,2,4))),FALSE)*VLOOKUP(MONTH($A111),Inputs!$A$28:$B$39,2)))</f>
        <v>1.4375</v>
      </c>
      <c r="BP111" s="406">
        <f t="shared" ca="1" si="126"/>
        <v>0.19027581056817269</v>
      </c>
      <c r="BQ111" s="405">
        <f ca="1">IF($A111="N/A"," ",(VLOOKUP($A111,GasVolTable,(IF('Pricing Inputs'!$AT$3=2,6,IF('Pricing Inputs'!$AT$3=1,7,5))),FALSE)))</f>
        <v>0.155</v>
      </c>
      <c r="BR111" s="405">
        <f ca="1">IF($A111="N/A"," ",(VLOOKUP($A111,OmicronVol,(IF('Pricing Inputs'!$AT$3=2,3,IF('Pricing Inputs'!$AT$3=1,4,2))),FALSE)))</f>
        <v>1.25</v>
      </c>
      <c r="BS111" s="406">
        <f ca="1">IF($A111="N/A"," ",IF('Pricing Inputs'!$AN$3=1,(IF(DateToday&gt;$A111,$BR111,((($BQ111^2)*((($A111-1)-DateToday)/((EOMONTH($A111,0)+1)-DateToday-15)))+((($BR111)^2)*((15)/((EOMONTH($A111,0)+1)-DateToday-15))))^0.5)),0.0001))</f>
        <v>0.17453680863300511</v>
      </c>
      <c r="BT111" s="405">
        <f>IF($A111="N/A"," ",IF('Pricing Inputs'!$AN$3=1,(VLOOKUP($A111,CorrelationTable,2,FALSE)),0))</f>
        <v>0.9</v>
      </c>
      <c r="BU111" s="407">
        <f ca="1">IF($A111="N/A"," ",F111+G111+(D111*(VLOOKUP($A111,'Gas Curves'!$B$17:$P$310,14,FALSE))))</f>
        <v>2.6825000000000001</v>
      </c>
      <c r="BV111" s="405">
        <f>IF($A111="N/A"," ",IF('Pricing Inputs'!$AW$3=1,0,(VLOOKUP($A111,InterestRatesTable,2))))</f>
        <v>0</v>
      </c>
      <c r="BW111" s="408">
        <f t="shared" ca="1" si="127"/>
        <v>1</v>
      </c>
    </row>
    <row r="112" spans="1:75">
      <c r="A112" s="248">
        <f>IF(A111="N/A","N/A",IF(EDATE(A111,1)&gt;Inputs!$K$3,"N/A",EDATE(A111,1)))</f>
        <v>40179</v>
      </c>
      <c r="B112" s="262">
        <f t="shared" si="128"/>
        <v>2010</v>
      </c>
      <c r="C112" s="249">
        <f t="shared" ca="1" si="129"/>
        <v>4.8849999999999998</v>
      </c>
      <c r="D112" s="250">
        <f>IF(A112="N/A"," ",(VLOOKUP(MONTH($A112),Inputs!$A$14:$B$25,2))/1000)</f>
        <v>10.5</v>
      </c>
      <c r="E112" s="304">
        <f t="shared" ca="1" si="130"/>
        <v>51.292499999999997</v>
      </c>
      <c r="F112" s="251">
        <f>IF(A112="N/A"," ",Inputs!$F$6)</f>
        <v>2</v>
      </c>
      <c r="G112" s="251">
        <f ca="1">IF(A112="N/A"," ",Inputs!$F$9/IF(AND('Pricing Inputs'!$AQ$3&gt;=4,'Pricing Inputs'!$AQ$3&lt;=6),16,IF(AND('Pricing Inputs'!$AQ$3&gt;=7,'Pricing Inputs'!$AQ$3&lt;=9),8,24))/(BA112/BW112))</f>
        <v>0</v>
      </c>
      <c r="H112" s="252">
        <f t="shared" ca="1" si="131"/>
        <v>53.292499999999997</v>
      </c>
      <c r="I112" s="255">
        <f>VLOOKUP(A112,ScaledPrice,(IF(AND('Pricing Inputs'!$AQ$3&gt;=1,'Pricing Inputs'!$AQ$3&lt;=6),2,4)))</f>
        <v>36.294509053972398</v>
      </c>
      <c r="J112" s="255">
        <f>IF(A112="N/A"," ",IF(AND('Pricing Inputs'!$AQ$3&gt;=1,'Pricing Inputs'!$AQ$3&lt;=6),I112,(VLOOKUP(A112,ScaledPrice,2))*(2-(VLOOKUP(A112,ScaledPrice,3)))))</f>
        <v>38.605490946027608</v>
      </c>
      <c r="K112" s="255">
        <f>IF(A112="N/A"," ",IF(OR('Pricing Inputs'!$AQ$3=2,'Pricing Inputs'!$AQ$3=3,'Pricing Inputs'!$AQ$3=5,'Pricing Inputs'!$AQ$3=6,'Pricing Inputs'!$AQ$3=8,'Pricing Inputs'!$AQ$3=9),VLOOKUP(A112,ScaledPrice,IF(AND('Pricing Inputs'!$AQ$3&gt;=2,'Pricing Inputs'!$AQ$3&lt;=6),5,6)),0))</f>
        <v>29.121617377449287</v>
      </c>
      <c r="L112" s="255">
        <f>IF(A112="N/A"," ",IF(OR('Pricing Inputs'!$AQ$3=2,'Pricing Inputs'!$AQ$3=3,'Pricing Inputs'!$AQ$3=5,'Pricing Inputs'!$AQ$3=6,'Pricing Inputs'!$AQ$3=8,'Pricing Inputs'!$AQ$3=9),IF(AND('Pricing Inputs'!$AQ$3&gt;=2,'Pricing Inputs'!$AQ$3&lt;=6),K112,(VLOOKUP(A112,ScaledPrice,5))*(2-(VLOOKUP(A112,ScaledPrice,3)))),0))</f>
        <v>30.975879418205</v>
      </c>
      <c r="M112" s="255">
        <f>IF(A112="N/A"," ",IF(OR('Pricing Inputs'!$AQ$3=3,'Pricing Inputs'!$AQ$3=6,'Pricing Inputs'!$AQ$3=9),(VLOOKUP(A112,ScaledPrice,IF(AND('Pricing Inputs'!$AQ$3&gt;=3,'Pricing Inputs'!$AQ$3&lt;=6),7,8))),0))</f>
        <v>27.671534721005319</v>
      </c>
      <c r="N112" s="255">
        <f>IF(A112="N/A"," ",IF(OR('Pricing Inputs'!$AQ$3=3,'Pricing Inputs'!$AQ$3=6,'Pricing Inputs'!$AQ$3=9),IF(AND('Pricing Inputs'!$AQ$3&gt;=3,'Pricing Inputs'!$AQ$3&lt;=6),M112,(VLOOKUP(A112,ScaledPrice,7))*(2-(VLOOKUP(A112,ScaledPrice,3)))),0))</f>
        <v>29.433465584170452</v>
      </c>
      <c r="O112" s="255">
        <f>IF(A112="N/A"," ",IF(AND('Pricing Inputs'!$AQ$3&gt;=1,'Pricing Inputs'!$AQ$3&lt;=3),VLOOKUP(A112,ScaledPrice,9),0))</f>
        <v>0</v>
      </c>
      <c r="P112" s="320">
        <f ca="1">IF($A112="N/A"," ",IF('Pricing Inputs'!$AN$8=2,(I112-H112),IF('Pricing Inputs'!$AN$3=2,IF((I112-$H112)&gt;0,I112-$H112,0),(_xll.xSPRDOPT(I112,$E112,$BU112,0,$BP112,$BS112,$BT112,($A112-Inputs!$D$1)+15,1,0)))))</f>
        <v>0.91291051786118604</v>
      </c>
      <c r="Q112" s="320">
        <f ca="1">IF($A112="N/A"," ",IF('Pricing Inputs'!$AN$8=2,(J112-$H112),IF('Pricing Inputs'!$AN$3=2,IF((J112-$H112)&gt;0,J112-$H112,0),(_xll.xSPRDOPT(J112,$E112,$BU112,0,$BP112,$BS112,$BT112,($A112-Inputs!$D$1)+15,1,0)))))</f>
        <v>1.3421173584399388</v>
      </c>
      <c r="R112" s="320">
        <f ca="1">IF($A112="N/A"," ",IF('Pricing Inputs'!$AN$8=2,(K112-$H112),IF('Pricing Inputs'!$AN$3=2,IF((K112-$H112)&gt;0,K112-$H112,0),(_xll.xSPRDOPT(K112,$E112,$BU112,0,$BP112,$BS112,$BT112,($A112-Inputs!$D$1)+15,1,0)))))</f>
        <v>0.18829493534909622</v>
      </c>
      <c r="S112" s="320">
        <f ca="1">IF($A112="N/A"," ",IF('Pricing Inputs'!$AN$8=2,(L112-$H112),IF('Pricing Inputs'!$AN$3=2,IF((L112-$H112)&gt;0,L112-$H112,0),(_xll.xSPRDOPT(L112,$E112,$BU112,0,$BP112,$BS112,$BT112,($A112-Inputs!$D$1)+15,1,0)))))</f>
        <v>0.30299973187301238</v>
      </c>
      <c r="T112" s="320">
        <f ca="1">IF($A112="N/A"," ",IF('Pricing Inputs'!$AN$8=2,(M112-$H112),IF('Pricing Inputs'!$AN$3=2,IF((M112-$H112)&gt;0,M112-$H112,0),(_xll.xSPRDOPT(M112,$E112,$BU112,0,$BP112,$BS112,$BT112,($A112-Inputs!$D$1)+15,1,0)))))</f>
        <v>0.12448464662735226</v>
      </c>
      <c r="U112" s="320">
        <f ca="1">IF($A112="N/A"," ",IF('Pricing Inputs'!$AN$8=2,(N112-$H112),IF('Pricing Inputs'!$AN$3=2,IF((N112-$H112)&gt;0,N112-$H112,0),(_xll.xSPRDOPT(N112,$E112,$BU112,0,$BP112,$BS112,$BT112,($A112-Inputs!$D$1)+15,1,0)))))</f>
        <v>0.20479139073255581</v>
      </c>
      <c r="V112" s="259">
        <f ca="1">IF($A112="N/A"," ",(IF('Pricing Inputs'!$AN$8=2,(O112-$H112),IF((O112-$H112)&lt;=0,0,(O112-$H112)))))</f>
        <v>0</v>
      </c>
      <c r="W112" s="306">
        <f ca="1">IF($A112="N/A"," ",IF(0&lt;&gt;P112,IF('Pricing Inputs'!$AN$3=2,8*VLOOKUP($A112,NumberofDaysTable,2),(_xll.xSPRDOPT(I112,$E112,$BU112,0,$BP112,$BS112,$BT112,$A112-Inputs!$D$1,1,1))*(8*VLOOKUP($A112,NumberofDaysTable,2))),0))</f>
        <v>25.805135521847848</v>
      </c>
      <c r="X112" s="306">
        <f ca="1">IF($A112="N/A"," ",IF(Q112&lt;&gt;0,IF('Pricing Inputs'!$AN$3=2,8*VLOOKUP($A112,NumberofDaysTable,2),(_xll.xSPRDOPT(J112,$E112,$BU112,0,$BP112,$BS112,$BT112,$A112-Inputs!$D$1,1,1))*(8*VLOOKUP($A112,NumberofDaysTable,2))),0))</f>
        <v>33.535356531144807</v>
      </c>
      <c r="Y112" s="306">
        <f ca="1">IF($A112="N/A"," ",IF(R112&lt;&gt;0,IF('Pricing Inputs'!$AN$3=2,8*VLOOKUP($A112,NumberofDaysTable,3),(_xll.xSPRDOPT(K112,$E112,$BU112,0,$BP112,$BS112,$BT112,$A112-Inputs!$D$1,1,1))*(8*VLOOKUP($A112,NumberofDaysTable,3))),0))</f>
        <v>2.0315474239346356</v>
      </c>
      <c r="Z112" s="306">
        <f ca="1">IF($A112="N/A"," ",IF(S112&lt;&gt;0,IF('Pricing Inputs'!$AN$3=2,8*VLOOKUP($A112,NumberofDaysTable,3),(_xll.xSPRDOPT(L112,$E112,$BU112,0,$BP112,$BS112,$BT112,$A112-Inputs!$D$1,1,1))*(8*VLOOKUP($A112,NumberofDaysTable,3))),0))</f>
        <v>2.9110844076279303</v>
      </c>
      <c r="AA112" s="306">
        <f ca="1">IF($A112="N/A"," ",IF(T112&lt;&gt;0,IF('Pricing Inputs'!$AN$3=2,8*VLOOKUP($A112,NumberofDaysTable,4),(_xll.xSPRDOPT(M112,$E112,$BU112,0,$BP112,$BS112,$BT112,$A112-Inputs!$D$1,1,1))*(8*VLOOKUP($A112,NumberofDaysTable,4))),0))</f>
        <v>1.4761530689533398</v>
      </c>
      <c r="AB112" s="306">
        <f ca="1">IF($A112="N/A"," ",IF(U112&lt;&gt;0,IF('Pricing Inputs'!$AN$3=2,8*VLOOKUP($A112,NumberofDaysTable,4),(_xll.xSPRDOPT(N112,$E112,$BU112,0,$BP112,$BS112,$BT112,$A112-Inputs!$D$1,1,1))*(8*VLOOKUP($A112,NumberofDaysTable,4))),0))</f>
        <v>2.1660567116857932</v>
      </c>
      <c r="AC112" s="306">
        <f t="shared" ca="1" si="132"/>
        <v>0</v>
      </c>
      <c r="AD112" s="271">
        <f t="shared" ref="AD112:AJ112" ca="1" si="197">IF($A112="N/A"," ",RANK(P112,$P$112:$V$123))</f>
        <v>32</v>
      </c>
      <c r="AE112" s="272">
        <f t="shared" ca="1" si="197"/>
        <v>26</v>
      </c>
      <c r="AF112" s="272">
        <f t="shared" ca="1" si="197"/>
        <v>49</v>
      </c>
      <c r="AG112" s="272">
        <f t="shared" ca="1" si="197"/>
        <v>38</v>
      </c>
      <c r="AH112" s="272">
        <f t="shared" ca="1" si="197"/>
        <v>55</v>
      </c>
      <c r="AI112" s="272">
        <f t="shared" ca="1" si="197"/>
        <v>48</v>
      </c>
      <c r="AJ112" s="273">
        <f t="shared" ca="1" si="197"/>
        <v>73</v>
      </c>
      <c r="AK112" s="312">
        <f t="shared" ca="1" si="158"/>
        <v>25.805135521847848</v>
      </c>
      <c r="AL112" s="313">
        <f t="shared" ca="1" si="159"/>
        <v>33.535356531144807</v>
      </c>
      <c r="AM112" s="313">
        <f t="shared" ca="1" si="160"/>
        <v>2.0315474239346356</v>
      </c>
      <c r="AN112" s="313">
        <f t="shared" ca="1" si="161"/>
        <v>2.9110844076279303</v>
      </c>
      <c r="AO112" s="313">
        <f t="shared" ca="1" si="162"/>
        <v>1.4761530689533398</v>
      </c>
      <c r="AP112" s="313">
        <f t="shared" ca="1" si="163"/>
        <v>2.1660567116857932</v>
      </c>
      <c r="AQ112" s="313">
        <f t="shared" ca="1" si="164"/>
        <v>0</v>
      </c>
      <c r="AR112" s="273"/>
      <c r="AS112" s="327">
        <f t="shared" ref="AS112:AS123" ca="1" si="198">IF($A112="N/A"," ",IF(AND(AD112=$AJ$2+1,AK112=0),MIN($AR$123,W112),0))</f>
        <v>0</v>
      </c>
      <c r="AT112" s="322">
        <f t="shared" ref="AT112:AT123" ca="1" si="199">IF($A112="N/A"," ",IF(AND(AE112=$AJ$2+1,AL112=0),MIN($AR$123,X112),0))</f>
        <v>0</v>
      </c>
      <c r="AU112" s="322">
        <f t="shared" ref="AU112:AU123" ca="1" si="200">IF($A112="N/A"," ",IF(AND(AF112=$AJ$2+1,AM112=0),MIN($AR$123,Y112),0))</f>
        <v>0</v>
      </c>
      <c r="AV112" s="322">
        <f t="shared" ref="AV112:AV123" ca="1" si="201">IF($A112="N/A"," ",IF(AND(AG112=$AJ$2+1,AN112=0),MIN($AR$123,Z112),0))</f>
        <v>0</v>
      </c>
      <c r="AW112" s="322">
        <f t="shared" ref="AW112:AW123" ca="1" si="202">IF($A112="N/A"," ",IF(AND(AH112=$AJ$2+1,AO112=0),MIN($AR$123,AA112),0))</f>
        <v>0</v>
      </c>
      <c r="AX112" s="322">
        <f t="shared" ref="AX112:AX123" ca="1" si="203">IF($A112="N/A"," ",IF(AND(AI112=$AJ$2+1,AP112=0),MIN($AR$123,AB112),0))</f>
        <v>0</v>
      </c>
      <c r="AY112" s="322">
        <f t="shared" ref="AY112:AY123" ca="1" si="204">IF($A112="N/A"," ",IF(AND(AJ112=$AJ$2+1,AQ112=0),MIN($AR$123,AC112),0))</f>
        <v>0</v>
      </c>
      <c r="AZ112" s="273"/>
      <c r="BA112" s="267">
        <f ca="1">IF($A112="N/A"," ",(IF(MONTH(A112)&gt;=4,IF(MONTH(A112)&lt;=10,Inputs!$F$13,Inputs!$F$14),Inputs!$F$14))*$BW112)</f>
        <v>180</v>
      </c>
      <c r="BB112" s="268">
        <f t="shared" ca="1" si="165"/>
        <v>26291.822914402157</v>
      </c>
      <c r="BC112" s="268">
        <f t="shared" ca="1" si="166"/>
        <v>38652.979923070241</v>
      </c>
      <c r="BD112" s="268">
        <f t="shared" ca="1" si="133"/>
        <v>1355.7235345134927</v>
      </c>
      <c r="BE112" s="268">
        <f t="shared" ca="1" si="134"/>
        <v>2181.5980694856889</v>
      </c>
      <c r="BF112" s="268">
        <f t="shared" ca="1" si="135"/>
        <v>1075.5473468603236</v>
      </c>
      <c r="BG112" s="268">
        <f t="shared" ca="1" si="136"/>
        <v>1769.3976159292822</v>
      </c>
      <c r="BH112" s="268">
        <f t="shared" ca="1" si="157"/>
        <v>0</v>
      </c>
      <c r="BI112" s="268">
        <f t="shared" ca="1" si="137"/>
        <v>71327.069404261187</v>
      </c>
      <c r="BJ112" s="296">
        <f t="shared" ca="1" si="138"/>
        <v>651583.95198342658</v>
      </c>
      <c r="BK112" s="296">
        <f t="shared" ca="1" si="139"/>
        <v>627130.83186395664</v>
      </c>
      <c r="BL112" s="296">
        <f t="shared" ca="1" si="140"/>
        <v>24453.120119469968</v>
      </c>
      <c r="BM112" s="296">
        <f t="shared" ca="1" si="141"/>
        <v>0</v>
      </c>
      <c r="BN112" s="405">
        <f>IF(A112="N/A"," ",(VLOOKUP(A112,PowerVolTable,(IF('Pricing Inputs'!$AT$3=2,7,IF('Pricing Inputs'!$AT$3=1,6,8))),FALSE)))</f>
        <v>0.17899083236178903</v>
      </c>
      <c r="BO112" s="405">
        <f>IF(A112="N/A"," ",(VLOOKUP(A112,IntraPowerVol,(IF('Pricing Inputs'!$AT$3=2,3,IF('Pricing Inputs'!$AT$3=1,2,4))),FALSE)*VLOOKUP(MONTH($A112),Inputs!$A$28:$B$39,2)))</f>
        <v>2.2999999999999998</v>
      </c>
      <c r="BP112" s="406">
        <f t="shared" ca="1" si="126"/>
        <v>0.23211970637959253</v>
      </c>
      <c r="BQ112" s="405">
        <f ca="1">IF($A112="N/A"," ",(VLOOKUP($A112,GasVolTable,(IF('Pricing Inputs'!$AT$3=2,6,IF('Pricing Inputs'!$AT$3=1,7,5))),FALSE)))</f>
        <v>0.15</v>
      </c>
      <c r="BR112" s="405">
        <f ca="1">IF($A112="N/A"," ",(VLOOKUP($A112,OmicronVol,(IF('Pricing Inputs'!$AT$3=2,3,IF('Pricing Inputs'!$AT$3=1,4,2))),FALSE)))</f>
        <v>1.45</v>
      </c>
      <c r="BS112" s="406">
        <f ca="1">IF($A112="N/A"," ",IF('Pricing Inputs'!$AN$3=1,(IF(DateToday&gt;$A112,$BR112,((($BQ112^2)*((($A112-1)-DateToday)/((EOMONTH($A112,0)+1)-DateToday-15)))+((($BR112)^2)*((15)/((EOMONTH($A112,0)+1)-DateToday-15))))^0.5)),0.0001))</f>
        <v>0.17645106354752016</v>
      </c>
      <c r="BT112" s="405">
        <f>IF($A112="N/A"," ",IF('Pricing Inputs'!$AN$3=1,(VLOOKUP($A112,CorrelationTable,2,FALSE)),0))</f>
        <v>0.9</v>
      </c>
      <c r="BU112" s="407">
        <f ca="1">IF($A112="N/A"," ",F112+G112+(D112*(VLOOKUP($A112,'Gas Curves'!$B$17:$P$310,14,FALSE))))</f>
        <v>2.6825000000000001</v>
      </c>
      <c r="BV112" s="405">
        <f>IF($A112="N/A"," ",IF('Pricing Inputs'!$AW$3=1,0,(VLOOKUP($A112,InterestRatesTable,2))))</f>
        <v>0</v>
      </c>
      <c r="BW112" s="408">
        <f t="shared" ca="1" si="127"/>
        <v>1</v>
      </c>
    </row>
    <row r="113" spans="1:75">
      <c r="A113" s="248">
        <f>IF(A112="N/A","N/A",IF(EDATE(A112,1)&gt;Inputs!$K$3,"N/A",EDATE(A112,1)))</f>
        <v>40210</v>
      </c>
      <c r="B113" s="262">
        <f t="shared" si="128"/>
        <v>2010</v>
      </c>
      <c r="C113" s="249">
        <f t="shared" ca="1" si="129"/>
        <v>4.6669999999999998</v>
      </c>
      <c r="D113" s="250">
        <f>IF(A113="N/A"," ",(VLOOKUP(MONTH($A113),Inputs!$A$14:$B$25,2))/1000)</f>
        <v>10.5</v>
      </c>
      <c r="E113" s="304">
        <f t="shared" ca="1" si="130"/>
        <v>49.003499999999995</v>
      </c>
      <c r="F113" s="251">
        <f>IF(A113="N/A"," ",Inputs!$F$6)</f>
        <v>2</v>
      </c>
      <c r="G113" s="251">
        <f ca="1">IF(A113="N/A"," ",Inputs!$F$9/IF(AND('Pricing Inputs'!$AQ$3&gt;=4,'Pricing Inputs'!$AQ$3&lt;=6),16,IF(AND('Pricing Inputs'!$AQ$3&gt;=7,'Pricing Inputs'!$AQ$3&lt;=9),8,24))/(BA113/BW113))</f>
        <v>0</v>
      </c>
      <c r="H113" s="252">
        <f t="shared" ca="1" si="131"/>
        <v>51.003499999999995</v>
      </c>
      <c r="I113" s="255">
        <f>VLOOKUP(A113,ScaledPrice,(IF(AND('Pricing Inputs'!$AQ$3&gt;=1,'Pricing Inputs'!$AQ$3&lt;=6),2,4)))</f>
        <v>36.294509053972398</v>
      </c>
      <c r="J113" s="255">
        <f>IF(A113="N/A"," ",IF(AND('Pricing Inputs'!$AQ$3&gt;=1,'Pricing Inputs'!$AQ$3&lt;=6),I113,(VLOOKUP(A113,ScaledPrice,2))*(2-(VLOOKUP(A113,ScaledPrice,3)))))</f>
        <v>38.605490946027608</v>
      </c>
      <c r="K113" s="255">
        <f>IF(A113="N/A"," ",IF(OR('Pricing Inputs'!$AQ$3=2,'Pricing Inputs'!$AQ$3=3,'Pricing Inputs'!$AQ$3=5,'Pricing Inputs'!$AQ$3=6,'Pricing Inputs'!$AQ$3=8,'Pricing Inputs'!$AQ$3=9),VLOOKUP(A113,ScaledPrice,IF(AND('Pricing Inputs'!$AQ$3&gt;=2,'Pricing Inputs'!$AQ$3&lt;=6),5,6)),0))</f>
        <v>28.150050444513965</v>
      </c>
      <c r="L113" s="255">
        <f>IF(A113="N/A"," ",IF(OR('Pricing Inputs'!$AQ$3=2,'Pricing Inputs'!$AQ$3=3,'Pricing Inputs'!$AQ$3=5,'Pricing Inputs'!$AQ$3=6,'Pricing Inputs'!$AQ$3=8,'Pricing Inputs'!$AQ$3=9),IF(AND('Pricing Inputs'!$AQ$3&gt;=2,'Pricing Inputs'!$AQ$3&lt;=6),K113,(VLOOKUP(A113,ScaledPrice,5))*(2-(VLOOKUP(A113,ScaledPrice,3)))),0))</f>
        <v>29.942449860661803</v>
      </c>
      <c r="M113" s="255">
        <f>IF(A113="N/A"," ",IF(OR('Pricing Inputs'!$AQ$3=3,'Pricing Inputs'!$AQ$3=6,'Pricing Inputs'!$AQ$3=9),(VLOOKUP(A113,ScaledPrice,IF(AND('Pricing Inputs'!$AQ$3&gt;=3,'Pricing Inputs'!$AQ$3&lt;=6),7,8))),0))</f>
        <v>25.728396788437195</v>
      </c>
      <c r="N113" s="255">
        <f>IF(A113="N/A"," ",IF(OR('Pricing Inputs'!$AQ$3=3,'Pricing Inputs'!$AQ$3=6,'Pricing Inputs'!$AQ$3=9),IF(AND('Pricing Inputs'!$AQ$3&gt;=3,'Pricing Inputs'!$AQ$3&lt;=6),M113,(VLOOKUP(A113,ScaledPrice,7))*(2-(VLOOKUP(A113,ScaledPrice,3)))),0))</f>
        <v>27.366602143447558</v>
      </c>
      <c r="O113" s="255">
        <f>IF(A113="N/A"," ",IF(AND('Pricing Inputs'!$AQ$3&gt;=1,'Pricing Inputs'!$AQ$3&lt;=3),VLOOKUP(A113,ScaledPrice,9),0))</f>
        <v>0</v>
      </c>
      <c r="P113" s="320">
        <f ca="1">IF($A113="N/A"," ",IF('Pricing Inputs'!$AN$8=2,(I113-H113),IF('Pricing Inputs'!$AN$3=2,IF((I113-$H113)&gt;0,I113-$H113,0),(_xll.xSPRDOPT(I113,$E113,$BU113,0,$BP113,$BS113,$BT113,($A113-Inputs!$D$1)+15,1,0)))))</f>
        <v>1.0533858764652202</v>
      </c>
      <c r="Q113" s="320">
        <f ca="1">IF($A113="N/A"," ",IF('Pricing Inputs'!$AN$8=2,(J113-$H113),IF('Pricing Inputs'!$AN$3=2,IF((J113-$H113)&gt;0,J113-$H113,0),(_xll.xSPRDOPT(J113,$E113,$BU113,0,$BP113,$BS113,$BT113,($A113-Inputs!$D$1)+15,1,0)))))</f>
        <v>1.5435092124114744</v>
      </c>
      <c r="R113" s="320">
        <f ca="1">IF($A113="N/A"," ",IF('Pricing Inputs'!$AN$8=2,(K113-$H113),IF('Pricing Inputs'!$AN$3=2,IF((K113-$H113)&gt;0,K113-$H113,0),(_xll.xSPRDOPT(K113,$E113,$BU113,0,$BP113,$BS113,$BT113,($A113-Inputs!$D$1)+15,1,0)))))</f>
        <v>0.16574679839034626</v>
      </c>
      <c r="S113" s="320">
        <f ca="1">IF($A113="N/A"," ",IF('Pricing Inputs'!$AN$8=2,(L113-$H113),IF('Pricing Inputs'!$AN$3=2,IF((L113-$H113)&gt;0,L113-$H113,0),(_xll.xSPRDOPT(L113,$E113,$BU113,0,$BP113,$BS113,$BT113,($A113-Inputs!$D$1)+15,1,0)))))</f>
        <v>0.27101118555178044</v>
      </c>
      <c r="T113" s="320">
        <f ca="1">IF($A113="N/A"," ",IF('Pricing Inputs'!$AN$8=2,(M113-$H113),IF('Pricing Inputs'!$AN$3=2,IF((M113-$H113)&gt;0,M113-$H113,0),(_xll.xSPRDOPT(M113,$E113,$BU113,0,$BP113,$BS113,$BT113,($A113-Inputs!$D$1)+15,1,0)))))</f>
        <v>7.6937149026051421E-2</v>
      </c>
      <c r="U113" s="320">
        <f ca="1">IF($A113="N/A"," ",IF('Pricing Inputs'!$AN$8=2,(N113-$H113),IF('Pricing Inputs'!$AN$3=2,IF((N113-$H113)&gt;0,N113-$H113,0),(_xll.xSPRDOPT(N113,$E113,$BU113,0,$BP113,$BS113,$BT113,($A113-Inputs!$D$1)+15,1,0)))))</f>
        <v>0.1311330628716651</v>
      </c>
      <c r="V113" s="259">
        <f ca="1">IF($A113="N/A"," ",(IF('Pricing Inputs'!$AN$8=2,(O113-$H113),IF((O113-$H113)&lt;=0,0,(O113-$H113)))))</f>
        <v>0</v>
      </c>
      <c r="W113" s="306">
        <f ca="1">IF($A113="N/A"," ",IF(0&lt;&gt;P113,IF('Pricing Inputs'!$AN$3=2,8*VLOOKUP($A113,NumberofDaysTable,2),(_xll.xSPRDOPT(I113,$E113,$BU113,0,$BP113,$BS113,$BT113,$A113-Inputs!$D$1,1,1))*(8*VLOOKUP($A113,NumberofDaysTable,2))),0))</f>
        <v>29.57960337147415</v>
      </c>
      <c r="X113" s="306">
        <f ca="1">IF($A113="N/A"," ",IF(Q113&lt;&gt;0,IF('Pricing Inputs'!$AN$3=2,8*VLOOKUP($A113,NumberofDaysTable,2),(_xll.xSPRDOPT(J113,$E113,$BU113,0,$BP113,$BS113,$BT113,$A113-Inputs!$D$1,1,1))*(8*VLOOKUP($A113,NumberofDaysTable,2))),0))</f>
        <v>38.195459173429157</v>
      </c>
      <c r="Y113" s="306">
        <f ca="1">IF($A113="N/A"," ",IF(R113&lt;&gt;0,IF('Pricing Inputs'!$AN$3=2,8*VLOOKUP($A113,NumberofDaysTable,3),(_xll.xSPRDOPT(K113,$E113,$BU113,0,$BP113,$BS113,$BT113,$A113-Inputs!$D$1,1,1))*(8*VLOOKUP($A113,NumberofDaysTable,3))),0))</f>
        <v>1.5306052899982123</v>
      </c>
      <c r="Z113" s="306">
        <f ca="1">IF($A113="N/A"," ",IF(S113&lt;&gt;0,IF('Pricing Inputs'!$AN$3=2,8*VLOOKUP($A113,NumberofDaysTable,3),(_xll.xSPRDOPT(L113,$E113,$BU113,0,$BP113,$BS113,$BT113,$A113-Inputs!$D$1,1,1))*(8*VLOOKUP($A113,NumberofDaysTable,3))),0))</f>
        <v>2.2254533027201293</v>
      </c>
      <c r="AA113" s="306">
        <f ca="1">IF($A113="N/A"," ",IF(T113&lt;&gt;0,IF('Pricing Inputs'!$AN$3=2,8*VLOOKUP($A113,NumberofDaysTable,4),(_xll.xSPRDOPT(M113,$E113,$BU113,0,$BP113,$BS113,$BT113,$A113-Inputs!$D$1,1,1))*(8*VLOOKUP($A113,NumberofDaysTable,4))),0))</f>
        <v>0.83988545553103822</v>
      </c>
      <c r="AB113" s="306">
        <f ca="1">IF($A113="N/A"," ",IF(U113&lt;&gt;0,IF('Pricing Inputs'!$AN$3=2,8*VLOOKUP($A113,NumberofDaysTable,4),(_xll.xSPRDOPT(N113,$E113,$BU113,0,$BP113,$BS113,$BT113,$A113-Inputs!$D$1,1,1))*(8*VLOOKUP($A113,NumberofDaysTable,4))),0))</f>
        <v>1.2768421852845726</v>
      </c>
      <c r="AC113" s="306">
        <f t="shared" ca="1" si="132"/>
        <v>0</v>
      </c>
      <c r="AD113" s="274">
        <f t="shared" ref="AD113:AD123" ca="1" si="205">IF($A113="N/A"," ",RANK(P113,$P$112:$V$123))</f>
        <v>29</v>
      </c>
      <c r="AE113" s="275">
        <f t="shared" ref="AE113:AE123" ca="1" si="206">IF($A113="N/A"," ",RANK(Q113,$P$112:$V$123))</f>
        <v>25</v>
      </c>
      <c r="AF113" s="275">
        <f t="shared" ref="AF113:AF123" ca="1" si="207">IF($A113="N/A"," ",RANK(R113,$P$112:$V$123))</f>
        <v>50</v>
      </c>
      <c r="AG113" s="275">
        <f t="shared" ref="AG113:AG123" ca="1" si="208">IF($A113="N/A"," ",RANK(S113,$P$112:$V$123))</f>
        <v>40</v>
      </c>
      <c r="AH113" s="275">
        <f t="shared" ref="AH113:AH123" ca="1" si="209">IF($A113="N/A"," ",RANK(T113,$P$112:$V$123))</f>
        <v>58</v>
      </c>
      <c r="AI113" s="275">
        <f t="shared" ref="AI113:AI123" ca="1" si="210">IF($A113="N/A"," ",RANK(U113,$P$112:$V$123))</f>
        <v>54</v>
      </c>
      <c r="AJ113" s="276">
        <f t="shared" ref="AJ113:AJ123" ca="1" si="211">IF($A113="N/A"," ",RANK(V113,$P$112:$V$123))</f>
        <v>73</v>
      </c>
      <c r="AK113" s="314">
        <f t="shared" ca="1" si="158"/>
        <v>29.57960337147415</v>
      </c>
      <c r="AL113" s="315">
        <f t="shared" ca="1" si="159"/>
        <v>38.195459173429157</v>
      </c>
      <c r="AM113" s="315">
        <f t="shared" ca="1" si="160"/>
        <v>1.5306052899982123</v>
      </c>
      <c r="AN113" s="315">
        <f t="shared" ca="1" si="161"/>
        <v>2.2254533027201293</v>
      </c>
      <c r="AO113" s="315">
        <f t="shared" ca="1" si="162"/>
        <v>0.83988545553103822</v>
      </c>
      <c r="AP113" s="315">
        <f t="shared" ca="1" si="163"/>
        <v>1.2768421852845726</v>
      </c>
      <c r="AQ113" s="315">
        <f t="shared" ca="1" si="164"/>
        <v>0</v>
      </c>
      <c r="AR113" s="276"/>
      <c r="AS113" s="321">
        <f t="shared" ca="1" si="198"/>
        <v>0</v>
      </c>
      <c r="AT113" s="324">
        <f t="shared" ca="1" si="199"/>
        <v>0</v>
      </c>
      <c r="AU113" s="324">
        <f t="shared" ca="1" si="200"/>
        <v>0</v>
      </c>
      <c r="AV113" s="324">
        <f t="shared" ca="1" si="201"/>
        <v>0</v>
      </c>
      <c r="AW113" s="324">
        <f t="shared" ca="1" si="202"/>
        <v>0</v>
      </c>
      <c r="AX113" s="324">
        <f t="shared" ca="1" si="203"/>
        <v>0</v>
      </c>
      <c r="AY113" s="324">
        <f t="shared" ca="1" si="204"/>
        <v>0</v>
      </c>
      <c r="AZ113" s="276"/>
      <c r="BA113" s="267">
        <f ca="1">IF($A113="N/A"," ",(IF(MONTH(A113)&gt;=4,IF(MONTH(A113)&lt;=10,Inputs!$F$13,Inputs!$F$14),Inputs!$F$14))*$BW113)</f>
        <v>180</v>
      </c>
      <c r="BB113" s="268">
        <f t="shared" ca="1" si="165"/>
        <v>30337.51324219834</v>
      </c>
      <c r="BC113" s="268">
        <f t="shared" ca="1" si="166"/>
        <v>44453.065317450462</v>
      </c>
      <c r="BD113" s="268">
        <f t="shared" ca="1" si="133"/>
        <v>954.70155872839439</v>
      </c>
      <c r="BE113" s="268">
        <f t="shared" ca="1" si="134"/>
        <v>1561.0244287782552</v>
      </c>
      <c r="BF113" s="268">
        <f t="shared" ca="1" si="135"/>
        <v>443.1579783900562</v>
      </c>
      <c r="BG113" s="268">
        <f t="shared" ca="1" si="136"/>
        <v>755.32644214079096</v>
      </c>
      <c r="BH113" s="268">
        <f t="shared" ca="1" si="157"/>
        <v>0</v>
      </c>
      <c r="BI113" s="268">
        <f t="shared" ca="1" si="137"/>
        <v>78504.788967686298</v>
      </c>
      <c r="BJ113" s="296">
        <f t="shared" ca="1" si="138"/>
        <v>676133.64993078425</v>
      </c>
      <c r="BK113" s="296">
        <f t="shared" ca="1" si="139"/>
        <v>649620.42437054683</v>
      </c>
      <c r="BL113" s="296">
        <f t="shared" ca="1" si="140"/>
        <v>26513.22556023741</v>
      </c>
      <c r="BM113" s="296">
        <f t="shared" ca="1" si="141"/>
        <v>0</v>
      </c>
      <c r="BN113" s="405">
        <f>IF(A113="N/A"," ",(VLOOKUP(A113,PowerVolTable,(IF('Pricing Inputs'!$AT$3=2,7,IF('Pricing Inputs'!$AT$3=1,6,8))),FALSE)))</f>
        <v>0.17268833826454294</v>
      </c>
      <c r="BO113" s="405">
        <f>IF(A113="N/A"," ",(VLOOKUP(A113,IntraPowerVol,(IF('Pricing Inputs'!$AT$3=2,3,IF('Pricing Inputs'!$AT$3=1,2,4))),FALSE)*VLOOKUP(MONTH($A113),Inputs!$A$28:$B$39,2)))</f>
        <v>2.2999999999999998</v>
      </c>
      <c r="BP113" s="406">
        <f t="shared" ca="1" si="126"/>
        <v>0.22700191887758342</v>
      </c>
      <c r="BQ113" s="405">
        <f ca="1">IF($A113="N/A"," ",(VLOOKUP($A113,GasVolTable,(IF('Pricing Inputs'!$AT$3=2,6,IF('Pricing Inputs'!$AT$3=1,7,5))),FALSE)))</f>
        <v>0.15</v>
      </c>
      <c r="BR113" s="405">
        <f ca="1">IF($A113="N/A"," ",(VLOOKUP($A113,OmicronVol,(IF('Pricing Inputs'!$AT$3=2,3,IF('Pricing Inputs'!$AT$3=1,4,2))),FALSE)))</f>
        <v>1.45</v>
      </c>
      <c r="BS113" s="406">
        <f ca="1">IF($A113="N/A"," ",IF('Pricing Inputs'!$AN$3=1,(IF(DateToday&gt;$A113,$BR113,((($BQ113^2)*((($A113-1)-DateToday)/((EOMONTH($A113,0)+1)-DateToday-15)))+((($BR113)^2)*((15)/((EOMONTH($A113,0)+1)-DateToday-15))))^0.5)),0.0001))</f>
        <v>0.17631518994295545</v>
      </c>
      <c r="BT113" s="405">
        <f>IF($A113="N/A"," ",IF('Pricing Inputs'!$AN$3=1,(VLOOKUP($A113,CorrelationTable,2,FALSE)),0))</f>
        <v>0.9</v>
      </c>
      <c r="BU113" s="407">
        <f ca="1">IF($A113="N/A"," ",F113+G113+(D113*(VLOOKUP($A113,'Gas Curves'!$B$17:$P$310,14,FALSE))))</f>
        <v>2.6825000000000001</v>
      </c>
      <c r="BV113" s="405">
        <f>IF($A113="N/A"," ",IF('Pricing Inputs'!$AW$3=1,0,(VLOOKUP($A113,InterestRatesTable,2))))</f>
        <v>0</v>
      </c>
      <c r="BW113" s="408">
        <f t="shared" ca="1" si="127"/>
        <v>1</v>
      </c>
    </row>
    <row r="114" spans="1:75">
      <c r="A114" s="248">
        <f>IF(A113="N/A","N/A",IF(EDATE(A113,1)&gt;Inputs!$K$3,"N/A",EDATE(A113,1)))</f>
        <v>40238</v>
      </c>
      <c r="B114" s="262">
        <f t="shared" si="128"/>
        <v>2010</v>
      </c>
      <c r="C114" s="249">
        <f t="shared" ca="1" si="129"/>
        <v>4.0170000000000003</v>
      </c>
      <c r="D114" s="250">
        <f>IF(A114="N/A"," ",(VLOOKUP(MONTH($A114),Inputs!$A$14:$B$25,2))/1000)</f>
        <v>10.5</v>
      </c>
      <c r="E114" s="304">
        <f t="shared" ca="1" si="130"/>
        <v>42.178500000000007</v>
      </c>
      <c r="F114" s="251">
        <f>IF(A114="N/A"," ",Inputs!$F$6)</f>
        <v>2</v>
      </c>
      <c r="G114" s="251">
        <f ca="1">IF(A114="N/A"," ",Inputs!$F$9/IF(AND('Pricing Inputs'!$AQ$3&gt;=4,'Pricing Inputs'!$AQ$3&lt;=6),16,IF(AND('Pricing Inputs'!$AQ$3&gt;=7,'Pricing Inputs'!$AQ$3&lt;=9),8,24))/(BA114/BW114))</f>
        <v>0</v>
      </c>
      <c r="H114" s="252">
        <f t="shared" ca="1" si="131"/>
        <v>44.178500000000007</v>
      </c>
      <c r="I114" s="255">
        <f>VLOOKUP(A114,ScaledPrice,(IF(AND('Pricing Inputs'!$AQ$3&gt;=1,'Pricing Inputs'!$AQ$3&lt;=6),2,4)))</f>
        <v>32.744605000000007</v>
      </c>
      <c r="J114" s="255">
        <f>IF(A114="N/A"," ",IF(AND('Pricing Inputs'!$AQ$3&gt;=1,'Pricing Inputs'!$AQ$3&lt;=6),I114,(VLOOKUP(A114,ScaledPrice,2))*(2-(VLOOKUP(A114,ScaledPrice,3)))))</f>
        <v>34.655394999999999</v>
      </c>
      <c r="K114" s="255">
        <f>IF(A114="N/A"," ",IF(OR('Pricing Inputs'!$AQ$3=2,'Pricing Inputs'!$AQ$3=3,'Pricing Inputs'!$AQ$3=5,'Pricing Inputs'!$AQ$3=6,'Pricing Inputs'!$AQ$3=8,'Pricing Inputs'!$AQ$3=9),VLOOKUP(A114,ScaledPrice,IF(AND('Pricing Inputs'!$AQ$3&gt;=2,'Pricing Inputs'!$AQ$3&lt;=6),5,6)),0))</f>
        <v>21.604394452018735</v>
      </c>
      <c r="L114" s="255">
        <f>IF(A114="N/A"," ",IF(OR('Pricing Inputs'!$AQ$3=2,'Pricing Inputs'!$AQ$3=3,'Pricing Inputs'!$AQ$3=5,'Pricing Inputs'!$AQ$3=6,'Pricing Inputs'!$AQ$3=8,'Pricing Inputs'!$AQ$3=9),IF(AND('Pricing Inputs'!$AQ$3&gt;=2,'Pricing Inputs'!$AQ$3&lt;=6),K114,(VLOOKUP(A114,ScaledPrice,5))*(2-(VLOOKUP(A114,ScaledPrice,3)))),0))</f>
        <v>22.865104754524221</v>
      </c>
      <c r="M114" s="255">
        <f>IF(A114="N/A"," ",IF(OR('Pricing Inputs'!$AQ$3=3,'Pricing Inputs'!$AQ$3=6,'Pricing Inputs'!$AQ$3=9),(VLOOKUP(A114,ScaledPrice,IF(AND('Pricing Inputs'!$AQ$3&gt;=3,'Pricing Inputs'!$AQ$3&lt;=6),7,8))),0))</f>
        <v>21.244640357513425</v>
      </c>
      <c r="N114" s="255">
        <f>IF(A114="N/A"," ",IF(OR('Pricing Inputs'!$AQ$3=3,'Pricing Inputs'!$AQ$3=6,'Pricing Inputs'!$AQ$3=9),IF(AND('Pricing Inputs'!$AQ$3&gt;=3,'Pricing Inputs'!$AQ$3&lt;=6),M114,(VLOOKUP(A114,ScaledPrice,7))*(2-(VLOOKUP(A114,ScaledPrice,3)))),0))</f>
        <v>22.484357445220937</v>
      </c>
      <c r="O114" s="255">
        <f>IF(A114="N/A"," ",IF(AND('Pricing Inputs'!$AQ$3&gt;=1,'Pricing Inputs'!$AQ$3&lt;=3),VLOOKUP(A114,ScaledPrice,9),0))</f>
        <v>0</v>
      </c>
      <c r="P114" s="320">
        <f ca="1">IF($A114="N/A"," ",IF('Pricing Inputs'!$AN$8=2,(I114-H114),IF('Pricing Inputs'!$AN$3=2,IF((I114-$H114)&gt;0,I114-$H114,0),(_xll.xSPRDOPT(I114,$E114,$BU114,0,$BP114,$BS114,$BT114,($A114-Inputs!$D$1)+15,1,0)))))</f>
        <v>0.6539995338829635</v>
      </c>
      <c r="Q114" s="320">
        <f ca="1">IF($A114="N/A"," ",IF('Pricing Inputs'!$AN$8=2,(J114-$H114),IF('Pricing Inputs'!$AN$3=2,IF((J114-$H114)&gt;0,J114-$H114,0),(_xll.xSPRDOPT(J114,$E114,$BU114,0,$BP114,$BS114,$BT114,($A114-Inputs!$D$1)+15,1,0)))))</f>
        <v>1.0047610262096636</v>
      </c>
      <c r="R114" s="320">
        <f ca="1">IF($A114="N/A"," ",IF('Pricing Inputs'!$AN$8=2,(K114-$H114),IF('Pricing Inputs'!$AN$3=2,IF((K114-$H114)&gt;0,K114-$H114,0),(_xll.xSPRDOPT(K114,$E114,$BU114,0,$BP114,$BS114,$BT114,($A114-Inputs!$D$1)+15,1,0)))))</f>
        <v>1.0022222417626013E-2</v>
      </c>
      <c r="S114" s="320">
        <f ca="1">IF($A114="N/A"," ",IF('Pricing Inputs'!$AN$8=2,(L114-$H114),IF('Pricing Inputs'!$AN$3=2,IF((L114-$H114)&gt;0,L114-$H114,0),(_xll.xSPRDOPT(L114,$E114,$BU114,0,$BP114,$BS114,$BT114,($A114-Inputs!$D$1)+15,1,0)))))</f>
        <v>1.9839374389039554E-2</v>
      </c>
      <c r="T114" s="320">
        <f ca="1">IF($A114="N/A"," ",IF('Pricing Inputs'!$AN$8=2,(M114-$H114),IF('Pricing Inputs'!$AN$3=2,IF((M114-$H114)&gt;0,M114-$H114,0),(_xll.xSPRDOPT(M114,$E114,$BU114,0,$BP114,$BS114,$BT114,($A114-Inputs!$D$1)+15,1,0)))))</f>
        <v>8.1291538670175932E-3</v>
      </c>
      <c r="U114" s="320">
        <f ca="1">IF($A114="N/A"," ",IF('Pricing Inputs'!$AN$8=2,(N114-$H114),IF('Pricing Inputs'!$AN$3=2,IF((N114-$H114)&gt;0,N114-$H114,0),(_xll.xSPRDOPT(N114,$E114,$BU114,0,$BP114,$BS114,$BT114,($A114-Inputs!$D$1)+15,1,0)))))</f>
        <v>1.6270629009145818E-2</v>
      </c>
      <c r="V114" s="259">
        <f ca="1">IF($A114="N/A"," ",(IF('Pricing Inputs'!$AN$8=2,(O114-$H114),IF((O114-$H114)&lt;=0,0,(O114-$H114)))))</f>
        <v>0</v>
      </c>
      <c r="W114" s="306">
        <f ca="1">IF($A114="N/A"," ",IF(0&lt;&gt;P114,IF('Pricing Inputs'!$AN$3=2,8*VLOOKUP($A114,NumberofDaysTable,2),(_xll.xSPRDOPT(I114,$E114,$BU114,0,$BP114,$BS114,$BT114,$A114-Inputs!$D$1,1,1))*(8*VLOOKUP($A114,NumberofDaysTable,2))),0))</f>
        <v>28.72596517625513</v>
      </c>
      <c r="X114" s="306">
        <f ca="1">IF($A114="N/A"," ",IF(Q114&lt;&gt;0,IF('Pricing Inputs'!$AN$3=2,8*VLOOKUP($A114,NumberofDaysTable,2),(_xll.xSPRDOPT(J114,$E114,$BU114,0,$BP114,$BS114,$BT114,$A114-Inputs!$D$1,1,1))*(8*VLOOKUP($A114,NumberofDaysTable,2))),0))</f>
        <v>38.810878689987391</v>
      </c>
      <c r="Y114" s="306">
        <f ca="1">IF($A114="N/A"," ",IF(R114&lt;&gt;0,IF('Pricing Inputs'!$AN$3=2,8*VLOOKUP($A114,NumberofDaysTable,3),(_xll.xSPRDOPT(K114,$E114,$BU114,0,$BP114,$BS114,$BT114,$A114-Inputs!$D$1,1,1))*(8*VLOOKUP($A114,NumberofDaysTable,3))),0))</f>
        <v>0.18062899595128362</v>
      </c>
      <c r="Z114" s="306">
        <f ca="1">IF($A114="N/A"," ",IF(S114&lt;&gt;0,IF('Pricing Inputs'!$AN$3=2,8*VLOOKUP($A114,NumberofDaysTable,3),(_xll.xSPRDOPT(L114,$E114,$BU114,0,$BP114,$BS114,$BT114,$A114-Inputs!$D$1,1,1))*(8*VLOOKUP($A114,NumberofDaysTable,3))),0))</f>
        <v>0.32062286848783789</v>
      </c>
      <c r="AA114" s="306">
        <f ca="1">IF($A114="N/A"," ",IF(T114&lt;&gt;0,IF('Pricing Inputs'!$AN$3=2,8*VLOOKUP($A114,NumberofDaysTable,4),(_xll.xSPRDOPT(M114,$E114,$BU114,0,$BP114,$BS114,$BT114,$A114-Inputs!$D$1,1,1))*(8*VLOOKUP($A114,NumberofDaysTable,4))),0))</f>
        <v>0.15125268135935341</v>
      </c>
      <c r="AB114" s="306">
        <f ca="1">IF($A114="N/A"," ",IF(U114&lt;&gt;0,IF('Pricing Inputs'!$AN$3=2,8*VLOOKUP($A114,NumberofDaysTable,4),(_xll.xSPRDOPT(N114,$E114,$BU114,0,$BP114,$BS114,$BT114,$A114-Inputs!$D$1,1,1))*(8*VLOOKUP($A114,NumberofDaysTable,4))),0))</f>
        <v>0.27164117646265434</v>
      </c>
      <c r="AC114" s="306">
        <f t="shared" ca="1" si="132"/>
        <v>0</v>
      </c>
      <c r="AD114" s="274">
        <f t="shared" ca="1" si="205"/>
        <v>33</v>
      </c>
      <c r="AE114" s="275">
        <f t="shared" ca="1" si="206"/>
        <v>30</v>
      </c>
      <c r="AF114" s="275">
        <f t="shared" ca="1" si="207"/>
        <v>69</v>
      </c>
      <c r="AG114" s="275">
        <f t="shared" ca="1" si="208"/>
        <v>65</v>
      </c>
      <c r="AH114" s="275">
        <f t="shared" ca="1" si="209"/>
        <v>70</v>
      </c>
      <c r="AI114" s="275">
        <f t="shared" ca="1" si="210"/>
        <v>67</v>
      </c>
      <c r="AJ114" s="276">
        <f t="shared" ca="1" si="211"/>
        <v>73</v>
      </c>
      <c r="AK114" s="314">
        <f t="shared" ca="1" si="158"/>
        <v>28.72596517625513</v>
      </c>
      <c r="AL114" s="315">
        <f t="shared" ca="1" si="159"/>
        <v>38.810878689987391</v>
      </c>
      <c r="AM114" s="315">
        <f t="shared" ca="1" si="160"/>
        <v>0.18062899595128362</v>
      </c>
      <c r="AN114" s="315">
        <f t="shared" ca="1" si="161"/>
        <v>0.32062286848783789</v>
      </c>
      <c r="AO114" s="315">
        <f t="shared" ca="1" si="162"/>
        <v>0.15125268135935341</v>
      </c>
      <c r="AP114" s="315">
        <f t="shared" ca="1" si="163"/>
        <v>0.27164117646265434</v>
      </c>
      <c r="AQ114" s="315">
        <f t="shared" ca="1" si="164"/>
        <v>0</v>
      </c>
      <c r="AR114" s="276"/>
      <c r="AS114" s="321">
        <f t="shared" ca="1" si="198"/>
        <v>0</v>
      </c>
      <c r="AT114" s="324">
        <f t="shared" ca="1" si="199"/>
        <v>0</v>
      </c>
      <c r="AU114" s="324">
        <f t="shared" ca="1" si="200"/>
        <v>0</v>
      </c>
      <c r="AV114" s="324">
        <f t="shared" ca="1" si="201"/>
        <v>0</v>
      </c>
      <c r="AW114" s="324">
        <f t="shared" ca="1" si="202"/>
        <v>0</v>
      </c>
      <c r="AX114" s="324">
        <f t="shared" ca="1" si="203"/>
        <v>0</v>
      </c>
      <c r="AY114" s="324">
        <f t="shared" ca="1" si="204"/>
        <v>0</v>
      </c>
      <c r="AZ114" s="276"/>
      <c r="BA114" s="267">
        <f ca="1">IF($A114="N/A"," ",(IF(MONTH(A114)&gt;=4,IF(MONTH(A114)&lt;=10,Inputs!$F$13,Inputs!$F$14),Inputs!$F$14))*$BW114)</f>
        <v>180</v>
      </c>
      <c r="BB114" s="268">
        <f t="shared" ca="1" si="165"/>
        <v>21660.46456220375</v>
      </c>
      <c r="BC114" s="268">
        <f t="shared" ca="1" si="166"/>
        <v>33277.685188064061</v>
      </c>
      <c r="BD114" s="268">
        <f t="shared" ca="1" si="133"/>
        <v>57.728001125525836</v>
      </c>
      <c r="BE114" s="268">
        <f t="shared" ca="1" si="134"/>
        <v>114.27479648086783</v>
      </c>
      <c r="BF114" s="268">
        <f t="shared" ca="1" si="135"/>
        <v>46.823926274021339</v>
      </c>
      <c r="BG114" s="268">
        <f t="shared" ca="1" si="136"/>
        <v>93.718823092679912</v>
      </c>
      <c r="BH114" s="268">
        <f t="shared" ca="1" si="157"/>
        <v>0</v>
      </c>
      <c r="BI114" s="268">
        <f t="shared" ca="1" si="137"/>
        <v>55250.695297240905</v>
      </c>
      <c r="BJ114" s="296">
        <f t="shared" ca="1" si="138"/>
        <v>544410.68913642748</v>
      </c>
      <c r="BK114" s="296">
        <f t="shared" ca="1" si="139"/>
        <v>519764.73288456624</v>
      </c>
      <c r="BL114" s="296">
        <f t="shared" ca="1" si="140"/>
        <v>24645.956251861309</v>
      </c>
      <c r="BM114" s="296">
        <f t="shared" ca="1" si="141"/>
        <v>0</v>
      </c>
      <c r="BN114" s="405">
        <f>IF(A114="N/A"," ",(VLOOKUP(A114,PowerVolTable,(IF('Pricing Inputs'!$AT$3=2,7,IF('Pricing Inputs'!$AT$3=1,6,8))),FALSE)))</f>
        <v>0.16832386110220002</v>
      </c>
      <c r="BO114" s="405">
        <f>IF(A114="N/A"," ",(VLOOKUP(A114,IntraPowerVol,(IF('Pricing Inputs'!$AT$3=2,3,IF('Pricing Inputs'!$AT$3=1,2,4))),FALSE)*VLOOKUP(MONTH($A114),Inputs!$A$28:$B$39,2)))</f>
        <v>1.4949999999999999</v>
      </c>
      <c r="BP114" s="406">
        <f t="shared" ca="1" si="126"/>
        <v>0.19324602294947438</v>
      </c>
      <c r="BQ114" s="405">
        <f ca="1">IF($A114="N/A"," ",(VLOOKUP($A114,GasVolTable,(IF('Pricing Inputs'!$AT$3=2,6,IF('Pricing Inputs'!$AT$3=1,7,5))),FALSE)))</f>
        <v>0.15</v>
      </c>
      <c r="BR114" s="405">
        <f ca="1">IF($A114="N/A"," ",(VLOOKUP($A114,OmicronVol,(IF('Pricing Inputs'!$AT$3=2,3,IF('Pricing Inputs'!$AT$3=1,4,2))),FALSE)))</f>
        <v>1</v>
      </c>
      <c r="BS114" s="406">
        <f ca="1">IF($A114="N/A"," ",IF('Pricing Inputs'!$AN$3=1,(IF(DateToday&gt;$A114,$BR114,((($BQ114^2)*((($A114-1)-DateToday)/((EOMONTH($A114,0)+1)-DateToday-15)))+((($BR114)^2)*((15)/((EOMONTH($A114,0)+1)-DateToday-15))))^0.5)),0.0001))</f>
        <v>0.16274590171392819</v>
      </c>
      <c r="BT114" s="405">
        <f>IF($A114="N/A"," ",IF('Pricing Inputs'!$AN$3=1,(VLOOKUP($A114,CorrelationTable,2,FALSE)),0))</f>
        <v>0.9</v>
      </c>
      <c r="BU114" s="407">
        <f ca="1">IF($A114="N/A"," ",F114+G114+(D114*(VLOOKUP($A114,'Gas Curves'!$B$17:$P$310,14,FALSE))))</f>
        <v>2.6825000000000001</v>
      </c>
      <c r="BV114" s="405">
        <f>IF($A114="N/A"," ",IF('Pricing Inputs'!$AW$3=1,0,(VLOOKUP($A114,InterestRatesTable,2))))</f>
        <v>0</v>
      </c>
      <c r="BW114" s="408">
        <f t="shared" ca="1" si="127"/>
        <v>1</v>
      </c>
    </row>
    <row r="115" spans="1:75">
      <c r="A115" s="248">
        <f>IF(A114="N/A","N/A",IF(EDATE(A114,1)&gt;Inputs!$K$3,"N/A",EDATE(A114,1)))</f>
        <v>40269</v>
      </c>
      <c r="B115" s="262">
        <f t="shared" si="128"/>
        <v>2010</v>
      </c>
      <c r="C115" s="249">
        <f t="shared" ca="1" si="129"/>
        <v>3.03349415975</v>
      </c>
      <c r="D115" s="250">
        <f>IF(A115="N/A"," ",(VLOOKUP(MONTH($A115),Inputs!$A$14:$B$25,2))/1000)</f>
        <v>10.5</v>
      </c>
      <c r="E115" s="304">
        <f t="shared" ca="1" si="130"/>
        <v>31.851688677375002</v>
      </c>
      <c r="F115" s="251">
        <f>IF(A115="N/A"," ",Inputs!$F$6)</f>
        <v>2</v>
      </c>
      <c r="G115" s="251">
        <f ca="1">IF(A115="N/A"," ",Inputs!$F$9/IF(AND('Pricing Inputs'!$AQ$3&gt;=4,'Pricing Inputs'!$AQ$3&lt;=6),16,IF(AND('Pricing Inputs'!$AQ$3&gt;=7,'Pricing Inputs'!$AQ$3&lt;=9),8,24))/(BA115/BW115))</f>
        <v>0</v>
      </c>
      <c r="H115" s="252">
        <f t="shared" ca="1" si="131"/>
        <v>33.851688677375002</v>
      </c>
      <c r="I115" s="255">
        <f>VLOOKUP(A115,ScaledPrice,(IF(AND('Pricing Inputs'!$AQ$3&gt;=1,'Pricing Inputs'!$AQ$3&lt;=6),2,4)))</f>
        <v>30.015893372874043</v>
      </c>
      <c r="J115" s="255">
        <f>IF(A115="N/A"," ",IF(AND('Pricing Inputs'!$AQ$3&gt;=1,'Pricing Inputs'!$AQ$3&lt;=6),I115,(VLOOKUP(A115,ScaledPrice,2))*(2-(VLOOKUP(A115,ScaledPrice,3)))))</f>
        <v>34.884106627125959</v>
      </c>
      <c r="K115" s="255">
        <f>IF(A115="N/A"," ",IF(OR('Pricing Inputs'!$AQ$3=2,'Pricing Inputs'!$AQ$3=3,'Pricing Inputs'!$AQ$3=5,'Pricing Inputs'!$AQ$3=6,'Pricing Inputs'!$AQ$3=8,'Pricing Inputs'!$AQ$3=9),VLOOKUP(A115,ScaledPrice,IF(AND('Pricing Inputs'!$AQ$3&gt;=2,'Pricing Inputs'!$AQ$3&lt;=6),5,6)),0))</f>
        <v>21.198435917810919</v>
      </c>
      <c r="L115" s="255">
        <f>IF(A115="N/A"," ",IF(OR('Pricing Inputs'!$AQ$3=2,'Pricing Inputs'!$AQ$3=3,'Pricing Inputs'!$AQ$3=5,'Pricing Inputs'!$AQ$3=6,'Pricing Inputs'!$AQ$3=8,'Pricing Inputs'!$AQ$3=9),IF(AND('Pricing Inputs'!$AQ$3&gt;=2,'Pricing Inputs'!$AQ$3&lt;=6),K115,(VLOOKUP(A115,ScaledPrice,5))*(2-(VLOOKUP(A115,ScaledPrice,3)))),0))</f>
        <v>24.636564692540631</v>
      </c>
      <c r="M115" s="255">
        <f>IF(A115="N/A"," ",IF(OR('Pricing Inputs'!$AQ$3=3,'Pricing Inputs'!$AQ$3=6,'Pricing Inputs'!$AQ$3=9),(VLOOKUP(A115,ScaledPrice,IF(AND('Pricing Inputs'!$AQ$3&gt;=3,'Pricing Inputs'!$AQ$3&lt;=6),7,8))),0))</f>
        <v>20.012136383413207</v>
      </c>
      <c r="N115" s="255">
        <f>IF(A115="N/A"," ",IF(OR('Pricing Inputs'!$AQ$3=3,'Pricing Inputs'!$AQ$3=6,'Pricing Inputs'!$AQ$3=9),IF(AND('Pricing Inputs'!$AQ$3&gt;=3,'Pricing Inputs'!$AQ$3&lt;=6),M115,(VLOOKUP(A115,ScaledPrice,7))*(2-(VLOOKUP(A115,ScaledPrice,3)))),0))</f>
        <v>23.257861785532093</v>
      </c>
      <c r="O115" s="255">
        <f>IF(A115="N/A"," ",IF(AND('Pricing Inputs'!$AQ$3&gt;=1,'Pricing Inputs'!$AQ$3&lt;=3),VLOOKUP(A115,ScaledPrice,9),0))</f>
        <v>0</v>
      </c>
      <c r="P115" s="320">
        <f ca="1">IF($A115="N/A"," ",IF('Pricing Inputs'!$AN$8=2,(I115-H115),IF('Pricing Inputs'!$AN$3=2,IF((I115-$H115)&gt;0,I115-$H115,0),(_xll.xSPRDOPT(I115,$E115,$BU115,0,$BP115,$BS115,$BT115,($A115-Inputs!$D$1)+15,1,0)))))</f>
        <v>1.322980563232568</v>
      </c>
      <c r="Q115" s="320">
        <f ca="1">IF($A115="N/A"," ",IF('Pricing Inputs'!$AN$8=2,(J115-$H115),IF('Pricing Inputs'!$AN$3=2,IF((J115-$H115)&gt;0,J115-$H115,0),(_xll.xSPRDOPT(J115,$E115,$BU115,0,$BP115,$BS115,$BT115,($A115-Inputs!$D$1)+15,1,0)))))</f>
        <v>3.48403738630395</v>
      </c>
      <c r="R115" s="320">
        <f ca="1">IF($A115="N/A"," ",IF('Pricing Inputs'!$AN$8=2,(K115-$H115),IF('Pricing Inputs'!$AN$3=2,IF((K115-$H115)&gt;0,K115-$H115,0),(_xll.xSPRDOPT(K115,$E115,$BU115,0,$BP115,$BS115,$BT115,($A115-Inputs!$D$1)+15,1,0)))))</f>
        <v>4.85702924038817E-2</v>
      </c>
      <c r="S115" s="320">
        <f ca="1">IF($A115="N/A"," ",IF('Pricing Inputs'!$AN$8=2,(L115-$H115),IF('Pricing Inputs'!$AN$3=2,IF((L115-$H115)&gt;0,L115-$H115,0),(_xll.xSPRDOPT(L115,$E115,$BU115,0,$BP115,$BS115,$BT115,($A115-Inputs!$D$1)+15,1,0)))))</f>
        <v>0.24704566844200596</v>
      </c>
      <c r="T115" s="320">
        <f ca="1">IF($A115="N/A"," ",IF('Pricing Inputs'!$AN$8=2,(M115-$H115),IF('Pricing Inputs'!$AN$3=2,IF((M115-$H115)&gt;0,M115-$H115,0),(_xll.xSPRDOPT(M115,$E115,$BU115,0,$BP115,$BS115,$BT115,($A115-Inputs!$D$1)+15,1,0)))))</f>
        <v>2.3900416605565369E-2</v>
      </c>
      <c r="U115" s="320">
        <f ca="1">IF($A115="N/A"," ",IF('Pricing Inputs'!$AN$8=2,(N115-$H115),IF('Pricing Inputs'!$AN$3=2,IF((N115-$H115)&gt;0,N115-$H115,0),(_xll.xSPRDOPT(N115,$E115,$BU115,0,$BP115,$BS115,$BT115,($A115-Inputs!$D$1)+15,1,0)))))</f>
        <v>0.13752705609335744</v>
      </c>
      <c r="V115" s="259">
        <f ca="1">IF($A115="N/A"," ",(IF('Pricing Inputs'!$AN$8=2,(O115-$H115),IF((O115-$H115)&lt;=0,0,(O115-$H115)))))</f>
        <v>0</v>
      </c>
      <c r="W115" s="306">
        <f ca="1">IF($A115="N/A"," ",IF(0&lt;&gt;P115,IF('Pricing Inputs'!$AN$3=2,8*VLOOKUP($A115,NumberofDaysTable,2),(_xll.xSPRDOPT(I115,$E115,$BU115,0,$BP115,$BS115,$BT115,$A115-Inputs!$D$1,1,1))*(8*VLOOKUP($A115,NumberofDaysTable,2))),0))</f>
        <v>56.356446428234932</v>
      </c>
      <c r="X115" s="306">
        <f ca="1">IF($A115="N/A"," ",IF(Q115&lt;&gt;0,IF('Pricing Inputs'!$AN$3=2,8*VLOOKUP($A115,NumberofDaysTable,2),(_xll.xSPRDOPT(J115,$E115,$BU115,0,$BP115,$BS115,$BT115,$A115-Inputs!$D$1,1,1))*(8*VLOOKUP($A115,NumberofDaysTable,2))),0))</f>
        <v>99.379144167629619</v>
      </c>
      <c r="Y115" s="306">
        <f ca="1">IF($A115="N/A"," ",IF(R115&lt;&gt;0,IF('Pricing Inputs'!$AN$3=2,8*VLOOKUP($A115,NumberofDaysTable,3),(_xll.xSPRDOPT(K115,$E115,$BU115,0,$BP115,$BS115,$BT115,$A115-Inputs!$D$1,1,1))*(8*VLOOKUP($A115,NumberofDaysTable,3))),0))</f>
        <v>0.86301383422835665</v>
      </c>
      <c r="Z115" s="306">
        <f ca="1">IF($A115="N/A"," ",IF(S115&lt;&gt;0,IF('Pricing Inputs'!$AN$3=2,8*VLOOKUP($A115,NumberofDaysTable,3),(_xll.xSPRDOPT(L115,$E115,$BU115,0,$BP115,$BS115,$BT115,$A115-Inputs!$D$1,1,1))*(8*VLOOKUP($A115,NumberofDaysTable,3))),0))</f>
        <v>3.1202180984533929</v>
      </c>
      <c r="AA115" s="306">
        <f ca="1">IF($A115="N/A"," ",IF(T115&lt;&gt;0,IF('Pricing Inputs'!$AN$3=2,8*VLOOKUP($A115,NumberofDaysTable,4),(_xll.xSPRDOPT(M115,$E115,$BU115,0,$BP115,$BS115,$BT115,$A115-Inputs!$D$1,1,1))*(8*VLOOKUP($A115,NumberofDaysTable,4))),0))</f>
        <v>0.4808294425790533</v>
      </c>
      <c r="AB115" s="306">
        <f ca="1">IF($A115="N/A"," ",IF(U115&lt;&gt;0,IF('Pricing Inputs'!$AN$3=2,8*VLOOKUP($A115,NumberofDaysTable,4),(_xll.xSPRDOPT(N115,$E115,$BU115,0,$BP115,$BS115,$BT115,$A115-Inputs!$D$1,1,1))*(8*VLOOKUP($A115,NumberofDaysTable,4))),0))</f>
        <v>1.9857264815351479</v>
      </c>
      <c r="AC115" s="306">
        <f t="shared" ca="1" si="132"/>
        <v>0</v>
      </c>
      <c r="AD115" s="274">
        <f t="shared" ca="1" si="205"/>
        <v>27</v>
      </c>
      <c r="AE115" s="275">
        <f t="shared" ca="1" si="206"/>
        <v>19</v>
      </c>
      <c r="AF115" s="275">
        <f t="shared" ca="1" si="207"/>
        <v>59</v>
      </c>
      <c r="AG115" s="275">
        <f t="shared" ca="1" si="208"/>
        <v>43</v>
      </c>
      <c r="AH115" s="275">
        <f t="shared" ca="1" si="209"/>
        <v>64</v>
      </c>
      <c r="AI115" s="275">
        <f t="shared" ca="1" si="210"/>
        <v>53</v>
      </c>
      <c r="AJ115" s="276">
        <f t="shared" ca="1" si="211"/>
        <v>73</v>
      </c>
      <c r="AK115" s="314">
        <f t="shared" ca="1" si="158"/>
        <v>56.356446428234932</v>
      </c>
      <c r="AL115" s="315">
        <f t="shared" ca="1" si="159"/>
        <v>99.379144167629619</v>
      </c>
      <c r="AM115" s="315">
        <f t="shared" ca="1" si="160"/>
        <v>0.86301383422835665</v>
      </c>
      <c r="AN115" s="315">
        <f t="shared" ca="1" si="161"/>
        <v>3.1202180984533929</v>
      </c>
      <c r="AO115" s="315">
        <f t="shared" ca="1" si="162"/>
        <v>0.4808294425790533</v>
      </c>
      <c r="AP115" s="315">
        <f t="shared" ca="1" si="163"/>
        <v>1.9857264815351479</v>
      </c>
      <c r="AQ115" s="315">
        <f t="shared" ca="1" si="164"/>
        <v>0</v>
      </c>
      <c r="AR115" s="276"/>
      <c r="AS115" s="321">
        <f t="shared" ca="1" si="198"/>
        <v>0</v>
      </c>
      <c r="AT115" s="324">
        <f t="shared" ca="1" si="199"/>
        <v>0</v>
      </c>
      <c r="AU115" s="324">
        <f t="shared" ca="1" si="200"/>
        <v>0</v>
      </c>
      <c r="AV115" s="324">
        <f t="shared" ca="1" si="201"/>
        <v>0</v>
      </c>
      <c r="AW115" s="324">
        <f t="shared" ca="1" si="202"/>
        <v>0</v>
      </c>
      <c r="AX115" s="324">
        <f t="shared" ca="1" si="203"/>
        <v>0</v>
      </c>
      <c r="AY115" s="324">
        <f t="shared" ca="1" si="204"/>
        <v>0</v>
      </c>
      <c r="AZ115" s="276"/>
      <c r="BA115" s="267">
        <f ca="1">IF($A115="N/A"," ",(IF(MONTH(A115)&gt;=4,IF(MONTH(A115)&lt;=10,Inputs!$F$13,Inputs!$F$14),Inputs!$F$14))*$BW115)</f>
        <v>180</v>
      </c>
      <c r="BB115" s="268">
        <f t="shared" ca="1" si="165"/>
        <v>41912.02424320775</v>
      </c>
      <c r="BC115" s="268">
        <f t="shared" ca="1" si="166"/>
        <v>110374.30439810913</v>
      </c>
      <c r="BD115" s="268">
        <f t="shared" ca="1" si="133"/>
        <v>279.76488424635858</v>
      </c>
      <c r="BE115" s="268">
        <f t="shared" ca="1" si="134"/>
        <v>1422.9830502259542</v>
      </c>
      <c r="BF115" s="268">
        <f t="shared" ca="1" si="135"/>
        <v>137.66639964805654</v>
      </c>
      <c r="BG115" s="268">
        <f t="shared" ca="1" si="136"/>
        <v>792.15584309773885</v>
      </c>
      <c r="BH115" s="268">
        <f t="shared" ca="1" si="157"/>
        <v>0</v>
      </c>
      <c r="BI115" s="268">
        <f t="shared" ca="1" si="137"/>
        <v>154918.898818535</v>
      </c>
      <c r="BJ115" s="296">
        <f t="shared" ca="1" si="138"/>
        <v>988244.80909230735</v>
      </c>
      <c r="BK115" s="296">
        <f t="shared" ca="1" si="139"/>
        <v>929858.07284934947</v>
      </c>
      <c r="BL115" s="296">
        <f t="shared" ca="1" si="140"/>
        <v>58386.736242957777</v>
      </c>
      <c r="BM115" s="296">
        <f t="shared" ca="1" si="141"/>
        <v>0</v>
      </c>
      <c r="BN115" s="405">
        <f>IF(A115="N/A"," ",(VLOOKUP(A115,PowerVolTable,(IF('Pricing Inputs'!$AT$3=2,7,IF('Pricing Inputs'!$AT$3=1,6,8))),FALSE)))</f>
        <v>0.15003087198494319</v>
      </c>
      <c r="BO115" s="405">
        <f>IF(A115="N/A"," ",(VLOOKUP(A115,IntraPowerVol,(IF('Pricing Inputs'!$AT$3=2,3,IF('Pricing Inputs'!$AT$3=1,2,4))),FALSE)*VLOOKUP(MONTH($A115),Inputs!$A$28:$B$39,2)))</f>
        <v>1.2649999999999999</v>
      </c>
      <c r="BP115" s="406">
        <f t="shared" ca="1" si="126"/>
        <v>0.17001326177906503</v>
      </c>
      <c r="BQ115" s="405">
        <f ca="1">IF($A115="N/A"," ",(VLOOKUP($A115,GasVolTable,(IF('Pricing Inputs'!$AT$3=2,6,IF('Pricing Inputs'!$AT$3=1,7,5))),FALSE)))</f>
        <v>0.15</v>
      </c>
      <c r="BR115" s="405">
        <f ca="1">IF($A115="N/A"," ",(VLOOKUP($A115,OmicronVol,(IF('Pricing Inputs'!$AT$3=2,3,IF('Pricing Inputs'!$AT$3=1,4,2))),FALSE)))</f>
        <v>0.45</v>
      </c>
      <c r="BS115" s="406">
        <f ca="1">IF($A115="N/A"," ",IF('Pricing Inputs'!$AN$3=1,(IF(DateToday&gt;$A115,$BR115,((($BQ115^2)*((($A115-1)-DateToday)/((EOMONTH($A115,0)+1)-DateToday-15)))+((($BR115)^2)*((15)/((EOMONTH($A115,0)+1)-DateToday-15))))^0.5)),0.0001))</f>
        <v>0.15239499948134494</v>
      </c>
      <c r="BT115" s="405">
        <f>IF($A115="N/A"," ",IF('Pricing Inputs'!$AN$3=1,(VLOOKUP($A115,CorrelationTable,2,FALSE)),0))</f>
        <v>0.9</v>
      </c>
      <c r="BU115" s="407">
        <f ca="1">IF($A115="N/A"," ",F115+G115+(D115*(VLOOKUP($A115,'Gas Curves'!$B$17:$P$310,14,FALSE))))</f>
        <v>2.6825000000000001</v>
      </c>
      <c r="BV115" s="405">
        <f>IF($A115="N/A"," ",IF('Pricing Inputs'!$AW$3=1,0,(VLOOKUP($A115,InterestRatesTable,2))))</f>
        <v>0</v>
      </c>
      <c r="BW115" s="408">
        <f t="shared" ca="1" si="127"/>
        <v>1</v>
      </c>
    </row>
    <row r="116" spans="1:75">
      <c r="A116" s="248">
        <f>IF(A115="N/A","N/A",IF(EDATE(A115,1)&gt;Inputs!$K$3,"N/A",EDATE(A115,1)))</f>
        <v>40299</v>
      </c>
      <c r="B116" s="262">
        <f t="shared" si="128"/>
        <v>2010</v>
      </c>
      <c r="C116" s="249">
        <f t="shared" ca="1" si="129"/>
        <v>3.0074920310000004</v>
      </c>
      <c r="D116" s="250">
        <f>IF(A116="N/A"," ",(VLOOKUP(MONTH($A116),Inputs!$A$14:$B$25,2))/1000)</f>
        <v>10.5</v>
      </c>
      <c r="E116" s="304">
        <f t="shared" ca="1" si="130"/>
        <v>31.578666325500006</v>
      </c>
      <c r="F116" s="251">
        <f>IF(A116="N/A"," ",Inputs!$F$6)</f>
        <v>2</v>
      </c>
      <c r="G116" s="251">
        <f ca="1">IF(A116="N/A"," ",Inputs!$F$9/IF(AND('Pricing Inputs'!$AQ$3&gt;=4,'Pricing Inputs'!$AQ$3&lt;=6),16,IF(AND('Pricing Inputs'!$AQ$3&gt;=7,'Pricing Inputs'!$AQ$3&lt;=9),8,24))/(BA116/BW116))</f>
        <v>0</v>
      </c>
      <c r="H116" s="252">
        <f t="shared" ca="1" si="131"/>
        <v>33.578666325500009</v>
      </c>
      <c r="I116" s="255">
        <f>VLOOKUP(A116,ScaledPrice,(IF(AND('Pricing Inputs'!$AQ$3&gt;=1,'Pricing Inputs'!$AQ$3&lt;=6),2,4)))</f>
        <v>33.692116755474167</v>
      </c>
      <c r="J116" s="255">
        <f>IF(A116="N/A"," ",IF(AND('Pricing Inputs'!$AQ$3&gt;=1,'Pricing Inputs'!$AQ$3&lt;=6),I116,(VLOOKUP(A116,ScaledPrice,2))*(2-(VLOOKUP(A116,ScaledPrice,3)))))</f>
        <v>35.60788324452583</v>
      </c>
      <c r="K116" s="255">
        <f>IF(A116="N/A"," ",IF(OR('Pricing Inputs'!$AQ$3=2,'Pricing Inputs'!$AQ$3=3,'Pricing Inputs'!$AQ$3=5,'Pricing Inputs'!$AQ$3=6,'Pricing Inputs'!$AQ$3=8,'Pricing Inputs'!$AQ$3=9),VLOOKUP(A116,ScaledPrice,IF(AND('Pricing Inputs'!$AQ$3&gt;=2,'Pricing Inputs'!$AQ$3&lt;=6),5,6)),0))</f>
        <v>22.395777250821446</v>
      </c>
      <c r="L116" s="255">
        <f>IF(A116="N/A"," ",IF(OR('Pricing Inputs'!$AQ$3=2,'Pricing Inputs'!$AQ$3=3,'Pricing Inputs'!$AQ$3=5,'Pricing Inputs'!$AQ$3=6,'Pricing Inputs'!$AQ$3=8,'Pricing Inputs'!$AQ$3=9),IF(AND('Pricing Inputs'!$AQ$3&gt;=2,'Pricing Inputs'!$AQ$3&lt;=6),K116,(VLOOKUP(A116,ScaledPrice,5))*(2-(VLOOKUP(A116,ScaledPrice,3)))),0))</f>
        <v>23.669222901766432</v>
      </c>
      <c r="M116" s="255">
        <f>IF(A116="N/A"," ",IF(OR('Pricing Inputs'!$AQ$3=3,'Pricing Inputs'!$AQ$3=6,'Pricing Inputs'!$AQ$3=9),(VLOOKUP(A116,ScaledPrice,IF(AND('Pricing Inputs'!$AQ$3&gt;=3,'Pricing Inputs'!$AQ$3&lt;=6),7,8))),0))</f>
        <v>21.552258590867858</v>
      </c>
      <c r="N116" s="255">
        <f>IF(A116="N/A"," ",IF(OR('Pricing Inputs'!$AQ$3=3,'Pricing Inputs'!$AQ$3=6,'Pricing Inputs'!$AQ$3=9),IF(AND('Pricing Inputs'!$AQ$3&gt;=3,'Pricing Inputs'!$AQ$3&lt;=6),M116,(VLOOKUP(A116,ScaledPrice,7))*(2-(VLOOKUP(A116,ScaledPrice,3)))),0))</f>
        <v>22.777740951368457</v>
      </c>
      <c r="O116" s="255">
        <f>IF(A116="N/A"," ",IF(AND('Pricing Inputs'!$AQ$3&gt;=1,'Pricing Inputs'!$AQ$3&lt;=3),VLOOKUP(A116,ScaledPrice,9),0))</f>
        <v>0</v>
      </c>
      <c r="P116" s="320">
        <f ca="1">IF($A116="N/A"," ",IF('Pricing Inputs'!$AN$8=2,(I116-H116),IF('Pricing Inputs'!$AN$3=2,IF((I116-$H116)&gt;0,I116-$H116,0),(_xll.xSPRDOPT(I116,$E116,$BU116,0,$BP116,$BS116,$BT116,($A116-Inputs!$D$1)+15,1,0)))))</f>
        <v>3.5257239402362446</v>
      </c>
      <c r="Q116" s="320">
        <f ca="1">IF($A116="N/A"," ",IF('Pricing Inputs'!$AN$8=2,(J116-$H116),IF('Pricing Inputs'!$AN$3=2,IF((J116-$H116)&gt;0,J116-$H116,0),(_xll.xSPRDOPT(J116,$E116,$BU116,0,$BP116,$BS116,$BT116,($A116-Inputs!$D$1)+15,1,0)))))</f>
        <v>4.6232754981680753</v>
      </c>
      <c r="R116" s="320">
        <f ca="1">IF($A116="N/A"," ",IF('Pricing Inputs'!$AN$8=2,(K116-$H116),IF('Pricing Inputs'!$AN$3=2,IF((K116-$H116)&gt;0,K116-$H116,0),(_xll.xSPRDOPT(K116,$E116,$BU116,0,$BP116,$BS116,$BT116,($A116-Inputs!$D$1)+15,1,0)))))</f>
        <v>0.21730008406004647</v>
      </c>
      <c r="S116" s="320">
        <f ca="1">IF($A116="N/A"," ",IF('Pricing Inputs'!$AN$8=2,(L116-$H116),IF('Pricing Inputs'!$AN$3=2,IF((L116-$H116)&gt;0,L116-$H116,0),(_xll.xSPRDOPT(L116,$E116,$BU116,0,$BP116,$BS116,$BT116,($A116-Inputs!$D$1)+15,1,0)))))</f>
        <v>0.34679751076379028</v>
      </c>
      <c r="T116" s="320">
        <f ca="1">IF($A116="N/A"," ",IF('Pricing Inputs'!$AN$8=2,(M116-$H116),IF('Pricing Inputs'!$AN$3=2,IF((M116-$H116)&gt;0,M116-$H116,0),(_xll.xSPRDOPT(M116,$E116,$BU116,0,$BP116,$BS116,$BT116,($A116-Inputs!$D$1)+15,1,0)))))</f>
        <v>0.15425597502560737</v>
      </c>
      <c r="U116" s="320">
        <f ca="1">IF($A116="N/A"," ",IF('Pricing Inputs'!$AN$8=2,(N116-$H116),IF('Pricing Inputs'!$AN$3=2,IF((N116-$H116)&gt;0,N116-$H116,0),(_xll.xSPRDOPT(N116,$E116,$BU116,0,$BP116,$BS116,$BT116,($A116-Inputs!$D$1)+15,1,0)))))</f>
        <v>0.25150741983425007</v>
      </c>
      <c r="V116" s="259">
        <f ca="1">IF($A116="N/A"," ",(IF('Pricing Inputs'!$AN$8=2,(O116-$H116),IF((O116-$H116)&lt;=0,0,(O116-$H116)))))</f>
        <v>0</v>
      </c>
      <c r="W116" s="306">
        <f ca="1">IF($A116="N/A"," ",IF(0&lt;&gt;P116,IF('Pricing Inputs'!$AN$3=2,8*VLOOKUP($A116,NumberofDaysTable,2),(_xll.xSPRDOPT(I116,$E116,$BU116,0,$BP116,$BS116,$BT116,$A116-Inputs!$D$1,1,1))*(8*VLOOKUP($A116,NumberofDaysTable,2))),0))</f>
        <v>85.383463143931039</v>
      </c>
      <c r="X116" s="306">
        <f ca="1">IF($A116="N/A"," ",IF(Q116&lt;&gt;0,IF('Pricing Inputs'!$AN$3=2,8*VLOOKUP($A116,NumberofDaysTable,2),(_xll.xSPRDOPT(J116,$E116,$BU116,0,$BP116,$BS116,$BT116,$A116-Inputs!$D$1,1,1))*(8*VLOOKUP($A116,NumberofDaysTable,2))),0))</f>
        <v>97.728659948886445</v>
      </c>
      <c r="Y116" s="306">
        <f ca="1">IF($A116="N/A"," ",IF(R116&lt;&gt;0,IF('Pricing Inputs'!$AN$3=2,8*VLOOKUP($A116,NumberofDaysTable,3),(_xll.xSPRDOPT(K116,$E116,$BU116,0,$BP116,$BS116,$BT116,$A116-Inputs!$D$1,1,1))*(8*VLOOKUP($A116,NumberofDaysTable,3))),0))</f>
        <v>3.3674672869792093</v>
      </c>
      <c r="Z116" s="306">
        <f ca="1">IF($A116="N/A"," ",IF(S116&lt;&gt;0,IF('Pricing Inputs'!$AN$3=2,8*VLOOKUP($A116,NumberofDaysTable,3),(_xll.xSPRDOPT(L116,$E116,$BU116,0,$BP116,$BS116,$BT116,$A116-Inputs!$D$1,1,1))*(8*VLOOKUP($A116,NumberofDaysTable,3))),0))</f>
        <v>4.7693969022142078</v>
      </c>
      <c r="AA116" s="306">
        <f ca="1">IF($A116="N/A"," ",IF(T116&lt;&gt;0,IF('Pricing Inputs'!$AN$3=2,8*VLOOKUP($A116,NumberofDaysTable,4),(_xll.xSPRDOPT(M116,$E116,$BU116,0,$BP116,$BS116,$BT116,$A116-Inputs!$D$1,1,1))*(8*VLOOKUP($A116,NumberofDaysTable,4))),0))</f>
        <v>2.593187774047137</v>
      </c>
      <c r="AB116" s="306">
        <f ca="1">IF($A116="N/A"," ",IF(U116&lt;&gt;0,IF('Pricing Inputs'!$AN$3=2,8*VLOOKUP($A116,NumberofDaysTable,4),(_xll.xSPRDOPT(N116,$E116,$BU116,0,$BP116,$BS116,$BT116,$A116-Inputs!$D$1,1,1))*(8*VLOOKUP($A116,NumberofDaysTable,4))),0))</f>
        <v>3.7588505590754329</v>
      </c>
      <c r="AC116" s="306">
        <f t="shared" ca="1" si="132"/>
        <v>0</v>
      </c>
      <c r="AD116" s="274">
        <f t="shared" ca="1" si="205"/>
        <v>18</v>
      </c>
      <c r="AE116" s="275">
        <f t="shared" ca="1" si="206"/>
        <v>16</v>
      </c>
      <c r="AF116" s="275">
        <f t="shared" ca="1" si="207"/>
        <v>46</v>
      </c>
      <c r="AG116" s="275">
        <f t="shared" ca="1" si="208"/>
        <v>36</v>
      </c>
      <c r="AH116" s="275">
        <f t="shared" ca="1" si="209"/>
        <v>51</v>
      </c>
      <c r="AI116" s="275">
        <f t="shared" ca="1" si="210"/>
        <v>42</v>
      </c>
      <c r="AJ116" s="276">
        <f t="shared" ca="1" si="211"/>
        <v>73</v>
      </c>
      <c r="AK116" s="314">
        <f t="shared" ca="1" si="158"/>
        <v>85.383463143931039</v>
      </c>
      <c r="AL116" s="315">
        <f t="shared" ca="1" si="159"/>
        <v>97.728659948886445</v>
      </c>
      <c r="AM116" s="315">
        <f t="shared" ca="1" si="160"/>
        <v>3.3674672869792093</v>
      </c>
      <c r="AN116" s="315">
        <f t="shared" ca="1" si="161"/>
        <v>4.7693969022142078</v>
      </c>
      <c r="AO116" s="315">
        <f t="shared" ca="1" si="162"/>
        <v>2.593187774047137</v>
      </c>
      <c r="AP116" s="315">
        <f t="shared" ca="1" si="163"/>
        <v>3.7588505590754329</v>
      </c>
      <c r="AQ116" s="315">
        <f t="shared" ca="1" si="164"/>
        <v>0</v>
      </c>
      <c r="AR116" s="276"/>
      <c r="AS116" s="321">
        <f t="shared" ca="1" si="198"/>
        <v>0</v>
      </c>
      <c r="AT116" s="324">
        <f t="shared" ca="1" si="199"/>
        <v>0</v>
      </c>
      <c r="AU116" s="324">
        <f t="shared" ca="1" si="200"/>
        <v>0</v>
      </c>
      <c r="AV116" s="324">
        <f t="shared" ca="1" si="201"/>
        <v>0</v>
      </c>
      <c r="AW116" s="324">
        <f t="shared" ca="1" si="202"/>
        <v>0</v>
      </c>
      <c r="AX116" s="324">
        <f t="shared" ca="1" si="203"/>
        <v>0</v>
      </c>
      <c r="AY116" s="324">
        <f t="shared" ca="1" si="204"/>
        <v>0</v>
      </c>
      <c r="AZ116" s="276"/>
      <c r="BA116" s="267">
        <f ca="1">IF($A116="N/A"," ",(IF(MONTH(A116)&gt;=4,IF(MONTH(A116)&lt;=10,Inputs!$F$13,Inputs!$F$14),Inputs!$F$14))*$BW116)</f>
        <v>180</v>
      </c>
      <c r="BB116" s="268">
        <f t="shared" ca="1" si="165"/>
        <v>101540.84947880384</v>
      </c>
      <c r="BC116" s="268">
        <f t="shared" ca="1" si="166"/>
        <v>133150.33434724057</v>
      </c>
      <c r="BD116" s="268">
        <f t="shared" ca="1" si="133"/>
        <v>1564.5606052323346</v>
      </c>
      <c r="BE116" s="268">
        <f t="shared" ca="1" si="134"/>
        <v>2496.94207749929</v>
      </c>
      <c r="BF116" s="268">
        <f t="shared" ca="1" si="135"/>
        <v>1332.7716242212477</v>
      </c>
      <c r="BG116" s="268">
        <f t="shared" ca="1" si="136"/>
        <v>2173.0241073679208</v>
      </c>
      <c r="BH116" s="268">
        <f t="shared" ca="1" si="157"/>
        <v>0</v>
      </c>
      <c r="BI116" s="268">
        <f t="shared" ca="1" si="137"/>
        <v>242258.48224036518</v>
      </c>
      <c r="BJ116" s="296">
        <f t="shared" ca="1" si="138"/>
        <v>1194332.2028472864</v>
      </c>
      <c r="BK116" s="296">
        <f t="shared" ca="1" si="139"/>
        <v>1123195.8336258382</v>
      </c>
      <c r="BL116" s="296">
        <f t="shared" ca="1" si="140"/>
        <v>71136.36922144804</v>
      </c>
      <c r="BM116" s="296">
        <f t="shared" ca="1" si="141"/>
        <v>0</v>
      </c>
      <c r="BN116" s="405">
        <f>IF(A116="N/A"," ",(VLOOKUP(A116,PowerVolTable,(IF('Pricing Inputs'!$AT$3=2,7,IF('Pricing Inputs'!$AT$3=1,6,8))),FALSE)))</f>
        <v>0.17271985073502913</v>
      </c>
      <c r="BO116" s="405">
        <f>IF(A116="N/A"," ",(VLOOKUP(A116,IntraPowerVol,(IF('Pricing Inputs'!$AT$3=2,3,IF('Pricing Inputs'!$AT$3=1,2,4))),FALSE)*VLOOKUP(MONTH($A116),Inputs!$A$28:$B$39,2)))</f>
        <v>1.2649999999999999</v>
      </c>
      <c r="BP116" s="406">
        <f t="shared" ca="1" si="126"/>
        <v>0.19009151280147313</v>
      </c>
      <c r="BQ116" s="405">
        <f ca="1">IF($A116="N/A"," ",(VLOOKUP($A116,GasVolTable,(IF('Pricing Inputs'!$AT$3=2,6,IF('Pricing Inputs'!$AT$3=1,7,5))),FALSE)))</f>
        <v>0.15</v>
      </c>
      <c r="BR116" s="405">
        <f ca="1">IF($A116="N/A"," ",(VLOOKUP($A116,OmicronVol,(IF('Pricing Inputs'!$AT$3=2,3,IF('Pricing Inputs'!$AT$3=1,4,2))),FALSE)))</f>
        <v>0.5</v>
      </c>
      <c r="BS116" s="406">
        <f ca="1">IF($A116="N/A"," ",IF('Pricing Inputs'!$AN$3=1,(IF(DateToday&gt;$A116,$BR116,((($BQ116^2)*((($A116-1)-DateToday)/((EOMONTH($A116,0)+1)-DateToday-15)))+((($BR116)^2)*((15)/((EOMONTH($A116,0)+1)-DateToday-15))))^0.5)),0.0001))</f>
        <v>0.15298136931085163</v>
      </c>
      <c r="BT116" s="405">
        <f>IF($A116="N/A"," ",IF('Pricing Inputs'!$AN$3=1,(VLOOKUP($A116,CorrelationTable,2,FALSE)),0))</f>
        <v>0.9</v>
      </c>
      <c r="BU116" s="407">
        <f ca="1">IF($A116="N/A"," ",F116+G116+(D116*(VLOOKUP($A116,'Gas Curves'!$B$17:$P$310,14,FALSE))))</f>
        <v>2.6825000000000001</v>
      </c>
      <c r="BV116" s="405">
        <f>IF($A116="N/A"," ",IF('Pricing Inputs'!$AW$3=1,0,(VLOOKUP($A116,InterestRatesTable,2))))</f>
        <v>0</v>
      </c>
      <c r="BW116" s="408">
        <f t="shared" ca="1" si="127"/>
        <v>1</v>
      </c>
    </row>
    <row r="117" spans="1:75">
      <c r="A117" s="248">
        <f>IF(A116="N/A","N/A",IF(EDATE(A116,1)&gt;Inputs!$K$3,"N/A",EDATE(A116,1)))</f>
        <v>40330</v>
      </c>
      <c r="B117" s="262">
        <f t="shared" si="128"/>
        <v>2010</v>
      </c>
      <c r="C117" s="249">
        <f t="shared" ca="1" si="129"/>
        <v>3.0134920310000002</v>
      </c>
      <c r="D117" s="250">
        <f>IF(A117="N/A"," ",(VLOOKUP(MONTH($A117),Inputs!$A$14:$B$25,2))/1000)</f>
        <v>10.5</v>
      </c>
      <c r="E117" s="304">
        <f t="shared" ca="1" si="130"/>
        <v>31.641666325500001</v>
      </c>
      <c r="F117" s="251">
        <f>IF(A117="N/A"," ",Inputs!$F$6)</f>
        <v>2</v>
      </c>
      <c r="G117" s="251">
        <f ca="1">IF(A117="N/A"," ",Inputs!$F$9/IF(AND('Pricing Inputs'!$AQ$3&gt;=4,'Pricing Inputs'!$AQ$3&lt;=6),16,IF(AND('Pricing Inputs'!$AQ$3&gt;=7,'Pricing Inputs'!$AQ$3&lt;=9),8,24))/(BA117/BW117))</f>
        <v>0</v>
      </c>
      <c r="H117" s="252">
        <f t="shared" ca="1" si="131"/>
        <v>33.641666325499997</v>
      </c>
      <c r="I117" s="255">
        <f>VLOOKUP(A117,ScaledPrice,(IF(AND('Pricing Inputs'!$AQ$3&gt;=1,'Pricing Inputs'!$AQ$3&lt;=6),2,4)))</f>
        <v>59.580296103678222</v>
      </c>
      <c r="J117" s="255">
        <f>IF(A117="N/A"," ",IF(AND('Pricing Inputs'!$AQ$3&gt;=1,'Pricing Inputs'!$AQ$3&lt;=6),I117,(VLOOKUP(A117,ScaledPrice,2))*(2-(VLOOKUP(A117,ScaledPrice,3)))))</f>
        <v>44.919703896321778</v>
      </c>
      <c r="K117" s="255">
        <f>IF(A117="N/A"," ",IF(OR('Pricing Inputs'!$AQ$3=2,'Pricing Inputs'!$AQ$3=3,'Pricing Inputs'!$AQ$3=5,'Pricing Inputs'!$AQ$3=6,'Pricing Inputs'!$AQ$3=8,'Pricing Inputs'!$AQ$3=9),VLOOKUP(A117,ScaledPrice,IF(AND('Pricing Inputs'!$AQ$3&gt;=2,'Pricing Inputs'!$AQ$3&lt;=6),5,6)),0))</f>
        <v>31.311013679006809</v>
      </c>
      <c r="L117" s="255">
        <f>IF(A117="N/A"," ",IF(OR('Pricing Inputs'!$AQ$3=2,'Pricing Inputs'!$AQ$3=3,'Pricing Inputs'!$AQ$3=5,'Pricing Inputs'!$AQ$3=6,'Pricing Inputs'!$AQ$3=8,'Pricing Inputs'!$AQ$3=9),IF(AND('Pricing Inputs'!$AQ$3&gt;=2,'Pricing Inputs'!$AQ$3&lt;=6),K117,(VLOOKUP(A117,ScaledPrice,5))*(2-(VLOOKUP(A117,ScaledPrice,3)))),0))</f>
        <v>23.606486626168962</v>
      </c>
      <c r="M117" s="255">
        <f>IF(A117="N/A"," ",IF(OR('Pricing Inputs'!$AQ$3=3,'Pricing Inputs'!$AQ$3=6,'Pricing Inputs'!$AQ$3=9),(VLOOKUP(A117,ScaledPrice,IF(AND('Pricing Inputs'!$AQ$3&gt;=3,'Pricing Inputs'!$AQ$3&lt;=6),7,8))),0))</f>
        <v>23.880580361293507</v>
      </c>
      <c r="N117" s="255">
        <f>IF(A117="N/A"," ",IF(OR('Pricing Inputs'!$AQ$3=3,'Pricing Inputs'!$AQ$3=6,'Pricing Inputs'!$AQ$3=9),IF(AND('Pricing Inputs'!$AQ$3&gt;=3,'Pricing Inputs'!$AQ$3&lt;=6),M117,(VLOOKUP(A117,ScaledPrice,7))*(2-(VLOOKUP(A117,ScaledPrice,3)))),0))</f>
        <v>18.004418723179139</v>
      </c>
      <c r="O117" s="255">
        <f>IF(A117="N/A"," ",IF(AND('Pricing Inputs'!$AQ$3&gt;=1,'Pricing Inputs'!$AQ$3&lt;=3),VLOOKUP(A117,ScaledPrice,9),0))</f>
        <v>0</v>
      </c>
      <c r="P117" s="320">
        <f ca="1">IF($A117="N/A"," ",IF('Pricing Inputs'!$AN$8=2,(I117-H117),IF('Pricing Inputs'!$AN$3=2,IF((I117-$H117)&gt;0,I117-$H117,0),(_xll.xSPRDOPT(I117,$E117,$BU117,0,$BP117,$BS117,$BT117,($A117-Inputs!$D$1)+15,1,0)))))</f>
        <v>26.533584291284605</v>
      </c>
      <c r="Q117" s="320">
        <f ca="1">IF($A117="N/A"," ",IF('Pricing Inputs'!$AN$8=2,(J117-$H117),IF('Pricing Inputs'!$AN$3=2,IF((J117-$H117)&gt;0,J117-$H117,0),(_xll.xSPRDOPT(J117,$E117,$BU117,0,$BP117,$BS117,$BT117,($A117-Inputs!$D$1)+15,1,0)))))</f>
        <v>13.83309412460828</v>
      </c>
      <c r="R117" s="320">
        <f ca="1">IF($A117="N/A"," ",IF('Pricing Inputs'!$AN$8=2,(K117-$H117),IF('Pricing Inputs'!$AN$3=2,IF((K117-$H117)&gt;0,K117-$H117,0),(_xll.xSPRDOPT(K117,$E117,$BU117,0,$BP117,$BS117,$BT117,($A117-Inputs!$D$1)+15,1,0)))))</f>
        <v>4.7007417575836881</v>
      </c>
      <c r="S117" s="320">
        <f ca="1">IF($A117="N/A"," ",IF('Pricing Inputs'!$AN$8=2,(L117-$H117),IF('Pricing Inputs'!$AN$3=2,IF((L117-$H117)&gt;0,L117-$H117,0),(_xll.xSPRDOPT(L117,$E117,$BU117,0,$BP117,$BS117,$BT117,($A117-Inputs!$D$1)+15,1,0)))))</f>
        <v>1.575451430274829</v>
      </c>
      <c r="T117" s="320">
        <f ca="1">IF($A117="N/A"," ",IF('Pricing Inputs'!$AN$8=2,(M117-$H117),IF('Pricing Inputs'!$AN$3=2,IF((M117-$H117)&gt;0,M117-$H117,0),(_xll.xSPRDOPT(M117,$E117,$BU117,0,$BP117,$BS117,$BT117,($A117-Inputs!$D$1)+15,1,0)))))</f>
        <v>1.655478346320278</v>
      </c>
      <c r="U117" s="320">
        <f ca="1">IF($A117="N/A"," ",IF('Pricing Inputs'!$AN$8=2,(N117-$H117),IF('Pricing Inputs'!$AN$3=2,IF((N117-$H117)&gt;0,N117-$H117,0),(_xll.xSPRDOPT(N117,$E117,$BU117,0,$BP117,$BS117,$BT117,($A117-Inputs!$D$1)+15,1,0)))))</f>
        <v>0.43247358844805051</v>
      </c>
      <c r="V117" s="259">
        <f ca="1">IF($A117="N/A"," ",(IF('Pricing Inputs'!$AN$8=2,(O117-$H117),IF((O117-$H117)&lt;=0,0,(O117-$H117)))))</f>
        <v>0</v>
      </c>
      <c r="W117" s="306">
        <f ca="1">IF($A117="N/A"," ",IF(0&lt;&gt;P117,IF('Pricing Inputs'!$AN$3=2,8*VLOOKUP($A117,NumberofDaysTable,2),(_xll.xSPRDOPT(I117,$E117,$BU117,0,$BP117,$BS117,$BT117,$A117-Inputs!$D$1,1,1))*(8*VLOOKUP($A117,NumberofDaysTable,2))),0))</f>
        <v>162.04593549601023</v>
      </c>
      <c r="X117" s="306">
        <f ca="1">IF($A117="N/A"," ",IF(Q117&lt;&gt;0,IF('Pricing Inputs'!$AN$3=2,8*VLOOKUP($A117,NumberofDaysTable,2),(_xll.xSPRDOPT(J117,$E117,$BU117,0,$BP117,$BS117,$BT117,$A117-Inputs!$D$1,1,1))*(8*VLOOKUP($A117,NumberofDaysTable,2))),0))</f>
        <v>139.43626607047221</v>
      </c>
      <c r="Y117" s="306">
        <f ca="1">IF($A117="N/A"," ",IF(R117&lt;&gt;0,IF('Pricing Inputs'!$AN$3=2,8*VLOOKUP($A117,NumberofDaysTable,3),(_xll.xSPRDOPT(K117,$E117,$BU117,0,$BP117,$BS117,$BT117,$A117-Inputs!$D$1,1,1))*(8*VLOOKUP($A117,NumberofDaysTable,3))),0))</f>
        <v>16.57510986620607</v>
      </c>
      <c r="Z117" s="306">
        <f ca="1">IF($A117="N/A"," ",IF(S117&lt;&gt;0,IF('Pricing Inputs'!$AN$3=2,8*VLOOKUP($A117,NumberofDaysTable,3),(_xll.xSPRDOPT(L117,$E117,$BU117,0,$BP117,$BS117,$BT117,$A117-Inputs!$D$1,1,1))*(8*VLOOKUP($A117,NumberofDaysTable,3))),0))</f>
        <v>9.1839361919168603</v>
      </c>
      <c r="AA117" s="306">
        <f ca="1">IF($A117="N/A"," ",IF(T117&lt;&gt;0,IF('Pricing Inputs'!$AN$3=2,8*VLOOKUP($A117,NumberofDaysTable,4),(_xll.xSPRDOPT(M117,$E117,$BU117,0,$BP117,$BS117,$BT117,$A117-Inputs!$D$1,1,1))*(8*VLOOKUP($A117,NumberofDaysTable,4))),0))</f>
        <v>9.457212889890295</v>
      </c>
      <c r="AB117" s="306">
        <f ca="1">IF($A117="N/A"," ",IF(U117&lt;&gt;0,IF('Pricing Inputs'!$AN$3=2,8*VLOOKUP($A117,NumberofDaysTable,4),(_xll.xSPRDOPT(N117,$E117,$BU117,0,$BP117,$BS117,$BT117,$A117-Inputs!$D$1,1,1))*(8*VLOOKUP($A117,NumberofDaysTable,4))),0))</f>
        <v>4.0140939431971869</v>
      </c>
      <c r="AC117" s="306">
        <f t="shared" ca="1" si="132"/>
        <v>0</v>
      </c>
      <c r="AD117" s="274">
        <f t="shared" ca="1" si="205"/>
        <v>5</v>
      </c>
      <c r="AE117" s="275">
        <f t="shared" ca="1" si="206"/>
        <v>8</v>
      </c>
      <c r="AF117" s="275">
        <f t="shared" ca="1" si="207"/>
        <v>15</v>
      </c>
      <c r="AG117" s="275">
        <f t="shared" ca="1" si="208"/>
        <v>24</v>
      </c>
      <c r="AH117" s="275">
        <f t="shared" ca="1" si="209"/>
        <v>22</v>
      </c>
      <c r="AI117" s="275">
        <f t="shared" ca="1" si="210"/>
        <v>34</v>
      </c>
      <c r="AJ117" s="276">
        <f t="shared" ca="1" si="211"/>
        <v>73</v>
      </c>
      <c r="AK117" s="314">
        <f t="shared" ca="1" si="158"/>
        <v>162.04593549601023</v>
      </c>
      <c r="AL117" s="315">
        <f t="shared" ca="1" si="159"/>
        <v>139.43626607047221</v>
      </c>
      <c r="AM117" s="315">
        <f t="shared" ca="1" si="160"/>
        <v>16.57510986620607</v>
      </c>
      <c r="AN117" s="315">
        <f t="shared" ca="1" si="161"/>
        <v>9.1839361919168603</v>
      </c>
      <c r="AO117" s="315">
        <f t="shared" ca="1" si="162"/>
        <v>9.457212889890295</v>
      </c>
      <c r="AP117" s="315">
        <f t="shared" ca="1" si="163"/>
        <v>4.0140939431971869</v>
      </c>
      <c r="AQ117" s="315">
        <f t="shared" ca="1" si="164"/>
        <v>0</v>
      </c>
      <c r="AR117" s="276"/>
      <c r="AS117" s="321">
        <f t="shared" ca="1" si="198"/>
        <v>0</v>
      </c>
      <c r="AT117" s="324">
        <f t="shared" ca="1" si="199"/>
        <v>0</v>
      </c>
      <c r="AU117" s="324">
        <f t="shared" ca="1" si="200"/>
        <v>0</v>
      </c>
      <c r="AV117" s="324">
        <f t="shared" ca="1" si="201"/>
        <v>0</v>
      </c>
      <c r="AW117" s="324">
        <f t="shared" ca="1" si="202"/>
        <v>0</v>
      </c>
      <c r="AX117" s="324">
        <f t="shared" ca="1" si="203"/>
        <v>0</v>
      </c>
      <c r="AY117" s="324">
        <f t="shared" ca="1" si="204"/>
        <v>0</v>
      </c>
      <c r="AZ117" s="276"/>
      <c r="BA117" s="267">
        <f ca="1">IF($A117="N/A"," ",(IF(MONTH(A117)&gt;=4,IF(MONTH(A117)&lt;=10,Inputs!$F$13,Inputs!$F$14),Inputs!$F$14))*$BW117)</f>
        <v>180</v>
      </c>
      <c r="BB117" s="268">
        <f t="shared" ca="1" si="165"/>
        <v>840583.95034789632</v>
      </c>
      <c r="BC117" s="268">
        <f t="shared" ca="1" si="166"/>
        <v>438232.42186759034</v>
      </c>
      <c r="BD117" s="268">
        <f t="shared" ca="1" si="133"/>
        <v>27076.272523682044</v>
      </c>
      <c r="BE117" s="268">
        <f t="shared" ca="1" si="134"/>
        <v>9074.6002383830146</v>
      </c>
      <c r="BF117" s="268">
        <f t="shared" ca="1" si="135"/>
        <v>9535.5552748048012</v>
      </c>
      <c r="BG117" s="268">
        <f t="shared" ca="1" si="136"/>
        <v>2491.0478694607709</v>
      </c>
      <c r="BH117" s="268">
        <f t="shared" ca="1" si="157"/>
        <v>0</v>
      </c>
      <c r="BI117" s="268">
        <f t="shared" ca="1" si="137"/>
        <v>1326993.8481218172</v>
      </c>
      <c r="BJ117" s="296">
        <f t="shared" ca="1" si="138"/>
        <v>2063184.8525954005</v>
      </c>
      <c r="BK117" s="296">
        <f t="shared" ca="1" si="139"/>
        <v>1940528.3329906315</v>
      </c>
      <c r="BL117" s="296">
        <f t="shared" ca="1" si="140"/>
        <v>122656.51960476942</v>
      </c>
      <c r="BM117" s="296">
        <f t="shared" ca="1" si="141"/>
        <v>0</v>
      </c>
      <c r="BN117" s="405">
        <f>IF(A117="N/A"," ",(VLOOKUP(A117,PowerVolTable,(IF('Pricing Inputs'!$AT$3=2,7,IF('Pricing Inputs'!$AT$3=1,6,8))),FALSE)))</f>
        <v>0.21653794094613255</v>
      </c>
      <c r="BO117" s="405">
        <f>IF(A117="N/A"," ",(VLOOKUP(A117,IntraPowerVol,(IF('Pricing Inputs'!$AT$3=2,3,IF('Pricing Inputs'!$AT$3=1,2,4))),FALSE)*VLOOKUP(MONTH($A117),Inputs!$A$28:$B$39,2)))</f>
        <v>2.2999999999999998</v>
      </c>
      <c r="BP117" s="406">
        <f t="shared" ca="1" si="126"/>
        <v>0.26039201628996816</v>
      </c>
      <c r="BQ117" s="405">
        <f ca="1">IF($A117="N/A"," ",(VLOOKUP($A117,GasVolTable,(IF('Pricing Inputs'!$AT$3=2,6,IF('Pricing Inputs'!$AT$3=1,7,5))),FALSE)))</f>
        <v>0.15</v>
      </c>
      <c r="BR117" s="405">
        <f ca="1">IF($A117="N/A"," ",(VLOOKUP($A117,OmicronVol,(IF('Pricing Inputs'!$AT$3=2,3,IF('Pricing Inputs'!$AT$3=1,4,2))),FALSE)))</f>
        <v>0.5</v>
      </c>
      <c r="BS117" s="406">
        <f ca="1">IF($A117="N/A"," ",IF('Pricing Inputs'!$AN$3=1,(IF(DateToday&gt;$A117,$BR117,((($BQ117^2)*((($A117-1)-DateToday)/((EOMONTH($A117,0)+1)-DateToday-15)))+((($BR117)^2)*((15)/((EOMONTH($A117,0)+1)-DateToday-15))))^0.5)),0.0001))</f>
        <v>0.1529773694770335</v>
      </c>
      <c r="BT117" s="405">
        <f>IF($A117="N/A"," ",IF('Pricing Inputs'!$AN$3=1,(VLOOKUP($A117,CorrelationTable,2,FALSE)),0))</f>
        <v>0.9</v>
      </c>
      <c r="BU117" s="407">
        <f ca="1">IF($A117="N/A"," ",F117+G117+(D117*(VLOOKUP($A117,'Gas Curves'!$B$17:$P$310,14,FALSE))))</f>
        <v>2.6825000000000001</v>
      </c>
      <c r="BV117" s="405">
        <f>IF($A117="N/A"," ",IF('Pricing Inputs'!$AW$3=1,0,(VLOOKUP($A117,InterestRatesTable,2))))</f>
        <v>0</v>
      </c>
      <c r="BW117" s="408">
        <f t="shared" ca="1" si="127"/>
        <v>1</v>
      </c>
    </row>
    <row r="118" spans="1:75">
      <c r="A118" s="248">
        <f>IF(A117="N/A","N/A",IF(EDATE(A117,1)&gt;Inputs!$K$3,"N/A",EDATE(A117,1)))</f>
        <v>40360</v>
      </c>
      <c r="B118" s="262">
        <f t="shared" si="128"/>
        <v>2010</v>
      </c>
      <c r="C118" s="249">
        <f t="shared" ca="1" si="129"/>
        <v>3.023492031</v>
      </c>
      <c r="D118" s="250">
        <f>IF(A118="N/A"," ",(VLOOKUP(MONTH($A118),Inputs!$A$14:$B$25,2))/1000)</f>
        <v>10.5</v>
      </c>
      <c r="E118" s="304">
        <f t="shared" ca="1" si="130"/>
        <v>31.746666325500001</v>
      </c>
      <c r="F118" s="251">
        <f>IF(A118="N/A"," ",Inputs!$F$6)</f>
        <v>2</v>
      </c>
      <c r="G118" s="251">
        <f ca="1">IF(A118="N/A"," ",Inputs!$F$9/IF(AND('Pricing Inputs'!$AQ$3&gt;=4,'Pricing Inputs'!$AQ$3&lt;=6),16,IF(AND('Pricing Inputs'!$AQ$3&gt;=7,'Pricing Inputs'!$AQ$3&lt;=9),8,24))/(BA118/BW118))</f>
        <v>0</v>
      </c>
      <c r="H118" s="252">
        <f t="shared" ca="1" si="131"/>
        <v>33.746666325500001</v>
      </c>
      <c r="I118" s="255">
        <f>VLOOKUP(A118,ScaledPrice,(IF(AND('Pricing Inputs'!$AQ$3&gt;=1,'Pricing Inputs'!$AQ$3&lt;=6),2,4)))</f>
        <v>91.162365964120667</v>
      </c>
      <c r="J118" s="255">
        <f>IF(A118="N/A"," ",IF(AND('Pricing Inputs'!$AQ$3&gt;=1,'Pricing Inputs'!$AQ$3&lt;=6),I118,(VLOOKUP(A118,ScaledPrice,2))*(2-(VLOOKUP(A118,ScaledPrice,3)))))</f>
        <v>61.837634035879333</v>
      </c>
      <c r="K118" s="255">
        <f>IF(A118="N/A"," ",IF(OR('Pricing Inputs'!$AQ$3=2,'Pricing Inputs'!$AQ$3=3,'Pricing Inputs'!$AQ$3=5,'Pricing Inputs'!$AQ$3=6,'Pricing Inputs'!$AQ$3=8,'Pricing Inputs'!$AQ$3=9),VLOOKUP(A118,ScaledPrice,IF(AND('Pricing Inputs'!$AQ$3&gt;=2,'Pricing Inputs'!$AQ$3&lt;=6),5,6)),0))</f>
        <v>48.454584461801097</v>
      </c>
      <c r="L118" s="255">
        <f>IF(A118="N/A"," ",IF(OR('Pricing Inputs'!$AQ$3=2,'Pricing Inputs'!$AQ$3=3,'Pricing Inputs'!$AQ$3=5,'Pricing Inputs'!$AQ$3=6,'Pricing Inputs'!$AQ$3=8,'Pricing Inputs'!$AQ$3=9),IF(AND('Pricing Inputs'!$AQ$3&gt;=2,'Pricing Inputs'!$AQ$3&lt;=6),K118,(VLOOKUP(A118,ScaledPrice,5))*(2-(VLOOKUP(A118,ScaledPrice,3)))),0))</f>
        <v>32.867914622671599</v>
      </c>
      <c r="M118" s="255">
        <f>IF(A118="N/A"," ",IF(OR('Pricing Inputs'!$AQ$3=3,'Pricing Inputs'!$AQ$3=6,'Pricing Inputs'!$AQ$3=9),(VLOOKUP(A118,ScaledPrice,IF(AND('Pricing Inputs'!$AQ$3&gt;=3,'Pricing Inputs'!$AQ$3&lt;=6),7,8))),0))</f>
        <v>35.925717375390477</v>
      </c>
      <c r="N118" s="255">
        <f>IF(A118="N/A"," ",IF(OR('Pricing Inputs'!$AQ$3=3,'Pricing Inputs'!$AQ$3=6,'Pricing Inputs'!$AQ$3=9),IF(AND('Pricing Inputs'!$AQ$3&gt;=3,'Pricing Inputs'!$AQ$3&lt;=6),M118,(VLOOKUP(A118,ScaledPrice,7))*(2-(VLOOKUP(A118,ScaledPrice,3)))),0))</f>
        <v>24.369281556494279</v>
      </c>
      <c r="O118" s="255">
        <f>IF(A118="N/A"," ",IF(AND('Pricing Inputs'!$AQ$3&gt;=1,'Pricing Inputs'!$AQ$3&lt;=3),VLOOKUP(A118,ScaledPrice,9),0))</f>
        <v>0</v>
      </c>
      <c r="P118" s="320">
        <f ca="1">IF($A118="N/A"," ",IF('Pricing Inputs'!$AN$8=2,(I118-H118),IF('Pricing Inputs'!$AN$3=2,IF((I118-$H118)&gt;0,I118-$H118,0),(_xll.xSPRDOPT(I118,$E118,$BU118,0,$BP118,$BS118,$BT118,($A118-Inputs!$D$1)+15,1,0)))))</f>
        <v>58.177342496000371</v>
      </c>
      <c r="Q118" s="320">
        <f ca="1">IF($A118="N/A"," ",IF('Pricing Inputs'!$AN$8=2,(J118-$H118),IF('Pricing Inputs'!$AN$3=2,IF((J118-$H118)&gt;0,J118-$H118,0),(_xll.xSPRDOPT(J118,$E118,$BU118,0,$BP118,$BS118,$BT118,($A118-Inputs!$D$1)+15,1,0)))))</f>
        <v>30.939304180814002</v>
      </c>
      <c r="R118" s="320">
        <f ca="1">IF($A118="N/A"," ",IF('Pricing Inputs'!$AN$8=2,(K118-$H118),IF('Pricing Inputs'!$AN$3=2,IF((K118-$H118)&gt;0,K118-$H118,0),(_xll.xSPRDOPT(K118,$E118,$BU118,0,$BP118,$BS118,$BT118,($A118-Inputs!$D$1)+15,1,0)))))</f>
        <v>19.612479549160387</v>
      </c>
      <c r="S118" s="320">
        <f ca="1">IF($A118="N/A"," ",IF('Pricing Inputs'!$AN$8=2,(L118-$H118),IF('Pricing Inputs'!$AN$3=2,IF((L118-$H118)&gt;0,L118-$H118,0),(_xll.xSPRDOPT(L118,$E118,$BU118,0,$BP118,$BS118,$BT118,($A118-Inputs!$D$1)+15,1,0)))))</f>
        <v>8.4174089088856725</v>
      </c>
      <c r="T118" s="320">
        <f ca="1">IF($A118="N/A"," ",IF('Pricing Inputs'!$AN$8=2,(M118-$H118),IF('Pricing Inputs'!$AN$3=2,IF((M118-$H118)&gt;0,M118-$H118,0),(_xll.xSPRDOPT(M118,$E118,$BU118,0,$BP118,$BS118,$BT118,($A118-Inputs!$D$1)+15,1,0)))))</f>
        <v>10.368232173049947</v>
      </c>
      <c r="U118" s="320">
        <f ca="1">IF($A118="N/A"," ",IF('Pricing Inputs'!$AN$8=2,(N118-$H118),IF('Pricing Inputs'!$AN$3=2,IF((N118-$H118)&gt;0,N118-$H118,0),(_xll.xSPRDOPT(N118,$E118,$BU118,0,$BP118,$BS118,$BT118,($A118-Inputs!$D$1)+15,1,0)))))</f>
        <v>3.8871754405915877</v>
      </c>
      <c r="V118" s="259">
        <f ca="1">IF($A118="N/A"," ",(IF('Pricing Inputs'!$AN$8=2,(O118-$H118),IF((O118-$H118)&lt;=0,0,(O118-$H118)))))</f>
        <v>0</v>
      </c>
      <c r="W118" s="306">
        <f ca="1">IF($A118="N/A"," ",IF(0&lt;&gt;P118,IF('Pricing Inputs'!$AN$3=2,8*VLOOKUP($A118,NumberofDaysTable,2),(_xll.xSPRDOPT(I118,$E118,$BU118,0,$BP118,$BS118,$BT118,$A118-Inputs!$D$1,1,1))*(8*VLOOKUP($A118,NumberofDaysTable,2))),0))</f>
        <v>161.18513261560753</v>
      </c>
      <c r="X118" s="306">
        <f ca="1">IF($A118="N/A"," ",IF(Q118&lt;&gt;0,IF('Pricing Inputs'!$AN$3=2,8*VLOOKUP($A118,NumberofDaysTable,2),(_xll.xSPRDOPT(J118,$E118,$BU118,0,$BP118,$BS118,$BT118,$A118-Inputs!$D$1,1,1))*(8*VLOOKUP($A118,NumberofDaysTable,2))),0))</f>
        <v>148.45967692627562</v>
      </c>
      <c r="Y118" s="306">
        <f ca="1">IF($A118="N/A"," ",IF(R118&lt;&gt;0,IF('Pricing Inputs'!$AN$3=2,8*VLOOKUP($A118,NumberofDaysTable,3),(_xll.xSPRDOPT(K118,$E118,$BU118,0,$BP118,$BS118,$BT118,$A118-Inputs!$D$1,1,1))*(8*VLOOKUP($A118,NumberofDaysTable,3))),0))</f>
        <v>32.040878145305911</v>
      </c>
      <c r="Z118" s="306">
        <f ca="1">IF($A118="N/A"," ",IF(S118&lt;&gt;0,IF('Pricing Inputs'!$AN$3=2,8*VLOOKUP($A118,NumberofDaysTable,3),(_xll.xSPRDOPT(L118,$E118,$BU118,0,$BP118,$BS118,$BT118,$A118-Inputs!$D$1,1,1))*(8*VLOOKUP($A118,NumberofDaysTable,3))),0))</f>
        <v>24.526404112310708</v>
      </c>
      <c r="AA118" s="306">
        <f ca="1">IF($A118="N/A"," ",IF(T118&lt;&gt;0,IF('Pricing Inputs'!$AN$3=2,8*VLOOKUP($A118,NumberofDaysTable,4),(_xll.xSPRDOPT(M118,$E118,$BU118,0,$BP118,$BS118,$BT118,$A118-Inputs!$D$1,1,1))*(8*VLOOKUP($A118,NumberofDaysTable,4))),0))</f>
        <v>21.15818533468012</v>
      </c>
      <c r="AB118" s="306">
        <f ca="1">IF($A118="N/A"," ",IF(U118&lt;&gt;0,IF('Pricing Inputs'!$AN$3=2,8*VLOOKUP($A118,NumberofDaysTable,4),(_xll.xSPRDOPT(N118,$E118,$BU118,0,$BP118,$BS118,$BT118,$A118-Inputs!$D$1,1,1))*(8*VLOOKUP($A118,NumberofDaysTable,4))),0))</f>
        <v>14.158372715558663</v>
      </c>
      <c r="AC118" s="306">
        <f t="shared" ca="1" si="132"/>
        <v>0</v>
      </c>
      <c r="AD118" s="274">
        <f t="shared" ca="1" si="205"/>
        <v>1</v>
      </c>
      <c r="AE118" s="275">
        <f t="shared" ca="1" si="206"/>
        <v>4</v>
      </c>
      <c r="AF118" s="275">
        <f t="shared" ca="1" si="207"/>
        <v>6</v>
      </c>
      <c r="AG118" s="275">
        <f t="shared" ca="1" si="208"/>
        <v>12</v>
      </c>
      <c r="AH118" s="275">
        <f t="shared" ca="1" si="209"/>
        <v>10</v>
      </c>
      <c r="AI118" s="275">
        <f t="shared" ca="1" si="210"/>
        <v>17</v>
      </c>
      <c r="AJ118" s="276">
        <f t="shared" ca="1" si="211"/>
        <v>73</v>
      </c>
      <c r="AK118" s="314">
        <f t="shared" ca="1" si="158"/>
        <v>161.18513261560753</v>
      </c>
      <c r="AL118" s="315">
        <f t="shared" ca="1" si="159"/>
        <v>148.45967692627562</v>
      </c>
      <c r="AM118" s="315">
        <f t="shared" ca="1" si="160"/>
        <v>32.040878145305911</v>
      </c>
      <c r="AN118" s="315">
        <f t="shared" ca="1" si="161"/>
        <v>24.526404112310708</v>
      </c>
      <c r="AO118" s="315">
        <f t="shared" ca="1" si="162"/>
        <v>21.15818533468012</v>
      </c>
      <c r="AP118" s="315">
        <f t="shared" ca="1" si="163"/>
        <v>14.158372715558663</v>
      </c>
      <c r="AQ118" s="315">
        <f t="shared" ca="1" si="164"/>
        <v>0</v>
      </c>
      <c r="AR118" s="276"/>
      <c r="AS118" s="321">
        <f t="shared" ca="1" si="198"/>
        <v>0</v>
      </c>
      <c r="AT118" s="324">
        <f t="shared" ca="1" si="199"/>
        <v>0</v>
      </c>
      <c r="AU118" s="324">
        <f t="shared" ca="1" si="200"/>
        <v>0</v>
      </c>
      <c r="AV118" s="324">
        <f t="shared" ca="1" si="201"/>
        <v>0</v>
      </c>
      <c r="AW118" s="324">
        <f t="shared" ca="1" si="202"/>
        <v>0</v>
      </c>
      <c r="AX118" s="324">
        <f t="shared" ca="1" si="203"/>
        <v>0</v>
      </c>
      <c r="AY118" s="324">
        <f t="shared" ca="1" si="204"/>
        <v>0</v>
      </c>
      <c r="AZ118" s="276"/>
      <c r="BA118" s="267">
        <f ca="1">IF($A118="N/A"," ",(IF(MONTH(A118)&gt;=4,IF(MONTH(A118)&lt;=10,Inputs!$F$13,Inputs!$F$14),Inputs!$F$14))*$BW118)</f>
        <v>180</v>
      </c>
      <c r="BB118" s="268">
        <f t="shared" ca="1" si="165"/>
        <v>1759282.8370790512</v>
      </c>
      <c r="BC118" s="268">
        <f t="shared" ca="1" si="166"/>
        <v>935604.55842781544</v>
      </c>
      <c r="BD118" s="268">
        <f t="shared" ca="1" si="133"/>
        <v>141209.85275395479</v>
      </c>
      <c r="BE118" s="268">
        <f t="shared" ca="1" si="134"/>
        <v>60605.344143976843</v>
      </c>
      <c r="BF118" s="268">
        <f t="shared" ca="1" si="135"/>
        <v>74651.271645959612</v>
      </c>
      <c r="BG118" s="268">
        <f t="shared" ca="1" si="136"/>
        <v>27987.663172259432</v>
      </c>
      <c r="BH118" s="268">
        <f t="shared" ca="1" si="157"/>
        <v>0</v>
      </c>
      <c r="BI118" s="268">
        <f t="shared" ca="1" si="137"/>
        <v>2999341.5272230175</v>
      </c>
      <c r="BJ118" s="296">
        <f t="shared" ca="1" si="138"/>
        <v>2439045.6059893775</v>
      </c>
      <c r="BK118" s="296">
        <f t="shared" ca="1" si="139"/>
        <v>2294495.2920434717</v>
      </c>
      <c r="BL118" s="296">
        <f t="shared" ca="1" si="140"/>
        <v>144550.31394590589</v>
      </c>
      <c r="BM118" s="296">
        <f t="shared" ca="1" si="141"/>
        <v>0</v>
      </c>
      <c r="BN118" s="405">
        <f>IF(A118="N/A"," ",(VLOOKUP(A118,PowerVolTable,(IF('Pricing Inputs'!$AT$3=2,7,IF('Pricing Inputs'!$AT$3=1,6,8))),FALSE)))</f>
        <v>0.256243653758783</v>
      </c>
      <c r="BO118" s="405">
        <f>IF(A118="N/A"," ",(VLOOKUP(A118,IntraPowerVol,(IF('Pricing Inputs'!$AT$3=2,3,IF('Pricing Inputs'!$AT$3=1,2,4))),FALSE)*VLOOKUP(MONTH($A118),Inputs!$A$28:$B$39,2)))</f>
        <v>3.4499999999999997</v>
      </c>
      <c r="BP118" s="406">
        <f t="shared" ca="1" si="126"/>
        <v>0.33538957060585795</v>
      </c>
      <c r="BQ118" s="405">
        <f ca="1">IF($A118="N/A"," ",(VLOOKUP($A118,GasVolTable,(IF('Pricing Inputs'!$AT$3=2,6,IF('Pricing Inputs'!$AT$3=1,7,5))),FALSE)))</f>
        <v>0.15</v>
      </c>
      <c r="BR118" s="405">
        <f ca="1">IF($A118="N/A"," ",(VLOOKUP($A118,OmicronVol,(IF('Pricing Inputs'!$AT$3=2,3,IF('Pricing Inputs'!$AT$3=1,4,2))),FALSE)))</f>
        <v>0.5</v>
      </c>
      <c r="BS118" s="406">
        <f ca="1">IF($A118="N/A"," ",IF('Pricing Inputs'!$AN$3=1,(IF(DateToday&gt;$A118,$BR118,((($BQ118^2)*((($A118-1)-DateToday)/((EOMONTH($A118,0)+1)-DateToday-15)))+((($BR118)^2)*((15)/((EOMONTH($A118,0)+1)-DateToday-15))))^0.5)),0.0001))</f>
        <v>0.15293383186185236</v>
      </c>
      <c r="BT118" s="405">
        <f>IF($A118="N/A"," ",IF('Pricing Inputs'!$AN$3=1,(VLOOKUP($A118,CorrelationTable,2,FALSE)),0))</f>
        <v>0.9</v>
      </c>
      <c r="BU118" s="407">
        <f ca="1">IF($A118="N/A"," ",F118+G118+(D118*(VLOOKUP($A118,'Gas Curves'!$B$17:$P$310,14,FALSE))))</f>
        <v>2.6825000000000001</v>
      </c>
      <c r="BV118" s="405">
        <f>IF($A118="N/A"," ",IF('Pricing Inputs'!$AW$3=1,0,(VLOOKUP($A118,InterestRatesTable,2))))</f>
        <v>0</v>
      </c>
      <c r="BW118" s="408">
        <f t="shared" ca="1" si="127"/>
        <v>1</v>
      </c>
    </row>
    <row r="119" spans="1:75">
      <c r="A119" s="248">
        <f>IF(A118="N/A","N/A",IF(EDATE(A118,1)&gt;Inputs!$K$3,"N/A",EDATE(A118,1)))</f>
        <v>40391</v>
      </c>
      <c r="B119" s="262">
        <f t="shared" si="128"/>
        <v>2010</v>
      </c>
      <c r="C119" s="249">
        <f t="shared" ca="1" si="129"/>
        <v>3.0304920310000005</v>
      </c>
      <c r="D119" s="250">
        <f>IF(A119="N/A"," ",(VLOOKUP(MONTH($A119),Inputs!$A$14:$B$25,2))/1000)</f>
        <v>10.5</v>
      </c>
      <c r="E119" s="304">
        <f t="shared" ca="1" si="130"/>
        <v>31.820166325500004</v>
      </c>
      <c r="F119" s="251">
        <f>IF(A119="N/A"," ",Inputs!$F$6)</f>
        <v>2</v>
      </c>
      <c r="G119" s="251">
        <f ca="1">IF(A119="N/A"," ",Inputs!$F$9/IF(AND('Pricing Inputs'!$AQ$3&gt;=4,'Pricing Inputs'!$AQ$3&lt;=6),16,IF(AND('Pricing Inputs'!$AQ$3&gt;=7,'Pricing Inputs'!$AQ$3&lt;=9),8,24))/(BA119/BW119))</f>
        <v>0</v>
      </c>
      <c r="H119" s="252">
        <f t="shared" ca="1" si="131"/>
        <v>33.820166325500004</v>
      </c>
      <c r="I119" s="255">
        <f>VLOOKUP(A119,ScaledPrice,(IF(AND('Pricing Inputs'!$AQ$3&gt;=1,'Pricing Inputs'!$AQ$3&lt;=6),2,4)))</f>
        <v>79.842884282517829</v>
      </c>
      <c r="J119" s="255">
        <f>IF(A119="N/A"," ",IF(AND('Pricing Inputs'!$AQ$3&gt;=1,'Pricing Inputs'!$AQ$3&lt;=6),I119,(VLOOKUP(A119,ScaledPrice,2))*(2-(VLOOKUP(A119,ScaledPrice,3)))))</f>
        <v>64.157115717482171</v>
      </c>
      <c r="K119" s="255">
        <f>IF(A119="N/A"," ",IF(OR('Pricing Inputs'!$AQ$3=2,'Pricing Inputs'!$AQ$3=3,'Pricing Inputs'!$AQ$3=5,'Pricing Inputs'!$AQ$3=6,'Pricing Inputs'!$AQ$3=8,'Pricing Inputs'!$AQ$3=9),VLOOKUP(A119,ScaledPrice,IF(AND('Pricing Inputs'!$AQ$3&gt;=2,'Pricing Inputs'!$AQ$3&lt;=6),5,6)),0))</f>
        <v>47.598001771083737</v>
      </c>
      <c r="L119" s="255">
        <f>IF(A119="N/A"," ",IF(OR('Pricing Inputs'!$AQ$3=2,'Pricing Inputs'!$AQ$3=3,'Pricing Inputs'!$AQ$3=5,'Pricing Inputs'!$AQ$3=6,'Pricing Inputs'!$AQ$3=8,'Pricing Inputs'!$AQ$3=9),IF(AND('Pricing Inputs'!$AQ$3&gt;=2,'Pricing Inputs'!$AQ$3&lt;=6),K119,(VLOOKUP(A119,ScaledPrice,5))*(2-(VLOOKUP(A119,ScaledPrice,3)))),0))</f>
        <v>38.246996397861615</v>
      </c>
      <c r="M119" s="255">
        <f>IF(A119="N/A"," ",IF(OR('Pricing Inputs'!$AQ$3=3,'Pricing Inputs'!$AQ$3=6,'Pricing Inputs'!$AQ$3=9),(VLOOKUP(A119,ScaledPrice,IF(AND('Pricing Inputs'!$AQ$3&gt;=3,'Pricing Inputs'!$AQ$3&lt;=6),7,8))),0))</f>
        <v>35.092057501765154</v>
      </c>
      <c r="N119" s="255">
        <f>IF(A119="N/A"," ",IF(OR('Pricing Inputs'!$AQ$3=3,'Pricing Inputs'!$AQ$3=6,'Pricing Inputs'!$AQ$3=9),IF(AND('Pricing Inputs'!$AQ$3&gt;=3,'Pricing Inputs'!$AQ$3&lt;=6),M119,(VLOOKUP(A119,ScaledPrice,7))*(2-(VLOOKUP(A119,ScaledPrice,3)))),0))</f>
        <v>28.197944176701629</v>
      </c>
      <c r="O119" s="255">
        <f>IF(A119="N/A"," ",IF(AND('Pricing Inputs'!$AQ$3&gt;=1,'Pricing Inputs'!$AQ$3&lt;=3),VLOOKUP(A119,ScaledPrice,9),0))</f>
        <v>0</v>
      </c>
      <c r="P119" s="320">
        <f ca="1">IF($A119="N/A"," ",IF('Pricing Inputs'!$AN$8=2,(I119-H119),IF('Pricing Inputs'!$AN$3=2,IF((I119-$H119)&gt;0,I119-$H119,0),(_xll.xSPRDOPT(I119,$E119,$BU119,0,$BP119,$BS119,$BT119,($A119-Inputs!$D$1)+15,1,0)))))</f>
        <v>47.250942663593172</v>
      </c>
      <c r="Q119" s="320">
        <f ca="1">IF($A119="N/A"," ",IF('Pricing Inputs'!$AN$8=2,(J119-$H119),IF('Pricing Inputs'!$AN$3=2,IF((J119-$H119)&gt;0,J119-$H119,0),(_xll.xSPRDOPT(J119,$E119,$BU119,0,$BP119,$BS119,$BT119,($A119-Inputs!$D$1)+15,1,0)))))</f>
        <v>32.811307106192729</v>
      </c>
      <c r="R119" s="320">
        <f ca="1">IF($A119="N/A"," ",IF('Pricing Inputs'!$AN$8=2,(K119-$H119),IF('Pricing Inputs'!$AN$3=2,IF((K119-$H119)&gt;0,K119-$H119,0),(_xll.xSPRDOPT(K119,$E119,$BU119,0,$BP119,$BS119,$BT119,($A119-Inputs!$D$1)+15,1,0)))))</f>
        <v>18.730637447559044</v>
      </c>
      <c r="S119" s="320">
        <f ca="1">IF($A119="N/A"," ",IF('Pricing Inputs'!$AN$8=2,(L119-$H119),IF('Pricing Inputs'!$AN$3=2,IF((L119-$H119)&gt;0,L119-$H119,0),(_xll.xSPRDOPT(L119,$E119,$BU119,0,$BP119,$BS119,$BT119,($A119-Inputs!$D$1)+15,1,0)))))</f>
        <v>11.753376662819678</v>
      </c>
      <c r="T119" s="320">
        <f ca="1">IF($A119="N/A"," ",IF('Pricing Inputs'!$AN$8=2,(M119-$H119),IF('Pricing Inputs'!$AN$3=2,IF((M119-$H119)&gt;0,M119-$H119,0),(_xll.xSPRDOPT(M119,$E119,$BU119,0,$BP119,$BS119,$BT119,($A119-Inputs!$D$1)+15,1,0)))))</f>
        <v>9.6420455162492065</v>
      </c>
      <c r="U119" s="320">
        <f ca="1">IF($A119="N/A"," ",IF('Pricing Inputs'!$AN$8=2,(N119-$H119),IF('Pricing Inputs'!$AN$3=2,IF((N119-$H119)&gt;0,N119-$H119,0),(_xll.xSPRDOPT(N119,$E119,$BU119,0,$BP119,$BS119,$BT119,($A119-Inputs!$D$1)+15,1,0)))))</f>
        <v>5.5972536127010599</v>
      </c>
      <c r="V119" s="259">
        <f ca="1">IF($A119="N/A"," ",(IF('Pricing Inputs'!$AN$8=2,(O119-$H119),IF((O119-$H119)&lt;=0,0,(O119-$H119)))))</f>
        <v>0</v>
      </c>
      <c r="W119" s="306">
        <f ca="1">IF($A119="N/A"," ",IF(0&lt;&gt;P119,IF('Pricing Inputs'!$AN$3=2,8*VLOOKUP($A119,NumberofDaysTable,2),(_xll.xSPRDOPT(I119,$E119,$BU119,0,$BP119,$BS119,$BT119,$A119-Inputs!$D$1,1,1))*(8*VLOOKUP($A119,NumberofDaysTable,2))),0))</f>
        <v>165.71428175502555</v>
      </c>
      <c r="X119" s="306">
        <f ca="1">IF($A119="N/A"," ",IF(Q119&lt;&gt;0,IF('Pricing Inputs'!$AN$3=2,8*VLOOKUP($A119,NumberofDaysTable,2),(_xll.xSPRDOPT(J119,$E119,$BU119,0,$BP119,$BS119,$BT119,$A119-Inputs!$D$1,1,1))*(8*VLOOKUP($A119,NumberofDaysTable,2))),0))</f>
        <v>157.47909512857106</v>
      </c>
      <c r="Y119" s="306">
        <f ca="1">IF($A119="N/A"," ",IF(R119&lt;&gt;0,IF('Pricing Inputs'!$AN$3=2,8*VLOOKUP($A119,NumberofDaysTable,3),(_xll.xSPRDOPT(K119,$E119,$BU119,0,$BP119,$BS119,$BT119,$A119-Inputs!$D$1,1,1))*(8*VLOOKUP($A119,NumberofDaysTable,3))),0))</f>
        <v>25.393960219647216</v>
      </c>
      <c r="Z119" s="306">
        <f ca="1">IF($A119="N/A"," ",IF(S119&lt;&gt;0,IF('Pricing Inputs'!$AN$3=2,8*VLOOKUP($A119,NumberofDaysTable,3),(_xll.xSPRDOPT(L119,$E119,$BU119,0,$BP119,$BS119,$BT119,$A119-Inputs!$D$1,1,1))*(8*VLOOKUP($A119,NumberofDaysTable,3))),0))</f>
        <v>22.122375596098092</v>
      </c>
      <c r="AA119" s="306">
        <f ca="1">IF($A119="N/A"," ",IF(T119&lt;&gt;0,IF('Pricing Inputs'!$AN$3=2,8*VLOOKUP($A119,NumberofDaysTable,4),(_xll.xSPRDOPT(M119,$E119,$BU119,0,$BP119,$BS119,$BT119,$A119-Inputs!$D$1,1,1))*(8*VLOOKUP($A119,NumberofDaysTable,4))),0))</f>
        <v>25.826009595172494</v>
      </c>
      <c r="AB119" s="306">
        <f ca="1">IF($A119="N/A"," ",IF(U119&lt;&gt;0,IF('Pricing Inputs'!$AN$3=2,8*VLOOKUP($A119,NumberofDaysTable,4),(_xll.xSPRDOPT(N119,$E119,$BU119,0,$BP119,$BS119,$BT119,$A119-Inputs!$D$1,1,1))*(8*VLOOKUP($A119,NumberofDaysTable,4))),0))</f>
        <v>20.839573989114761</v>
      </c>
      <c r="AC119" s="306">
        <f t="shared" ca="1" si="132"/>
        <v>0</v>
      </c>
      <c r="AD119" s="274">
        <f t="shared" ca="1" si="205"/>
        <v>2</v>
      </c>
      <c r="AE119" s="275">
        <f t="shared" ca="1" si="206"/>
        <v>3</v>
      </c>
      <c r="AF119" s="275">
        <f t="shared" ca="1" si="207"/>
        <v>7</v>
      </c>
      <c r="AG119" s="275">
        <f t="shared" ca="1" si="208"/>
        <v>9</v>
      </c>
      <c r="AH119" s="275">
        <f t="shared" ca="1" si="209"/>
        <v>11</v>
      </c>
      <c r="AI119" s="275">
        <f t="shared" ca="1" si="210"/>
        <v>13</v>
      </c>
      <c r="AJ119" s="276">
        <f t="shared" ca="1" si="211"/>
        <v>73</v>
      </c>
      <c r="AK119" s="314">
        <f t="shared" ca="1" si="158"/>
        <v>165.71428175502555</v>
      </c>
      <c r="AL119" s="315">
        <f t="shared" ca="1" si="159"/>
        <v>157.47909512857106</v>
      </c>
      <c r="AM119" s="315">
        <f t="shared" ca="1" si="160"/>
        <v>25.393960219647216</v>
      </c>
      <c r="AN119" s="315">
        <f t="shared" ca="1" si="161"/>
        <v>22.122375596098092</v>
      </c>
      <c r="AO119" s="315">
        <f t="shared" ca="1" si="162"/>
        <v>25.826009595172494</v>
      </c>
      <c r="AP119" s="315">
        <f t="shared" ca="1" si="163"/>
        <v>20.839573989114761</v>
      </c>
      <c r="AQ119" s="315">
        <f t="shared" ca="1" si="164"/>
        <v>0</v>
      </c>
      <c r="AR119" s="276"/>
      <c r="AS119" s="321">
        <f t="shared" ca="1" si="198"/>
        <v>0</v>
      </c>
      <c r="AT119" s="324">
        <f t="shared" ca="1" si="199"/>
        <v>0</v>
      </c>
      <c r="AU119" s="324">
        <f t="shared" ca="1" si="200"/>
        <v>0</v>
      </c>
      <c r="AV119" s="324">
        <f t="shared" ca="1" si="201"/>
        <v>0</v>
      </c>
      <c r="AW119" s="324">
        <f t="shared" ca="1" si="202"/>
        <v>0</v>
      </c>
      <c r="AX119" s="324">
        <f t="shared" ca="1" si="203"/>
        <v>0</v>
      </c>
      <c r="AY119" s="324">
        <f t="shared" ca="1" si="204"/>
        <v>0</v>
      </c>
      <c r="AZ119" s="276"/>
      <c r="BA119" s="267">
        <f ca="1">IF($A119="N/A"," ",(IF(MONTH(A119)&gt;=4,IF(MONTH(A119)&lt;=10,Inputs!$F$13,Inputs!$F$14),Inputs!$F$14))*$BW119)</f>
        <v>180</v>
      </c>
      <c r="BB119" s="268">
        <f t="shared" ca="1" si="165"/>
        <v>1496909.8635826316</v>
      </c>
      <c r="BC119" s="268">
        <f t="shared" ca="1" si="166"/>
        <v>1039462.2091241856</v>
      </c>
      <c r="BD119" s="268">
        <f t="shared" ca="1" si="133"/>
        <v>107888.4716979401</v>
      </c>
      <c r="BE119" s="268">
        <f t="shared" ca="1" si="134"/>
        <v>67699.44957784134</v>
      </c>
      <c r="BF119" s="268">
        <f t="shared" ca="1" si="135"/>
        <v>69422.727716994283</v>
      </c>
      <c r="BG119" s="268">
        <f t="shared" ca="1" si="136"/>
        <v>40300.22601144763</v>
      </c>
      <c r="BH119" s="268">
        <f t="shared" ca="1" si="157"/>
        <v>0</v>
      </c>
      <c r="BI119" s="268">
        <f t="shared" ca="1" si="137"/>
        <v>2821682.9477110407</v>
      </c>
      <c r="BJ119" s="296">
        <f t="shared" ca="1" si="138"/>
        <v>2540826.3492840924</v>
      </c>
      <c r="BK119" s="296">
        <f t="shared" ca="1" si="139"/>
        <v>2390571.2426219862</v>
      </c>
      <c r="BL119" s="296">
        <f t="shared" ca="1" si="140"/>
        <v>150255.1066621065</v>
      </c>
      <c r="BM119" s="296">
        <f t="shared" ca="1" si="141"/>
        <v>0</v>
      </c>
      <c r="BN119" s="405">
        <f>IF(A119="N/A"," ",(VLOOKUP(A119,PowerVolTable,(IF('Pricing Inputs'!$AT$3=2,7,IF('Pricing Inputs'!$AT$3=1,6,8))),FALSE)))</f>
        <v>0.25213127636032989</v>
      </c>
      <c r="BO119" s="405">
        <f>IF(A119="N/A"," ",(VLOOKUP(A119,IntraPowerVol,(IF('Pricing Inputs'!$AT$3=2,3,IF('Pricing Inputs'!$AT$3=1,2,4))),FALSE)*VLOOKUP(MONTH($A119),Inputs!$A$28:$B$39,2)))</f>
        <v>3.4499999999999997</v>
      </c>
      <c r="BP119" s="406">
        <f t="shared" ca="1" si="126"/>
        <v>0.33169992767469331</v>
      </c>
      <c r="BQ119" s="405">
        <f ca="1">IF($A119="N/A"," ",(VLOOKUP($A119,GasVolTable,(IF('Pricing Inputs'!$AT$3=2,6,IF('Pricing Inputs'!$AT$3=1,7,5))),FALSE)))</f>
        <v>0.15</v>
      </c>
      <c r="BR119" s="405">
        <f ca="1">IF($A119="N/A"," ",(VLOOKUP($A119,OmicronVol,(IF('Pricing Inputs'!$AT$3=2,3,IF('Pricing Inputs'!$AT$3=1,4,2))),FALSE)))</f>
        <v>0.6</v>
      </c>
      <c r="BS119" s="406">
        <f ca="1">IF($A119="N/A"," ",IF('Pricing Inputs'!$AN$3=1,(IF(DateToday&gt;$A119,$BR119,((($BQ119^2)*((($A119-1)-DateToday)/((EOMONTH($A119,0)+1)-DateToday-15)))+((($BR119)^2)*((15)/((EOMONTH($A119,0)+1)-DateToday-15))))^0.5)),0.0001))</f>
        <v>0.15431617438036971</v>
      </c>
      <c r="BT119" s="405">
        <f>IF($A119="N/A"," ",IF('Pricing Inputs'!$AN$3=1,(VLOOKUP($A119,CorrelationTable,2,FALSE)),0))</f>
        <v>0.9</v>
      </c>
      <c r="BU119" s="407">
        <f ca="1">IF($A119="N/A"," ",F119+G119+(D119*(VLOOKUP($A119,'Gas Curves'!$B$17:$P$310,14,FALSE))))</f>
        <v>2.6825000000000001</v>
      </c>
      <c r="BV119" s="405">
        <f>IF($A119="N/A"," ",IF('Pricing Inputs'!$AW$3=1,0,(VLOOKUP($A119,InterestRatesTable,2))))</f>
        <v>0</v>
      </c>
      <c r="BW119" s="408">
        <f t="shared" ca="1" si="127"/>
        <v>1</v>
      </c>
    </row>
    <row r="120" spans="1:75">
      <c r="A120" s="248">
        <f>IF(A119="N/A","N/A",IF(EDATE(A119,1)&gt;Inputs!$K$3,"N/A",EDATE(A119,1)))</f>
        <v>40422</v>
      </c>
      <c r="B120" s="262">
        <f t="shared" si="128"/>
        <v>2010</v>
      </c>
      <c r="C120" s="249">
        <f t="shared" ca="1" si="129"/>
        <v>3.0374920310000002</v>
      </c>
      <c r="D120" s="250">
        <f>IF(A120="N/A"," ",(VLOOKUP(MONTH($A120),Inputs!$A$14:$B$25,2))/1000)</f>
        <v>10.5</v>
      </c>
      <c r="E120" s="304">
        <f t="shared" ca="1" si="130"/>
        <v>31.893666325500003</v>
      </c>
      <c r="F120" s="251">
        <f>IF(A120="N/A"," ",Inputs!$F$6)</f>
        <v>2</v>
      </c>
      <c r="G120" s="251">
        <f ca="1">IF(A120="N/A"," ",Inputs!$F$9/IF(AND('Pricing Inputs'!$AQ$3&gt;=4,'Pricing Inputs'!$AQ$3&lt;=6),16,IF(AND('Pricing Inputs'!$AQ$3&gt;=7,'Pricing Inputs'!$AQ$3&lt;=9),8,24))/(BA120/BW120))</f>
        <v>0</v>
      </c>
      <c r="H120" s="252">
        <f t="shared" ca="1" si="131"/>
        <v>33.893666325500007</v>
      </c>
      <c r="I120" s="255">
        <f>VLOOKUP(A120,ScaledPrice,(IF(AND('Pricing Inputs'!$AQ$3&gt;=1,'Pricing Inputs'!$AQ$3&lt;=6),2,4)))</f>
        <v>36.679055353121079</v>
      </c>
      <c r="J120" s="255">
        <f>IF(A120="N/A"," ",IF(AND('Pricing Inputs'!$AQ$3&gt;=1,'Pricing Inputs'!$AQ$3&lt;=6),I120,(VLOOKUP(A120,ScaledPrice,2))*(2-(VLOOKUP(A120,ScaledPrice,3)))))</f>
        <v>30.220944646878927</v>
      </c>
      <c r="K120" s="255">
        <f>IF(A120="N/A"," ",IF(OR('Pricing Inputs'!$AQ$3=2,'Pricing Inputs'!$AQ$3=3,'Pricing Inputs'!$AQ$3=5,'Pricing Inputs'!$AQ$3=6,'Pricing Inputs'!$AQ$3=8,'Pricing Inputs'!$AQ$3=9),VLOOKUP(A120,ScaledPrice,IF(AND('Pricing Inputs'!$AQ$3&gt;=2,'Pricing Inputs'!$AQ$3&lt;=6),5,6)),0))</f>
        <v>26.651252902102222</v>
      </c>
      <c r="L120" s="255">
        <f>IF(A120="N/A"," ",IF(OR('Pricing Inputs'!$AQ$3=2,'Pricing Inputs'!$AQ$3=3,'Pricing Inputs'!$AQ$3=5,'Pricing Inputs'!$AQ$3=6,'Pricing Inputs'!$AQ$3=8,'Pricing Inputs'!$AQ$3=9),IF(AND('Pricing Inputs'!$AQ$3&gt;=2,'Pricing Inputs'!$AQ$3&lt;=6),K120,(VLOOKUP(A120,ScaledPrice,5))*(2-(VLOOKUP(A120,ScaledPrice,3)))),0))</f>
        <v>21.958745419430969</v>
      </c>
      <c r="M120" s="255">
        <f>IF(A120="N/A"," ",IF(OR('Pricing Inputs'!$AQ$3=3,'Pricing Inputs'!$AQ$3=6,'Pricing Inputs'!$AQ$3=9),(VLOOKUP(A120,ScaledPrice,IF(AND('Pricing Inputs'!$AQ$3&gt;=3,'Pricing Inputs'!$AQ$3&lt;=6),7,8))),0))</f>
        <v>27.194038049548663</v>
      </c>
      <c r="N120" s="255">
        <f>IF(A120="N/A"," ",IF(OR('Pricing Inputs'!$AQ$3=3,'Pricing Inputs'!$AQ$3=6,'Pricing Inputs'!$AQ$3=9),IF(AND('Pricing Inputs'!$AQ$3&gt;=3,'Pricing Inputs'!$AQ$3&lt;=6),M120,(VLOOKUP(A120,ScaledPrice,7))*(2-(VLOOKUP(A120,ScaledPrice,3)))),0))</f>
        <v>22.405961950451339</v>
      </c>
      <c r="O120" s="255">
        <f>IF(A120="N/A"," ",IF(AND('Pricing Inputs'!$AQ$3&gt;=1,'Pricing Inputs'!$AQ$3&lt;=3),VLOOKUP(A120,ScaledPrice,9),0))</f>
        <v>0</v>
      </c>
      <c r="P120" s="320">
        <f ca="1">IF($A120="N/A"," ",IF('Pricing Inputs'!$AN$8=2,(I120-H120),IF('Pricing Inputs'!$AN$3=2,IF((I120-$H120)&gt;0,I120-$H120,0),(_xll.xSPRDOPT(I120,$E120,$BU120,0,$BP120,$BS120,$BT120,($A120-Inputs!$D$1)+15,1,0)))))</f>
        <v>5.4458082617084989</v>
      </c>
      <c r="Q120" s="320">
        <f ca="1">IF($A120="N/A"," ",IF('Pricing Inputs'!$AN$8=2,(J120-$H120),IF('Pricing Inputs'!$AN$3=2,IF((J120-$H120)&gt;0,J120-$H120,0),(_xll.xSPRDOPT(J120,$E120,$BU120,0,$BP120,$BS120,$BT120,($A120-Inputs!$D$1)+15,1,0)))))</f>
        <v>2.1092464455108368</v>
      </c>
      <c r="R120" s="320">
        <f ca="1">IF($A120="N/A"," ",IF('Pricing Inputs'!$AN$8=2,(K120-$H120),IF('Pricing Inputs'!$AN$3=2,IF((K120-$H120)&gt;0,K120-$H120,0),(_xll.xSPRDOPT(K120,$E120,$BU120,0,$BP120,$BS120,$BT120,($A120-Inputs!$D$1)+15,1,0)))))</f>
        <v>0.99132621090416118</v>
      </c>
      <c r="S120" s="320">
        <f ca="1">IF($A120="N/A"," ",IF('Pricing Inputs'!$AN$8=2,(L120-$H120),IF('Pricing Inputs'!$AN$3=2,IF((L120-$H120)&gt;0,L120-$H120,0),(_xll.xSPRDOPT(L120,$E120,$BU120,0,$BP120,$BS120,$BT120,($A120-Inputs!$D$1)+15,1,0)))))</f>
        <v>0.24254766713195244</v>
      </c>
      <c r="T120" s="320">
        <f ca="1">IF($A120="N/A"," ",IF('Pricing Inputs'!$AN$8=2,(M120-$H120),IF('Pricing Inputs'!$AN$3=2,IF((M120-$H120)&gt;0,M120-$H120,0),(_xll.xSPRDOPT(M120,$E120,$BU120,0,$BP120,$BS120,$BT120,($A120-Inputs!$D$1)+15,1,0)))))</f>
        <v>1.127966515071219</v>
      </c>
      <c r="U120" s="320">
        <f ca="1">IF($A120="N/A"," ",IF('Pricing Inputs'!$AN$8=2,(N120-$H120),IF('Pricing Inputs'!$AN$3=2,IF((N120-$H120)&gt;0,N120-$H120,0),(_xll.xSPRDOPT(N120,$E120,$BU120,0,$BP120,$BS120,$BT120,($A120-Inputs!$D$1)+15,1,0)))))</f>
        <v>0.2849825628448911</v>
      </c>
      <c r="V120" s="259">
        <f ca="1">IF($A120="N/A"," ",(IF('Pricing Inputs'!$AN$8=2,(O120-$H120),IF((O120-$H120)&lt;=0,0,(O120-$H120)))))</f>
        <v>0</v>
      </c>
      <c r="W120" s="306">
        <f ca="1">IF($A120="N/A"," ",IF(0&lt;&gt;P120,IF('Pricing Inputs'!$AN$3=2,8*VLOOKUP($A120,NumberofDaysTable,2),(_xll.xSPRDOPT(I120,$E120,$BU120,0,$BP120,$BS120,$BT120,$A120-Inputs!$D$1,1,1))*(8*VLOOKUP($A120,NumberofDaysTable,2))),0))</f>
        <v>107.03593340391366</v>
      </c>
      <c r="X120" s="306">
        <f ca="1">IF($A120="N/A"," ",IF(Q120&lt;&gt;0,IF('Pricing Inputs'!$AN$3=2,8*VLOOKUP($A120,NumberofDaysTable,2),(_xll.xSPRDOPT(J120,$E120,$BU120,0,$BP120,$BS120,$BT120,$A120-Inputs!$D$1,1,1))*(8*VLOOKUP($A120,NumberofDaysTable,2))),0))</f>
        <v>64.946188107830679</v>
      </c>
      <c r="Y120" s="306">
        <f ca="1">IF($A120="N/A"," ",IF(R120&lt;&gt;0,IF('Pricing Inputs'!$AN$3=2,8*VLOOKUP($A120,NumberofDaysTable,3),(_xll.xSPRDOPT(K120,$E120,$BU120,0,$BP120,$BS120,$BT120,$A120-Inputs!$D$1,1,1))*(8*VLOOKUP($A120,NumberofDaysTable,3))),0))</f>
        <v>7.6968281538749785</v>
      </c>
      <c r="Z120" s="306">
        <f ca="1">IF($A120="N/A"," ",IF(S120&lt;&gt;0,IF('Pricing Inputs'!$AN$3=2,8*VLOOKUP($A120,NumberofDaysTable,3),(_xll.xSPRDOPT(L120,$E120,$BU120,0,$BP120,$BS120,$BT120,$A120-Inputs!$D$1,1,1))*(8*VLOOKUP($A120,NumberofDaysTable,3))),0))</f>
        <v>2.8408039125384019</v>
      </c>
      <c r="AA120" s="306">
        <f ca="1">IF($A120="N/A"," ",IF(T120&lt;&gt;0,IF('Pricing Inputs'!$AN$3=2,8*VLOOKUP($A120,NumberofDaysTable,4),(_xll.xSPRDOPT(M120,$E120,$BU120,0,$BP120,$BS120,$BT120,$A120-Inputs!$D$1,1,1))*(8*VLOOKUP($A120,NumberofDaysTable,4))),0))</f>
        <v>8.3782183490310054</v>
      </c>
      <c r="AB120" s="306">
        <f ca="1">IF($A120="N/A"," ",IF(U120&lt;&gt;0,IF('Pricing Inputs'!$AN$3=2,8*VLOOKUP($A120,NumberofDaysTable,4),(_xll.xSPRDOPT(N120,$E120,$BU120,0,$BP120,$BS120,$BT120,$A120-Inputs!$D$1,1,1))*(8*VLOOKUP($A120,NumberofDaysTable,4))),0))</f>
        <v>3.2019234813438198</v>
      </c>
      <c r="AC120" s="306">
        <f t="shared" ca="1" si="132"/>
        <v>0</v>
      </c>
      <c r="AD120" s="274">
        <f t="shared" ca="1" si="205"/>
        <v>14</v>
      </c>
      <c r="AE120" s="275">
        <f t="shared" ca="1" si="206"/>
        <v>20</v>
      </c>
      <c r="AF120" s="275">
        <f t="shared" ca="1" si="207"/>
        <v>31</v>
      </c>
      <c r="AG120" s="275">
        <f t="shared" ca="1" si="208"/>
        <v>44</v>
      </c>
      <c r="AH120" s="275">
        <f t="shared" ca="1" si="209"/>
        <v>28</v>
      </c>
      <c r="AI120" s="275">
        <f t="shared" ca="1" si="210"/>
        <v>39</v>
      </c>
      <c r="AJ120" s="276">
        <f t="shared" ca="1" si="211"/>
        <v>73</v>
      </c>
      <c r="AK120" s="314">
        <f t="shared" ca="1" si="158"/>
        <v>107.03593340391366</v>
      </c>
      <c r="AL120" s="315">
        <f t="shared" ca="1" si="159"/>
        <v>64.946188107830679</v>
      </c>
      <c r="AM120" s="315">
        <f t="shared" ca="1" si="160"/>
        <v>7.6968281538749785</v>
      </c>
      <c r="AN120" s="315">
        <f t="shared" ca="1" si="161"/>
        <v>2.8408039125384019</v>
      </c>
      <c r="AO120" s="315">
        <f t="shared" ca="1" si="162"/>
        <v>8.3782183490310054</v>
      </c>
      <c r="AP120" s="315">
        <f t="shared" ca="1" si="163"/>
        <v>3.2019234813438198</v>
      </c>
      <c r="AQ120" s="315">
        <f t="shared" ca="1" si="164"/>
        <v>0</v>
      </c>
      <c r="AR120" s="276"/>
      <c r="AS120" s="321">
        <f t="shared" ca="1" si="198"/>
        <v>0</v>
      </c>
      <c r="AT120" s="324">
        <f t="shared" ca="1" si="199"/>
        <v>0</v>
      </c>
      <c r="AU120" s="324">
        <f t="shared" ca="1" si="200"/>
        <v>0</v>
      </c>
      <c r="AV120" s="324">
        <f t="shared" ca="1" si="201"/>
        <v>0</v>
      </c>
      <c r="AW120" s="324">
        <f t="shared" ca="1" si="202"/>
        <v>0</v>
      </c>
      <c r="AX120" s="324">
        <f t="shared" ca="1" si="203"/>
        <v>0</v>
      </c>
      <c r="AY120" s="324">
        <f t="shared" ca="1" si="204"/>
        <v>0</v>
      </c>
      <c r="AZ120" s="276"/>
      <c r="BA120" s="267">
        <f ca="1">IF($A120="N/A"," ",(IF(MONTH(A120)&gt;=4,IF(MONTH(A120)&lt;=10,Inputs!$F$13,Inputs!$F$14),Inputs!$F$14))*$BW120)</f>
        <v>180</v>
      </c>
      <c r="BB120" s="268">
        <f t="shared" ca="1" si="165"/>
        <v>164681.241834065</v>
      </c>
      <c r="BC120" s="268">
        <f t="shared" ca="1" si="166"/>
        <v>63783.61251224771</v>
      </c>
      <c r="BD120" s="268">
        <f t="shared" ca="1" si="133"/>
        <v>5710.0389748079688</v>
      </c>
      <c r="BE120" s="268">
        <f t="shared" ca="1" si="134"/>
        <v>1397.074562680046</v>
      </c>
      <c r="BF120" s="268">
        <f t="shared" ca="1" si="135"/>
        <v>8121.3589085127769</v>
      </c>
      <c r="BG120" s="268">
        <f t="shared" ca="1" si="136"/>
        <v>2051.8744524832159</v>
      </c>
      <c r="BH120" s="268">
        <f t="shared" ca="1" si="157"/>
        <v>0</v>
      </c>
      <c r="BI120" s="268">
        <f t="shared" ca="1" si="137"/>
        <v>245745.20124479671</v>
      </c>
      <c r="BJ120" s="296">
        <f t="shared" ca="1" si="138"/>
        <v>1184176.2759824255</v>
      </c>
      <c r="BK120" s="296">
        <f t="shared" ca="1" si="139"/>
        <v>1114300.3136353537</v>
      </c>
      <c r="BL120" s="296">
        <f t="shared" ca="1" si="140"/>
        <v>69875.96234707172</v>
      </c>
      <c r="BM120" s="296">
        <f t="shared" ca="1" si="141"/>
        <v>0</v>
      </c>
      <c r="BN120" s="405">
        <f>IF(A120="N/A"," ",(VLOOKUP(A120,PowerVolTable,(IF('Pricing Inputs'!$AT$3=2,7,IF('Pricing Inputs'!$AT$3=1,6,8))),FALSE)))</f>
        <v>0.16704760604750765</v>
      </c>
      <c r="BO120" s="405">
        <f>IF(A120="N/A"," ",(VLOOKUP(A120,IntraPowerVol,(IF('Pricing Inputs'!$AT$3=2,3,IF('Pricing Inputs'!$AT$3=1,2,4))),FALSE)*VLOOKUP(MONTH($A120),Inputs!$A$28:$B$39,2)))</f>
        <v>1.7249999999999999</v>
      </c>
      <c r="BP120" s="406">
        <f t="shared" ca="1" si="126"/>
        <v>0.19844968736508409</v>
      </c>
      <c r="BQ120" s="405">
        <f ca="1">IF($A120="N/A"," ",(VLOOKUP($A120,GasVolTable,(IF('Pricing Inputs'!$AT$3=2,6,IF('Pricing Inputs'!$AT$3=1,7,5))),FALSE)))</f>
        <v>0.15</v>
      </c>
      <c r="BR120" s="405">
        <f ca="1">IF($A120="N/A"," ",(VLOOKUP($A120,OmicronVol,(IF('Pricing Inputs'!$AT$3=2,3,IF('Pricing Inputs'!$AT$3=1,4,2))),FALSE)))</f>
        <v>0.6</v>
      </c>
      <c r="BS120" s="406">
        <f ca="1">IF($A120="N/A"," ",IF('Pricing Inputs'!$AN$3=1,(IF(DateToday&gt;$A120,$BR120,((($BQ120^2)*((($A120-1)-DateToday)/((EOMONTH($A120,0)+1)-DateToday-15)))+((($BR120)^2)*((15)/((EOMONTH($A120,0)+1)-DateToday-15))))^0.5)),0.0001))</f>
        <v>0.15430194719798876</v>
      </c>
      <c r="BT120" s="405">
        <f>IF($A120="N/A"," ",IF('Pricing Inputs'!$AN$3=1,(VLOOKUP($A120,CorrelationTable,2,FALSE)),0))</f>
        <v>0.9</v>
      </c>
      <c r="BU120" s="407">
        <f ca="1">IF($A120="N/A"," ",F120+G120+(D120*(VLOOKUP($A120,'Gas Curves'!$B$17:$P$310,14,FALSE))))</f>
        <v>2.6825000000000001</v>
      </c>
      <c r="BV120" s="405">
        <f>IF($A120="N/A"," ",IF('Pricing Inputs'!$AW$3=1,0,(VLOOKUP($A120,InterestRatesTable,2))))</f>
        <v>0</v>
      </c>
      <c r="BW120" s="408">
        <f t="shared" ca="1" si="127"/>
        <v>1</v>
      </c>
    </row>
    <row r="121" spans="1:75">
      <c r="A121" s="248">
        <f>IF(A120="N/A","N/A",IF(EDATE(A120,1)&gt;Inputs!$K$3,"N/A",EDATE(A120,1)))</f>
        <v>40452</v>
      </c>
      <c r="B121" s="262">
        <f t="shared" si="128"/>
        <v>2010</v>
      </c>
      <c r="C121" s="249">
        <f t="shared" ca="1" si="129"/>
        <v>3.063492031</v>
      </c>
      <c r="D121" s="250">
        <f>IF(A121="N/A"," ",(VLOOKUP(MONTH($A121),Inputs!$A$14:$B$25,2))/1000)</f>
        <v>10.5</v>
      </c>
      <c r="E121" s="304">
        <f t="shared" ca="1" si="130"/>
        <v>32.166666325500003</v>
      </c>
      <c r="F121" s="251">
        <f>IF(A121="N/A"," ",Inputs!$F$6)</f>
        <v>2</v>
      </c>
      <c r="G121" s="251">
        <f ca="1">IF(A121="N/A"," ",Inputs!$F$9/IF(AND('Pricing Inputs'!$AQ$3&gt;=4,'Pricing Inputs'!$AQ$3&lt;=6),16,IF(AND('Pricing Inputs'!$AQ$3&gt;=7,'Pricing Inputs'!$AQ$3&lt;=9),8,24))/(BA121/BW121))</f>
        <v>0</v>
      </c>
      <c r="H121" s="252">
        <f t="shared" ca="1" si="131"/>
        <v>34.166666325500003</v>
      </c>
      <c r="I121" s="255">
        <f>VLOOKUP(A121,ScaledPrice,(IF(AND('Pricing Inputs'!$AQ$3&gt;=1,'Pricing Inputs'!$AQ$3&lt;=6),2,4)))</f>
        <v>30.792059999999999</v>
      </c>
      <c r="J121" s="255">
        <f>IF(A121="N/A"," ",IF(AND('Pricing Inputs'!$AQ$3&gt;=1,'Pricing Inputs'!$AQ$3&lt;=6),I121,(VLOOKUP(A121,ScaledPrice,2))*(2-(VLOOKUP(A121,ScaledPrice,3)))))</f>
        <v>31.607939999999999</v>
      </c>
      <c r="K121" s="255">
        <f>IF(A121="N/A"," ",IF(OR('Pricing Inputs'!$AQ$3=2,'Pricing Inputs'!$AQ$3=3,'Pricing Inputs'!$AQ$3=5,'Pricing Inputs'!$AQ$3=6,'Pricing Inputs'!$AQ$3=8,'Pricing Inputs'!$AQ$3=9),VLOOKUP(A121,ScaledPrice,IF(AND('Pricing Inputs'!$AQ$3&gt;=2,'Pricing Inputs'!$AQ$3&lt;=6),5,6)),0))</f>
        <v>24.081463567914959</v>
      </c>
      <c r="L121" s="255">
        <f>IF(A121="N/A"," ",IF(OR('Pricing Inputs'!$AQ$3=2,'Pricing Inputs'!$AQ$3=3,'Pricing Inputs'!$AQ$3=5,'Pricing Inputs'!$AQ$3=6,'Pricing Inputs'!$AQ$3=8,'Pricing Inputs'!$AQ$3=9),IF(AND('Pricing Inputs'!$AQ$3&gt;=2,'Pricing Inputs'!$AQ$3&lt;=6),K121,(VLOOKUP(A121,ScaledPrice,5))*(2-(VLOOKUP(A121,ScaledPrice,3)))),0))</f>
        <v>24.719536645708075</v>
      </c>
      <c r="M121" s="255">
        <f>IF(A121="N/A"," ",IF(OR('Pricing Inputs'!$AQ$3=3,'Pricing Inputs'!$AQ$3=6,'Pricing Inputs'!$AQ$3=9),(VLOOKUP(A121,ScaledPrice,IF(AND('Pricing Inputs'!$AQ$3&gt;=3,'Pricing Inputs'!$AQ$3&lt;=6),7,8))),0))</f>
        <v>22.108106759347912</v>
      </c>
      <c r="N121" s="255">
        <f>IF(A121="N/A"," ",IF(OR('Pricing Inputs'!$AQ$3=3,'Pricing Inputs'!$AQ$3=6,'Pricing Inputs'!$AQ$3=9),IF(AND('Pricing Inputs'!$AQ$3&gt;=3,'Pricing Inputs'!$AQ$3&lt;=6),M121,(VLOOKUP(A121,ScaledPrice,7))*(2-(VLOOKUP(A121,ScaledPrice,3)))),0))</f>
        <v>22.693892904958716</v>
      </c>
      <c r="O121" s="255">
        <f>IF(A121="N/A"," ",IF(AND('Pricing Inputs'!$AQ$3&gt;=1,'Pricing Inputs'!$AQ$3&lt;=3),VLOOKUP(A121,ScaledPrice,9),0))</f>
        <v>0</v>
      </c>
      <c r="P121" s="320">
        <f ca="1">IF($A121="N/A"," ",IF('Pricing Inputs'!$AN$8=2,(I121-H121),IF('Pricing Inputs'!$AN$3=2,IF((I121-$H121)&gt;0,I121-$H121,0),(_xll.xSPRDOPT(I121,$E121,$BU121,0,$BP121,$BS121,$BT121,($A121-Inputs!$D$1)+15,1,0)))))</f>
        <v>1.5835744964682461</v>
      </c>
      <c r="Q121" s="320">
        <f ca="1">IF($A121="N/A"," ",IF('Pricing Inputs'!$AN$8=2,(J121-$H121),IF('Pricing Inputs'!$AN$3=2,IF((J121-$H121)&gt;0,J121-$H121,0),(_xll.xSPRDOPT(J121,$E121,$BU121,0,$BP121,$BS121,$BT121,($A121-Inputs!$D$1)+15,1,0)))))</f>
        <v>1.8875791771887194</v>
      </c>
      <c r="R121" s="320">
        <f ca="1">IF($A121="N/A"," ",IF('Pricing Inputs'!$AN$8=2,(K121-$H121),IF('Pricing Inputs'!$AN$3=2,IF((K121-$H121)&gt;0,K121-$H121,0),(_xll.xSPRDOPT(K121,$E121,$BU121,0,$BP121,$BS121,$BT121,($A121-Inputs!$D$1)+15,1,0)))))</f>
        <v>0.20699168994069866</v>
      </c>
      <c r="S121" s="320">
        <f ca="1">IF($A121="N/A"," ",IF('Pricing Inputs'!$AN$8=2,(L121-$H121),IF('Pricing Inputs'!$AN$3=2,IF((L121-$H121)&gt;0,L121-$H121,0),(_xll.xSPRDOPT(L121,$E121,$BU121,0,$BP121,$BS121,$BT121,($A121-Inputs!$D$1)+15,1,0)))))</f>
        <v>0.26618780734476599</v>
      </c>
      <c r="T121" s="320">
        <f ca="1">IF($A121="N/A"," ",IF('Pricing Inputs'!$AN$8=2,(M121-$H121),IF('Pricing Inputs'!$AN$3=2,IF((M121-$H121)&gt;0,M121-$H121,0),(_xll.xSPRDOPT(M121,$E121,$BU121,0,$BP121,$BS121,$BT121,($A121-Inputs!$D$1)+15,1,0)))))</f>
        <v>8.5472558024375131E-2</v>
      </c>
      <c r="U121" s="320">
        <f ca="1">IF($A121="N/A"," ",IF('Pricing Inputs'!$AN$8=2,(N121-$H121),IF('Pricing Inputs'!$AN$3=2,IF((N121-$H121)&gt;0,N121-$H121,0),(_xll.xSPRDOPT(N121,$E121,$BU121,0,$BP121,$BS121,$BT121,($A121-Inputs!$D$1)+15,1,0)))))</f>
        <v>0.11318059746793144</v>
      </c>
      <c r="V121" s="259">
        <f ca="1">IF($A121="N/A"," ",(IF('Pricing Inputs'!$AN$8=2,(O121-$H121),IF((O121-$H121)&lt;=0,0,(O121-$H121)))))</f>
        <v>0</v>
      </c>
      <c r="W121" s="306">
        <f ca="1">IF($A121="N/A"," ",IF(0&lt;&gt;P121,IF('Pricing Inputs'!$AN$3=2,8*VLOOKUP($A121,NumberofDaysTable,2),(_xll.xSPRDOPT(I121,$E121,$BU121,0,$BP121,$BS121,$BT121,$A121-Inputs!$D$1,1,1))*(8*VLOOKUP($A121,NumberofDaysTable,2))),0))</f>
        <v>59.152076121757148</v>
      </c>
      <c r="X121" s="306">
        <f ca="1">IF($A121="N/A"," ",IF(Q121&lt;&gt;0,IF('Pricing Inputs'!$AN$3=2,8*VLOOKUP($A121,NumberofDaysTable,2),(_xll.xSPRDOPT(J121,$E121,$BU121,0,$BP121,$BS121,$BT121,$A121-Inputs!$D$1,1,1))*(8*VLOOKUP($A121,NumberofDaysTable,2))),0))</f>
        <v>65.913417609706059</v>
      </c>
      <c r="Y121" s="306">
        <f ca="1">IF($A121="N/A"," ",IF(R121&lt;&gt;0,IF('Pricing Inputs'!$AN$3=2,8*VLOOKUP($A121,NumberofDaysTable,3),(_xll.xSPRDOPT(K121,$E121,$BU121,0,$BP121,$BS121,$BT121,$A121-Inputs!$D$1,1,1))*(8*VLOOKUP($A121,NumberofDaysTable,3))),0))</f>
        <v>3.3451217096136023</v>
      </c>
      <c r="Z121" s="306">
        <f ca="1">IF($A121="N/A"," ",IF(S121&lt;&gt;0,IF('Pricing Inputs'!$AN$3=2,8*VLOOKUP($A121,NumberofDaysTable,3),(_xll.xSPRDOPT(L121,$E121,$BU121,0,$BP121,$BS121,$BT121,$A121-Inputs!$D$1,1,1))*(8*VLOOKUP($A121,NumberofDaysTable,3))),0))</f>
        <v>4.0499231441211201</v>
      </c>
      <c r="AA121" s="306">
        <f ca="1">IF($A121="N/A"," ",IF(T121&lt;&gt;0,IF('Pricing Inputs'!$AN$3=2,8*VLOOKUP($A121,NumberofDaysTable,4),(_xll.xSPRDOPT(M121,$E121,$BU121,0,$BP121,$BS121,$BT121,$A121-Inputs!$D$1,1,1))*(8*VLOOKUP($A121,NumberofDaysTable,4))),0))</f>
        <v>1.6737090037162294</v>
      </c>
      <c r="AB121" s="306">
        <f ca="1">IF($A121="N/A"," ",IF(U121&lt;&gt;0,IF('Pricing Inputs'!$AN$3=2,8*VLOOKUP($A121,NumberofDaysTable,4),(_xll.xSPRDOPT(N121,$E121,$BU121,0,$BP121,$BS121,$BT121,$A121-Inputs!$D$1,1,1))*(8*VLOOKUP($A121,NumberofDaysTable,4))),0))</f>
        <v>2.0916021063116768</v>
      </c>
      <c r="AC121" s="306">
        <f t="shared" ca="1" si="132"/>
        <v>0</v>
      </c>
      <c r="AD121" s="274">
        <f t="shared" ca="1" si="205"/>
        <v>23</v>
      </c>
      <c r="AE121" s="275">
        <f t="shared" ca="1" si="206"/>
        <v>21</v>
      </c>
      <c r="AF121" s="275">
        <f t="shared" ca="1" si="207"/>
        <v>47</v>
      </c>
      <c r="AG121" s="275">
        <f t="shared" ca="1" si="208"/>
        <v>41</v>
      </c>
      <c r="AH121" s="275">
        <f t="shared" ca="1" si="209"/>
        <v>57</v>
      </c>
      <c r="AI121" s="275">
        <f t="shared" ca="1" si="210"/>
        <v>56</v>
      </c>
      <c r="AJ121" s="276">
        <f t="shared" ca="1" si="211"/>
        <v>73</v>
      </c>
      <c r="AK121" s="314">
        <f t="shared" ca="1" si="158"/>
        <v>59.152076121757148</v>
      </c>
      <c r="AL121" s="315">
        <f t="shared" ca="1" si="159"/>
        <v>65.913417609706059</v>
      </c>
      <c r="AM121" s="315">
        <f t="shared" ca="1" si="160"/>
        <v>3.3451217096136023</v>
      </c>
      <c r="AN121" s="315">
        <f t="shared" ca="1" si="161"/>
        <v>4.0499231441211201</v>
      </c>
      <c r="AO121" s="315">
        <f t="shared" ca="1" si="162"/>
        <v>1.6737090037162294</v>
      </c>
      <c r="AP121" s="315">
        <f t="shared" ca="1" si="163"/>
        <v>2.0916021063116768</v>
      </c>
      <c r="AQ121" s="315">
        <f t="shared" ca="1" si="164"/>
        <v>0</v>
      </c>
      <c r="AR121" s="284" t="s">
        <v>1292</v>
      </c>
      <c r="AS121" s="321">
        <f t="shared" ca="1" si="198"/>
        <v>0</v>
      </c>
      <c r="AT121" s="324">
        <f t="shared" ca="1" si="199"/>
        <v>0</v>
      </c>
      <c r="AU121" s="324">
        <f t="shared" ca="1" si="200"/>
        <v>0</v>
      </c>
      <c r="AV121" s="324">
        <f t="shared" ca="1" si="201"/>
        <v>0</v>
      </c>
      <c r="AW121" s="324">
        <f t="shared" ca="1" si="202"/>
        <v>0</v>
      </c>
      <c r="AX121" s="324">
        <f t="shared" ca="1" si="203"/>
        <v>0</v>
      </c>
      <c r="AY121" s="324">
        <f t="shared" ca="1" si="204"/>
        <v>0</v>
      </c>
      <c r="AZ121" s="283" t="s">
        <v>1304</v>
      </c>
      <c r="BA121" s="267">
        <f ca="1">IF($A121="N/A"," ",(IF(MONTH(A121)&gt;=4,IF(MONTH(A121)&lt;=10,Inputs!$F$13,Inputs!$F$14),Inputs!$F$14))*$BW121)</f>
        <v>180</v>
      </c>
      <c r="BB121" s="268">
        <f t="shared" ca="1" si="165"/>
        <v>47887.292773199762</v>
      </c>
      <c r="BC121" s="268">
        <f t="shared" ca="1" si="166"/>
        <v>57080.394318186874</v>
      </c>
      <c r="BD121" s="268">
        <f t="shared" ca="1" si="133"/>
        <v>1490.3401675730304</v>
      </c>
      <c r="BE121" s="268">
        <f t="shared" ca="1" si="134"/>
        <v>1916.5522128823152</v>
      </c>
      <c r="BF121" s="268">
        <f t="shared" ca="1" si="135"/>
        <v>615.40241777550091</v>
      </c>
      <c r="BG121" s="268">
        <f t="shared" ca="1" si="136"/>
        <v>814.90030176910636</v>
      </c>
      <c r="BH121" s="268">
        <f t="shared" ca="1" si="157"/>
        <v>0</v>
      </c>
      <c r="BI121" s="268">
        <f t="shared" ca="1" si="137"/>
        <v>109804.8821913866</v>
      </c>
      <c r="BJ121" s="296">
        <f t="shared" ca="1" si="138"/>
        <v>837788.96726000949</v>
      </c>
      <c r="BK121" s="296">
        <f t="shared" ca="1" si="139"/>
        <v>788747.66136972816</v>
      </c>
      <c r="BL121" s="296">
        <f t="shared" ca="1" si="140"/>
        <v>49041.305890281299</v>
      </c>
      <c r="BM121" s="296">
        <f t="shared" ca="1" si="141"/>
        <v>0</v>
      </c>
      <c r="BN121" s="405">
        <f>IF(A121="N/A"," ",(VLOOKUP(A121,PowerVolTable,(IF('Pricing Inputs'!$AT$3=2,7,IF('Pricing Inputs'!$AT$3=1,6,8))),FALSE)))</f>
        <v>0.15258338209432784</v>
      </c>
      <c r="BO121" s="405">
        <f>IF(A121="N/A"," ",(VLOOKUP(A121,IntraPowerVol,(IF('Pricing Inputs'!$AT$3=2,3,IF('Pricing Inputs'!$AT$3=1,2,4))),FALSE)*VLOOKUP(MONTH($A121),Inputs!$A$28:$B$39,2)))</f>
        <v>1.2649999999999999</v>
      </c>
      <c r="BP121" s="406">
        <f t="shared" ca="1" si="126"/>
        <v>0.17136087710186745</v>
      </c>
      <c r="BQ121" s="405">
        <f ca="1">IF($A121="N/A"," ",(VLOOKUP($A121,GasVolTable,(IF('Pricing Inputs'!$AT$3=2,6,IF('Pricing Inputs'!$AT$3=1,7,5))),FALSE)))</f>
        <v>0.15</v>
      </c>
      <c r="BR121" s="405">
        <f ca="1">IF($A121="N/A"," ",(VLOOKUP($A121,OmicronVol,(IF('Pricing Inputs'!$AT$3=2,3,IF('Pricing Inputs'!$AT$3=1,4,2))),FALSE)))</f>
        <v>0.65</v>
      </c>
      <c r="BS121" s="406">
        <f ca="1">IF($A121="N/A"," ",IF('Pricing Inputs'!$AN$3=1,(IF(DateToday&gt;$A121,$BR121,((($BQ121^2)*((($A121-1)-DateToday)/((EOMONTH($A121,0)+1)-DateToday-15)))+((($BR121)^2)*((15)/((EOMONTH($A121,0)+1)-DateToday-15))))^0.5)),0.0001))</f>
        <v>0.15503031429672223</v>
      </c>
      <c r="BT121" s="405">
        <f>IF($A121="N/A"," ",IF('Pricing Inputs'!$AN$3=1,(VLOOKUP($A121,CorrelationTable,2,FALSE)),0))</f>
        <v>0.9</v>
      </c>
      <c r="BU121" s="407">
        <f ca="1">IF($A121="N/A"," ",F121+G121+(D121*(VLOOKUP($A121,'Gas Curves'!$B$17:$P$310,14,FALSE))))</f>
        <v>2.6825000000000001</v>
      </c>
      <c r="BV121" s="405">
        <f>IF($A121="N/A"," ",IF('Pricing Inputs'!$AW$3=1,0,(VLOOKUP($A121,InterestRatesTable,2))))</f>
        <v>0</v>
      </c>
      <c r="BW121" s="408">
        <f t="shared" ca="1" si="127"/>
        <v>1</v>
      </c>
    </row>
    <row r="122" spans="1:75">
      <c r="A122" s="248">
        <f>IF(A121="N/A","N/A",IF(EDATE(A121,1)&gt;Inputs!$K$3,"N/A",EDATE(A121,1)))</f>
        <v>40483</v>
      </c>
      <c r="B122" s="262">
        <f t="shared" si="128"/>
        <v>2010</v>
      </c>
      <c r="C122" s="249">
        <f t="shared" ca="1" si="129"/>
        <v>3.9824999999999999</v>
      </c>
      <c r="D122" s="250">
        <f>IF(A122="N/A"," ",(VLOOKUP(MONTH($A122),Inputs!$A$14:$B$25,2))/1000)</f>
        <v>10.5</v>
      </c>
      <c r="E122" s="304">
        <f t="shared" ca="1" si="130"/>
        <v>41.816249999999997</v>
      </c>
      <c r="F122" s="251">
        <f>IF(A122="N/A"," ",Inputs!$F$6)</f>
        <v>2</v>
      </c>
      <c r="G122" s="251">
        <f ca="1">IF(A122="N/A"," ",Inputs!$F$9/IF(AND('Pricing Inputs'!$AQ$3&gt;=4,'Pricing Inputs'!$AQ$3&lt;=6),16,IF(AND('Pricing Inputs'!$AQ$3&gt;=7,'Pricing Inputs'!$AQ$3&lt;=9),8,24))/(BA122/BW122))</f>
        <v>0</v>
      </c>
      <c r="H122" s="252">
        <f t="shared" ca="1" si="131"/>
        <v>43.816249999999997</v>
      </c>
      <c r="I122" s="255">
        <f>VLOOKUP(A122,ScaledPrice,(IF(AND('Pricing Inputs'!$AQ$3&gt;=1,'Pricing Inputs'!$AQ$3&lt;=6),2,4)))</f>
        <v>31.234779374999999</v>
      </c>
      <c r="J122" s="255">
        <f>IF(A122="N/A"," ",IF(AND('Pricing Inputs'!$AQ$3&gt;=1,'Pricing Inputs'!$AQ$3&lt;=6),I122,(VLOOKUP(A122,ScaledPrice,2))*(2-(VLOOKUP(A122,ScaledPrice,3)))))</f>
        <v>31.915220625</v>
      </c>
      <c r="K122" s="255">
        <f>IF(A122="N/A"," ",IF(OR('Pricing Inputs'!$AQ$3=2,'Pricing Inputs'!$AQ$3=3,'Pricing Inputs'!$AQ$3=5,'Pricing Inputs'!$AQ$3=6,'Pricing Inputs'!$AQ$3=8,'Pricing Inputs'!$AQ$3=9),VLOOKUP(A122,ScaledPrice,IF(AND('Pricing Inputs'!$AQ$3&gt;=2,'Pricing Inputs'!$AQ$3&lt;=6),5,6)),0))</f>
        <v>25.131015388565057</v>
      </c>
      <c r="L122" s="255">
        <f>IF(A122="N/A"," ",IF(OR('Pricing Inputs'!$AQ$3=2,'Pricing Inputs'!$AQ$3=3,'Pricing Inputs'!$AQ$3=5,'Pricing Inputs'!$AQ$3=6,'Pricing Inputs'!$AQ$3=8,'Pricing Inputs'!$AQ$3=9),IF(AND('Pricing Inputs'!$AQ$3&gt;=2,'Pricing Inputs'!$AQ$3&lt;=6),K122,(VLOOKUP(A122,ScaledPrice,5))*(2-(VLOOKUP(A122,ScaledPrice,3)))),0))</f>
        <v>25.678487785263055</v>
      </c>
      <c r="M122" s="255">
        <f>IF(A122="N/A"," ",IF(OR('Pricing Inputs'!$AQ$3=3,'Pricing Inputs'!$AQ$3=6,'Pricing Inputs'!$AQ$3=9),(VLOOKUP(A122,ScaledPrice,IF(AND('Pricing Inputs'!$AQ$3&gt;=3,'Pricing Inputs'!$AQ$3&lt;=6),7,8))),0))</f>
        <v>23.152316331367487</v>
      </c>
      <c r="N122" s="255">
        <f>IF(A122="N/A"," ",IF(OR('Pricing Inputs'!$AQ$3=3,'Pricing Inputs'!$AQ$3=6,'Pricing Inputs'!$AQ$3=9),IF(AND('Pricing Inputs'!$AQ$3&gt;=3,'Pricing Inputs'!$AQ$3&lt;=6),M122,(VLOOKUP(A122,ScaledPrice,7))*(2-(VLOOKUP(A122,ScaledPrice,3)))),0))</f>
        <v>23.656683302421563</v>
      </c>
      <c r="O122" s="255">
        <f>IF(A122="N/A"," ",IF(AND('Pricing Inputs'!$AQ$3&gt;=1,'Pricing Inputs'!$AQ$3&lt;=3),VLOOKUP(A122,ScaledPrice,9),0))</f>
        <v>0</v>
      </c>
      <c r="P122" s="320">
        <f ca="1">IF($A122="N/A"," ",IF('Pricing Inputs'!$AN$8=2,(I122-H122),IF('Pricing Inputs'!$AN$3=2,IF((I122-$H122)&gt;0,I122-$H122,0),(_xll.xSPRDOPT(I122,$E122,$BU122,0,$BP122,$BS122,$BT122,($A122-Inputs!$D$1)+15,1,0)))))</f>
        <v>0.34424751330106362</v>
      </c>
      <c r="Q122" s="320">
        <f ca="1">IF($A122="N/A"," ",IF('Pricing Inputs'!$AN$8=2,(J122-$H122),IF('Pricing Inputs'!$AN$3=2,IF((J122-$H122)&gt;0,J122-$H122,0),(_xll.xSPRDOPT(J122,$E122,$BU122,0,$BP122,$BS122,$BT122,($A122-Inputs!$D$1)+15,1,0)))))</f>
        <v>0.41872087985562928</v>
      </c>
      <c r="R122" s="320">
        <f ca="1">IF($A122="N/A"," ",IF('Pricing Inputs'!$AN$8=2,(K122-$H122),IF('Pricing Inputs'!$AN$3=2,IF((K122-$H122)&gt;0,K122-$H122,0),(_xll.xSPRDOPT(K122,$E122,$BU122,0,$BP122,$BS122,$BT122,($A122-Inputs!$D$1)+15,1,0)))))</f>
        <v>3.4588092636070884E-2</v>
      </c>
      <c r="S122" s="320">
        <f ca="1">IF($A122="N/A"," ",IF('Pricing Inputs'!$AN$8=2,(L122-$H122),IF('Pricing Inputs'!$AN$3=2,IF((L122-$H122)&gt;0,L122-$H122,0),(_xll.xSPRDOPT(L122,$E122,$BU122,0,$BP122,$BS122,$BT122,($A122-Inputs!$D$1)+15,1,0)))))</f>
        <v>4.4623139478112327E-2</v>
      </c>
      <c r="T122" s="320">
        <f ca="1">IF($A122="N/A"," ",IF('Pricing Inputs'!$AN$8=2,(M122-$H122),IF('Pricing Inputs'!$AN$3=2,IF((M122-$H122)&gt;0,M122-$H122,0),(_xll.xSPRDOPT(M122,$E122,$BU122,0,$BP122,$BS122,$BT122,($A122-Inputs!$D$1)+15,1,0)))))</f>
        <v>1.2401951237532504E-2</v>
      </c>
      <c r="U122" s="320">
        <f ca="1">IF($A122="N/A"," ",IF('Pricing Inputs'!$AN$8=2,(N122-$H122),IF('Pricing Inputs'!$AN$3=2,IF((N122-$H122)&gt;0,N122-$H122,0),(_xll.xSPRDOPT(N122,$E122,$BU122,0,$BP122,$BS122,$BT122,($A122-Inputs!$D$1)+15,1,0)))))</f>
        <v>1.6380497373667466E-2</v>
      </c>
      <c r="V122" s="259">
        <f ca="1">IF($A122="N/A"," ",(IF('Pricing Inputs'!$AN$8=2,(O122-$H122),IF((O122-$H122)&lt;=0,0,(O122-$H122)))))</f>
        <v>0</v>
      </c>
      <c r="W122" s="306">
        <f ca="1">IF($A122="N/A"," ",IF(0&lt;&gt;P122,IF('Pricing Inputs'!$AN$3=2,8*VLOOKUP($A122,NumberofDaysTable,2),(_xll.xSPRDOPT(I122,$E122,$BU122,0,$BP122,$BS122,$BT122,$A122-Inputs!$D$1,1,1))*(8*VLOOKUP($A122,NumberofDaysTable,2))),0))</f>
        <v>16.977621312909012</v>
      </c>
      <c r="X122" s="306">
        <f ca="1">IF($A122="N/A"," ",IF(Q122&lt;&gt;0,IF('Pricing Inputs'!$AN$3=2,8*VLOOKUP($A122,NumberofDaysTable,2),(_xll.xSPRDOPT(J122,$E122,$BU122,0,$BP122,$BS122,$BT122,$A122-Inputs!$D$1,1,1))*(8*VLOOKUP($A122,NumberofDaysTable,2))),0))</f>
        <v>19.655596973348509</v>
      </c>
      <c r="Y122" s="306">
        <f ca="1">IF($A122="N/A"," ",IF(R122&lt;&gt;0,IF('Pricing Inputs'!$AN$3=2,8*VLOOKUP($A122,NumberofDaysTable,3),(_xll.xSPRDOPT(K122,$E122,$BU122,0,$BP122,$BS122,$BT122,$A122-Inputs!$D$1,1,1))*(8*VLOOKUP($A122,NumberofDaysTable,3))),0))</f>
        <v>0.52080188437223529</v>
      </c>
      <c r="Z122" s="306">
        <f ca="1">IF($A122="N/A"," ",IF(S122&lt;&gt;0,IF('Pricing Inputs'!$AN$3=2,8*VLOOKUP($A122,NumberofDaysTable,3),(_xll.xSPRDOPT(L122,$E122,$BU122,0,$BP122,$BS122,$BT122,$A122-Inputs!$D$1,1,1))*(8*VLOOKUP($A122,NumberofDaysTable,3))),0))</f>
        <v>0.64251253294771571</v>
      </c>
      <c r="AA122" s="306">
        <f ca="1">IF($A122="N/A"," ",IF(T122&lt;&gt;0,IF('Pricing Inputs'!$AN$3=2,8*VLOOKUP($A122,NumberofDaysTable,4),(_xll.xSPRDOPT(M122,$E122,$BU122,0,$BP122,$BS122,$BT122,$A122-Inputs!$D$1,1,1))*(8*VLOOKUP($A122,NumberofDaysTable,4))),0))</f>
        <v>0.22056001795346791</v>
      </c>
      <c r="AB122" s="306">
        <f ca="1">IF($A122="N/A"," ",IF(U122&lt;&gt;0,IF('Pricing Inputs'!$AN$3=2,8*VLOOKUP($A122,NumberofDaysTable,4),(_xll.xSPRDOPT(N122,$E122,$BU122,0,$BP122,$BS122,$BT122,$A122-Inputs!$D$1,1,1))*(8*VLOOKUP($A122,NumberofDaysTable,4))),0))</f>
        <v>0.27900312299932872</v>
      </c>
      <c r="AC122" s="306">
        <f t="shared" ca="1" si="132"/>
        <v>0</v>
      </c>
      <c r="AD122" s="274">
        <f t="shared" ca="1" si="205"/>
        <v>37</v>
      </c>
      <c r="AE122" s="275">
        <f t="shared" ca="1" si="206"/>
        <v>35</v>
      </c>
      <c r="AF122" s="275">
        <f t="shared" ca="1" si="207"/>
        <v>62</v>
      </c>
      <c r="AG122" s="275">
        <f t="shared" ca="1" si="208"/>
        <v>60</v>
      </c>
      <c r="AH122" s="275">
        <f t="shared" ca="1" si="209"/>
        <v>68</v>
      </c>
      <c r="AI122" s="275">
        <f t="shared" ca="1" si="210"/>
        <v>66</v>
      </c>
      <c r="AJ122" s="276">
        <f t="shared" ca="1" si="211"/>
        <v>73</v>
      </c>
      <c r="AK122" s="314">
        <f t="shared" ca="1" si="158"/>
        <v>16.977621312909012</v>
      </c>
      <c r="AL122" s="315">
        <f t="shared" ca="1" si="159"/>
        <v>19.655596973348509</v>
      </c>
      <c r="AM122" s="315">
        <f t="shared" ca="1" si="160"/>
        <v>0.52080188437223529</v>
      </c>
      <c r="AN122" s="315">
        <f t="shared" ca="1" si="161"/>
        <v>0.64251253294771571</v>
      </c>
      <c r="AO122" s="315">
        <f t="shared" ca="1" si="162"/>
        <v>0.22056001795346791</v>
      </c>
      <c r="AP122" s="315">
        <f t="shared" ca="1" si="163"/>
        <v>0.27900312299932872</v>
      </c>
      <c r="AQ122" s="315">
        <f t="shared" ca="1" si="164"/>
        <v>0</v>
      </c>
      <c r="AR122" s="276">
        <f ca="1">SUM(AK112:AQ123)</f>
        <v>2119.6636880152964</v>
      </c>
      <c r="AS122" s="321">
        <f t="shared" ca="1" si="198"/>
        <v>0</v>
      </c>
      <c r="AT122" s="324">
        <f t="shared" ca="1" si="199"/>
        <v>0</v>
      </c>
      <c r="AU122" s="324">
        <f t="shared" ca="1" si="200"/>
        <v>0</v>
      </c>
      <c r="AV122" s="324">
        <f t="shared" ca="1" si="201"/>
        <v>0</v>
      </c>
      <c r="AW122" s="324">
        <f t="shared" ca="1" si="202"/>
        <v>0</v>
      </c>
      <c r="AX122" s="324">
        <f t="shared" ca="1" si="203"/>
        <v>0</v>
      </c>
      <c r="AY122" s="324">
        <f t="shared" ca="1" si="204"/>
        <v>0</v>
      </c>
      <c r="AZ122" s="276">
        <f ca="1">SUM(AS112:AY123)</f>
        <v>0</v>
      </c>
      <c r="BA122" s="267">
        <f ca="1">IF($A122="N/A"," ",(IF(MONTH(A122)&gt;=4,IF(MONTH(A122)&lt;=10,Inputs!$F$13,Inputs!$F$14),Inputs!$F$14))*$BW122)</f>
        <v>180</v>
      </c>
      <c r="BB122" s="268">
        <f t="shared" ca="1" si="165"/>
        <v>10410.044802224164</v>
      </c>
      <c r="BC122" s="268">
        <f t="shared" ca="1" si="166"/>
        <v>12662.11940683423</v>
      </c>
      <c r="BD122" s="268">
        <f t="shared" ca="1" si="133"/>
        <v>199.22741358376828</v>
      </c>
      <c r="BE122" s="268">
        <f t="shared" ca="1" si="134"/>
        <v>257.02928339392702</v>
      </c>
      <c r="BF122" s="268">
        <f t="shared" ca="1" si="135"/>
        <v>89.294048910234025</v>
      </c>
      <c r="BG122" s="268">
        <f t="shared" ca="1" si="136"/>
        <v>117.93958109040575</v>
      </c>
      <c r="BH122" s="268">
        <f t="shared" ca="1" si="157"/>
        <v>0</v>
      </c>
      <c r="BI122" s="268">
        <f t="shared" ca="1" si="137"/>
        <v>23735.654536036727</v>
      </c>
      <c r="BJ122" s="296">
        <f t="shared" ca="1" si="138"/>
        <v>302038.43571862177</v>
      </c>
      <c r="BK122" s="296">
        <f t="shared" ca="1" si="139"/>
        <v>288251.84121459088</v>
      </c>
      <c r="BL122" s="296">
        <f t="shared" ca="1" si="140"/>
        <v>13786.594504030892</v>
      </c>
      <c r="BM122" s="296">
        <f t="shared" ca="1" si="141"/>
        <v>0</v>
      </c>
      <c r="BN122" s="405">
        <f>IF(A122="N/A"," ",(VLOOKUP(A122,PowerVolTable,(IF('Pricing Inputs'!$AT$3=2,7,IF('Pricing Inputs'!$AT$3=1,6,8))),FALSE)))</f>
        <v>0.15258338209432784</v>
      </c>
      <c r="BO122" s="405">
        <f>IF(A122="N/A"," ",(VLOOKUP(A122,IntraPowerVol,(IF('Pricing Inputs'!$AT$3=2,3,IF('Pricing Inputs'!$AT$3=1,2,4))),FALSE)*VLOOKUP(MONTH($A122),Inputs!$A$28:$B$39,2)))</f>
        <v>1.4375</v>
      </c>
      <c r="BP122" s="406">
        <f t="shared" ca="1" si="126"/>
        <v>0.17638538849144017</v>
      </c>
      <c r="BQ122" s="405">
        <f ca="1">IF($A122="N/A"," ",(VLOOKUP($A122,GasVolTable,(IF('Pricing Inputs'!$AT$3=2,6,IF('Pricing Inputs'!$AT$3=1,7,5))),FALSE)))</f>
        <v>0.15</v>
      </c>
      <c r="BR122" s="405">
        <f ca="1">IF($A122="N/A"," ",(VLOOKUP($A122,OmicronVol,(IF('Pricing Inputs'!$AT$3=2,3,IF('Pricing Inputs'!$AT$3=1,4,2))),FALSE)))</f>
        <v>0.95</v>
      </c>
      <c r="BS122" s="406">
        <f ca="1">IF($A122="N/A"," ",IF('Pricing Inputs'!$AN$3=1,(IF(DateToday&gt;$A122,$BR122,((($BQ122^2)*((($A122-1)-DateToday)/((EOMONTH($A122,0)+1)-DateToday-15)))+((($BR122)^2)*((15)/((EOMONTH($A122,0)+1)-DateToday-15))))^0.5)),0.0001))</f>
        <v>0.16083949415196214</v>
      </c>
      <c r="BT122" s="405">
        <f>IF($A122="N/A"," ",IF('Pricing Inputs'!$AN$3=1,(VLOOKUP($A122,CorrelationTable,2,FALSE)),0))</f>
        <v>0.9</v>
      </c>
      <c r="BU122" s="407">
        <f ca="1">IF($A122="N/A"," ",F122+G122+(D122*(VLOOKUP($A122,'Gas Curves'!$B$17:$P$310,14,FALSE))))</f>
        <v>2.6825000000000001</v>
      </c>
      <c r="BV122" s="405">
        <f>IF($A122="N/A"," ",IF('Pricing Inputs'!$AW$3=1,0,(VLOOKUP($A122,InterestRatesTable,2))))</f>
        <v>0</v>
      </c>
      <c r="BW122" s="408">
        <f t="shared" ca="1" si="127"/>
        <v>1</v>
      </c>
    </row>
    <row r="123" spans="1:75">
      <c r="A123" s="248">
        <f>IF(A122="N/A","N/A",IF(EDATE(A122,1)&gt;Inputs!$K$3,"N/A",EDATE(A122,1)))</f>
        <v>40513</v>
      </c>
      <c r="B123" s="262">
        <f t="shared" si="128"/>
        <v>2010</v>
      </c>
      <c r="C123" s="249">
        <f t="shared" ca="1" si="129"/>
        <v>4.4215</v>
      </c>
      <c r="D123" s="250">
        <f>IF(A123="N/A"," ",(VLOOKUP(MONTH($A123),Inputs!$A$14:$B$25,2))/1000)</f>
        <v>10.5</v>
      </c>
      <c r="E123" s="304">
        <f t="shared" ca="1" si="130"/>
        <v>46.425750000000001</v>
      </c>
      <c r="F123" s="251">
        <f>IF(A123="N/A"," ",Inputs!$F$6)</f>
        <v>2</v>
      </c>
      <c r="G123" s="251">
        <f ca="1">IF(A123="N/A"," ",Inputs!$F$9/IF(AND('Pricing Inputs'!$AQ$3&gt;=4,'Pricing Inputs'!$AQ$3&lt;=6),16,IF(AND('Pricing Inputs'!$AQ$3&gt;=7,'Pricing Inputs'!$AQ$3&lt;=9),8,24))/(BA123/BW123))</f>
        <v>0</v>
      </c>
      <c r="H123" s="252">
        <f t="shared" ca="1" si="131"/>
        <v>48.425750000000001</v>
      </c>
      <c r="I123" s="255">
        <f>VLOOKUP(A123,ScaledPrice,(IF(AND('Pricing Inputs'!$AQ$3&gt;=1,'Pricing Inputs'!$AQ$3&lt;=6),2,4)))</f>
        <v>30.774436549879908</v>
      </c>
      <c r="J123" s="255">
        <f>IF(A123="N/A"," ",IF(AND('Pricing Inputs'!$AQ$3&gt;=1,'Pricing Inputs'!$AQ$3&lt;=6),I123,(VLOOKUP(A123,ScaledPrice,2))*(2-(VLOOKUP(A123,ScaledPrice,3)))))</f>
        <v>32.12556345012009</v>
      </c>
      <c r="K123" s="255">
        <f>IF(A123="N/A"," ",IF(OR('Pricing Inputs'!$AQ$3=2,'Pricing Inputs'!$AQ$3=3,'Pricing Inputs'!$AQ$3=5,'Pricing Inputs'!$AQ$3=6,'Pricing Inputs'!$AQ$3=8,'Pricing Inputs'!$AQ$3=9),VLOOKUP(A123,ScaledPrice,IF(AND('Pricing Inputs'!$AQ$3&gt;=2,'Pricing Inputs'!$AQ$3&lt;=6),5,6)),0))</f>
        <v>26.27813813167116</v>
      </c>
      <c r="L123" s="255">
        <f>IF(A123="N/A"," ",IF(OR('Pricing Inputs'!$AQ$3=2,'Pricing Inputs'!$AQ$3=3,'Pricing Inputs'!$AQ$3=5,'Pricing Inputs'!$AQ$3=6,'Pricing Inputs'!$AQ$3=8,'Pricing Inputs'!$AQ$3=9),IF(AND('Pricing Inputs'!$AQ$3&gt;=2,'Pricing Inputs'!$AQ$3&lt;=6),K123,(VLOOKUP(A123,ScaledPrice,5))*(2-(VLOOKUP(A123,ScaledPrice,3)))),0))</f>
        <v>27.431858663983121</v>
      </c>
      <c r="M123" s="255">
        <f>IF(A123="N/A"," ",IF(OR('Pricing Inputs'!$AQ$3=3,'Pricing Inputs'!$AQ$3=6,'Pricing Inputs'!$AQ$3=9),(VLOOKUP(A123,ScaledPrice,IF(AND('Pricing Inputs'!$AQ$3&gt;=3,'Pricing Inputs'!$AQ$3&lt;=6),7,8))),0))</f>
        <v>22.848428297636371</v>
      </c>
      <c r="N123" s="255">
        <f>IF(A123="N/A"," ",IF(OR('Pricing Inputs'!$AQ$3=3,'Pricing Inputs'!$AQ$3=6,'Pricing Inputs'!$AQ$3=9),IF(AND('Pricing Inputs'!$AQ$3&gt;=3,'Pricing Inputs'!$AQ$3&lt;=6),M123,(VLOOKUP(A123,ScaledPrice,7))*(2-(VLOOKUP(A123,ScaledPrice,3)))),0))</f>
        <v>23.851570176484707</v>
      </c>
      <c r="O123" s="255">
        <f>IF(A123="N/A"," ",IF(AND('Pricing Inputs'!$AQ$3&gt;=1,'Pricing Inputs'!$AQ$3&lt;=3),VLOOKUP(A123,ScaledPrice,9),0))</f>
        <v>0</v>
      </c>
      <c r="P123" s="320">
        <f ca="1">IF($A123="N/A"," ",IF('Pricing Inputs'!$AN$8=2,(I123-H123),IF('Pricing Inputs'!$AN$3=2,IF((I123-$H123)&gt;0,I123-$H123,0),(_xll.xSPRDOPT(I123,$E123,$BU123,0,$BP123,$BS123,$BT123,($A123-Inputs!$D$1)+15,1,0)))))</f>
        <v>0.14272542493965582</v>
      </c>
      <c r="Q123" s="320">
        <f ca="1">IF($A123="N/A"," ",IF('Pricing Inputs'!$AN$8=2,(J123-$H123),IF('Pricing Inputs'!$AN$3=2,IF((J123-$H123)&gt;0,J123-$H123,0),(_xll.xSPRDOPT(J123,$E123,$BU123,0,$BP123,$BS123,$BT123,($A123-Inputs!$D$1)+15,1,0)))))</f>
        <v>0.21889902748055634</v>
      </c>
      <c r="R123" s="320">
        <f ca="1">IF($A123="N/A"," ",IF('Pricing Inputs'!$AN$8=2,(K123-$H123),IF('Pricing Inputs'!$AN$3=2,IF((K123-$H123)&gt;0,K123-$H123,0),(_xll.xSPRDOPT(K123,$E123,$BU123,0,$BP123,$BS123,$BT123,($A123-Inputs!$D$1)+15,1,0)))))</f>
        <v>2.4442308752490954E-2</v>
      </c>
      <c r="S123" s="320">
        <f ca="1">IF($A123="N/A"," ",IF('Pricing Inputs'!$AN$8=2,(L123-$H123),IF('Pricing Inputs'!$AN$3=2,IF((L123-$H123)&gt;0,L123-$H123,0),(_xll.xSPRDOPT(L123,$E123,$BU123,0,$BP123,$BS123,$BT123,($A123-Inputs!$D$1)+15,1,0)))))</f>
        <v>4.0727234312777659E-2</v>
      </c>
      <c r="T123" s="320">
        <f ca="1">IF($A123="N/A"," ",IF('Pricing Inputs'!$AN$8=2,(M123-$H123),IF('Pricing Inputs'!$AN$3=2,IF((M123-$H123)&gt;0,M123-$H123,0),(_xll.xSPRDOPT(M123,$E123,$BU123,0,$BP123,$BS123,$BT123,($A123-Inputs!$D$1)+15,1,0)))))</f>
        <v>3.9415231723695949E-3</v>
      </c>
      <c r="U123" s="320">
        <f ca="1">IF($A123="N/A"," ",IF('Pricing Inputs'!$AN$8=2,(N123-$H123),IF('Pricing Inputs'!$AN$3=2,IF((N123-$H123)&gt;0,N123-$H123,0),(_xll.xSPRDOPT(N123,$E123,$BU123,0,$BP123,$BS123,$BT123,($A123-Inputs!$D$1)+15,1,0)))))</f>
        <v>7.0924213243781144E-3</v>
      </c>
      <c r="V123" s="259">
        <f ca="1">IF($A123="N/A"," ",(IF('Pricing Inputs'!$AN$8=2,(O123-$H123),IF((O123-$H123)&lt;=0,0,(O123-$H123)))))</f>
        <v>0</v>
      </c>
      <c r="W123" s="306">
        <f ca="1">IF($A123="N/A"," ",IF(0&lt;&gt;P123,IF('Pricing Inputs'!$AN$3=2,8*VLOOKUP($A123,NumberofDaysTable,2),(_xll.xSPRDOPT(I123,$E123,$BU123,0,$BP123,$BS123,$BT123,$A123-Inputs!$D$1,1,1))*(8*VLOOKUP($A123,NumberofDaysTable,2))),0))</f>
        <v>8.6448710515504388</v>
      </c>
      <c r="X123" s="306">
        <f ca="1">IF($A123="N/A"," ",IF(Q123&lt;&gt;0,IF('Pricing Inputs'!$AN$3=2,8*VLOOKUP($A123,NumberofDaysTable,2),(_xll.xSPRDOPT(J123,$E123,$BU123,0,$BP123,$BS123,$BT123,$A123-Inputs!$D$1,1,1))*(8*VLOOKUP($A123,NumberofDaysTable,2))),0))</f>
        <v>12.081880440584246</v>
      </c>
      <c r="Y123" s="306">
        <f ca="1">IF($A123="N/A"," ",IF(R123&lt;&gt;0,IF('Pricing Inputs'!$AN$3=2,8*VLOOKUP($A123,NumberofDaysTable,3),(_xll.xSPRDOPT(K123,$E123,$BU123,0,$BP123,$BS123,$BT123,$A123-Inputs!$D$1,1,1))*(8*VLOOKUP($A123,NumberofDaysTable,3))),0))</f>
        <v>0.26784707410734693</v>
      </c>
      <c r="Z123" s="306">
        <f ca="1">IF($A123="N/A"," ",IF(S123&lt;&gt;0,IF('Pricing Inputs'!$AN$3=2,8*VLOOKUP($A123,NumberofDaysTable,3),(_xll.xSPRDOPT(L123,$E123,$BU123,0,$BP123,$BS123,$BT123,$A123-Inputs!$D$1,1,1))*(8*VLOOKUP($A123,NumberofDaysTable,3))),0))</f>
        <v>0.40917692884616402</v>
      </c>
      <c r="AA123" s="306">
        <f ca="1">IF($A123="N/A"," ",IF(T123&lt;&gt;0,IF('Pricing Inputs'!$AN$3=2,8*VLOOKUP($A123,NumberofDaysTable,4),(_xll.xSPRDOPT(M123,$E123,$BU123,0,$BP123,$BS123,$BT123,$A123-Inputs!$D$1,1,1))*(8*VLOOKUP($A123,NumberofDaysTable,4))),0))</f>
        <v>7.5633886371191048E-2</v>
      </c>
      <c r="AB123" s="306">
        <f ca="1">IF($A123="N/A"," ",IF(U123&lt;&gt;0,IF('Pricing Inputs'!$AN$3=2,8*VLOOKUP($A123,NumberofDaysTable,4),(_xll.xSPRDOPT(N123,$E123,$BU123,0,$BP123,$BS123,$BT123,$A123-Inputs!$D$1,1,1))*(8*VLOOKUP($A123,NumberofDaysTable,4))),0))</f>
        <v>0.12536099455752769</v>
      </c>
      <c r="AC123" s="306">
        <f t="shared" ca="1" si="132"/>
        <v>0</v>
      </c>
      <c r="AD123" s="277">
        <f t="shared" ca="1" si="205"/>
        <v>52</v>
      </c>
      <c r="AE123" s="278">
        <f t="shared" ca="1" si="206"/>
        <v>45</v>
      </c>
      <c r="AF123" s="278">
        <f t="shared" ca="1" si="207"/>
        <v>63</v>
      </c>
      <c r="AG123" s="278">
        <f t="shared" ca="1" si="208"/>
        <v>61</v>
      </c>
      <c r="AH123" s="278">
        <f t="shared" ca="1" si="209"/>
        <v>72</v>
      </c>
      <c r="AI123" s="278">
        <f t="shared" ca="1" si="210"/>
        <v>71</v>
      </c>
      <c r="AJ123" s="279">
        <f t="shared" ca="1" si="211"/>
        <v>73</v>
      </c>
      <c r="AK123" s="316">
        <f t="shared" ca="1" si="158"/>
        <v>8.6448710515504388</v>
      </c>
      <c r="AL123" s="317">
        <f t="shared" ca="1" si="159"/>
        <v>12.081880440584246</v>
      </c>
      <c r="AM123" s="317">
        <f t="shared" ca="1" si="160"/>
        <v>0.26784707410734693</v>
      </c>
      <c r="AN123" s="317">
        <f t="shared" ca="1" si="161"/>
        <v>0.40917692884616402</v>
      </c>
      <c r="AO123" s="317">
        <f t="shared" ca="1" si="162"/>
        <v>7.5633886371191048E-2</v>
      </c>
      <c r="AP123" s="317">
        <f t="shared" ca="1" si="163"/>
        <v>0.12536099455752769</v>
      </c>
      <c r="AQ123" s="317">
        <f t="shared" ca="1" si="164"/>
        <v>0</v>
      </c>
      <c r="AR123" s="279">
        <f ca="1">IF(($AP$2-AR122)&gt;=0,$AP$2-AR122,0)</f>
        <v>0</v>
      </c>
      <c r="AS123" s="325">
        <f t="shared" ca="1" si="198"/>
        <v>0</v>
      </c>
      <c r="AT123" s="326">
        <f t="shared" ca="1" si="199"/>
        <v>0</v>
      </c>
      <c r="AU123" s="326">
        <f t="shared" ca="1" si="200"/>
        <v>0</v>
      </c>
      <c r="AV123" s="326">
        <f t="shared" ca="1" si="201"/>
        <v>0</v>
      </c>
      <c r="AW123" s="326">
        <f t="shared" ca="1" si="202"/>
        <v>0</v>
      </c>
      <c r="AX123" s="326">
        <f t="shared" ca="1" si="203"/>
        <v>0</v>
      </c>
      <c r="AY123" s="326">
        <f t="shared" ca="1" si="204"/>
        <v>0</v>
      </c>
      <c r="AZ123" s="285">
        <f ca="1">AR122+AZ122</f>
        <v>2119.6636880152964</v>
      </c>
      <c r="BA123" s="267">
        <f ca="1">IF($A123="N/A"," ",(IF(MONTH(A123)&gt;=4,IF(MONTH(A123)&lt;=10,Inputs!$F$13,Inputs!$F$14),Inputs!$F$14))*$BW123)</f>
        <v>180</v>
      </c>
      <c r="BB123" s="268">
        <f t="shared" ca="1" si="165"/>
        <v>4727.0660740014009</v>
      </c>
      <c r="BC123" s="268">
        <f t="shared" ca="1" si="166"/>
        <v>7249.9357901560261</v>
      </c>
      <c r="BD123" s="268">
        <f t="shared" ca="1" si="133"/>
        <v>105.59077381076092</v>
      </c>
      <c r="BE123" s="268">
        <f t="shared" ca="1" si="134"/>
        <v>175.9416522311995</v>
      </c>
      <c r="BF123" s="268">
        <f t="shared" ca="1" si="135"/>
        <v>28.378966841061082</v>
      </c>
      <c r="BG123" s="268">
        <f t="shared" ca="1" si="136"/>
        <v>51.065433535522423</v>
      </c>
      <c r="BH123" s="268">
        <f t="shared" ca="1" si="157"/>
        <v>0</v>
      </c>
      <c r="BI123" s="268">
        <f t="shared" ca="1" si="137"/>
        <v>12337.978690575974</v>
      </c>
      <c r="BJ123" s="296">
        <f t="shared" ca="1" si="138"/>
        <v>188320.89762655218</v>
      </c>
      <c r="BK123" s="296">
        <f t="shared" ca="1" si="139"/>
        <v>180543.18029118612</v>
      </c>
      <c r="BL123" s="296">
        <f t="shared" ca="1" si="140"/>
        <v>7777.7173353660892</v>
      </c>
      <c r="BM123" s="296">
        <f t="shared" ca="1" si="141"/>
        <v>0</v>
      </c>
      <c r="BN123" s="405">
        <f>IF(A123="N/A"," ",(VLOOKUP(A123,PowerVolTable,(IF('Pricing Inputs'!$AT$3=2,7,IF('Pricing Inputs'!$AT$3=1,6,8))),FALSE)))</f>
        <v>0.1580287369943485</v>
      </c>
      <c r="BO123" s="405">
        <f>IF(A123="N/A"," ",(VLOOKUP(A123,IntraPowerVol,(IF('Pricing Inputs'!$AT$3=2,3,IF('Pricing Inputs'!$AT$3=1,2,4))),FALSE)*VLOOKUP(MONTH($A123),Inputs!$A$28:$B$39,2)))</f>
        <v>1.4375</v>
      </c>
      <c r="BP123" s="406">
        <f t="shared" ca="1" si="126"/>
        <v>0.18090998311373391</v>
      </c>
      <c r="BQ123" s="405">
        <f ca="1">IF($A123="N/A"," ",(VLOOKUP($A123,GasVolTable,(IF('Pricing Inputs'!$AT$3=2,6,IF('Pricing Inputs'!$AT$3=1,7,5))),FALSE)))</f>
        <v>0.15</v>
      </c>
      <c r="BR123" s="405">
        <f ca="1">IF($A123="N/A"," ",(VLOOKUP($A123,OmicronVol,(IF('Pricing Inputs'!$AT$3=2,3,IF('Pricing Inputs'!$AT$3=1,4,2))),FALSE)))</f>
        <v>1.25</v>
      </c>
      <c r="BS123" s="406">
        <f ca="1">IF($A123="N/A"," ",IF('Pricing Inputs'!$AN$3=1,(IF(DateToday&gt;$A123,$BR123,((($BQ123^2)*((($A123-1)-DateToday)/((EOMONTH($A123,0)+1)-DateToday-15)))+((($BR123)^2)*((15)/((EOMONTH($A123,0)+1)-DateToday-15))))^0.5)),0.0001))</f>
        <v>0.16837028845222526</v>
      </c>
      <c r="BT123" s="405">
        <f>IF($A123="N/A"," ",IF('Pricing Inputs'!$AN$3=1,(VLOOKUP($A123,CorrelationTable,2,FALSE)),0))</f>
        <v>0.9</v>
      </c>
      <c r="BU123" s="407">
        <f ca="1">IF($A123="N/A"," ",F123+G123+(D123*(VLOOKUP($A123,'Gas Curves'!$B$17:$P$310,14,FALSE))))</f>
        <v>2.6825000000000001</v>
      </c>
      <c r="BV123" s="405">
        <f>IF($A123="N/A"," ",IF('Pricing Inputs'!$AW$3=1,0,(VLOOKUP($A123,InterestRatesTable,2))))</f>
        <v>0</v>
      </c>
      <c r="BW123" s="408">
        <f t="shared" ca="1" si="127"/>
        <v>1</v>
      </c>
    </row>
    <row r="124" spans="1:75">
      <c r="A124" s="248" t="str">
        <f>IF(A123="N/A","N/A",IF(EDATE(A123,1)&gt;Inputs!$K$3,"N/A",EDATE(A123,1)))</f>
        <v>N/A</v>
      </c>
      <c r="B124" s="262" t="str">
        <f t="shared" si="128"/>
        <v xml:space="preserve"> </v>
      </c>
      <c r="C124" s="249" t="str">
        <f t="shared" si="129"/>
        <v xml:space="preserve"> </v>
      </c>
      <c r="D124" s="250" t="str">
        <f>IF(A124="N/A"," ",(VLOOKUP(MONTH($A124),Inputs!$A$14:$B$25,2))/1000)</f>
        <v xml:space="preserve"> </v>
      </c>
      <c r="E124" s="304" t="str">
        <f t="shared" si="130"/>
        <v xml:space="preserve"> </v>
      </c>
      <c r="F124" s="251" t="str">
        <f>IF(A124="N/A"," ",Inputs!$F$6)</f>
        <v xml:space="preserve"> </v>
      </c>
      <c r="G124" s="251" t="str">
        <f>IF(A124="N/A"," ",Inputs!$F$9/IF(AND('Pricing Inputs'!$AQ$3&gt;=4,'Pricing Inputs'!$AQ$3&lt;=6),16,IF(AND('Pricing Inputs'!$AQ$3&gt;=7,'Pricing Inputs'!$AQ$3&lt;=9),8,24))/(BA124/BW124))</f>
        <v xml:space="preserve"> </v>
      </c>
      <c r="H124" s="252" t="str">
        <f t="shared" si="131"/>
        <v xml:space="preserve"> </v>
      </c>
      <c r="I124" s="255" t="str">
        <f>VLOOKUP(A124,ScaledPrice,(IF(AND('Pricing Inputs'!$AQ$3&gt;=1,'Pricing Inputs'!$AQ$3&lt;=6),2,4)))</f>
        <v xml:space="preserve"> </v>
      </c>
      <c r="J124" s="255" t="str">
        <f>IF(A124="N/A"," ",IF(AND('Pricing Inputs'!$AQ$3&gt;=1,'Pricing Inputs'!$AQ$3&lt;=6),I124,(VLOOKUP(A124,ScaledPrice,2))*(2-(VLOOKUP(A124,ScaledPrice,3)))))</f>
        <v xml:space="preserve"> </v>
      </c>
      <c r="K124" s="255" t="str">
        <f>IF(A124="N/A"," ",IF(OR('Pricing Inputs'!$AQ$3=2,'Pricing Inputs'!$AQ$3=3,'Pricing Inputs'!$AQ$3=5,'Pricing Inputs'!$AQ$3=6,'Pricing Inputs'!$AQ$3=8,'Pricing Inputs'!$AQ$3=9),VLOOKUP(A124,ScaledPrice,IF(AND('Pricing Inputs'!$AQ$3&gt;=2,'Pricing Inputs'!$AQ$3&lt;=6),5,6)),0))</f>
        <v xml:space="preserve"> </v>
      </c>
      <c r="L124" s="255" t="str">
        <f>IF(A124="N/A"," ",IF(OR('Pricing Inputs'!$AQ$3=2,'Pricing Inputs'!$AQ$3=3,'Pricing Inputs'!$AQ$3=5,'Pricing Inputs'!$AQ$3=6,'Pricing Inputs'!$AQ$3=8,'Pricing Inputs'!$AQ$3=9),IF(AND('Pricing Inputs'!$AQ$3&gt;=2,'Pricing Inputs'!$AQ$3&lt;=6),K124,(VLOOKUP(A124,ScaledPrice,5))*(2-(VLOOKUP(A124,ScaledPrice,3)))),0))</f>
        <v xml:space="preserve"> </v>
      </c>
      <c r="M124" s="255" t="str">
        <f>IF(A124="N/A"," ",IF(OR('Pricing Inputs'!$AQ$3=3,'Pricing Inputs'!$AQ$3=6,'Pricing Inputs'!$AQ$3=9),(VLOOKUP(A124,ScaledPrice,IF(AND('Pricing Inputs'!$AQ$3&gt;=3,'Pricing Inputs'!$AQ$3&lt;=6),7,8))),0))</f>
        <v xml:space="preserve"> </v>
      </c>
      <c r="N124" s="255" t="str">
        <f>IF(A124="N/A"," ",IF(OR('Pricing Inputs'!$AQ$3=3,'Pricing Inputs'!$AQ$3=6,'Pricing Inputs'!$AQ$3=9),IF(AND('Pricing Inputs'!$AQ$3&gt;=3,'Pricing Inputs'!$AQ$3&lt;=6),M124,(VLOOKUP(A124,ScaledPrice,7))*(2-(VLOOKUP(A124,ScaledPrice,3)))),0))</f>
        <v xml:space="preserve"> </v>
      </c>
      <c r="O124" s="255" t="str">
        <f>IF(A124="N/A"," ",IF(AND('Pricing Inputs'!$AQ$3&gt;=1,'Pricing Inputs'!$AQ$3&lt;=3),VLOOKUP(A124,ScaledPrice,9),0))</f>
        <v xml:space="preserve"> </v>
      </c>
      <c r="P124" s="320" t="str">
        <f>IF($A124="N/A"," ",IF('Pricing Inputs'!$AN$8=2,(I124-H124),IF('Pricing Inputs'!$AN$3=2,IF((I124-$H124)&gt;0,I124-$H124,0),(_xll.xSPRDOPT(I124,$E124,$BU124,0,$BP124,$BS124,$BT124,($A124-Inputs!$D$1)+15,1,0)))))</f>
        <v xml:space="preserve"> </v>
      </c>
      <c r="Q124" s="320" t="str">
        <f>IF($A124="N/A"," ",IF('Pricing Inputs'!$AN$8=2,(J124-$H124),IF('Pricing Inputs'!$AN$3=2,IF((J124-$H124)&gt;0,J124-$H124,0),(_xll.xSPRDOPT(J124,$E124,$BU124,0,$BP124,$BS124,$BT124,($A124-Inputs!$D$1)+15,1,0)))))</f>
        <v xml:space="preserve"> </v>
      </c>
      <c r="R124" s="320" t="str">
        <f>IF($A124="N/A"," ",IF('Pricing Inputs'!$AN$8=2,(K124-$H124),IF('Pricing Inputs'!$AN$3=2,IF((K124-$H124)&gt;0,K124-$H124,0),(_xll.xSPRDOPT(K124,$E124,$BU124,0,$BP124,$BS124,$BT124,($A124-Inputs!$D$1)+15,1,0)))))</f>
        <v xml:space="preserve"> </v>
      </c>
      <c r="S124" s="320" t="str">
        <f>IF($A124="N/A"," ",IF('Pricing Inputs'!$AN$8=2,(L124-$H124),IF('Pricing Inputs'!$AN$3=2,IF((L124-$H124)&gt;0,L124-$H124,0),(_xll.xSPRDOPT(L124,$E124,$BU124,0,$BP124,$BS124,$BT124,($A124-Inputs!$D$1)+15,1,0)))))</f>
        <v xml:space="preserve"> </v>
      </c>
      <c r="T124" s="320" t="str">
        <f>IF($A124="N/A"," ",IF('Pricing Inputs'!$AN$8=2,(M124-$H124),IF('Pricing Inputs'!$AN$3=2,IF((M124-$H124)&gt;0,M124-$H124,0),(_xll.xSPRDOPT(M124,$E124,$BU124,0,$BP124,$BS124,$BT124,($A124-Inputs!$D$1)+15,1,0)))))</f>
        <v xml:space="preserve"> </v>
      </c>
      <c r="U124" s="320" t="str">
        <f>IF($A124="N/A"," ",IF('Pricing Inputs'!$AN$8=2,(N124-$H124),IF('Pricing Inputs'!$AN$3=2,IF((N124-$H124)&gt;0,N124-$H124,0),(_xll.xSPRDOPT(N124,$E124,$BU124,0,$BP124,$BS124,$BT124,($A124-Inputs!$D$1)+15,1,0)))))</f>
        <v xml:space="preserve"> </v>
      </c>
      <c r="V124" s="259" t="str">
        <f>IF($A124="N/A"," ",(IF('Pricing Inputs'!$AN$8=2,(O124-$H124),IF((O124-$H124)&lt;=0,0,(O124-$H124)))))</f>
        <v xml:space="preserve"> </v>
      </c>
      <c r="W124" s="306" t="str">
        <f>IF($A124="N/A"," ",IF(0&lt;&gt;P124,IF('Pricing Inputs'!$AN$3=2,8*VLOOKUP($A124,NumberofDaysTable,2),(_xll.xSPRDOPT(I124,$E124,$BU124,0,$BP124,$BS124,$BT124,$A124-Inputs!$D$1,1,1))*(8*VLOOKUP($A124,NumberofDaysTable,2))),0))</f>
        <v xml:space="preserve"> </v>
      </c>
      <c r="X124" s="306" t="str">
        <f>IF($A124="N/A"," ",IF(Q124&lt;&gt;0,IF('Pricing Inputs'!$AN$3=2,8*VLOOKUP($A124,NumberofDaysTable,2),(_xll.xSPRDOPT(J124,$E124,$BU124,0,$BP124,$BS124,$BT124,$A124-Inputs!$D$1,1,1))*(8*VLOOKUP($A124,NumberofDaysTable,2))),0))</f>
        <v xml:space="preserve"> </v>
      </c>
      <c r="Y124" s="306" t="str">
        <f>IF($A124="N/A"," ",IF(R124&lt;&gt;0,IF('Pricing Inputs'!$AN$3=2,8*VLOOKUP($A124,NumberofDaysTable,3),(_xll.xSPRDOPT(K124,$E124,$BU124,0,$BP124,$BS124,$BT124,$A124-Inputs!$D$1,1,1))*(8*VLOOKUP($A124,NumberofDaysTable,3))),0))</f>
        <v xml:space="preserve"> </v>
      </c>
      <c r="Z124" s="306" t="str">
        <f>IF($A124="N/A"," ",IF(S124&lt;&gt;0,IF('Pricing Inputs'!$AN$3=2,8*VLOOKUP($A124,NumberofDaysTable,3),(_xll.xSPRDOPT(L124,$E124,$BU124,0,$BP124,$BS124,$BT124,$A124-Inputs!$D$1,1,1))*(8*VLOOKUP($A124,NumberofDaysTable,3))),0))</f>
        <v xml:space="preserve"> </v>
      </c>
      <c r="AA124" s="306" t="str">
        <f>IF($A124="N/A"," ",IF(T124&lt;&gt;0,IF('Pricing Inputs'!$AN$3=2,8*VLOOKUP($A124,NumberofDaysTable,4),(_xll.xSPRDOPT(M124,$E124,$BU124,0,$BP124,$BS124,$BT124,$A124-Inputs!$D$1,1,1))*(8*VLOOKUP($A124,NumberofDaysTable,4))),0))</f>
        <v xml:space="preserve"> </v>
      </c>
      <c r="AB124" s="306" t="str">
        <f>IF($A124="N/A"," ",IF(U124&lt;&gt;0,IF('Pricing Inputs'!$AN$3=2,8*VLOOKUP($A124,NumberofDaysTable,4),(_xll.xSPRDOPT(N124,$E124,$BU124,0,$BP124,$BS124,$BT124,$A124-Inputs!$D$1,1,1))*(8*VLOOKUP($A124,NumberofDaysTable,4))),0))</f>
        <v xml:space="preserve"> </v>
      </c>
      <c r="AC124" s="306" t="str">
        <f t="shared" si="132"/>
        <v xml:space="preserve"> </v>
      </c>
      <c r="AD124" s="271" t="str">
        <f t="shared" ref="AD124:AJ124" si="212">IF($A124="N/A"," ",RANK(P124,$P$124:$V$135))</f>
        <v xml:space="preserve"> </v>
      </c>
      <c r="AE124" s="272" t="str">
        <f t="shared" si="212"/>
        <v xml:space="preserve"> </v>
      </c>
      <c r="AF124" s="272" t="str">
        <f t="shared" si="212"/>
        <v xml:space="preserve"> </v>
      </c>
      <c r="AG124" s="272" t="str">
        <f t="shared" si="212"/>
        <v xml:space="preserve"> </v>
      </c>
      <c r="AH124" s="272" t="str">
        <f t="shared" si="212"/>
        <v xml:space="preserve"> </v>
      </c>
      <c r="AI124" s="272" t="str">
        <f t="shared" si="212"/>
        <v xml:space="preserve"> </v>
      </c>
      <c r="AJ124" s="273" t="str">
        <f t="shared" si="212"/>
        <v xml:space="preserve"> </v>
      </c>
      <c r="AK124" s="312" t="str">
        <f t="shared" si="158"/>
        <v xml:space="preserve"> </v>
      </c>
      <c r="AL124" s="313" t="str">
        <f t="shared" si="159"/>
        <v xml:space="preserve"> </v>
      </c>
      <c r="AM124" s="313" t="str">
        <f t="shared" si="160"/>
        <v xml:space="preserve"> </v>
      </c>
      <c r="AN124" s="313" t="str">
        <f t="shared" si="161"/>
        <v xml:space="preserve"> </v>
      </c>
      <c r="AO124" s="313" t="str">
        <f t="shared" si="162"/>
        <v xml:space="preserve"> </v>
      </c>
      <c r="AP124" s="313" t="str">
        <f t="shared" si="163"/>
        <v xml:space="preserve"> </v>
      </c>
      <c r="AQ124" s="313" t="str">
        <f t="shared" si="164"/>
        <v xml:space="preserve"> </v>
      </c>
      <c r="AR124" s="273"/>
      <c r="AS124" s="327" t="str">
        <f t="shared" ref="AS124:AS135" si="213">IF($A124="N/A"," ",IF(AND(AD124=$AJ$2+1,AK124=0),MIN($AR$135,W124),0))</f>
        <v xml:space="preserve"> </v>
      </c>
      <c r="AT124" s="322" t="str">
        <f t="shared" ref="AT124:AT135" si="214">IF($A124="N/A"," ",IF(AND(AE124=$AJ$2+1,AL124=0),MIN($AR$135,X124),0))</f>
        <v xml:space="preserve"> </v>
      </c>
      <c r="AU124" s="322" t="str">
        <f t="shared" ref="AU124:AU135" si="215">IF($A124="N/A"," ",IF(AND(AF124=$AJ$2+1,AM124=0),MIN($AR$135,Y124),0))</f>
        <v xml:space="preserve"> </v>
      </c>
      <c r="AV124" s="322" t="str">
        <f t="shared" ref="AV124:AV135" si="216">IF($A124="N/A"," ",IF(AND(AG124=$AJ$2+1,AN124=0),MIN($AR$135,Z124),0))</f>
        <v xml:space="preserve"> </v>
      </c>
      <c r="AW124" s="322" t="str">
        <f t="shared" ref="AW124:AW135" si="217">IF($A124="N/A"," ",IF(AND(AH124=$AJ$2+1,AO124=0),MIN($AR$135,AA124),0))</f>
        <v xml:space="preserve"> </v>
      </c>
      <c r="AX124" s="322" t="str">
        <f t="shared" ref="AX124:AX135" si="218">IF($A124="N/A"," ",IF(AND(AI124=$AJ$2+1,AP124=0),MIN($AR$135,AB124),0))</f>
        <v xml:space="preserve"> </v>
      </c>
      <c r="AY124" s="322" t="str">
        <f t="shared" ref="AY124:AY135" si="219">IF($A124="N/A"," ",IF(AND(AJ124=$AJ$2+1,AQ124=0),MIN($AR$135,AC124),0))</f>
        <v xml:space="preserve"> </v>
      </c>
      <c r="AZ124" s="273"/>
      <c r="BA124" s="267" t="str">
        <f>IF($A124="N/A"," ",(IF(MONTH(A124)&gt;=4,IF(MONTH(A124)&lt;=10,Inputs!$F$13,Inputs!$F$14),Inputs!$F$14))*$BW124)</f>
        <v xml:space="preserve"> </v>
      </c>
      <c r="BB124" s="268" t="str">
        <f t="shared" si="165"/>
        <v xml:space="preserve"> </v>
      </c>
      <c r="BC124" s="268" t="str">
        <f t="shared" si="166"/>
        <v xml:space="preserve"> </v>
      </c>
      <c r="BD124" s="268" t="str">
        <f t="shared" si="133"/>
        <v xml:space="preserve"> </v>
      </c>
      <c r="BE124" s="268" t="str">
        <f t="shared" si="134"/>
        <v xml:space="preserve"> </v>
      </c>
      <c r="BF124" s="268" t="str">
        <f t="shared" si="135"/>
        <v xml:space="preserve"> </v>
      </c>
      <c r="BG124" s="268" t="str">
        <f t="shared" si="136"/>
        <v xml:space="preserve"> </v>
      </c>
      <c r="BH124" s="268" t="str">
        <f t="shared" si="157"/>
        <v xml:space="preserve"> </v>
      </c>
      <c r="BI124" s="268" t="str">
        <f t="shared" si="137"/>
        <v xml:space="preserve"> </v>
      </c>
      <c r="BJ124" s="296" t="str">
        <f t="shared" si="138"/>
        <v xml:space="preserve"> </v>
      </c>
      <c r="BK124" s="296" t="str">
        <f t="shared" si="139"/>
        <v xml:space="preserve"> </v>
      </c>
      <c r="BL124" s="296" t="str">
        <f t="shared" si="140"/>
        <v xml:space="preserve"> </v>
      </c>
      <c r="BM124" s="296" t="str">
        <f t="shared" si="141"/>
        <v xml:space="preserve"> </v>
      </c>
      <c r="BN124" s="405" t="str">
        <f>IF(A124="N/A"," ",(VLOOKUP(A124,PowerVolTable,(IF('Pricing Inputs'!$AT$3=2,7,IF('Pricing Inputs'!$AT$3=1,6,8))),FALSE)))</f>
        <v xml:space="preserve"> </v>
      </c>
      <c r="BO124" s="405" t="str">
        <f>IF(A124="N/A"," ",(VLOOKUP(A124,IntraPowerVol,(IF('Pricing Inputs'!$AT$3=2,3,IF('Pricing Inputs'!$AT$3=1,2,4))),FALSE)*VLOOKUP(MONTH($A124),Inputs!$A$28:$B$39,2)))</f>
        <v xml:space="preserve"> </v>
      </c>
      <c r="BP124" s="406" t="str">
        <f t="shared" si="126"/>
        <v xml:space="preserve"> </v>
      </c>
      <c r="BQ124" s="405" t="str">
        <f>IF($A124="N/A"," ",(VLOOKUP($A124,GasVolTable,(IF('Pricing Inputs'!$AT$3=2,6,IF('Pricing Inputs'!$AT$3=1,7,5))),FALSE)))</f>
        <v xml:space="preserve"> </v>
      </c>
      <c r="BR124" s="405" t="str">
        <f>IF($A124="N/A"," ",(VLOOKUP($A124,OmicronVol,(IF('Pricing Inputs'!$AT$3=2,3,IF('Pricing Inputs'!$AT$3=1,4,2))),FALSE)))</f>
        <v xml:space="preserve"> </v>
      </c>
      <c r="BS124" s="406" t="str">
        <f>IF($A124="N/A"," ",IF('Pricing Inputs'!$AN$3=1,(IF(DateToday&gt;$A124,$BR124,((($BQ124^2)*((($A124-1)-DateToday)/((EOMONTH($A124,0)+1)-DateToday-15)))+((($BR124)^2)*((15)/((EOMONTH($A124,0)+1)-DateToday-15))))^0.5)),0.0001))</f>
        <v xml:space="preserve"> </v>
      </c>
      <c r="BT124" s="405" t="str">
        <f>IF($A124="N/A"," ",IF('Pricing Inputs'!$AN$3=1,(VLOOKUP($A124,CorrelationTable,2,FALSE)),0))</f>
        <v xml:space="preserve"> </v>
      </c>
      <c r="BU124" s="407" t="str">
        <f>IF($A124="N/A"," ",F124+G124+(D124*(VLOOKUP($A124,'Gas Curves'!$B$17:$P$310,14,FALSE))))</f>
        <v xml:space="preserve"> </v>
      </c>
      <c r="BV124" s="405" t="str">
        <f>IF($A124="N/A"," ",IF('Pricing Inputs'!$AW$3=1,0,(VLOOKUP($A124,InterestRatesTable,2))))</f>
        <v xml:space="preserve"> </v>
      </c>
      <c r="BW124" s="408" t="str">
        <f t="shared" si="127"/>
        <v xml:space="preserve"> </v>
      </c>
    </row>
    <row r="125" spans="1:75">
      <c r="A125" s="248" t="str">
        <f>IF(A124="N/A","N/A",IF(EDATE(A124,1)&gt;Inputs!$K$3,"N/A",EDATE(A124,1)))</f>
        <v>N/A</v>
      </c>
      <c r="B125" s="262" t="str">
        <f t="shared" si="128"/>
        <v xml:space="preserve"> </v>
      </c>
      <c r="C125" s="249" t="str">
        <f t="shared" si="129"/>
        <v xml:space="preserve"> </v>
      </c>
      <c r="D125" s="250" t="str">
        <f>IF(A125="N/A"," ",(VLOOKUP(MONTH($A125),Inputs!$A$14:$B$25,2))/1000)</f>
        <v xml:space="preserve"> </v>
      </c>
      <c r="E125" s="304" t="str">
        <f t="shared" si="130"/>
        <v xml:space="preserve"> </v>
      </c>
      <c r="F125" s="251" t="str">
        <f>IF(A125="N/A"," ",Inputs!$F$6)</f>
        <v xml:space="preserve"> </v>
      </c>
      <c r="G125" s="251" t="str">
        <f>IF(A125="N/A"," ",Inputs!$F$9/IF(AND('Pricing Inputs'!$AQ$3&gt;=4,'Pricing Inputs'!$AQ$3&lt;=6),16,IF(AND('Pricing Inputs'!$AQ$3&gt;=7,'Pricing Inputs'!$AQ$3&lt;=9),8,24))/(BA125/BW125))</f>
        <v xml:space="preserve"> </v>
      </c>
      <c r="H125" s="252" t="str">
        <f t="shared" si="131"/>
        <v xml:space="preserve"> </v>
      </c>
      <c r="I125" s="255" t="str">
        <f>VLOOKUP(A125,ScaledPrice,(IF(AND('Pricing Inputs'!$AQ$3&gt;=1,'Pricing Inputs'!$AQ$3&lt;=6),2,4)))</f>
        <v xml:space="preserve"> </v>
      </c>
      <c r="J125" s="255" t="str">
        <f>IF(A125="N/A"," ",IF(AND('Pricing Inputs'!$AQ$3&gt;=1,'Pricing Inputs'!$AQ$3&lt;=6),I125,(VLOOKUP(A125,ScaledPrice,2))*(2-(VLOOKUP(A125,ScaledPrice,3)))))</f>
        <v xml:space="preserve"> </v>
      </c>
      <c r="K125" s="255" t="str">
        <f>IF(A125="N/A"," ",IF(OR('Pricing Inputs'!$AQ$3=2,'Pricing Inputs'!$AQ$3=3,'Pricing Inputs'!$AQ$3=5,'Pricing Inputs'!$AQ$3=6,'Pricing Inputs'!$AQ$3=8,'Pricing Inputs'!$AQ$3=9),VLOOKUP(A125,ScaledPrice,IF(AND('Pricing Inputs'!$AQ$3&gt;=2,'Pricing Inputs'!$AQ$3&lt;=6),5,6)),0))</f>
        <v xml:space="preserve"> </v>
      </c>
      <c r="L125" s="255" t="str">
        <f>IF(A125="N/A"," ",IF(OR('Pricing Inputs'!$AQ$3=2,'Pricing Inputs'!$AQ$3=3,'Pricing Inputs'!$AQ$3=5,'Pricing Inputs'!$AQ$3=6,'Pricing Inputs'!$AQ$3=8,'Pricing Inputs'!$AQ$3=9),IF(AND('Pricing Inputs'!$AQ$3&gt;=2,'Pricing Inputs'!$AQ$3&lt;=6),K125,(VLOOKUP(A125,ScaledPrice,5))*(2-(VLOOKUP(A125,ScaledPrice,3)))),0))</f>
        <v xml:space="preserve"> </v>
      </c>
      <c r="M125" s="255" t="str">
        <f>IF(A125="N/A"," ",IF(OR('Pricing Inputs'!$AQ$3=3,'Pricing Inputs'!$AQ$3=6,'Pricing Inputs'!$AQ$3=9),(VLOOKUP(A125,ScaledPrice,IF(AND('Pricing Inputs'!$AQ$3&gt;=3,'Pricing Inputs'!$AQ$3&lt;=6),7,8))),0))</f>
        <v xml:space="preserve"> </v>
      </c>
      <c r="N125" s="255" t="str">
        <f>IF(A125="N/A"," ",IF(OR('Pricing Inputs'!$AQ$3=3,'Pricing Inputs'!$AQ$3=6,'Pricing Inputs'!$AQ$3=9),IF(AND('Pricing Inputs'!$AQ$3&gt;=3,'Pricing Inputs'!$AQ$3&lt;=6),M125,(VLOOKUP(A125,ScaledPrice,7))*(2-(VLOOKUP(A125,ScaledPrice,3)))),0))</f>
        <v xml:space="preserve"> </v>
      </c>
      <c r="O125" s="255" t="str">
        <f>IF(A125="N/A"," ",IF(AND('Pricing Inputs'!$AQ$3&gt;=1,'Pricing Inputs'!$AQ$3&lt;=3),VLOOKUP(A125,ScaledPrice,9),0))</f>
        <v xml:space="preserve"> </v>
      </c>
      <c r="P125" s="320" t="str">
        <f>IF($A125="N/A"," ",IF('Pricing Inputs'!$AN$8=2,(I125-H125),IF('Pricing Inputs'!$AN$3=2,IF((I125-$H125)&gt;0,I125-$H125,0),(_xll.xSPRDOPT(I125,$E125,$BU125,0,$BP125,$BS125,$BT125,($A125-Inputs!$D$1)+15,1,0)))))</f>
        <v xml:space="preserve"> </v>
      </c>
      <c r="Q125" s="320" t="str">
        <f>IF($A125="N/A"," ",IF('Pricing Inputs'!$AN$8=2,(J125-$H125),IF('Pricing Inputs'!$AN$3=2,IF((J125-$H125)&gt;0,J125-$H125,0),(_xll.xSPRDOPT(J125,$E125,$BU125,0,$BP125,$BS125,$BT125,($A125-Inputs!$D$1)+15,1,0)))))</f>
        <v xml:space="preserve"> </v>
      </c>
      <c r="R125" s="320" t="str">
        <f>IF($A125="N/A"," ",IF('Pricing Inputs'!$AN$8=2,(K125-$H125),IF('Pricing Inputs'!$AN$3=2,IF((K125-$H125)&gt;0,K125-$H125,0),(_xll.xSPRDOPT(K125,$E125,$BU125,0,$BP125,$BS125,$BT125,($A125-Inputs!$D$1)+15,1,0)))))</f>
        <v xml:space="preserve"> </v>
      </c>
      <c r="S125" s="320" t="str">
        <f>IF($A125="N/A"," ",IF('Pricing Inputs'!$AN$8=2,(L125-$H125),IF('Pricing Inputs'!$AN$3=2,IF((L125-$H125)&gt;0,L125-$H125,0),(_xll.xSPRDOPT(L125,$E125,$BU125,0,$BP125,$BS125,$BT125,($A125-Inputs!$D$1)+15,1,0)))))</f>
        <v xml:space="preserve"> </v>
      </c>
      <c r="T125" s="320" t="str">
        <f>IF($A125="N/A"," ",IF('Pricing Inputs'!$AN$8=2,(M125-$H125),IF('Pricing Inputs'!$AN$3=2,IF((M125-$H125)&gt;0,M125-$H125,0),(_xll.xSPRDOPT(M125,$E125,$BU125,0,$BP125,$BS125,$BT125,($A125-Inputs!$D$1)+15,1,0)))))</f>
        <v xml:space="preserve"> </v>
      </c>
      <c r="U125" s="320" t="str">
        <f>IF($A125="N/A"," ",IF('Pricing Inputs'!$AN$8=2,(N125-$H125),IF('Pricing Inputs'!$AN$3=2,IF((N125-$H125)&gt;0,N125-$H125,0),(_xll.xSPRDOPT(N125,$E125,$BU125,0,$BP125,$BS125,$BT125,($A125-Inputs!$D$1)+15,1,0)))))</f>
        <v xml:space="preserve"> </v>
      </c>
      <c r="V125" s="259" t="str">
        <f>IF($A125="N/A"," ",(IF('Pricing Inputs'!$AN$8=2,(O125-$H125),IF((O125-$H125)&lt;=0,0,(O125-$H125)))))</f>
        <v xml:space="preserve"> </v>
      </c>
      <c r="W125" s="306" t="str">
        <f>IF($A125="N/A"," ",IF(0&lt;&gt;P125,IF('Pricing Inputs'!$AN$3=2,8*VLOOKUP($A125,NumberofDaysTable,2),(_xll.xSPRDOPT(I125,$E125,$BU125,0,$BP125,$BS125,$BT125,$A125-Inputs!$D$1,1,1))*(8*VLOOKUP($A125,NumberofDaysTable,2))),0))</f>
        <v xml:space="preserve"> </v>
      </c>
      <c r="X125" s="306" t="str">
        <f>IF($A125="N/A"," ",IF(Q125&lt;&gt;0,IF('Pricing Inputs'!$AN$3=2,8*VLOOKUP($A125,NumberofDaysTable,2),(_xll.xSPRDOPT(J125,$E125,$BU125,0,$BP125,$BS125,$BT125,$A125-Inputs!$D$1,1,1))*(8*VLOOKUP($A125,NumberofDaysTable,2))),0))</f>
        <v xml:space="preserve"> </v>
      </c>
      <c r="Y125" s="306" t="str">
        <f>IF($A125="N/A"," ",IF(R125&lt;&gt;0,IF('Pricing Inputs'!$AN$3=2,8*VLOOKUP($A125,NumberofDaysTable,3),(_xll.xSPRDOPT(K125,$E125,$BU125,0,$BP125,$BS125,$BT125,$A125-Inputs!$D$1,1,1))*(8*VLOOKUP($A125,NumberofDaysTable,3))),0))</f>
        <v xml:space="preserve"> </v>
      </c>
      <c r="Z125" s="306" t="str">
        <f>IF($A125="N/A"," ",IF(S125&lt;&gt;0,IF('Pricing Inputs'!$AN$3=2,8*VLOOKUP($A125,NumberofDaysTable,3),(_xll.xSPRDOPT(L125,$E125,$BU125,0,$BP125,$BS125,$BT125,$A125-Inputs!$D$1,1,1))*(8*VLOOKUP($A125,NumberofDaysTable,3))),0))</f>
        <v xml:space="preserve"> </v>
      </c>
      <c r="AA125" s="306" t="str">
        <f>IF($A125="N/A"," ",IF(T125&lt;&gt;0,IF('Pricing Inputs'!$AN$3=2,8*VLOOKUP($A125,NumberofDaysTable,4),(_xll.xSPRDOPT(M125,$E125,$BU125,0,$BP125,$BS125,$BT125,$A125-Inputs!$D$1,1,1))*(8*VLOOKUP($A125,NumberofDaysTable,4))),0))</f>
        <v xml:space="preserve"> </v>
      </c>
      <c r="AB125" s="306" t="str">
        <f>IF($A125="N/A"," ",IF(U125&lt;&gt;0,IF('Pricing Inputs'!$AN$3=2,8*VLOOKUP($A125,NumberofDaysTable,4),(_xll.xSPRDOPT(N125,$E125,$BU125,0,$BP125,$BS125,$BT125,$A125-Inputs!$D$1,1,1))*(8*VLOOKUP($A125,NumberofDaysTable,4))),0))</f>
        <v xml:space="preserve"> </v>
      </c>
      <c r="AC125" s="306" t="str">
        <f t="shared" si="132"/>
        <v xml:space="preserve"> </v>
      </c>
      <c r="AD125" s="274" t="str">
        <f t="shared" ref="AD125:AD135" si="220">IF($A125="N/A"," ",RANK(P125,$P$124:$V$135))</f>
        <v xml:space="preserve"> </v>
      </c>
      <c r="AE125" s="275" t="str">
        <f t="shared" ref="AE125:AE135" si="221">IF($A125="N/A"," ",RANK(Q125,$P$124:$V$135))</f>
        <v xml:space="preserve"> </v>
      </c>
      <c r="AF125" s="275" t="str">
        <f t="shared" ref="AF125:AF135" si="222">IF($A125="N/A"," ",RANK(R125,$P$124:$V$135))</f>
        <v xml:space="preserve"> </v>
      </c>
      <c r="AG125" s="275" t="str">
        <f t="shared" ref="AG125:AG135" si="223">IF($A125="N/A"," ",RANK(S125,$P$124:$V$135))</f>
        <v xml:space="preserve"> </v>
      </c>
      <c r="AH125" s="275" t="str">
        <f t="shared" ref="AH125:AH135" si="224">IF($A125="N/A"," ",RANK(T125,$P$124:$V$135))</f>
        <v xml:space="preserve"> </v>
      </c>
      <c r="AI125" s="275" t="str">
        <f t="shared" ref="AI125:AI135" si="225">IF($A125="N/A"," ",RANK(U125,$P$124:$V$135))</f>
        <v xml:space="preserve"> </v>
      </c>
      <c r="AJ125" s="276" t="str">
        <f t="shared" ref="AJ125:AJ135" si="226">IF($A125="N/A"," ",RANK(V125,$P$124:$V$135))</f>
        <v xml:space="preserve"> </v>
      </c>
      <c r="AK125" s="314" t="str">
        <f t="shared" si="158"/>
        <v xml:space="preserve"> </v>
      </c>
      <c r="AL125" s="315" t="str">
        <f t="shared" si="159"/>
        <v xml:space="preserve"> </v>
      </c>
      <c r="AM125" s="315" t="str">
        <f t="shared" si="160"/>
        <v xml:space="preserve"> </v>
      </c>
      <c r="AN125" s="315" t="str">
        <f t="shared" si="161"/>
        <v xml:space="preserve"> </v>
      </c>
      <c r="AO125" s="315" t="str">
        <f t="shared" si="162"/>
        <v xml:space="preserve"> </v>
      </c>
      <c r="AP125" s="315" t="str">
        <f t="shared" si="163"/>
        <v xml:space="preserve"> </v>
      </c>
      <c r="AQ125" s="315" t="str">
        <f t="shared" si="164"/>
        <v xml:space="preserve"> </v>
      </c>
      <c r="AR125" s="276"/>
      <c r="AS125" s="321" t="str">
        <f t="shared" si="213"/>
        <v xml:space="preserve"> </v>
      </c>
      <c r="AT125" s="324" t="str">
        <f t="shared" si="214"/>
        <v xml:space="preserve"> </v>
      </c>
      <c r="AU125" s="324" t="str">
        <f t="shared" si="215"/>
        <v xml:space="preserve"> </v>
      </c>
      <c r="AV125" s="324" t="str">
        <f t="shared" si="216"/>
        <v xml:space="preserve"> </v>
      </c>
      <c r="AW125" s="324" t="str">
        <f t="shared" si="217"/>
        <v xml:space="preserve"> </v>
      </c>
      <c r="AX125" s="324" t="str">
        <f t="shared" si="218"/>
        <v xml:space="preserve"> </v>
      </c>
      <c r="AY125" s="324" t="str">
        <f t="shared" si="219"/>
        <v xml:space="preserve"> </v>
      </c>
      <c r="AZ125" s="276"/>
      <c r="BA125" s="267" t="str">
        <f>IF($A125="N/A"," ",(IF(MONTH(A125)&gt;=4,IF(MONTH(A125)&lt;=10,Inputs!$F$13,Inputs!$F$14),Inputs!$F$14))*$BW125)</f>
        <v xml:space="preserve"> </v>
      </c>
      <c r="BB125" s="268" t="str">
        <f t="shared" si="165"/>
        <v xml:space="preserve"> </v>
      </c>
      <c r="BC125" s="268" t="str">
        <f t="shared" si="166"/>
        <v xml:space="preserve"> </v>
      </c>
      <c r="BD125" s="268" t="str">
        <f t="shared" si="133"/>
        <v xml:space="preserve"> </v>
      </c>
      <c r="BE125" s="268" t="str">
        <f t="shared" si="134"/>
        <v xml:space="preserve"> </v>
      </c>
      <c r="BF125" s="268" t="str">
        <f t="shared" si="135"/>
        <v xml:space="preserve"> </v>
      </c>
      <c r="BG125" s="268" t="str">
        <f t="shared" si="136"/>
        <v xml:space="preserve"> </v>
      </c>
      <c r="BH125" s="268" t="str">
        <f t="shared" si="157"/>
        <v xml:space="preserve"> </v>
      </c>
      <c r="BI125" s="268" t="str">
        <f t="shared" si="137"/>
        <v xml:space="preserve"> </v>
      </c>
      <c r="BJ125" s="296" t="str">
        <f t="shared" si="138"/>
        <v xml:space="preserve"> </v>
      </c>
      <c r="BK125" s="296" t="str">
        <f t="shared" si="139"/>
        <v xml:space="preserve"> </v>
      </c>
      <c r="BL125" s="296" t="str">
        <f t="shared" si="140"/>
        <v xml:space="preserve"> </v>
      </c>
      <c r="BM125" s="296" t="str">
        <f t="shared" si="141"/>
        <v xml:space="preserve"> </v>
      </c>
      <c r="BN125" s="405" t="str">
        <f>IF(A125="N/A"," ",(VLOOKUP(A125,PowerVolTable,(IF('Pricing Inputs'!$AT$3=2,7,IF('Pricing Inputs'!$AT$3=1,6,8))),FALSE)))</f>
        <v xml:space="preserve"> </v>
      </c>
      <c r="BO125" s="405" t="str">
        <f>IF(A125="N/A"," ",(VLOOKUP(A125,IntraPowerVol,(IF('Pricing Inputs'!$AT$3=2,3,IF('Pricing Inputs'!$AT$3=1,2,4))),FALSE)*VLOOKUP(MONTH($A125),Inputs!$A$28:$B$39,2)))</f>
        <v xml:space="preserve"> </v>
      </c>
      <c r="BP125" s="406" t="str">
        <f t="shared" si="126"/>
        <v xml:space="preserve"> </v>
      </c>
      <c r="BQ125" s="405" t="str">
        <f>IF($A125="N/A"," ",(VLOOKUP($A125,GasVolTable,(IF('Pricing Inputs'!$AT$3=2,6,IF('Pricing Inputs'!$AT$3=1,7,5))),FALSE)))</f>
        <v xml:space="preserve"> </v>
      </c>
      <c r="BR125" s="405" t="str">
        <f>IF($A125="N/A"," ",(VLOOKUP($A125,OmicronVol,(IF('Pricing Inputs'!$AT$3=2,3,IF('Pricing Inputs'!$AT$3=1,4,2))),FALSE)))</f>
        <v xml:space="preserve"> </v>
      </c>
      <c r="BS125" s="406" t="str">
        <f>IF($A125="N/A"," ",IF('Pricing Inputs'!$AN$3=1,(IF(DateToday&gt;$A125,$BR125,((($BQ125^2)*((($A125-1)-DateToday)/((EOMONTH($A125,0)+1)-DateToday-15)))+((($BR125)^2)*((15)/((EOMONTH($A125,0)+1)-DateToday-15))))^0.5)),0.0001))</f>
        <v xml:space="preserve"> </v>
      </c>
      <c r="BT125" s="405" t="str">
        <f>IF($A125="N/A"," ",IF('Pricing Inputs'!$AN$3=1,(VLOOKUP($A125,CorrelationTable,2,FALSE)),0))</f>
        <v xml:space="preserve"> </v>
      </c>
      <c r="BU125" s="407" t="str">
        <f>IF($A125="N/A"," ",F125+G125+(D125*(VLOOKUP($A125,'Gas Curves'!$B$17:$P$310,14,FALSE))))</f>
        <v xml:space="preserve"> </v>
      </c>
      <c r="BV125" s="405" t="str">
        <f>IF($A125="N/A"," ",IF('Pricing Inputs'!$AW$3=1,0,(VLOOKUP($A125,InterestRatesTable,2))))</f>
        <v xml:space="preserve"> </v>
      </c>
      <c r="BW125" s="408" t="str">
        <f t="shared" si="127"/>
        <v xml:space="preserve"> </v>
      </c>
    </row>
    <row r="126" spans="1:75">
      <c r="A126" s="248" t="str">
        <f>IF(A125="N/A","N/A",IF(EDATE(A125,1)&gt;Inputs!$K$3,"N/A",EDATE(A125,1)))</f>
        <v>N/A</v>
      </c>
      <c r="B126" s="262" t="str">
        <f t="shared" si="128"/>
        <v xml:space="preserve"> </v>
      </c>
      <c r="C126" s="249" t="str">
        <f t="shared" si="129"/>
        <v xml:space="preserve"> </v>
      </c>
      <c r="D126" s="250" t="str">
        <f>IF(A126="N/A"," ",(VLOOKUP(MONTH($A126),Inputs!$A$14:$B$25,2))/1000)</f>
        <v xml:space="preserve"> </v>
      </c>
      <c r="E126" s="304" t="str">
        <f t="shared" si="130"/>
        <v xml:space="preserve"> </v>
      </c>
      <c r="F126" s="251" t="str">
        <f>IF(A126="N/A"," ",Inputs!$F$6)</f>
        <v xml:space="preserve"> </v>
      </c>
      <c r="G126" s="251" t="str">
        <f>IF(A126="N/A"," ",Inputs!$F$9/IF(AND('Pricing Inputs'!$AQ$3&gt;=4,'Pricing Inputs'!$AQ$3&lt;=6),16,IF(AND('Pricing Inputs'!$AQ$3&gt;=7,'Pricing Inputs'!$AQ$3&lt;=9),8,24))/(BA126/BW126))</f>
        <v xml:space="preserve"> </v>
      </c>
      <c r="H126" s="252" t="str">
        <f t="shared" si="131"/>
        <v xml:space="preserve"> </v>
      </c>
      <c r="I126" s="255" t="str">
        <f>VLOOKUP(A126,ScaledPrice,(IF(AND('Pricing Inputs'!$AQ$3&gt;=1,'Pricing Inputs'!$AQ$3&lt;=6),2,4)))</f>
        <v xml:space="preserve"> </v>
      </c>
      <c r="J126" s="255" t="str">
        <f>IF(A126="N/A"," ",IF(AND('Pricing Inputs'!$AQ$3&gt;=1,'Pricing Inputs'!$AQ$3&lt;=6),I126,(VLOOKUP(A126,ScaledPrice,2))*(2-(VLOOKUP(A126,ScaledPrice,3)))))</f>
        <v xml:space="preserve"> </v>
      </c>
      <c r="K126" s="255" t="str">
        <f>IF(A126="N/A"," ",IF(OR('Pricing Inputs'!$AQ$3=2,'Pricing Inputs'!$AQ$3=3,'Pricing Inputs'!$AQ$3=5,'Pricing Inputs'!$AQ$3=6,'Pricing Inputs'!$AQ$3=8,'Pricing Inputs'!$AQ$3=9),VLOOKUP(A126,ScaledPrice,IF(AND('Pricing Inputs'!$AQ$3&gt;=2,'Pricing Inputs'!$AQ$3&lt;=6),5,6)),0))</f>
        <v xml:space="preserve"> </v>
      </c>
      <c r="L126" s="255" t="str">
        <f>IF(A126="N/A"," ",IF(OR('Pricing Inputs'!$AQ$3=2,'Pricing Inputs'!$AQ$3=3,'Pricing Inputs'!$AQ$3=5,'Pricing Inputs'!$AQ$3=6,'Pricing Inputs'!$AQ$3=8,'Pricing Inputs'!$AQ$3=9),IF(AND('Pricing Inputs'!$AQ$3&gt;=2,'Pricing Inputs'!$AQ$3&lt;=6),K126,(VLOOKUP(A126,ScaledPrice,5))*(2-(VLOOKUP(A126,ScaledPrice,3)))),0))</f>
        <v xml:space="preserve"> </v>
      </c>
      <c r="M126" s="255" t="str">
        <f>IF(A126="N/A"," ",IF(OR('Pricing Inputs'!$AQ$3=3,'Pricing Inputs'!$AQ$3=6,'Pricing Inputs'!$AQ$3=9),(VLOOKUP(A126,ScaledPrice,IF(AND('Pricing Inputs'!$AQ$3&gt;=3,'Pricing Inputs'!$AQ$3&lt;=6),7,8))),0))</f>
        <v xml:space="preserve"> </v>
      </c>
      <c r="N126" s="255" t="str">
        <f>IF(A126="N/A"," ",IF(OR('Pricing Inputs'!$AQ$3=3,'Pricing Inputs'!$AQ$3=6,'Pricing Inputs'!$AQ$3=9),IF(AND('Pricing Inputs'!$AQ$3&gt;=3,'Pricing Inputs'!$AQ$3&lt;=6),M126,(VLOOKUP(A126,ScaledPrice,7))*(2-(VLOOKUP(A126,ScaledPrice,3)))),0))</f>
        <v xml:space="preserve"> </v>
      </c>
      <c r="O126" s="255" t="str">
        <f>IF(A126="N/A"," ",IF(AND('Pricing Inputs'!$AQ$3&gt;=1,'Pricing Inputs'!$AQ$3&lt;=3),VLOOKUP(A126,ScaledPrice,9),0))</f>
        <v xml:space="preserve"> </v>
      </c>
      <c r="P126" s="320" t="str">
        <f>IF($A126="N/A"," ",IF('Pricing Inputs'!$AN$8=2,(I126-H126),IF('Pricing Inputs'!$AN$3=2,IF((I126-$H126)&gt;0,I126-$H126,0),(_xll.xSPRDOPT(I126,$E126,$BU126,0,$BP126,$BS126,$BT126,($A126-Inputs!$D$1)+15,1,0)))))</f>
        <v xml:space="preserve"> </v>
      </c>
      <c r="Q126" s="320" t="str">
        <f>IF($A126="N/A"," ",IF('Pricing Inputs'!$AN$8=2,(J126-$H126),IF('Pricing Inputs'!$AN$3=2,IF((J126-$H126)&gt;0,J126-$H126,0),(_xll.xSPRDOPT(J126,$E126,$BU126,0,$BP126,$BS126,$BT126,($A126-Inputs!$D$1)+15,1,0)))))</f>
        <v xml:space="preserve"> </v>
      </c>
      <c r="R126" s="320" t="str">
        <f>IF($A126="N/A"," ",IF('Pricing Inputs'!$AN$8=2,(K126-$H126),IF('Pricing Inputs'!$AN$3=2,IF((K126-$H126)&gt;0,K126-$H126,0),(_xll.xSPRDOPT(K126,$E126,$BU126,0,$BP126,$BS126,$BT126,($A126-Inputs!$D$1)+15,1,0)))))</f>
        <v xml:space="preserve"> </v>
      </c>
      <c r="S126" s="320" t="str">
        <f>IF($A126="N/A"," ",IF('Pricing Inputs'!$AN$8=2,(L126-$H126),IF('Pricing Inputs'!$AN$3=2,IF((L126-$H126)&gt;0,L126-$H126,0),(_xll.xSPRDOPT(L126,$E126,$BU126,0,$BP126,$BS126,$BT126,($A126-Inputs!$D$1)+15,1,0)))))</f>
        <v xml:space="preserve"> </v>
      </c>
      <c r="T126" s="320" t="str">
        <f>IF($A126="N/A"," ",IF('Pricing Inputs'!$AN$8=2,(M126-$H126),IF('Pricing Inputs'!$AN$3=2,IF((M126-$H126)&gt;0,M126-$H126,0),(_xll.xSPRDOPT(M126,$E126,$BU126,0,$BP126,$BS126,$BT126,($A126-Inputs!$D$1)+15,1,0)))))</f>
        <v xml:space="preserve"> </v>
      </c>
      <c r="U126" s="320" t="str">
        <f>IF($A126="N/A"," ",IF('Pricing Inputs'!$AN$8=2,(N126-$H126),IF('Pricing Inputs'!$AN$3=2,IF((N126-$H126)&gt;0,N126-$H126,0),(_xll.xSPRDOPT(N126,$E126,$BU126,0,$BP126,$BS126,$BT126,($A126-Inputs!$D$1)+15,1,0)))))</f>
        <v xml:space="preserve"> </v>
      </c>
      <c r="V126" s="259" t="str">
        <f>IF($A126="N/A"," ",(IF('Pricing Inputs'!$AN$8=2,(O126-$H126),IF((O126-$H126)&lt;=0,0,(O126-$H126)))))</f>
        <v xml:space="preserve"> </v>
      </c>
      <c r="W126" s="306" t="str">
        <f>IF($A126="N/A"," ",IF(0&lt;&gt;P126,IF('Pricing Inputs'!$AN$3=2,8*VLOOKUP($A126,NumberofDaysTable,2),(_xll.xSPRDOPT(I126,$E126,$BU126,0,$BP126,$BS126,$BT126,$A126-Inputs!$D$1,1,1))*(8*VLOOKUP($A126,NumberofDaysTable,2))),0))</f>
        <v xml:space="preserve"> </v>
      </c>
      <c r="X126" s="306" t="str">
        <f>IF($A126="N/A"," ",IF(Q126&lt;&gt;0,IF('Pricing Inputs'!$AN$3=2,8*VLOOKUP($A126,NumberofDaysTable,2),(_xll.xSPRDOPT(J126,$E126,$BU126,0,$BP126,$BS126,$BT126,$A126-Inputs!$D$1,1,1))*(8*VLOOKUP($A126,NumberofDaysTable,2))),0))</f>
        <v xml:space="preserve"> </v>
      </c>
      <c r="Y126" s="306" t="str">
        <f>IF($A126="N/A"," ",IF(R126&lt;&gt;0,IF('Pricing Inputs'!$AN$3=2,8*VLOOKUP($A126,NumberofDaysTable,3),(_xll.xSPRDOPT(K126,$E126,$BU126,0,$BP126,$BS126,$BT126,$A126-Inputs!$D$1,1,1))*(8*VLOOKUP($A126,NumberofDaysTable,3))),0))</f>
        <v xml:space="preserve"> </v>
      </c>
      <c r="Z126" s="306" t="str">
        <f>IF($A126="N/A"," ",IF(S126&lt;&gt;0,IF('Pricing Inputs'!$AN$3=2,8*VLOOKUP($A126,NumberofDaysTable,3),(_xll.xSPRDOPT(L126,$E126,$BU126,0,$BP126,$BS126,$BT126,$A126-Inputs!$D$1,1,1))*(8*VLOOKUP($A126,NumberofDaysTable,3))),0))</f>
        <v xml:space="preserve"> </v>
      </c>
      <c r="AA126" s="306" t="str">
        <f>IF($A126="N/A"," ",IF(T126&lt;&gt;0,IF('Pricing Inputs'!$AN$3=2,8*VLOOKUP($A126,NumberofDaysTable,4),(_xll.xSPRDOPT(M126,$E126,$BU126,0,$BP126,$BS126,$BT126,$A126-Inputs!$D$1,1,1))*(8*VLOOKUP($A126,NumberofDaysTable,4))),0))</f>
        <v xml:space="preserve"> </v>
      </c>
      <c r="AB126" s="306" t="str">
        <f>IF($A126="N/A"," ",IF(U126&lt;&gt;0,IF('Pricing Inputs'!$AN$3=2,8*VLOOKUP($A126,NumberofDaysTable,4),(_xll.xSPRDOPT(N126,$E126,$BU126,0,$BP126,$BS126,$BT126,$A126-Inputs!$D$1,1,1))*(8*VLOOKUP($A126,NumberofDaysTable,4))),0))</f>
        <v xml:space="preserve"> </v>
      </c>
      <c r="AC126" s="306" t="str">
        <f t="shared" si="132"/>
        <v xml:space="preserve"> </v>
      </c>
      <c r="AD126" s="274" t="str">
        <f t="shared" si="220"/>
        <v xml:space="preserve"> </v>
      </c>
      <c r="AE126" s="275" t="str">
        <f t="shared" si="221"/>
        <v xml:space="preserve"> </v>
      </c>
      <c r="AF126" s="275" t="str">
        <f t="shared" si="222"/>
        <v xml:space="preserve"> </v>
      </c>
      <c r="AG126" s="275" t="str">
        <f t="shared" si="223"/>
        <v xml:space="preserve"> </v>
      </c>
      <c r="AH126" s="275" t="str">
        <f t="shared" si="224"/>
        <v xml:space="preserve"> </v>
      </c>
      <c r="AI126" s="275" t="str">
        <f t="shared" si="225"/>
        <v xml:space="preserve"> </v>
      </c>
      <c r="AJ126" s="276" t="str">
        <f t="shared" si="226"/>
        <v xml:space="preserve"> </v>
      </c>
      <c r="AK126" s="314" t="str">
        <f t="shared" si="158"/>
        <v xml:space="preserve"> </v>
      </c>
      <c r="AL126" s="315" t="str">
        <f t="shared" si="159"/>
        <v xml:space="preserve"> </v>
      </c>
      <c r="AM126" s="315" t="str">
        <f t="shared" si="160"/>
        <v xml:space="preserve"> </v>
      </c>
      <c r="AN126" s="315" t="str">
        <f t="shared" si="161"/>
        <v xml:space="preserve"> </v>
      </c>
      <c r="AO126" s="315" t="str">
        <f t="shared" si="162"/>
        <v xml:space="preserve"> </v>
      </c>
      <c r="AP126" s="315" t="str">
        <f t="shared" si="163"/>
        <v xml:space="preserve"> </v>
      </c>
      <c r="AQ126" s="315" t="str">
        <f t="shared" si="164"/>
        <v xml:space="preserve"> </v>
      </c>
      <c r="AR126" s="276"/>
      <c r="AS126" s="321" t="str">
        <f t="shared" si="213"/>
        <v xml:space="preserve"> </v>
      </c>
      <c r="AT126" s="324" t="str">
        <f t="shared" si="214"/>
        <v xml:space="preserve"> </v>
      </c>
      <c r="AU126" s="324" t="str">
        <f t="shared" si="215"/>
        <v xml:space="preserve"> </v>
      </c>
      <c r="AV126" s="324" t="str">
        <f t="shared" si="216"/>
        <v xml:space="preserve"> </v>
      </c>
      <c r="AW126" s="324" t="str">
        <f t="shared" si="217"/>
        <v xml:space="preserve"> </v>
      </c>
      <c r="AX126" s="324" t="str">
        <f t="shared" si="218"/>
        <v xml:space="preserve"> </v>
      </c>
      <c r="AY126" s="324" t="str">
        <f t="shared" si="219"/>
        <v xml:space="preserve"> </v>
      </c>
      <c r="AZ126" s="276"/>
      <c r="BA126" s="267" t="str">
        <f>IF($A126="N/A"," ",(IF(MONTH(A126)&gt;=4,IF(MONTH(A126)&lt;=10,Inputs!$F$13,Inputs!$F$14),Inputs!$F$14))*$BW126)</f>
        <v xml:space="preserve"> </v>
      </c>
      <c r="BB126" s="268" t="str">
        <f t="shared" si="165"/>
        <v xml:space="preserve"> </v>
      </c>
      <c r="BC126" s="268" t="str">
        <f t="shared" si="166"/>
        <v xml:space="preserve"> </v>
      </c>
      <c r="BD126" s="268" t="str">
        <f t="shared" si="133"/>
        <v xml:space="preserve"> </v>
      </c>
      <c r="BE126" s="268" t="str">
        <f t="shared" si="134"/>
        <v xml:space="preserve"> </v>
      </c>
      <c r="BF126" s="268" t="str">
        <f t="shared" si="135"/>
        <v xml:space="preserve"> </v>
      </c>
      <c r="BG126" s="268" t="str">
        <f t="shared" si="136"/>
        <v xml:space="preserve"> </v>
      </c>
      <c r="BH126" s="268" t="str">
        <f t="shared" si="157"/>
        <v xml:space="preserve"> </v>
      </c>
      <c r="BI126" s="268" t="str">
        <f t="shared" si="137"/>
        <v xml:space="preserve"> </v>
      </c>
      <c r="BJ126" s="296" t="str">
        <f t="shared" si="138"/>
        <v xml:space="preserve"> </v>
      </c>
      <c r="BK126" s="296" t="str">
        <f t="shared" si="139"/>
        <v xml:space="preserve"> </v>
      </c>
      <c r="BL126" s="296" t="str">
        <f t="shared" si="140"/>
        <v xml:space="preserve"> </v>
      </c>
      <c r="BM126" s="296" t="str">
        <f t="shared" si="141"/>
        <v xml:space="preserve"> </v>
      </c>
      <c r="BN126" s="405" t="str">
        <f>IF(A126="N/A"," ",(VLOOKUP(A126,PowerVolTable,(IF('Pricing Inputs'!$AT$3=2,7,IF('Pricing Inputs'!$AT$3=1,6,8))),FALSE)))</f>
        <v xml:space="preserve"> </v>
      </c>
      <c r="BO126" s="405" t="str">
        <f>IF(A126="N/A"," ",(VLOOKUP(A126,IntraPowerVol,(IF('Pricing Inputs'!$AT$3=2,3,IF('Pricing Inputs'!$AT$3=1,2,4))),FALSE)*VLOOKUP(MONTH($A126),Inputs!$A$28:$B$39,2)))</f>
        <v xml:space="preserve"> </v>
      </c>
      <c r="BP126" s="406" t="str">
        <f t="shared" si="126"/>
        <v xml:space="preserve"> </v>
      </c>
      <c r="BQ126" s="405" t="str">
        <f>IF($A126="N/A"," ",(VLOOKUP($A126,GasVolTable,(IF('Pricing Inputs'!$AT$3=2,6,IF('Pricing Inputs'!$AT$3=1,7,5))),FALSE)))</f>
        <v xml:space="preserve"> </v>
      </c>
      <c r="BR126" s="405" t="str">
        <f>IF($A126="N/A"," ",(VLOOKUP($A126,OmicronVol,(IF('Pricing Inputs'!$AT$3=2,3,IF('Pricing Inputs'!$AT$3=1,4,2))),FALSE)))</f>
        <v xml:space="preserve"> </v>
      </c>
      <c r="BS126" s="406" t="str">
        <f>IF($A126="N/A"," ",IF('Pricing Inputs'!$AN$3=1,(IF(DateToday&gt;$A126,$BR126,((($BQ126^2)*((($A126-1)-DateToday)/((EOMONTH($A126,0)+1)-DateToday-15)))+((($BR126)^2)*((15)/((EOMONTH($A126,0)+1)-DateToday-15))))^0.5)),0.0001))</f>
        <v xml:space="preserve"> </v>
      </c>
      <c r="BT126" s="405" t="str">
        <f>IF($A126="N/A"," ",IF('Pricing Inputs'!$AN$3=1,(VLOOKUP($A126,CorrelationTable,2,FALSE)),0))</f>
        <v xml:space="preserve"> </v>
      </c>
      <c r="BU126" s="407" t="str">
        <f>IF($A126="N/A"," ",F126+G126+(D126*(VLOOKUP($A126,'Gas Curves'!$B$17:$P$310,14,FALSE))))</f>
        <v xml:space="preserve"> </v>
      </c>
      <c r="BV126" s="405" t="str">
        <f>IF($A126="N/A"," ",IF('Pricing Inputs'!$AW$3=1,0,(VLOOKUP($A126,InterestRatesTable,2))))</f>
        <v xml:space="preserve"> </v>
      </c>
      <c r="BW126" s="408" t="str">
        <f t="shared" si="127"/>
        <v xml:space="preserve"> </v>
      </c>
    </row>
    <row r="127" spans="1:75">
      <c r="A127" s="248" t="str">
        <f>IF(A126="N/A","N/A",IF(EDATE(A126,1)&gt;Inputs!$K$3,"N/A",EDATE(A126,1)))</f>
        <v>N/A</v>
      </c>
      <c r="B127" s="262" t="str">
        <f t="shared" si="128"/>
        <v xml:space="preserve"> </v>
      </c>
      <c r="C127" s="249" t="str">
        <f t="shared" si="129"/>
        <v xml:space="preserve"> </v>
      </c>
      <c r="D127" s="250" t="str">
        <f>IF(A127="N/A"," ",(VLOOKUP(MONTH($A127),Inputs!$A$14:$B$25,2))/1000)</f>
        <v xml:space="preserve"> </v>
      </c>
      <c r="E127" s="304" t="str">
        <f t="shared" si="130"/>
        <v xml:space="preserve"> </v>
      </c>
      <c r="F127" s="251" t="str">
        <f>IF(A127="N/A"," ",Inputs!$F$6)</f>
        <v xml:space="preserve"> </v>
      </c>
      <c r="G127" s="251" t="str">
        <f>IF(A127="N/A"," ",Inputs!$F$9/IF(AND('Pricing Inputs'!$AQ$3&gt;=4,'Pricing Inputs'!$AQ$3&lt;=6),16,IF(AND('Pricing Inputs'!$AQ$3&gt;=7,'Pricing Inputs'!$AQ$3&lt;=9),8,24))/(BA127/BW127))</f>
        <v xml:space="preserve"> </v>
      </c>
      <c r="H127" s="252" t="str">
        <f t="shared" si="131"/>
        <v xml:space="preserve"> </v>
      </c>
      <c r="I127" s="255" t="str">
        <f>VLOOKUP(A127,ScaledPrice,(IF(AND('Pricing Inputs'!$AQ$3&gt;=1,'Pricing Inputs'!$AQ$3&lt;=6),2,4)))</f>
        <v xml:space="preserve"> </v>
      </c>
      <c r="J127" s="255" t="str">
        <f>IF(A127="N/A"," ",IF(AND('Pricing Inputs'!$AQ$3&gt;=1,'Pricing Inputs'!$AQ$3&lt;=6),I127,(VLOOKUP(A127,ScaledPrice,2))*(2-(VLOOKUP(A127,ScaledPrice,3)))))</f>
        <v xml:space="preserve"> </v>
      </c>
      <c r="K127" s="255" t="str">
        <f>IF(A127="N/A"," ",IF(OR('Pricing Inputs'!$AQ$3=2,'Pricing Inputs'!$AQ$3=3,'Pricing Inputs'!$AQ$3=5,'Pricing Inputs'!$AQ$3=6,'Pricing Inputs'!$AQ$3=8,'Pricing Inputs'!$AQ$3=9),VLOOKUP(A127,ScaledPrice,IF(AND('Pricing Inputs'!$AQ$3&gt;=2,'Pricing Inputs'!$AQ$3&lt;=6),5,6)),0))</f>
        <v xml:space="preserve"> </v>
      </c>
      <c r="L127" s="255" t="str">
        <f>IF(A127="N/A"," ",IF(OR('Pricing Inputs'!$AQ$3=2,'Pricing Inputs'!$AQ$3=3,'Pricing Inputs'!$AQ$3=5,'Pricing Inputs'!$AQ$3=6,'Pricing Inputs'!$AQ$3=8,'Pricing Inputs'!$AQ$3=9),IF(AND('Pricing Inputs'!$AQ$3&gt;=2,'Pricing Inputs'!$AQ$3&lt;=6),K127,(VLOOKUP(A127,ScaledPrice,5))*(2-(VLOOKUP(A127,ScaledPrice,3)))),0))</f>
        <v xml:space="preserve"> </v>
      </c>
      <c r="M127" s="255" t="str">
        <f>IF(A127="N/A"," ",IF(OR('Pricing Inputs'!$AQ$3=3,'Pricing Inputs'!$AQ$3=6,'Pricing Inputs'!$AQ$3=9),(VLOOKUP(A127,ScaledPrice,IF(AND('Pricing Inputs'!$AQ$3&gt;=3,'Pricing Inputs'!$AQ$3&lt;=6),7,8))),0))</f>
        <v xml:space="preserve"> </v>
      </c>
      <c r="N127" s="255" t="str">
        <f>IF(A127="N/A"," ",IF(OR('Pricing Inputs'!$AQ$3=3,'Pricing Inputs'!$AQ$3=6,'Pricing Inputs'!$AQ$3=9),IF(AND('Pricing Inputs'!$AQ$3&gt;=3,'Pricing Inputs'!$AQ$3&lt;=6),M127,(VLOOKUP(A127,ScaledPrice,7))*(2-(VLOOKUP(A127,ScaledPrice,3)))),0))</f>
        <v xml:space="preserve"> </v>
      </c>
      <c r="O127" s="255" t="str">
        <f>IF(A127="N/A"," ",IF(AND('Pricing Inputs'!$AQ$3&gt;=1,'Pricing Inputs'!$AQ$3&lt;=3),VLOOKUP(A127,ScaledPrice,9),0))</f>
        <v xml:space="preserve"> </v>
      </c>
      <c r="P127" s="320" t="str">
        <f>IF($A127="N/A"," ",IF('Pricing Inputs'!$AN$8=2,(I127-H127),IF('Pricing Inputs'!$AN$3=2,IF((I127-$H127)&gt;0,I127-$H127,0),(_xll.xSPRDOPT(I127,$E127,$BU127,0,$BP127,$BS127,$BT127,($A127-Inputs!$D$1)+15,1,0)))))</f>
        <v xml:space="preserve"> </v>
      </c>
      <c r="Q127" s="320" t="str">
        <f>IF($A127="N/A"," ",IF('Pricing Inputs'!$AN$8=2,(J127-$H127),IF('Pricing Inputs'!$AN$3=2,IF((J127-$H127)&gt;0,J127-$H127,0),(_xll.xSPRDOPT(J127,$E127,$BU127,0,$BP127,$BS127,$BT127,($A127-Inputs!$D$1)+15,1,0)))))</f>
        <v xml:space="preserve"> </v>
      </c>
      <c r="R127" s="320" t="str">
        <f>IF($A127="N/A"," ",IF('Pricing Inputs'!$AN$8=2,(K127-$H127),IF('Pricing Inputs'!$AN$3=2,IF((K127-$H127)&gt;0,K127-$H127,0),(_xll.xSPRDOPT(K127,$E127,$BU127,0,$BP127,$BS127,$BT127,($A127-Inputs!$D$1)+15,1,0)))))</f>
        <v xml:space="preserve"> </v>
      </c>
      <c r="S127" s="320" t="str">
        <f>IF($A127="N/A"," ",IF('Pricing Inputs'!$AN$8=2,(L127-$H127),IF('Pricing Inputs'!$AN$3=2,IF((L127-$H127)&gt;0,L127-$H127,0),(_xll.xSPRDOPT(L127,$E127,$BU127,0,$BP127,$BS127,$BT127,($A127-Inputs!$D$1)+15,1,0)))))</f>
        <v xml:space="preserve"> </v>
      </c>
      <c r="T127" s="320" t="str">
        <f>IF($A127="N/A"," ",IF('Pricing Inputs'!$AN$8=2,(M127-$H127),IF('Pricing Inputs'!$AN$3=2,IF((M127-$H127)&gt;0,M127-$H127,0),(_xll.xSPRDOPT(M127,$E127,$BU127,0,$BP127,$BS127,$BT127,($A127-Inputs!$D$1)+15,1,0)))))</f>
        <v xml:space="preserve"> </v>
      </c>
      <c r="U127" s="320" t="str">
        <f>IF($A127="N/A"," ",IF('Pricing Inputs'!$AN$8=2,(N127-$H127),IF('Pricing Inputs'!$AN$3=2,IF((N127-$H127)&gt;0,N127-$H127,0),(_xll.xSPRDOPT(N127,$E127,$BU127,0,$BP127,$BS127,$BT127,($A127-Inputs!$D$1)+15,1,0)))))</f>
        <v xml:space="preserve"> </v>
      </c>
      <c r="V127" s="259" t="str">
        <f>IF($A127="N/A"," ",(IF('Pricing Inputs'!$AN$8=2,(O127-$H127),IF((O127-$H127)&lt;=0,0,(O127-$H127)))))</f>
        <v xml:space="preserve"> </v>
      </c>
      <c r="W127" s="306" t="str">
        <f>IF($A127="N/A"," ",IF(0&lt;&gt;P127,IF('Pricing Inputs'!$AN$3=2,8*VLOOKUP($A127,NumberofDaysTable,2),(_xll.xSPRDOPT(I127,$E127,$BU127,0,$BP127,$BS127,$BT127,$A127-Inputs!$D$1,1,1))*(8*VLOOKUP($A127,NumberofDaysTable,2))),0))</f>
        <v xml:space="preserve"> </v>
      </c>
      <c r="X127" s="306" t="str">
        <f>IF($A127="N/A"," ",IF(Q127&lt;&gt;0,IF('Pricing Inputs'!$AN$3=2,8*VLOOKUP($A127,NumberofDaysTable,2),(_xll.xSPRDOPT(J127,$E127,$BU127,0,$BP127,$BS127,$BT127,$A127-Inputs!$D$1,1,1))*(8*VLOOKUP($A127,NumberofDaysTable,2))),0))</f>
        <v xml:space="preserve"> </v>
      </c>
      <c r="Y127" s="306" t="str">
        <f>IF($A127="N/A"," ",IF(R127&lt;&gt;0,IF('Pricing Inputs'!$AN$3=2,8*VLOOKUP($A127,NumberofDaysTable,3),(_xll.xSPRDOPT(K127,$E127,$BU127,0,$BP127,$BS127,$BT127,$A127-Inputs!$D$1,1,1))*(8*VLOOKUP($A127,NumberofDaysTable,3))),0))</f>
        <v xml:space="preserve"> </v>
      </c>
      <c r="Z127" s="306" t="str">
        <f>IF($A127="N/A"," ",IF(S127&lt;&gt;0,IF('Pricing Inputs'!$AN$3=2,8*VLOOKUP($A127,NumberofDaysTable,3),(_xll.xSPRDOPT(L127,$E127,$BU127,0,$BP127,$BS127,$BT127,$A127-Inputs!$D$1,1,1))*(8*VLOOKUP($A127,NumberofDaysTable,3))),0))</f>
        <v xml:space="preserve"> </v>
      </c>
      <c r="AA127" s="306" t="str">
        <f>IF($A127="N/A"," ",IF(T127&lt;&gt;0,IF('Pricing Inputs'!$AN$3=2,8*VLOOKUP($A127,NumberofDaysTable,4),(_xll.xSPRDOPT(M127,$E127,$BU127,0,$BP127,$BS127,$BT127,$A127-Inputs!$D$1,1,1))*(8*VLOOKUP($A127,NumberofDaysTable,4))),0))</f>
        <v xml:space="preserve"> </v>
      </c>
      <c r="AB127" s="306" t="str">
        <f>IF($A127="N/A"," ",IF(U127&lt;&gt;0,IF('Pricing Inputs'!$AN$3=2,8*VLOOKUP($A127,NumberofDaysTable,4),(_xll.xSPRDOPT(N127,$E127,$BU127,0,$BP127,$BS127,$BT127,$A127-Inputs!$D$1,1,1))*(8*VLOOKUP($A127,NumberofDaysTable,4))),0))</f>
        <v xml:space="preserve"> </v>
      </c>
      <c r="AC127" s="306" t="str">
        <f t="shared" si="132"/>
        <v xml:space="preserve"> </v>
      </c>
      <c r="AD127" s="274" t="str">
        <f t="shared" si="220"/>
        <v xml:space="preserve"> </v>
      </c>
      <c r="AE127" s="275" t="str">
        <f t="shared" si="221"/>
        <v xml:space="preserve"> </v>
      </c>
      <c r="AF127" s="275" t="str">
        <f t="shared" si="222"/>
        <v xml:space="preserve"> </v>
      </c>
      <c r="AG127" s="275" t="str">
        <f t="shared" si="223"/>
        <v xml:space="preserve"> </v>
      </c>
      <c r="AH127" s="275" t="str">
        <f t="shared" si="224"/>
        <v xml:space="preserve"> </v>
      </c>
      <c r="AI127" s="275" t="str">
        <f t="shared" si="225"/>
        <v xml:space="preserve"> </v>
      </c>
      <c r="AJ127" s="276" t="str">
        <f t="shared" si="226"/>
        <v xml:space="preserve"> </v>
      </c>
      <c r="AK127" s="314" t="str">
        <f t="shared" si="158"/>
        <v xml:space="preserve"> </v>
      </c>
      <c r="AL127" s="315" t="str">
        <f t="shared" si="159"/>
        <v xml:space="preserve"> </v>
      </c>
      <c r="AM127" s="315" t="str">
        <f t="shared" si="160"/>
        <v xml:space="preserve"> </v>
      </c>
      <c r="AN127" s="315" t="str">
        <f t="shared" si="161"/>
        <v xml:space="preserve"> </v>
      </c>
      <c r="AO127" s="315" t="str">
        <f t="shared" si="162"/>
        <v xml:space="preserve"> </v>
      </c>
      <c r="AP127" s="315" t="str">
        <f t="shared" si="163"/>
        <v xml:space="preserve"> </v>
      </c>
      <c r="AQ127" s="315" t="str">
        <f t="shared" si="164"/>
        <v xml:space="preserve"> </v>
      </c>
      <c r="AR127" s="276"/>
      <c r="AS127" s="321" t="str">
        <f t="shared" si="213"/>
        <v xml:space="preserve"> </v>
      </c>
      <c r="AT127" s="324" t="str">
        <f t="shared" si="214"/>
        <v xml:space="preserve"> </v>
      </c>
      <c r="AU127" s="324" t="str">
        <f t="shared" si="215"/>
        <v xml:space="preserve"> </v>
      </c>
      <c r="AV127" s="324" t="str">
        <f t="shared" si="216"/>
        <v xml:space="preserve"> </v>
      </c>
      <c r="AW127" s="324" t="str">
        <f t="shared" si="217"/>
        <v xml:space="preserve"> </v>
      </c>
      <c r="AX127" s="324" t="str">
        <f t="shared" si="218"/>
        <v xml:space="preserve"> </v>
      </c>
      <c r="AY127" s="324" t="str">
        <f t="shared" si="219"/>
        <v xml:space="preserve"> </v>
      </c>
      <c r="AZ127" s="276"/>
      <c r="BA127" s="267" t="str">
        <f>IF($A127="N/A"," ",(IF(MONTH(A127)&gt;=4,IF(MONTH(A127)&lt;=10,Inputs!$F$13,Inputs!$F$14),Inputs!$F$14))*$BW127)</f>
        <v xml:space="preserve"> </v>
      </c>
      <c r="BB127" s="268" t="str">
        <f t="shared" si="165"/>
        <v xml:space="preserve"> </v>
      </c>
      <c r="BC127" s="268" t="str">
        <f t="shared" si="166"/>
        <v xml:space="preserve"> </v>
      </c>
      <c r="BD127" s="268" t="str">
        <f t="shared" si="133"/>
        <v xml:space="preserve"> </v>
      </c>
      <c r="BE127" s="268" t="str">
        <f t="shared" si="134"/>
        <v xml:space="preserve"> </v>
      </c>
      <c r="BF127" s="268" t="str">
        <f t="shared" si="135"/>
        <v xml:space="preserve"> </v>
      </c>
      <c r="BG127" s="268" t="str">
        <f t="shared" si="136"/>
        <v xml:space="preserve"> </v>
      </c>
      <c r="BH127" s="268" t="str">
        <f t="shared" si="157"/>
        <v xml:space="preserve"> </v>
      </c>
      <c r="BI127" s="268" t="str">
        <f t="shared" si="137"/>
        <v xml:space="preserve"> </v>
      </c>
      <c r="BJ127" s="296" t="str">
        <f t="shared" si="138"/>
        <v xml:space="preserve"> </v>
      </c>
      <c r="BK127" s="296" t="str">
        <f t="shared" si="139"/>
        <v xml:space="preserve"> </v>
      </c>
      <c r="BL127" s="296" t="str">
        <f t="shared" si="140"/>
        <v xml:space="preserve"> </v>
      </c>
      <c r="BM127" s="296" t="str">
        <f t="shared" si="141"/>
        <v xml:space="preserve"> </v>
      </c>
      <c r="BN127" s="405" t="str">
        <f>IF(A127="N/A"," ",(VLOOKUP(A127,PowerVolTable,(IF('Pricing Inputs'!$AT$3=2,7,IF('Pricing Inputs'!$AT$3=1,6,8))),FALSE)))</f>
        <v xml:space="preserve"> </v>
      </c>
      <c r="BO127" s="405" t="str">
        <f>IF(A127="N/A"," ",(VLOOKUP(A127,IntraPowerVol,(IF('Pricing Inputs'!$AT$3=2,3,IF('Pricing Inputs'!$AT$3=1,2,4))),FALSE)*VLOOKUP(MONTH($A127),Inputs!$A$28:$B$39,2)))</f>
        <v xml:space="preserve"> </v>
      </c>
      <c r="BP127" s="406" t="str">
        <f t="shared" si="126"/>
        <v xml:space="preserve"> </v>
      </c>
      <c r="BQ127" s="405" t="str">
        <f>IF($A127="N/A"," ",(VLOOKUP($A127,GasVolTable,(IF('Pricing Inputs'!$AT$3=2,6,IF('Pricing Inputs'!$AT$3=1,7,5))),FALSE)))</f>
        <v xml:space="preserve"> </v>
      </c>
      <c r="BR127" s="405" t="str">
        <f>IF($A127="N/A"," ",(VLOOKUP($A127,OmicronVol,(IF('Pricing Inputs'!$AT$3=2,3,IF('Pricing Inputs'!$AT$3=1,4,2))),FALSE)))</f>
        <v xml:space="preserve"> </v>
      </c>
      <c r="BS127" s="406" t="str">
        <f>IF($A127="N/A"," ",IF('Pricing Inputs'!$AN$3=1,(IF(DateToday&gt;$A127,$BR127,((($BQ127^2)*((($A127-1)-DateToday)/((EOMONTH($A127,0)+1)-DateToday-15)))+((($BR127)^2)*((15)/((EOMONTH($A127,0)+1)-DateToday-15))))^0.5)),0.0001))</f>
        <v xml:space="preserve"> </v>
      </c>
      <c r="BT127" s="405" t="str">
        <f>IF($A127="N/A"," ",IF('Pricing Inputs'!$AN$3=1,(VLOOKUP($A127,CorrelationTable,2,FALSE)),0))</f>
        <v xml:space="preserve"> </v>
      </c>
      <c r="BU127" s="407" t="str">
        <f>IF($A127="N/A"," ",F127+G127+(D127*(VLOOKUP($A127,'Gas Curves'!$B$17:$P$310,14,FALSE))))</f>
        <v xml:space="preserve"> </v>
      </c>
      <c r="BV127" s="405" t="str">
        <f>IF($A127="N/A"," ",IF('Pricing Inputs'!$AW$3=1,0,(VLOOKUP($A127,InterestRatesTable,2))))</f>
        <v xml:space="preserve"> </v>
      </c>
      <c r="BW127" s="408" t="str">
        <f t="shared" si="127"/>
        <v xml:space="preserve"> </v>
      </c>
    </row>
    <row r="128" spans="1:75">
      <c r="A128" s="248" t="str">
        <f>IF(A127="N/A","N/A",IF(EDATE(A127,1)&gt;Inputs!$K$3,"N/A",EDATE(A127,1)))</f>
        <v>N/A</v>
      </c>
      <c r="B128" s="262" t="str">
        <f t="shared" si="128"/>
        <v xml:space="preserve"> </v>
      </c>
      <c r="C128" s="249" t="str">
        <f t="shared" si="129"/>
        <v xml:space="preserve"> </v>
      </c>
      <c r="D128" s="250" t="str">
        <f>IF(A128="N/A"," ",(VLOOKUP(MONTH($A128),Inputs!$A$14:$B$25,2))/1000)</f>
        <v xml:space="preserve"> </v>
      </c>
      <c r="E128" s="304" t="str">
        <f t="shared" si="130"/>
        <v xml:space="preserve"> </v>
      </c>
      <c r="F128" s="251" t="str">
        <f>IF(A128="N/A"," ",Inputs!$F$6)</f>
        <v xml:space="preserve"> </v>
      </c>
      <c r="G128" s="251" t="str">
        <f>IF(A128="N/A"," ",Inputs!$F$9/IF(AND('Pricing Inputs'!$AQ$3&gt;=4,'Pricing Inputs'!$AQ$3&lt;=6),16,IF(AND('Pricing Inputs'!$AQ$3&gt;=7,'Pricing Inputs'!$AQ$3&lt;=9),8,24))/(BA128/BW128))</f>
        <v xml:space="preserve"> </v>
      </c>
      <c r="H128" s="252" t="str">
        <f t="shared" si="131"/>
        <v xml:space="preserve"> </v>
      </c>
      <c r="I128" s="255" t="str">
        <f>VLOOKUP(A128,ScaledPrice,(IF(AND('Pricing Inputs'!$AQ$3&gt;=1,'Pricing Inputs'!$AQ$3&lt;=6),2,4)))</f>
        <v xml:space="preserve"> </v>
      </c>
      <c r="J128" s="255" t="str">
        <f>IF(A128="N/A"," ",IF(AND('Pricing Inputs'!$AQ$3&gt;=1,'Pricing Inputs'!$AQ$3&lt;=6),I128,(VLOOKUP(A128,ScaledPrice,2))*(2-(VLOOKUP(A128,ScaledPrice,3)))))</f>
        <v xml:space="preserve"> </v>
      </c>
      <c r="K128" s="255" t="str">
        <f>IF(A128="N/A"," ",IF(OR('Pricing Inputs'!$AQ$3=2,'Pricing Inputs'!$AQ$3=3,'Pricing Inputs'!$AQ$3=5,'Pricing Inputs'!$AQ$3=6,'Pricing Inputs'!$AQ$3=8,'Pricing Inputs'!$AQ$3=9),VLOOKUP(A128,ScaledPrice,IF(AND('Pricing Inputs'!$AQ$3&gt;=2,'Pricing Inputs'!$AQ$3&lt;=6),5,6)),0))</f>
        <v xml:space="preserve"> </v>
      </c>
      <c r="L128" s="255" t="str">
        <f>IF(A128="N/A"," ",IF(OR('Pricing Inputs'!$AQ$3=2,'Pricing Inputs'!$AQ$3=3,'Pricing Inputs'!$AQ$3=5,'Pricing Inputs'!$AQ$3=6,'Pricing Inputs'!$AQ$3=8,'Pricing Inputs'!$AQ$3=9),IF(AND('Pricing Inputs'!$AQ$3&gt;=2,'Pricing Inputs'!$AQ$3&lt;=6),K128,(VLOOKUP(A128,ScaledPrice,5))*(2-(VLOOKUP(A128,ScaledPrice,3)))),0))</f>
        <v xml:space="preserve"> </v>
      </c>
      <c r="M128" s="255" t="str">
        <f>IF(A128="N/A"," ",IF(OR('Pricing Inputs'!$AQ$3=3,'Pricing Inputs'!$AQ$3=6,'Pricing Inputs'!$AQ$3=9),(VLOOKUP(A128,ScaledPrice,IF(AND('Pricing Inputs'!$AQ$3&gt;=3,'Pricing Inputs'!$AQ$3&lt;=6),7,8))),0))</f>
        <v xml:space="preserve"> </v>
      </c>
      <c r="N128" s="255" t="str">
        <f>IF(A128="N/A"," ",IF(OR('Pricing Inputs'!$AQ$3=3,'Pricing Inputs'!$AQ$3=6,'Pricing Inputs'!$AQ$3=9),IF(AND('Pricing Inputs'!$AQ$3&gt;=3,'Pricing Inputs'!$AQ$3&lt;=6),M128,(VLOOKUP(A128,ScaledPrice,7))*(2-(VLOOKUP(A128,ScaledPrice,3)))),0))</f>
        <v xml:space="preserve"> </v>
      </c>
      <c r="O128" s="255" t="str">
        <f>IF(A128="N/A"," ",IF(AND('Pricing Inputs'!$AQ$3&gt;=1,'Pricing Inputs'!$AQ$3&lt;=3),VLOOKUP(A128,ScaledPrice,9),0))</f>
        <v xml:space="preserve"> </v>
      </c>
      <c r="P128" s="320" t="str">
        <f>IF($A128="N/A"," ",IF('Pricing Inputs'!$AN$8=2,(I128-H128),IF('Pricing Inputs'!$AN$3=2,IF((I128-$H128)&gt;0,I128-$H128,0),(_xll.xSPRDOPT(I128,$E128,$BU128,0,$BP128,$BS128,$BT128,($A128-Inputs!$D$1)+15,1,0)))))</f>
        <v xml:space="preserve"> </v>
      </c>
      <c r="Q128" s="320" t="str">
        <f>IF($A128="N/A"," ",IF('Pricing Inputs'!$AN$8=2,(J128-$H128),IF('Pricing Inputs'!$AN$3=2,IF((J128-$H128)&gt;0,J128-$H128,0),(_xll.xSPRDOPT(J128,$E128,$BU128,0,$BP128,$BS128,$BT128,($A128-Inputs!$D$1)+15,1,0)))))</f>
        <v xml:space="preserve"> </v>
      </c>
      <c r="R128" s="320" t="str">
        <f>IF($A128="N/A"," ",IF('Pricing Inputs'!$AN$8=2,(K128-$H128),IF('Pricing Inputs'!$AN$3=2,IF((K128-$H128)&gt;0,K128-$H128,0),(_xll.xSPRDOPT(K128,$E128,$BU128,0,$BP128,$BS128,$BT128,($A128-Inputs!$D$1)+15,1,0)))))</f>
        <v xml:space="preserve"> </v>
      </c>
      <c r="S128" s="320" t="str">
        <f>IF($A128="N/A"," ",IF('Pricing Inputs'!$AN$8=2,(L128-$H128),IF('Pricing Inputs'!$AN$3=2,IF((L128-$H128)&gt;0,L128-$H128,0),(_xll.xSPRDOPT(L128,$E128,$BU128,0,$BP128,$BS128,$BT128,($A128-Inputs!$D$1)+15,1,0)))))</f>
        <v xml:space="preserve"> </v>
      </c>
      <c r="T128" s="320" t="str">
        <f>IF($A128="N/A"," ",IF('Pricing Inputs'!$AN$8=2,(M128-$H128),IF('Pricing Inputs'!$AN$3=2,IF((M128-$H128)&gt;0,M128-$H128,0),(_xll.xSPRDOPT(M128,$E128,$BU128,0,$BP128,$BS128,$BT128,($A128-Inputs!$D$1)+15,1,0)))))</f>
        <v xml:space="preserve"> </v>
      </c>
      <c r="U128" s="320" t="str">
        <f>IF($A128="N/A"," ",IF('Pricing Inputs'!$AN$8=2,(N128-$H128),IF('Pricing Inputs'!$AN$3=2,IF((N128-$H128)&gt;0,N128-$H128,0),(_xll.xSPRDOPT(N128,$E128,$BU128,0,$BP128,$BS128,$BT128,($A128-Inputs!$D$1)+15,1,0)))))</f>
        <v xml:space="preserve"> </v>
      </c>
      <c r="V128" s="259" t="str">
        <f>IF($A128="N/A"," ",(IF('Pricing Inputs'!$AN$8=2,(O128-$H128),IF((O128-$H128)&lt;=0,0,(O128-$H128)))))</f>
        <v xml:space="preserve"> </v>
      </c>
      <c r="W128" s="306" t="str">
        <f>IF($A128="N/A"," ",IF(0&lt;&gt;P128,IF('Pricing Inputs'!$AN$3=2,8*VLOOKUP($A128,NumberofDaysTable,2),(_xll.xSPRDOPT(I128,$E128,$BU128,0,$BP128,$BS128,$BT128,$A128-Inputs!$D$1,1,1))*(8*VLOOKUP($A128,NumberofDaysTable,2))),0))</f>
        <v xml:space="preserve"> </v>
      </c>
      <c r="X128" s="306" t="str">
        <f>IF($A128="N/A"," ",IF(Q128&lt;&gt;0,IF('Pricing Inputs'!$AN$3=2,8*VLOOKUP($A128,NumberofDaysTable,2),(_xll.xSPRDOPT(J128,$E128,$BU128,0,$BP128,$BS128,$BT128,$A128-Inputs!$D$1,1,1))*(8*VLOOKUP($A128,NumberofDaysTable,2))),0))</f>
        <v xml:space="preserve"> </v>
      </c>
      <c r="Y128" s="306" t="str">
        <f>IF($A128="N/A"," ",IF(R128&lt;&gt;0,IF('Pricing Inputs'!$AN$3=2,8*VLOOKUP($A128,NumberofDaysTable,3),(_xll.xSPRDOPT(K128,$E128,$BU128,0,$BP128,$BS128,$BT128,$A128-Inputs!$D$1,1,1))*(8*VLOOKUP($A128,NumberofDaysTable,3))),0))</f>
        <v xml:space="preserve"> </v>
      </c>
      <c r="Z128" s="306" t="str">
        <f>IF($A128="N/A"," ",IF(S128&lt;&gt;0,IF('Pricing Inputs'!$AN$3=2,8*VLOOKUP($A128,NumberofDaysTable,3),(_xll.xSPRDOPT(L128,$E128,$BU128,0,$BP128,$BS128,$BT128,$A128-Inputs!$D$1,1,1))*(8*VLOOKUP($A128,NumberofDaysTable,3))),0))</f>
        <v xml:space="preserve"> </v>
      </c>
      <c r="AA128" s="306" t="str">
        <f>IF($A128="N/A"," ",IF(T128&lt;&gt;0,IF('Pricing Inputs'!$AN$3=2,8*VLOOKUP($A128,NumberofDaysTable,4),(_xll.xSPRDOPT(M128,$E128,$BU128,0,$BP128,$BS128,$BT128,$A128-Inputs!$D$1,1,1))*(8*VLOOKUP($A128,NumberofDaysTable,4))),0))</f>
        <v xml:space="preserve"> </v>
      </c>
      <c r="AB128" s="306" t="str">
        <f>IF($A128="N/A"," ",IF(U128&lt;&gt;0,IF('Pricing Inputs'!$AN$3=2,8*VLOOKUP($A128,NumberofDaysTable,4),(_xll.xSPRDOPT(N128,$E128,$BU128,0,$BP128,$BS128,$BT128,$A128-Inputs!$D$1,1,1))*(8*VLOOKUP($A128,NumberofDaysTable,4))),0))</f>
        <v xml:space="preserve"> </v>
      </c>
      <c r="AC128" s="306" t="str">
        <f t="shared" si="132"/>
        <v xml:space="preserve"> </v>
      </c>
      <c r="AD128" s="274" t="str">
        <f t="shared" si="220"/>
        <v xml:space="preserve"> </v>
      </c>
      <c r="AE128" s="275" t="str">
        <f t="shared" si="221"/>
        <v xml:space="preserve"> </v>
      </c>
      <c r="AF128" s="275" t="str">
        <f t="shared" si="222"/>
        <v xml:space="preserve"> </v>
      </c>
      <c r="AG128" s="275" t="str">
        <f t="shared" si="223"/>
        <v xml:space="preserve"> </v>
      </c>
      <c r="AH128" s="275" t="str">
        <f t="shared" si="224"/>
        <v xml:space="preserve"> </v>
      </c>
      <c r="AI128" s="275" t="str">
        <f t="shared" si="225"/>
        <v xml:space="preserve"> </v>
      </c>
      <c r="AJ128" s="276" t="str">
        <f t="shared" si="226"/>
        <v xml:space="preserve"> </v>
      </c>
      <c r="AK128" s="314" t="str">
        <f t="shared" si="158"/>
        <v xml:space="preserve"> </v>
      </c>
      <c r="AL128" s="315" t="str">
        <f t="shared" si="159"/>
        <v xml:space="preserve"> </v>
      </c>
      <c r="AM128" s="315" t="str">
        <f t="shared" si="160"/>
        <v xml:space="preserve"> </v>
      </c>
      <c r="AN128" s="315" t="str">
        <f t="shared" si="161"/>
        <v xml:space="preserve"> </v>
      </c>
      <c r="AO128" s="315" t="str">
        <f t="shared" si="162"/>
        <v xml:space="preserve"> </v>
      </c>
      <c r="AP128" s="315" t="str">
        <f t="shared" si="163"/>
        <v xml:space="preserve"> </v>
      </c>
      <c r="AQ128" s="315" t="str">
        <f t="shared" si="164"/>
        <v xml:space="preserve"> </v>
      </c>
      <c r="AR128" s="276"/>
      <c r="AS128" s="321" t="str">
        <f t="shared" si="213"/>
        <v xml:space="preserve"> </v>
      </c>
      <c r="AT128" s="324" t="str">
        <f t="shared" si="214"/>
        <v xml:space="preserve"> </v>
      </c>
      <c r="AU128" s="324" t="str">
        <f t="shared" si="215"/>
        <v xml:space="preserve"> </v>
      </c>
      <c r="AV128" s="324" t="str">
        <f t="shared" si="216"/>
        <v xml:space="preserve"> </v>
      </c>
      <c r="AW128" s="324" t="str">
        <f t="shared" si="217"/>
        <v xml:space="preserve"> </v>
      </c>
      <c r="AX128" s="324" t="str">
        <f t="shared" si="218"/>
        <v xml:space="preserve"> </v>
      </c>
      <c r="AY128" s="324" t="str">
        <f t="shared" si="219"/>
        <v xml:space="preserve"> </v>
      </c>
      <c r="AZ128" s="276"/>
      <c r="BA128" s="267" t="str">
        <f>IF($A128="N/A"," ",(IF(MONTH(A128)&gt;=4,IF(MONTH(A128)&lt;=10,Inputs!$F$13,Inputs!$F$14),Inputs!$F$14))*$BW128)</f>
        <v xml:space="preserve"> </v>
      </c>
      <c r="BB128" s="268" t="str">
        <f t="shared" si="165"/>
        <v xml:space="preserve"> </v>
      </c>
      <c r="BC128" s="268" t="str">
        <f t="shared" si="166"/>
        <v xml:space="preserve"> </v>
      </c>
      <c r="BD128" s="268" t="str">
        <f t="shared" si="133"/>
        <v xml:space="preserve"> </v>
      </c>
      <c r="BE128" s="268" t="str">
        <f t="shared" si="134"/>
        <v xml:space="preserve"> </v>
      </c>
      <c r="BF128" s="268" t="str">
        <f t="shared" si="135"/>
        <v xml:space="preserve"> </v>
      </c>
      <c r="BG128" s="268" t="str">
        <f t="shared" si="136"/>
        <v xml:space="preserve"> </v>
      </c>
      <c r="BH128" s="268" t="str">
        <f t="shared" si="157"/>
        <v xml:space="preserve"> </v>
      </c>
      <c r="BI128" s="268" t="str">
        <f t="shared" si="137"/>
        <v xml:space="preserve"> </v>
      </c>
      <c r="BJ128" s="296" t="str">
        <f t="shared" si="138"/>
        <v xml:space="preserve"> </v>
      </c>
      <c r="BK128" s="296" t="str">
        <f t="shared" si="139"/>
        <v xml:space="preserve"> </v>
      </c>
      <c r="BL128" s="296" t="str">
        <f t="shared" si="140"/>
        <v xml:space="preserve"> </v>
      </c>
      <c r="BM128" s="296" t="str">
        <f t="shared" si="141"/>
        <v xml:space="preserve"> </v>
      </c>
      <c r="BN128" s="405" t="str">
        <f>IF(A128="N/A"," ",(VLOOKUP(A128,PowerVolTable,(IF('Pricing Inputs'!$AT$3=2,7,IF('Pricing Inputs'!$AT$3=1,6,8))),FALSE)))</f>
        <v xml:space="preserve"> </v>
      </c>
      <c r="BO128" s="405" t="str">
        <f>IF(A128="N/A"," ",(VLOOKUP(A128,IntraPowerVol,(IF('Pricing Inputs'!$AT$3=2,3,IF('Pricing Inputs'!$AT$3=1,2,4))),FALSE)*VLOOKUP(MONTH($A128),Inputs!$A$28:$B$39,2)))</f>
        <v xml:space="preserve"> </v>
      </c>
      <c r="BP128" s="406" t="str">
        <f t="shared" si="126"/>
        <v xml:space="preserve"> </v>
      </c>
      <c r="BQ128" s="405" t="str">
        <f>IF($A128="N/A"," ",(VLOOKUP($A128,GasVolTable,(IF('Pricing Inputs'!$AT$3=2,6,IF('Pricing Inputs'!$AT$3=1,7,5))),FALSE)))</f>
        <v xml:space="preserve"> </v>
      </c>
      <c r="BR128" s="405" t="str">
        <f>IF($A128="N/A"," ",(VLOOKUP($A128,OmicronVol,(IF('Pricing Inputs'!$AT$3=2,3,IF('Pricing Inputs'!$AT$3=1,4,2))),FALSE)))</f>
        <v xml:space="preserve"> </v>
      </c>
      <c r="BS128" s="406" t="str">
        <f>IF($A128="N/A"," ",IF('Pricing Inputs'!$AN$3=1,(IF(DateToday&gt;$A128,$BR128,((($BQ128^2)*((($A128-1)-DateToday)/((EOMONTH($A128,0)+1)-DateToday-15)))+((($BR128)^2)*((15)/((EOMONTH($A128,0)+1)-DateToday-15))))^0.5)),0.0001))</f>
        <v xml:space="preserve"> </v>
      </c>
      <c r="BT128" s="405" t="str">
        <f>IF($A128="N/A"," ",IF('Pricing Inputs'!$AN$3=1,(VLOOKUP($A128,CorrelationTable,2,FALSE)),0))</f>
        <v xml:space="preserve"> </v>
      </c>
      <c r="BU128" s="407" t="str">
        <f>IF($A128="N/A"," ",F128+G128+(D128*(VLOOKUP($A128,'Gas Curves'!$B$17:$P$310,14,FALSE))))</f>
        <v xml:space="preserve"> </v>
      </c>
      <c r="BV128" s="405" t="str">
        <f>IF($A128="N/A"," ",IF('Pricing Inputs'!$AW$3=1,0,(VLOOKUP($A128,InterestRatesTable,2))))</f>
        <v xml:space="preserve"> </v>
      </c>
      <c r="BW128" s="408" t="str">
        <f t="shared" si="127"/>
        <v xml:space="preserve"> </v>
      </c>
    </row>
    <row r="129" spans="1:75">
      <c r="A129" s="248" t="str">
        <f>IF(A128="N/A","N/A",IF(EDATE(A128,1)&gt;Inputs!$K$3,"N/A",EDATE(A128,1)))</f>
        <v>N/A</v>
      </c>
      <c r="B129" s="262" t="str">
        <f t="shared" si="128"/>
        <v xml:space="preserve"> </v>
      </c>
      <c r="C129" s="249" t="str">
        <f t="shared" si="129"/>
        <v xml:space="preserve"> </v>
      </c>
      <c r="D129" s="250" t="str">
        <f>IF(A129="N/A"," ",(VLOOKUP(MONTH($A129),Inputs!$A$14:$B$25,2))/1000)</f>
        <v xml:space="preserve"> </v>
      </c>
      <c r="E129" s="304" t="str">
        <f t="shared" si="130"/>
        <v xml:space="preserve"> </v>
      </c>
      <c r="F129" s="251" t="str">
        <f>IF(A129="N/A"," ",Inputs!$F$6)</f>
        <v xml:space="preserve"> </v>
      </c>
      <c r="G129" s="251" t="str">
        <f>IF(A129="N/A"," ",Inputs!$F$9/IF(AND('Pricing Inputs'!$AQ$3&gt;=4,'Pricing Inputs'!$AQ$3&lt;=6),16,IF(AND('Pricing Inputs'!$AQ$3&gt;=7,'Pricing Inputs'!$AQ$3&lt;=9),8,24))/(BA129/BW129))</f>
        <v xml:space="preserve"> </v>
      </c>
      <c r="H129" s="252" t="str">
        <f t="shared" si="131"/>
        <v xml:space="preserve"> </v>
      </c>
      <c r="I129" s="255" t="str">
        <f>VLOOKUP(A129,ScaledPrice,(IF(AND('Pricing Inputs'!$AQ$3&gt;=1,'Pricing Inputs'!$AQ$3&lt;=6),2,4)))</f>
        <v xml:space="preserve"> </v>
      </c>
      <c r="J129" s="255" t="str">
        <f>IF(A129="N/A"," ",IF(AND('Pricing Inputs'!$AQ$3&gt;=1,'Pricing Inputs'!$AQ$3&lt;=6),I129,(VLOOKUP(A129,ScaledPrice,2))*(2-(VLOOKUP(A129,ScaledPrice,3)))))</f>
        <v xml:space="preserve"> </v>
      </c>
      <c r="K129" s="255" t="str">
        <f>IF(A129="N/A"," ",IF(OR('Pricing Inputs'!$AQ$3=2,'Pricing Inputs'!$AQ$3=3,'Pricing Inputs'!$AQ$3=5,'Pricing Inputs'!$AQ$3=6,'Pricing Inputs'!$AQ$3=8,'Pricing Inputs'!$AQ$3=9),VLOOKUP(A129,ScaledPrice,IF(AND('Pricing Inputs'!$AQ$3&gt;=2,'Pricing Inputs'!$AQ$3&lt;=6),5,6)),0))</f>
        <v xml:space="preserve"> </v>
      </c>
      <c r="L129" s="255" t="str">
        <f>IF(A129="N/A"," ",IF(OR('Pricing Inputs'!$AQ$3=2,'Pricing Inputs'!$AQ$3=3,'Pricing Inputs'!$AQ$3=5,'Pricing Inputs'!$AQ$3=6,'Pricing Inputs'!$AQ$3=8,'Pricing Inputs'!$AQ$3=9),IF(AND('Pricing Inputs'!$AQ$3&gt;=2,'Pricing Inputs'!$AQ$3&lt;=6),K129,(VLOOKUP(A129,ScaledPrice,5))*(2-(VLOOKUP(A129,ScaledPrice,3)))),0))</f>
        <v xml:space="preserve"> </v>
      </c>
      <c r="M129" s="255" t="str">
        <f>IF(A129="N/A"," ",IF(OR('Pricing Inputs'!$AQ$3=3,'Pricing Inputs'!$AQ$3=6,'Pricing Inputs'!$AQ$3=9),(VLOOKUP(A129,ScaledPrice,IF(AND('Pricing Inputs'!$AQ$3&gt;=3,'Pricing Inputs'!$AQ$3&lt;=6),7,8))),0))</f>
        <v xml:space="preserve"> </v>
      </c>
      <c r="N129" s="255" t="str">
        <f>IF(A129="N/A"," ",IF(OR('Pricing Inputs'!$AQ$3=3,'Pricing Inputs'!$AQ$3=6,'Pricing Inputs'!$AQ$3=9),IF(AND('Pricing Inputs'!$AQ$3&gt;=3,'Pricing Inputs'!$AQ$3&lt;=6),M129,(VLOOKUP(A129,ScaledPrice,7))*(2-(VLOOKUP(A129,ScaledPrice,3)))),0))</f>
        <v xml:space="preserve"> </v>
      </c>
      <c r="O129" s="255" t="str">
        <f>IF(A129="N/A"," ",IF(AND('Pricing Inputs'!$AQ$3&gt;=1,'Pricing Inputs'!$AQ$3&lt;=3),VLOOKUP(A129,ScaledPrice,9),0))</f>
        <v xml:space="preserve"> </v>
      </c>
      <c r="P129" s="320" t="str">
        <f>IF($A129="N/A"," ",IF('Pricing Inputs'!$AN$8=2,(I129-H129),IF('Pricing Inputs'!$AN$3=2,IF((I129-$H129)&gt;0,I129-$H129,0),(_xll.xSPRDOPT(I129,$E129,$BU129,0,$BP129,$BS129,$BT129,($A129-Inputs!$D$1)+15,1,0)))))</f>
        <v xml:space="preserve"> </v>
      </c>
      <c r="Q129" s="320" t="str">
        <f>IF($A129="N/A"," ",IF('Pricing Inputs'!$AN$8=2,(J129-$H129),IF('Pricing Inputs'!$AN$3=2,IF((J129-$H129)&gt;0,J129-$H129,0),(_xll.xSPRDOPT(J129,$E129,$BU129,0,$BP129,$BS129,$BT129,($A129-Inputs!$D$1)+15,1,0)))))</f>
        <v xml:space="preserve"> </v>
      </c>
      <c r="R129" s="320" t="str">
        <f>IF($A129="N/A"," ",IF('Pricing Inputs'!$AN$8=2,(K129-$H129),IF('Pricing Inputs'!$AN$3=2,IF((K129-$H129)&gt;0,K129-$H129,0),(_xll.xSPRDOPT(K129,$E129,$BU129,0,$BP129,$BS129,$BT129,($A129-Inputs!$D$1)+15,1,0)))))</f>
        <v xml:space="preserve"> </v>
      </c>
      <c r="S129" s="320" t="str">
        <f>IF($A129="N/A"," ",IF('Pricing Inputs'!$AN$8=2,(L129-$H129),IF('Pricing Inputs'!$AN$3=2,IF((L129-$H129)&gt;0,L129-$H129,0),(_xll.xSPRDOPT(L129,$E129,$BU129,0,$BP129,$BS129,$BT129,($A129-Inputs!$D$1)+15,1,0)))))</f>
        <v xml:space="preserve"> </v>
      </c>
      <c r="T129" s="320" t="str">
        <f>IF($A129="N/A"," ",IF('Pricing Inputs'!$AN$8=2,(M129-$H129),IF('Pricing Inputs'!$AN$3=2,IF((M129-$H129)&gt;0,M129-$H129,0),(_xll.xSPRDOPT(M129,$E129,$BU129,0,$BP129,$BS129,$BT129,($A129-Inputs!$D$1)+15,1,0)))))</f>
        <v xml:space="preserve"> </v>
      </c>
      <c r="U129" s="320" t="str">
        <f>IF($A129="N/A"," ",IF('Pricing Inputs'!$AN$8=2,(N129-$H129),IF('Pricing Inputs'!$AN$3=2,IF((N129-$H129)&gt;0,N129-$H129,0),(_xll.xSPRDOPT(N129,$E129,$BU129,0,$BP129,$BS129,$BT129,($A129-Inputs!$D$1)+15,1,0)))))</f>
        <v xml:space="preserve"> </v>
      </c>
      <c r="V129" s="259" t="str">
        <f>IF($A129="N/A"," ",(IF('Pricing Inputs'!$AN$8=2,(O129-$H129),IF((O129-$H129)&lt;=0,0,(O129-$H129)))))</f>
        <v xml:space="preserve"> </v>
      </c>
      <c r="W129" s="306" t="str">
        <f>IF($A129="N/A"," ",IF(0&lt;&gt;P129,IF('Pricing Inputs'!$AN$3=2,8*VLOOKUP($A129,NumberofDaysTable,2),(_xll.xSPRDOPT(I129,$E129,$BU129,0,$BP129,$BS129,$BT129,$A129-Inputs!$D$1,1,1))*(8*VLOOKUP($A129,NumberofDaysTable,2))),0))</f>
        <v xml:space="preserve"> </v>
      </c>
      <c r="X129" s="306" t="str">
        <f>IF($A129="N/A"," ",IF(Q129&lt;&gt;0,IF('Pricing Inputs'!$AN$3=2,8*VLOOKUP($A129,NumberofDaysTable,2),(_xll.xSPRDOPT(J129,$E129,$BU129,0,$BP129,$BS129,$BT129,$A129-Inputs!$D$1,1,1))*(8*VLOOKUP($A129,NumberofDaysTable,2))),0))</f>
        <v xml:space="preserve"> </v>
      </c>
      <c r="Y129" s="306" t="str">
        <f>IF($A129="N/A"," ",IF(R129&lt;&gt;0,IF('Pricing Inputs'!$AN$3=2,8*VLOOKUP($A129,NumberofDaysTable,3),(_xll.xSPRDOPT(K129,$E129,$BU129,0,$BP129,$BS129,$BT129,$A129-Inputs!$D$1,1,1))*(8*VLOOKUP($A129,NumberofDaysTable,3))),0))</f>
        <v xml:space="preserve"> </v>
      </c>
      <c r="Z129" s="306" t="str">
        <f>IF($A129="N/A"," ",IF(S129&lt;&gt;0,IF('Pricing Inputs'!$AN$3=2,8*VLOOKUP($A129,NumberofDaysTable,3),(_xll.xSPRDOPT(L129,$E129,$BU129,0,$BP129,$BS129,$BT129,$A129-Inputs!$D$1,1,1))*(8*VLOOKUP($A129,NumberofDaysTable,3))),0))</f>
        <v xml:space="preserve"> </v>
      </c>
      <c r="AA129" s="306" t="str">
        <f>IF($A129="N/A"," ",IF(T129&lt;&gt;0,IF('Pricing Inputs'!$AN$3=2,8*VLOOKUP($A129,NumberofDaysTable,4),(_xll.xSPRDOPT(M129,$E129,$BU129,0,$BP129,$BS129,$BT129,$A129-Inputs!$D$1,1,1))*(8*VLOOKUP($A129,NumberofDaysTable,4))),0))</f>
        <v xml:space="preserve"> </v>
      </c>
      <c r="AB129" s="306" t="str">
        <f>IF($A129="N/A"," ",IF(U129&lt;&gt;0,IF('Pricing Inputs'!$AN$3=2,8*VLOOKUP($A129,NumberofDaysTable,4),(_xll.xSPRDOPT(N129,$E129,$BU129,0,$BP129,$BS129,$BT129,$A129-Inputs!$D$1,1,1))*(8*VLOOKUP($A129,NumberofDaysTable,4))),0))</f>
        <v xml:space="preserve"> </v>
      </c>
      <c r="AC129" s="306" t="str">
        <f t="shared" si="132"/>
        <v xml:space="preserve"> </v>
      </c>
      <c r="AD129" s="274" t="str">
        <f t="shared" si="220"/>
        <v xml:space="preserve"> </v>
      </c>
      <c r="AE129" s="275" t="str">
        <f t="shared" si="221"/>
        <v xml:space="preserve"> </v>
      </c>
      <c r="AF129" s="275" t="str">
        <f t="shared" si="222"/>
        <v xml:space="preserve"> </v>
      </c>
      <c r="AG129" s="275" t="str">
        <f t="shared" si="223"/>
        <v xml:space="preserve"> </v>
      </c>
      <c r="AH129" s="275" t="str">
        <f t="shared" si="224"/>
        <v xml:space="preserve"> </v>
      </c>
      <c r="AI129" s="275" t="str">
        <f t="shared" si="225"/>
        <v xml:space="preserve"> </v>
      </c>
      <c r="AJ129" s="276" t="str">
        <f t="shared" si="226"/>
        <v xml:space="preserve"> </v>
      </c>
      <c r="AK129" s="314" t="str">
        <f t="shared" si="158"/>
        <v xml:space="preserve"> </v>
      </c>
      <c r="AL129" s="315" t="str">
        <f t="shared" si="159"/>
        <v xml:space="preserve"> </v>
      </c>
      <c r="AM129" s="315" t="str">
        <f t="shared" si="160"/>
        <v xml:space="preserve"> </v>
      </c>
      <c r="AN129" s="315" t="str">
        <f t="shared" si="161"/>
        <v xml:space="preserve"> </v>
      </c>
      <c r="AO129" s="315" t="str">
        <f t="shared" si="162"/>
        <v xml:space="preserve"> </v>
      </c>
      <c r="AP129" s="315" t="str">
        <f t="shared" si="163"/>
        <v xml:space="preserve"> </v>
      </c>
      <c r="AQ129" s="315" t="str">
        <f t="shared" si="164"/>
        <v xml:space="preserve"> </v>
      </c>
      <c r="AR129" s="276"/>
      <c r="AS129" s="321" t="str">
        <f t="shared" si="213"/>
        <v xml:space="preserve"> </v>
      </c>
      <c r="AT129" s="324" t="str">
        <f t="shared" si="214"/>
        <v xml:space="preserve"> </v>
      </c>
      <c r="AU129" s="324" t="str">
        <f t="shared" si="215"/>
        <v xml:space="preserve"> </v>
      </c>
      <c r="AV129" s="324" t="str">
        <f t="shared" si="216"/>
        <v xml:space="preserve"> </v>
      </c>
      <c r="AW129" s="324" t="str">
        <f t="shared" si="217"/>
        <v xml:space="preserve"> </v>
      </c>
      <c r="AX129" s="324" t="str">
        <f t="shared" si="218"/>
        <v xml:space="preserve"> </v>
      </c>
      <c r="AY129" s="324" t="str">
        <f t="shared" si="219"/>
        <v xml:space="preserve"> </v>
      </c>
      <c r="AZ129" s="276"/>
      <c r="BA129" s="267" t="str">
        <f>IF($A129="N/A"," ",(IF(MONTH(A129)&gt;=4,IF(MONTH(A129)&lt;=10,Inputs!$F$13,Inputs!$F$14),Inputs!$F$14))*$BW129)</f>
        <v xml:space="preserve"> </v>
      </c>
      <c r="BB129" s="268" t="str">
        <f t="shared" si="165"/>
        <v xml:space="preserve"> </v>
      </c>
      <c r="BC129" s="268" t="str">
        <f t="shared" si="166"/>
        <v xml:space="preserve"> </v>
      </c>
      <c r="BD129" s="268" t="str">
        <f t="shared" si="133"/>
        <v xml:space="preserve"> </v>
      </c>
      <c r="BE129" s="268" t="str">
        <f t="shared" si="134"/>
        <v xml:space="preserve"> </v>
      </c>
      <c r="BF129" s="268" t="str">
        <f t="shared" si="135"/>
        <v xml:space="preserve"> </v>
      </c>
      <c r="BG129" s="268" t="str">
        <f t="shared" si="136"/>
        <v xml:space="preserve"> </v>
      </c>
      <c r="BH129" s="268" t="str">
        <f t="shared" si="157"/>
        <v xml:space="preserve"> </v>
      </c>
      <c r="BI129" s="268" t="str">
        <f t="shared" si="137"/>
        <v xml:space="preserve"> </v>
      </c>
      <c r="BJ129" s="296" t="str">
        <f t="shared" si="138"/>
        <v xml:space="preserve"> </v>
      </c>
      <c r="BK129" s="296" t="str">
        <f t="shared" si="139"/>
        <v xml:space="preserve"> </v>
      </c>
      <c r="BL129" s="296" t="str">
        <f t="shared" si="140"/>
        <v xml:space="preserve"> </v>
      </c>
      <c r="BM129" s="296" t="str">
        <f t="shared" si="141"/>
        <v xml:space="preserve"> </v>
      </c>
      <c r="BN129" s="405" t="str">
        <f>IF(A129="N/A"," ",(VLOOKUP(A129,PowerVolTable,(IF('Pricing Inputs'!$AT$3=2,7,IF('Pricing Inputs'!$AT$3=1,6,8))),FALSE)))</f>
        <v xml:space="preserve"> </v>
      </c>
      <c r="BO129" s="405" t="str">
        <f>IF(A129="N/A"," ",(VLOOKUP(A129,IntraPowerVol,(IF('Pricing Inputs'!$AT$3=2,3,IF('Pricing Inputs'!$AT$3=1,2,4))),FALSE)*VLOOKUP(MONTH($A129),Inputs!$A$28:$B$39,2)))</f>
        <v xml:space="preserve"> </v>
      </c>
      <c r="BP129" s="406" t="str">
        <f t="shared" si="126"/>
        <v xml:space="preserve"> </v>
      </c>
      <c r="BQ129" s="405" t="str">
        <f>IF($A129="N/A"," ",(VLOOKUP($A129,GasVolTable,(IF('Pricing Inputs'!$AT$3=2,6,IF('Pricing Inputs'!$AT$3=1,7,5))),FALSE)))</f>
        <v xml:space="preserve"> </v>
      </c>
      <c r="BR129" s="405" t="str">
        <f>IF($A129="N/A"," ",(VLOOKUP($A129,OmicronVol,(IF('Pricing Inputs'!$AT$3=2,3,IF('Pricing Inputs'!$AT$3=1,4,2))),FALSE)))</f>
        <v xml:space="preserve"> </v>
      </c>
      <c r="BS129" s="406" t="str">
        <f>IF($A129="N/A"," ",IF('Pricing Inputs'!$AN$3=1,(IF(DateToday&gt;$A129,$BR129,((($BQ129^2)*((($A129-1)-DateToday)/((EOMONTH($A129,0)+1)-DateToday-15)))+((($BR129)^2)*((15)/((EOMONTH($A129,0)+1)-DateToday-15))))^0.5)),0.0001))</f>
        <v xml:space="preserve"> </v>
      </c>
      <c r="BT129" s="405" t="str">
        <f>IF($A129="N/A"," ",IF('Pricing Inputs'!$AN$3=1,(VLOOKUP($A129,CorrelationTable,2,FALSE)),0))</f>
        <v xml:space="preserve"> </v>
      </c>
      <c r="BU129" s="407" t="str">
        <f>IF($A129="N/A"," ",F129+G129+(D129*(VLOOKUP($A129,'Gas Curves'!$B$17:$P$310,14,FALSE))))</f>
        <v xml:space="preserve"> </v>
      </c>
      <c r="BV129" s="405" t="str">
        <f>IF($A129="N/A"," ",IF('Pricing Inputs'!$AW$3=1,0,(VLOOKUP($A129,InterestRatesTable,2))))</f>
        <v xml:space="preserve"> </v>
      </c>
      <c r="BW129" s="408" t="str">
        <f t="shared" si="127"/>
        <v xml:space="preserve"> </v>
      </c>
    </row>
    <row r="130" spans="1:75">
      <c r="A130" s="248" t="str">
        <f>IF(A129="N/A","N/A",IF(EDATE(A129,1)&gt;Inputs!$K$3,"N/A",EDATE(A129,1)))</f>
        <v>N/A</v>
      </c>
      <c r="B130" s="262" t="str">
        <f t="shared" si="128"/>
        <v xml:space="preserve"> </v>
      </c>
      <c r="C130" s="249" t="str">
        <f t="shared" si="129"/>
        <v xml:space="preserve"> </v>
      </c>
      <c r="D130" s="250" t="str">
        <f>IF(A130="N/A"," ",(VLOOKUP(MONTH($A130),Inputs!$A$14:$B$25,2))/1000)</f>
        <v xml:space="preserve"> </v>
      </c>
      <c r="E130" s="304" t="str">
        <f t="shared" si="130"/>
        <v xml:space="preserve"> </v>
      </c>
      <c r="F130" s="251" t="str">
        <f>IF(A130="N/A"," ",Inputs!$F$6)</f>
        <v xml:space="preserve"> </v>
      </c>
      <c r="G130" s="251" t="str">
        <f>IF(A130="N/A"," ",Inputs!$F$9/IF(AND('Pricing Inputs'!$AQ$3&gt;=4,'Pricing Inputs'!$AQ$3&lt;=6),16,IF(AND('Pricing Inputs'!$AQ$3&gt;=7,'Pricing Inputs'!$AQ$3&lt;=9),8,24))/(BA130/BW130))</f>
        <v xml:space="preserve"> </v>
      </c>
      <c r="H130" s="252" t="str">
        <f t="shared" si="131"/>
        <v xml:space="preserve"> </v>
      </c>
      <c r="I130" s="255" t="str">
        <f>VLOOKUP(A130,ScaledPrice,(IF(AND('Pricing Inputs'!$AQ$3&gt;=1,'Pricing Inputs'!$AQ$3&lt;=6),2,4)))</f>
        <v xml:space="preserve"> </v>
      </c>
      <c r="J130" s="255" t="str">
        <f>IF(A130="N/A"," ",IF(AND('Pricing Inputs'!$AQ$3&gt;=1,'Pricing Inputs'!$AQ$3&lt;=6),I130,(VLOOKUP(A130,ScaledPrice,2))*(2-(VLOOKUP(A130,ScaledPrice,3)))))</f>
        <v xml:space="preserve"> </v>
      </c>
      <c r="K130" s="255" t="str">
        <f>IF(A130="N/A"," ",IF(OR('Pricing Inputs'!$AQ$3=2,'Pricing Inputs'!$AQ$3=3,'Pricing Inputs'!$AQ$3=5,'Pricing Inputs'!$AQ$3=6,'Pricing Inputs'!$AQ$3=8,'Pricing Inputs'!$AQ$3=9),VLOOKUP(A130,ScaledPrice,IF(AND('Pricing Inputs'!$AQ$3&gt;=2,'Pricing Inputs'!$AQ$3&lt;=6),5,6)),0))</f>
        <v xml:space="preserve"> </v>
      </c>
      <c r="L130" s="255" t="str">
        <f>IF(A130="N/A"," ",IF(OR('Pricing Inputs'!$AQ$3=2,'Pricing Inputs'!$AQ$3=3,'Pricing Inputs'!$AQ$3=5,'Pricing Inputs'!$AQ$3=6,'Pricing Inputs'!$AQ$3=8,'Pricing Inputs'!$AQ$3=9),IF(AND('Pricing Inputs'!$AQ$3&gt;=2,'Pricing Inputs'!$AQ$3&lt;=6),K130,(VLOOKUP(A130,ScaledPrice,5))*(2-(VLOOKUP(A130,ScaledPrice,3)))),0))</f>
        <v xml:space="preserve"> </v>
      </c>
      <c r="M130" s="255" t="str">
        <f>IF(A130="N/A"," ",IF(OR('Pricing Inputs'!$AQ$3=3,'Pricing Inputs'!$AQ$3=6,'Pricing Inputs'!$AQ$3=9),(VLOOKUP(A130,ScaledPrice,IF(AND('Pricing Inputs'!$AQ$3&gt;=3,'Pricing Inputs'!$AQ$3&lt;=6),7,8))),0))</f>
        <v xml:space="preserve"> </v>
      </c>
      <c r="N130" s="255" t="str">
        <f>IF(A130="N/A"," ",IF(OR('Pricing Inputs'!$AQ$3=3,'Pricing Inputs'!$AQ$3=6,'Pricing Inputs'!$AQ$3=9),IF(AND('Pricing Inputs'!$AQ$3&gt;=3,'Pricing Inputs'!$AQ$3&lt;=6),M130,(VLOOKUP(A130,ScaledPrice,7))*(2-(VLOOKUP(A130,ScaledPrice,3)))),0))</f>
        <v xml:space="preserve"> </v>
      </c>
      <c r="O130" s="255" t="str">
        <f>IF(A130="N/A"," ",IF(AND('Pricing Inputs'!$AQ$3&gt;=1,'Pricing Inputs'!$AQ$3&lt;=3),VLOOKUP(A130,ScaledPrice,9),0))</f>
        <v xml:space="preserve"> </v>
      </c>
      <c r="P130" s="320" t="str">
        <f>IF($A130="N/A"," ",IF('Pricing Inputs'!$AN$8=2,(I130-H130),IF('Pricing Inputs'!$AN$3=2,IF((I130-$H130)&gt;0,I130-$H130,0),(_xll.xSPRDOPT(I130,$E130,$BU130,0,$BP130,$BS130,$BT130,($A130-Inputs!$D$1)+15,1,0)))))</f>
        <v xml:space="preserve"> </v>
      </c>
      <c r="Q130" s="320" t="str">
        <f>IF($A130="N/A"," ",IF('Pricing Inputs'!$AN$8=2,(J130-$H130),IF('Pricing Inputs'!$AN$3=2,IF((J130-$H130)&gt;0,J130-$H130,0),(_xll.xSPRDOPT(J130,$E130,$BU130,0,$BP130,$BS130,$BT130,($A130-Inputs!$D$1)+15,1,0)))))</f>
        <v xml:space="preserve"> </v>
      </c>
      <c r="R130" s="320" t="str">
        <f>IF($A130="N/A"," ",IF('Pricing Inputs'!$AN$8=2,(K130-$H130),IF('Pricing Inputs'!$AN$3=2,IF((K130-$H130)&gt;0,K130-$H130,0),(_xll.xSPRDOPT(K130,$E130,$BU130,0,$BP130,$BS130,$BT130,($A130-Inputs!$D$1)+15,1,0)))))</f>
        <v xml:space="preserve"> </v>
      </c>
      <c r="S130" s="320" t="str">
        <f>IF($A130="N/A"," ",IF('Pricing Inputs'!$AN$8=2,(L130-$H130),IF('Pricing Inputs'!$AN$3=2,IF((L130-$H130)&gt;0,L130-$H130,0),(_xll.xSPRDOPT(L130,$E130,$BU130,0,$BP130,$BS130,$BT130,($A130-Inputs!$D$1)+15,1,0)))))</f>
        <v xml:space="preserve"> </v>
      </c>
      <c r="T130" s="320" t="str">
        <f>IF($A130="N/A"," ",IF('Pricing Inputs'!$AN$8=2,(M130-$H130),IF('Pricing Inputs'!$AN$3=2,IF((M130-$H130)&gt;0,M130-$H130,0),(_xll.xSPRDOPT(M130,$E130,$BU130,0,$BP130,$BS130,$BT130,($A130-Inputs!$D$1)+15,1,0)))))</f>
        <v xml:space="preserve"> </v>
      </c>
      <c r="U130" s="320" t="str">
        <f>IF($A130="N/A"," ",IF('Pricing Inputs'!$AN$8=2,(N130-$H130),IF('Pricing Inputs'!$AN$3=2,IF((N130-$H130)&gt;0,N130-$H130,0),(_xll.xSPRDOPT(N130,$E130,$BU130,0,$BP130,$BS130,$BT130,($A130-Inputs!$D$1)+15,1,0)))))</f>
        <v xml:space="preserve"> </v>
      </c>
      <c r="V130" s="259" t="str">
        <f>IF($A130="N/A"," ",(IF('Pricing Inputs'!$AN$8=2,(O130-$H130),IF((O130-$H130)&lt;=0,0,(O130-$H130)))))</f>
        <v xml:space="preserve"> </v>
      </c>
      <c r="W130" s="306" t="str">
        <f>IF($A130="N/A"," ",IF(0&lt;&gt;P130,IF('Pricing Inputs'!$AN$3=2,8*VLOOKUP($A130,NumberofDaysTable,2),(_xll.xSPRDOPT(I130,$E130,$BU130,0,$BP130,$BS130,$BT130,$A130-Inputs!$D$1,1,1))*(8*VLOOKUP($A130,NumberofDaysTable,2))),0))</f>
        <v xml:space="preserve"> </v>
      </c>
      <c r="X130" s="306" t="str">
        <f>IF($A130="N/A"," ",IF(Q130&lt;&gt;0,IF('Pricing Inputs'!$AN$3=2,8*VLOOKUP($A130,NumberofDaysTable,2),(_xll.xSPRDOPT(J130,$E130,$BU130,0,$BP130,$BS130,$BT130,$A130-Inputs!$D$1,1,1))*(8*VLOOKUP($A130,NumberofDaysTable,2))),0))</f>
        <v xml:space="preserve"> </v>
      </c>
      <c r="Y130" s="306" t="str">
        <f>IF($A130="N/A"," ",IF(R130&lt;&gt;0,IF('Pricing Inputs'!$AN$3=2,8*VLOOKUP($A130,NumberofDaysTable,3),(_xll.xSPRDOPT(K130,$E130,$BU130,0,$BP130,$BS130,$BT130,$A130-Inputs!$D$1,1,1))*(8*VLOOKUP($A130,NumberofDaysTable,3))),0))</f>
        <v xml:space="preserve"> </v>
      </c>
      <c r="Z130" s="306" t="str">
        <f>IF($A130="N/A"," ",IF(S130&lt;&gt;0,IF('Pricing Inputs'!$AN$3=2,8*VLOOKUP($A130,NumberofDaysTable,3),(_xll.xSPRDOPT(L130,$E130,$BU130,0,$BP130,$BS130,$BT130,$A130-Inputs!$D$1,1,1))*(8*VLOOKUP($A130,NumberofDaysTable,3))),0))</f>
        <v xml:space="preserve"> </v>
      </c>
      <c r="AA130" s="306" t="str">
        <f>IF($A130="N/A"," ",IF(T130&lt;&gt;0,IF('Pricing Inputs'!$AN$3=2,8*VLOOKUP($A130,NumberofDaysTable,4),(_xll.xSPRDOPT(M130,$E130,$BU130,0,$BP130,$BS130,$BT130,$A130-Inputs!$D$1,1,1))*(8*VLOOKUP($A130,NumberofDaysTable,4))),0))</f>
        <v xml:space="preserve"> </v>
      </c>
      <c r="AB130" s="306" t="str">
        <f>IF($A130="N/A"," ",IF(U130&lt;&gt;0,IF('Pricing Inputs'!$AN$3=2,8*VLOOKUP($A130,NumberofDaysTable,4),(_xll.xSPRDOPT(N130,$E130,$BU130,0,$BP130,$BS130,$BT130,$A130-Inputs!$D$1,1,1))*(8*VLOOKUP($A130,NumberofDaysTable,4))),0))</f>
        <v xml:space="preserve"> </v>
      </c>
      <c r="AC130" s="306" t="str">
        <f t="shared" si="132"/>
        <v xml:space="preserve"> </v>
      </c>
      <c r="AD130" s="274" t="str">
        <f t="shared" si="220"/>
        <v xml:space="preserve"> </v>
      </c>
      <c r="AE130" s="275" t="str">
        <f t="shared" si="221"/>
        <v xml:space="preserve"> </v>
      </c>
      <c r="AF130" s="275" t="str">
        <f t="shared" si="222"/>
        <v xml:space="preserve"> </v>
      </c>
      <c r="AG130" s="275" t="str">
        <f t="shared" si="223"/>
        <v xml:space="preserve"> </v>
      </c>
      <c r="AH130" s="275" t="str">
        <f t="shared" si="224"/>
        <v xml:space="preserve"> </v>
      </c>
      <c r="AI130" s="275" t="str">
        <f t="shared" si="225"/>
        <v xml:space="preserve"> </v>
      </c>
      <c r="AJ130" s="276" t="str">
        <f t="shared" si="226"/>
        <v xml:space="preserve"> </v>
      </c>
      <c r="AK130" s="314" t="str">
        <f t="shared" si="158"/>
        <v xml:space="preserve"> </v>
      </c>
      <c r="AL130" s="315" t="str">
        <f t="shared" si="159"/>
        <v xml:space="preserve"> </v>
      </c>
      <c r="AM130" s="315" t="str">
        <f t="shared" si="160"/>
        <v xml:space="preserve"> </v>
      </c>
      <c r="AN130" s="315" t="str">
        <f t="shared" si="161"/>
        <v xml:space="preserve"> </v>
      </c>
      <c r="AO130" s="315" t="str">
        <f t="shared" si="162"/>
        <v xml:space="preserve"> </v>
      </c>
      <c r="AP130" s="315" t="str">
        <f t="shared" si="163"/>
        <v xml:space="preserve"> </v>
      </c>
      <c r="AQ130" s="315" t="str">
        <f t="shared" si="164"/>
        <v xml:space="preserve"> </v>
      </c>
      <c r="AR130" s="276"/>
      <c r="AS130" s="321" t="str">
        <f t="shared" si="213"/>
        <v xml:space="preserve"> </v>
      </c>
      <c r="AT130" s="324" t="str">
        <f t="shared" si="214"/>
        <v xml:space="preserve"> </v>
      </c>
      <c r="AU130" s="324" t="str">
        <f t="shared" si="215"/>
        <v xml:space="preserve"> </v>
      </c>
      <c r="AV130" s="324" t="str">
        <f t="shared" si="216"/>
        <v xml:space="preserve"> </v>
      </c>
      <c r="AW130" s="324" t="str">
        <f t="shared" si="217"/>
        <v xml:space="preserve"> </v>
      </c>
      <c r="AX130" s="324" t="str">
        <f t="shared" si="218"/>
        <v xml:space="preserve"> </v>
      </c>
      <c r="AY130" s="324" t="str">
        <f t="shared" si="219"/>
        <v xml:space="preserve"> </v>
      </c>
      <c r="AZ130" s="276"/>
      <c r="BA130" s="267" t="str">
        <f>IF($A130="N/A"," ",(IF(MONTH(A130)&gt;=4,IF(MONTH(A130)&lt;=10,Inputs!$F$13,Inputs!$F$14),Inputs!$F$14))*$BW130)</f>
        <v xml:space="preserve"> </v>
      </c>
      <c r="BB130" s="268" t="str">
        <f t="shared" si="165"/>
        <v xml:space="preserve"> </v>
      </c>
      <c r="BC130" s="268" t="str">
        <f t="shared" si="166"/>
        <v xml:space="preserve"> </v>
      </c>
      <c r="BD130" s="268" t="str">
        <f t="shared" si="133"/>
        <v xml:space="preserve"> </v>
      </c>
      <c r="BE130" s="268" t="str">
        <f t="shared" si="134"/>
        <v xml:space="preserve"> </v>
      </c>
      <c r="BF130" s="268" t="str">
        <f t="shared" si="135"/>
        <v xml:space="preserve"> </v>
      </c>
      <c r="BG130" s="268" t="str">
        <f t="shared" si="136"/>
        <v xml:space="preserve"> </v>
      </c>
      <c r="BH130" s="268" t="str">
        <f t="shared" si="157"/>
        <v xml:space="preserve"> </v>
      </c>
      <c r="BI130" s="268" t="str">
        <f t="shared" si="137"/>
        <v xml:space="preserve"> </v>
      </c>
      <c r="BJ130" s="296" t="str">
        <f t="shared" si="138"/>
        <v xml:space="preserve"> </v>
      </c>
      <c r="BK130" s="296" t="str">
        <f t="shared" si="139"/>
        <v xml:space="preserve"> </v>
      </c>
      <c r="BL130" s="296" t="str">
        <f t="shared" si="140"/>
        <v xml:space="preserve"> </v>
      </c>
      <c r="BM130" s="296" t="str">
        <f t="shared" si="141"/>
        <v xml:space="preserve"> </v>
      </c>
      <c r="BN130" s="405" t="str">
        <f>IF(A130="N/A"," ",(VLOOKUP(A130,PowerVolTable,(IF('Pricing Inputs'!$AT$3=2,7,IF('Pricing Inputs'!$AT$3=1,6,8))),FALSE)))</f>
        <v xml:space="preserve"> </v>
      </c>
      <c r="BO130" s="405" t="str">
        <f>IF(A130="N/A"," ",(VLOOKUP(A130,IntraPowerVol,(IF('Pricing Inputs'!$AT$3=2,3,IF('Pricing Inputs'!$AT$3=1,2,4))),FALSE)*VLOOKUP(MONTH($A130),Inputs!$A$28:$B$39,2)))</f>
        <v xml:space="preserve"> </v>
      </c>
      <c r="BP130" s="406" t="str">
        <f t="shared" si="126"/>
        <v xml:space="preserve"> </v>
      </c>
      <c r="BQ130" s="405" t="str">
        <f>IF($A130="N/A"," ",(VLOOKUP($A130,GasVolTable,(IF('Pricing Inputs'!$AT$3=2,6,IF('Pricing Inputs'!$AT$3=1,7,5))),FALSE)))</f>
        <v xml:space="preserve"> </v>
      </c>
      <c r="BR130" s="405" t="str">
        <f>IF($A130="N/A"," ",(VLOOKUP($A130,OmicronVol,(IF('Pricing Inputs'!$AT$3=2,3,IF('Pricing Inputs'!$AT$3=1,4,2))),FALSE)))</f>
        <v xml:space="preserve"> </v>
      </c>
      <c r="BS130" s="406" t="str">
        <f>IF($A130="N/A"," ",IF('Pricing Inputs'!$AN$3=1,(IF(DateToday&gt;$A130,$BR130,((($BQ130^2)*((($A130-1)-DateToday)/((EOMONTH($A130,0)+1)-DateToday-15)))+((($BR130)^2)*((15)/((EOMONTH($A130,0)+1)-DateToday-15))))^0.5)),0.0001))</f>
        <v xml:space="preserve"> </v>
      </c>
      <c r="BT130" s="405" t="str">
        <f>IF($A130="N/A"," ",IF('Pricing Inputs'!$AN$3=1,(VLOOKUP($A130,CorrelationTable,2,FALSE)),0))</f>
        <v xml:space="preserve"> </v>
      </c>
      <c r="BU130" s="407" t="str">
        <f>IF($A130="N/A"," ",F130+G130+(D130*(VLOOKUP($A130,'Gas Curves'!$B$17:$P$310,14,FALSE))))</f>
        <v xml:space="preserve"> </v>
      </c>
      <c r="BV130" s="405" t="str">
        <f>IF($A130="N/A"," ",IF('Pricing Inputs'!$AW$3=1,0,(VLOOKUP($A130,InterestRatesTable,2))))</f>
        <v xml:space="preserve"> </v>
      </c>
      <c r="BW130" s="408" t="str">
        <f t="shared" si="127"/>
        <v xml:space="preserve"> </v>
      </c>
    </row>
    <row r="131" spans="1:75">
      <c r="A131" s="248" t="str">
        <f>IF(A130="N/A","N/A",IF(EDATE(A130,1)&gt;Inputs!$K$3,"N/A",EDATE(A130,1)))</f>
        <v>N/A</v>
      </c>
      <c r="B131" s="262" t="str">
        <f t="shared" si="128"/>
        <v xml:space="preserve"> </v>
      </c>
      <c r="C131" s="249" t="str">
        <f t="shared" si="129"/>
        <v xml:space="preserve"> </v>
      </c>
      <c r="D131" s="250" t="str">
        <f>IF(A131="N/A"," ",(VLOOKUP(MONTH($A131),Inputs!$A$14:$B$25,2))/1000)</f>
        <v xml:space="preserve"> </v>
      </c>
      <c r="E131" s="304" t="str">
        <f t="shared" si="130"/>
        <v xml:space="preserve"> </v>
      </c>
      <c r="F131" s="251" t="str">
        <f>IF(A131="N/A"," ",Inputs!$F$6)</f>
        <v xml:space="preserve"> </v>
      </c>
      <c r="G131" s="251" t="str">
        <f>IF(A131="N/A"," ",Inputs!$F$9/IF(AND('Pricing Inputs'!$AQ$3&gt;=4,'Pricing Inputs'!$AQ$3&lt;=6),16,IF(AND('Pricing Inputs'!$AQ$3&gt;=7,'Pricing Inputs'!$AQ$3&lt;=9),8,24))/(BA131/BW131))</f>
        <v xml:space="preserve"> </v>
      </c>
      <c r="H131" s="252" t="str">
        <f t="shared" si="131"/>
        <v xml:space="preserve"> </v>
      </c>
      <c r="I131" s="255" t="str">
        <f>VLOOKUP(A131,ScaledPrice,(IF(AND('Pricing Inputs'!$AQ$3&gt;=1,'Pricing Inputs'!$AQ$3&lt;=6),2,4)))</f>
        <v xml:space="preserve"> </v>
      </c>
      <c r="J131" s="255" t="str">
        <f>IF(A131="N/A"," ",IF(AND('Pricing Inputs'!$AQ$3&gt;=1,'Pricing Inputs'!$AQ$3&lt;=6),I131,(VLOOKUP(A131,ScaledPrice,2))*(2-(VLOOKUP(A131,ScaledPrice,3)))))</f>
        <v xml:space="preserve"> </v>
      </c>
      <c r="K131" s="255" t="str">
        <f>IF(A131="N/A"," ",IF(OR('Pricing Inputs'!$AQ$3=2,'Pricing Inputs'!$AQ$3=3,'Pricing Inputs'!$AQ$3=5,'Pricing Inputs'!$AQ$3=6,'Pricing Inputs'!$AQ$3=8,'Pricing Inputs'!$AQ$3=9),VLOOKUP(A131,ScaledPrice,IF(AND('Pricing Inputs'!$AQ$3&gt;=2,'Pricing Inputs'!$AQ$3&lt;=6),5,6)),0))</f>
        <v xml:space="preserve"> </v>
      </c>
      <c r="L131" s="255" t="str">
        <f>IF(A131="N/A"," ",IF(OR('Pricing Inputs'!$AQ$3=2,'Pricing Inputs'!$AQ$3=3,'Pricing Inputs'!$AQ$3=5,'Pricing Inputs'!$AQ$3=6,'Pricing Inputs'!$AQ$3=8,'Pricing Inputs'!$AQ$3=9),IF(AND('Pricing Inputs'!$AQ$3&gt;=2,'Pricing Inputs'!$AQ$3&lt;=6),K131,(VLOOKUP(A131,ScaledPrice,5))*(2-(VLOOKUP(A131,ScaledPrice,3)))),0))</f>
        <v xml:space="preserve"> </v>
      </c>
      <c r="M131" s="255" t="str">
        <f>IF(A131="N/A"," ",IF(OR('Pricing Inputs'!$AQ$3=3,'Pricing Inputs'!$AQ$3=6,'Pricing Inputs'!$AQ$3=9),(VLOOKUP(A131,ScaledPrice,IF(AND('Pricing Inputs'!$AQ$3&gt;=3,'Pricing Inputs'!$AQ$3&lt;=6),7,8))),0))</f>
        <v xml:space="preserve"> </v>
      </c>
      <c r="N131" s="255" t="str">
        <f>IF(A131="N/A"," ",IF(OR('Pricing Inputs'!$AQ$3=3,'Pricing Inputs'!$AQ$3=6,'Pricing Inputs'!$AQ$3=9),IF(AND('Pricing Inputs'!$AQ$3&gt;=3,'Pricing Inputs'!$AQ$3&lt;=6),M131,(VLOOKUP(A131,ScaledPrice,7))*(2-(VLOOKUP(A131,ScaledPrice,3)))),0))</f>
        <v xml:space="preserve"> </v>
      </c>
      <c r="O131" s="255" t="str">
        <f>IF(A131="N/A"," ",IF(AND('Pricing Inputs'!$AQ$3&gt;=1,'Pricing Inputs'!$AQ$3&lt;=3),VLOOKUP(A131,ScaledPrice,9),0))</f>
        <v xml:space="preserve"> </v>
      </c>
      <c r="P131" s="320" t="str">
        <f>IF($A131="N/A"," ",IF('Pricing Inputs'!$AN$8=2,(I131-H131),IF('Pricing Inputs'!$AN$3=2,IF((I131-$H131)&gt;0,I131-$H131,0),(_xll.xSPRDOPT(I131,$E131,$BU131,0,$BP131,$BS131,$BT131,($A131-Inputs!$D$1)+15,1,0)))))</f>
        <v xml:space="preserve"> </v>
      </c>
      <c r="Q131" s="320" t="str">
        <f>IF($A131="N/A"," ",IF('Pricing Inputs'!$AN$8=2,(J131-$H131),IF('Pricing Inputs'!$AN$3=2,IF((J131-$H131)&gt;0,J131-$H131,0),(_xll.xSPRDOPT(J131,$E131,$BU131,0,$BP131,$BS131,$BT131,($A131-Inputs!$D$1)+15,1,0)))))</f>
        <v xml:space="preserve"> </v>
      </c>
      <c r="R131" s="320" t="str">
        <f>IF($A131="N/A"," ",IF('Pricing Inputs'!$AN$8=2,(K131-$H131),IF('Pricing Inputs'!$AN$3=2,IF((K131-$H131)&gt;0,K131-$H131,0),(_xll.xSPRDOPT(K131,$E131,$BU131,0,$BP131,$BS131,$BT131,($A131-Inputs!$D$1)+15,1,0)))))</f>
        <v xml:space="preserve"> </v>
      </c>
      <c r="S131" s="320" t="str">
        <f>IF($A131="N/A"," ",IF('Pricing Inputs'!$AN$8=2,(L131-$H131),IF('Pricing Inputs'!$AN$3=2,IF((L131-$H131)&gt;0,L131-$H131,0),(_xll.xSPRDOPT(L131,$E131,$BU131,0,$BP131,$BS131,$BT131,($A131-Inputs!$D$1)+15,1,0)))))</f>
        <v xml:space="preserve"> </v>
      </c>
      <c r="T131" s="320" t="str">
        <f>IF($A131="N/A"," ",IF('Pricing Inputs'!$AN$8=2,(M131-$H131),IF('Pricing Inputs'!$AN$3=2,IF((M131-$H131)&gt;0,M131-$H131,0),(_xll.xSPRDOPT(M131,$E131,$BU131,0,$BP131,$BS131,$BT131,($A131-Inputs!$D$1)+15,1,0)))))</f>
        <v xml:space="preserve"> </v>
      </c>
      <c r="U131" s="320" t="str">
        <f>IF($A131="N/A"," ",IF('Pricing Inputs'!$AN$8=2,(N131-$H131),IF('Pricing Inputs'!$AN$3=2,IF((N131-$H131)&gt;0,N131-$H131,0),(_xll.xSPRDOPT(N131,$E131,$BU131,0,$BP131,$BS131,$BT131,($A131-Inputs!$D$1)+15,1,0)))))</f>
        <v xml:space="preserve"> </v>
      </c>
      <c r="V131" s="259" t="str">
        <f>IF($A131="N/A"," ",(IF('Pricing Inputs'!$AN$8=2,(O131-$H131),IF((O131-$H131)&lt;=0,0,(O131-$H131)))))</f>
        <v xml:space="preserve"> </v>
      </c>
      <c r="W131" s="306" t="str">
        <f>IF($A131="N/A"," ",IF(0&lt;&gt;P131,IF('Pricing Inputs'!$AN$3=2,8*VLOOKUP($A131,NumberofDaysTable,2),(_xll.xSPRDOPT(I131,$E131,$BU131,0,$BP131,$BS131,$BT131,$A131-Inputs!$D$1,1,1))*(8*VLOOKUP($A131,NumberofDaysTable,2))),0))</f>
        <v xml:space="preserve"> </v>
      </c>
      <c r="X131" s="306" t="str">
        <f>IF($A131="N/A"," ",IF(Q131&lt;&gt;0,IF('Pricing Inputs'!$AN$3=2,8*VLOOKUP($A131,NumberofDaysTable,2),(_xll.xSPRDOPT(J131,$E131,$BU131,0,$BP131,$BS131,$BT131,$A131-Inputs!$D$1,1,1))*(8*VLOOKUP($A131,NumberofDaysTable,2))),0))</f>
        <v xml:space="preserve"> </v>
      </c>
      <c r="Y131" s="306" t="str">
        <f>IF($A131="N/A"," ",IF(R131&lt;&gt;0,IF('Pricing Inputs'!$AN$3=2,8*VLOOKUP($A131,NumberofDaysTable,3),(_xll.xSPRDOPT(K131,$E131,$BU131,0,$BP131,$BS131,$BT131,$A131-Inputs!$D$1,1,1))*(8*VLOOKUP($A131,NumberofDaysTable,3))),0))</f>
        <v xml:space="preserve"> </v>
      </c>
      <c r="Z131" s="306" t="str">
        <f>IF($A131="N/A"," ",IF(S131&lt;&gt;0,IF('Pricing Inputs'!$AN$3=2,8*VLOOKUP($A131,NumberofDaysTable,3),(_xll.xSPRDOPT(L131,$E131,$BU131,0,$BP131,$BS131,$BT131,$A131-Inputs!$D$1,1,1))*(8*VLOOKUP($A131,NumberofDaysTable,3))),0))</f>
        <v xml:space="preserve"> </v>
      </c>
      <c r="AA131" s="306" t="str">
        <f>IF($A131="N/A"," ",IF(T131&lt;&gt;0,IF('Pricing Inputs'!$AN$3=2,8*VLOOKUP($A131,NumberofDaysTable,4),(_xll.xSPRDOPT(M131,$E131,$BU131,0,$BP131,$BS131,$BT131,$A131-Inputs!$D$1,1,1))*(8*VLOOKUP($A131,NumberofDaysTable,4))),0))</f>
        <v xml:space="preserve"> </v>
      </c>
      <c r="AB131" s="306" t="str">
        <f>IF($A131="N/A"," ",IF(U131&lt;&gt;0,IF('Pricing Inputs'!$AN$3=2,8*VLOOKUP($A131,NumberofDaysTable,4),(_xll.xSPRDOPT(N131,$E131,$BU131,0,$BP131,$BS131,$BT131,$A131-Inputs!$D$1,1,1))*(8*VLOOKUP($A131,NumberofDaysTable,4))),0))</f>
        <v xml:space="preserve"> </v>
      </c>
      <c r="AC131" s="306" t="str">
        <f t="shared" si="132"/>
        <v xml:space="preserve"> </v>
      </c>
      <c r="AD131" s="274" t="str">
        <f t="shared" si="220"/>
        <v xml:space="preserve"> </v>
      </c>
      <c r="AE131" s="275" t="str">
        <f t="shared" si="221"/>
        <v xml:space="preserve"> </v>
      </c>
      <c r="AF131" s="275" t="str">
        <f t="shared" si="222"/>
        <v xml:space="preserve"> </v>
      </c>
      <c r="AG131" s="275" t="str">
        <f t="shared" si="223"/>
        <v xml:space="preserve"> </v>
      </c>
      <c r="AH131" s="275" t="str">
        <f t="shared" si="224"/>
        <v xml:space="preserve"> </v>
      </c>
      <c r="AI131" s="275" t="str">
        <f t="shared" si="225"/>
        <v xml:space="preserve"> </v>
      </c>
      <c r="AJ131" s="276" t="str">
        <f t="shared" si="226"/>
        <v xml:space="preserve"> </v>
      </c>
      <c r="AK131" s="314" t="str">
        <f t="shared" si="158"/>
        <v xml:space="preserve"> </v>
      </c>
      <c r="AL131" s="315" t="str">
        <f t="shared" si="159"/>
        <v xml:space="preserve"> </v>
      </c>
      <c r="AM131" s="315" t="str">
        <f t="shared" si="160"/>
        <v xml:space="preserve"> </v>
      </c>
      <c r="AN131" s="315" t="str">
        <f t="shared" si="161"/>
        <v xml:space="preserve"> </v>
      </c>
      <c r="AO131" s="315" t="str">
        <f t="shared" si="162"/>
        <v xml:space="preserve"> </v>
      </c>
      <c r="AP131" s="315" t="str">
        <f t="shared" si="163"/>
        <v xml:space="preserve"> </v>
      </c>
      <c r="AQ131" s="315" t="str">
        <f t="shared" si="164"/>
        <v xml:space="preserve"> </v>
      </c>
      <c r="AR131" s="276"/>
      <c r="AS131" s="321" t="str">
        <f t="shared" si="213"/>
        <v xml:space="preserve"> </v>
      </c>
      <c r="AT131" s="324" t="str">
        <f t="shared" si="214"/>
        <v xml:space="preserve"> </v>
      </c>
      <c r="AU131" s="324" t="str">
        <f t="shared" si="215"/>
        <v xml:space="preserve"> </v>
      </c>
      <c r="AV131" s="324" t="str">
        <f t="shared" si="216"/>
        <v xml:space="preserve"> </v>
      </c>
      <c r="AW131" s="324" t="str">
        <f t="shared" si="217"/>
        <v xml:space="preserve"> </v>
      </c>
      <c r="AX131" s="324" t="str">
        <f t="shared" si="218"/>
        <v xml:space="preserve"> </v>
      </c>
      <c r="AY131" s="324" t="str">
        <f t="shared" si="219"/>
        <v xml:space="preserve"> </v>
      </c>
      <c r="AZ131" s="276"/>
      <c r="BA131" s="267" t="str">
        <f>IF($A131="N/A"," ",(IF(MONTH(A131)&gt;=4,IF(MONTH(A131)&lt;=10,Inputs!$F$13,Inputs!$F$14),Inputs!$F$14))*$BW131)</f>
        <v xml:space="preserve"> </v>
      </c>
      <c r="BB131" s="268" t="str">
        <f t="shared" si="165"/>
        <v xml:space="preserve"> </v>
      </c>
      <c r="BC131" s="268" t="str">
        <f t="shared" si="166"/>
        <v xml:space="preserve"> </v>
      </c>
      <c r="BD131" s="268" t="str">
        <f t="shared" si="133"/>
        <v xml:space="preserve"> </v>
      </c>
      <c r="BE131" s="268" t="str">
        <f t="shared" si="134"/>
        <v xml:space="preserve"> </v>
      </c>
      <c r="BF131" s="268" t="str">
        <f t="shared" si="135"/>
        <v xml:space="preserve"> </v>
      </c>
      <c r="BG131" s="268" t="str">
        <f t="shared" si="136"/>
        <v xml:space="preserve"> </v>
      </c>
      <c r="BH131" s="268" t="str">
        <f t="shared" si="157"/>
        <v xml:space="preserve"> </v>
      </c>
      <c r="BI131" s="268" t="str">
        <f t="shared" si="137"/>
        <v xml:space="preserve"> </v>
      </c>
      <c r="BJ131" s="296" t="str">
        <f t="shared" si="138"/>
        <v xml:space="preserve"> </v>
      </c>
      <c r="BK131" s="296" t="str">
        <f t="shared" si="139"/>
        <v xml:space="preserve"> </v>
      </c>
      <c r="BL131" s="296" t="str">
        <f t="shared" si="140"/>
        <v xml:space="preserve"> </v>
      </c>
      <c r="BM131" s="296" t="str">
        <f t="shared" si="141"/>
        <v xml:space="preserve"> </v>
      </c>
      <c r="BN131" s="405" t="str">
        <f>IF(A131="N/A"," ",(VLOOKUP(A131,PowerVolTable,(IF('Pricing Inputs'!$AT$3=2,7,IF('Pricing Inputs'!$AT$3=1,6,8))),FALSE)))</f>
        <v xml:space="preserve"> </v>
      </c>
      <c r="BO131" s="405" t="str">
        <f>IF(A131="N/A"," ",(VLOOKUP(A131,IntraPowerVol,(IF('Pricing Inputs'!$AT$3=2,3,IF('Pricing Inputs'!$AT$3=1,2,4))),FALSE)*VLOOKUP(MONTH($A131),Inputs!$A$28:$B$39,2)))</f>
        <v xml:space="preserve"> </v>
      </c>
      <c r="BP131" s="406" t="str">
        <f t="shared" si="126"/>
        <v xml:space="preserve"> </v>
      </c>
      <c r="BQ131" s="405" t="str">
        <f>IF($A131="N/A"," ",(VLOOKUP($A131,GasVolTable,(IF('Pricing Inputs'!$AT$3=2,6,IF('Pricing Inputs'!$AT$3=1,7,5))),FALSE)))</f>
        <v xml:space="preserve"> </v>
      </c>
      <c r="BR131" s="405" t="str">
        <f>IF($A131="N/A"," ",(VLOOKUP($A131,OmicronVol,(IF('Pricing Inputs'!$AT$3=2,3,IF('Pricing Inputs'!$AT$3=1,4,2))),FALSE)))</f>
        <v xml:space="preserve"> </v>
      </c>
      <c r="BS131" s="406" t="str">
        <f>IF($A131="N/A"," ",IF('Pricing Inputs'!$AN$3=1,(IF(DateToday&gt;$A131,$BR131,((($BQ131^2)*((($A131-1)-DateToday)/((EOMONTH($A131,0)+1)-DateToday-15)))+((($BR131)^2)*((15)/((EOMONTH($A131,0)+1)-DateToday-15))))^0.5)),0.0001))</f>
        <v xml:space="preserve"> </v>
      </c>
      <c r="BT131" s="405" t="str">
        <f>IF($A131="N/A"," ",IF('Pricing Inputs'!$AN$3=1,(VLOOKUP($A131,CorrelationTable,2,FALSE)),0))</f>
        <v xml:space="preserve"> </v>
      </c>
      <c r="BU131" s="407" t="str">
        <f>IF($A131="N/A"," ",F131+G131+(D131*(VLOOKUP($A131,'Gas Curves'!$B$17:$P$310,14,FALSE))))</f>
        <v xml:space="preserve"> </v>
      </c>
      <c r="BV131" s="405" t="str">
        <f>IF($A131="N/A"," ",IF('Pricing Inputs'!$AW$3=1,0,(VLOOKUP($A131,InterestRatesTable,2))))</f>
        <v xml:space="preserve"> </v>
      </c>
      <c r="BW131" s="408" t="str">
        <f t="shared" si="127"/>
        <v xml:space="preserve"> </v>
      </c>
    </row>
    <row r="132" spans="1:75">
      <c r="A132" s="248" t="str">
        <f>IF(A131="N/A","N/A",IF(EDATE(A131,1)&gt;Inputs!$K$3,"N/A",EDATE(A131,1)))</f>
        <v>N/A</v>
      </c>
      <c r="B132" s="262" t="str">
        <f t="shared" si="128"/>
        <v xml:space="preserve"> </v>
      </c>
      <c r="C132" s="249" t="str">
        <f t="shared" si="129"/>
        <v xml:space="preserve"> </v>
      </c>
      <c r="D132" s="250" t="str">
        <f>IF(A132="N/A"," ",(VLOOKUP(MONTH($A132),Inputs!$A$14:$B$25,2))/1000)</f>
        <v xml:space="preserve"> </v>
      </c>
      <c r="E132" s="304" t="str">
        <f t="shared" si="130"/>
        <v xml:space="preserve"> </v>
      </c>
      <c r="F132" s="251" t="str">
        <f>IF(A132="N/A"," ",Inputs!$F$6)</f>
        <v xml:space="preserve"> </v>
      </c>
      <c r="G132" s="251" t="str">
        <f>IF(A132="N/A"," ",Inputs!$F$9/IF(AND('Pricing Inputs'!$AQ$3&gt;=4,'Pricing Inputs'!$AQ$3&lt;=6),16,IF(AND('Pricing Inputs'!$AQ$3&gt;=7,'Pricing Inputs'!$AQ$3&lt;=9),8,24))/(BA132/BW132))</f>
        <v xml:space="preserve"> </v>
      </c>
      <c r="H132" s="252" t="str">
        <f t="shared" si="131"/>
        <v xml:space="preserve"> </v>
      </c>
      <c r="I132" s="255" t="str">
        <f>VLOOKUP(A132,ScaledPrice,(IF(AND('Pricing Inputs'!$AQ$3&gt;=1,'Pricing Inputs'!$AQ$3&lt;=6),2,4)))</f>
        <v xml:space="preserve"> </v>
      </c>
      <c r="J132" s="255" t="str">
        <f>IF(A132="N/A"," ",IF(AND('Pricing Inputs'!$AQ$3&gt;=1,'Pricing Inputs'!$AQ$3&lt;=6),I132,(VLOOKUP(A132,ScaledPrice,2))*(2-(VLOOKUP(A132,ScaledPrice,3)))))</f>
        <v xml:space="preserve"> </v>
      </c>
      <c r="K132" s="255" t="str">
        <f>IF(A132="N/A"," ",IF(OR('Pricing Inputs'!$AQ$3=2,'Pricing Inputs'!$AQ$3=3,'Pricing Inputs'!$AQ$3=5,'Pricing Inputs'!$AQ$3=6,'Pricing Inputs'!$AQ$3=8,'Pricing Inputs'!$AQ$3=9),VLOOKUP(A132,ScaledPrice,IF(AND('Pricing Inputs'!$AQ$3&gt;=2,'Pricing Inputs'!$AQ$3&lt;=6),5,6)),0))</f>
        <v xml:space="preserve"> </v>
      </c>
      <c r="L132" s="255" t="str">
        <f>IF(A132="N/A"," ",IF(OR('Pricing Inputs'!$AQ$3=2,'Pricing Inputs'!$AQ$3=3,'Pricing Inputs'!$AQ$3=5,'Pricing Inputs'!$AQ$3=6,'Pricing Inputs'!$AQ$3=8,'Pricing Inputs'!$AQ$3=9),IF(AND('Pricing Inputs'!$AQ$3&gt;=2,'Pricing Inputs'!$AQ$3&lt;=6),K132,(VLOOKUP(A132,ScaledPrice,5))*(2-(VLOOKUP(A132,ScaledPrice,3)))),0))</f>
        <v xml:space="preserve"> </v>
      </c>
      <c r="M132" s="255" t="str">
        <f>IF(A132="N/A"," ",IF(OR('Pricing Inputs'!$AQ$3=3,'Pricing Inputs'!$AQ$3=6,'Pricing Inputs'!$AQ$3=9),(VLOOKUP(A132,ScaledPrice,IF(AND('Pricing Inputs'!$AQ$3&gt;=3,'Pricing Inputs'!$AQ$3&lt;=6),7,8))),0))</f>
        <v xml:space="preserve"> </v>
      </c>
      <c r="N132" s="255" t="str">
        <f>IF(A132="N/A"," ",IF(OR('Pricing Inputs'!$AQ$3=3,'Pricing Inputs'!$AQ$3=6,'Pricing Inputs'!$AQ$3=9),IF(AND('Pricing Inputs'!$AQ$3&gt;=3,'Pricing Inputs'!$AQ$3&lt;=6),M132,(VLOOKUP(A132,ScaledPrice,7))*(2-(VLOOKUP(A132,ScaledPrice,3)))),0))</f>
        <v xml:space="preserve"> </v>
      </c>
      <c r="O132" s="255" t="str">
        <f>IF(A132="N/A"," ",IF(AND('Pricing Inputs'!$AQ$3&gt;=1,'Pricing Inputs'!$AQ$3&lt;=3),VLOOKUP(A132,ScaledPrice,9),0))</f>
        <v xml:space="preserve"> </v>
      </c>
      <c r="P132" s="320" t="str">
        <f>IF($A132="N/A"," ",IF('Pricing Inputs'!$AN$8=2,(I132-H132),IF('Pricing Inputs'!$AN$3=2,IF((I132-$H132)&gt;0,I132-$H132,0),(_xll.xSPRDOPT(I132,$E132,$BU132,0,$BP132,$BS132,$BT132,($A132-Inputs!$D$1)+15,1,0)))))</f>
        <v xml:space="preserve"> </v>
      </c>
      <c r="Q132" s="320" t="str">
        <f>IF($A132="N/A"," ",IF('Pricing Inputs'!$AN$8=2,(J132-$H132),IF('Pricing Inputs'!$AN$3=2,IF((J132-$H132)&gt;0,J132-$H132,0),(_xll.xSPRDOPT(J132,$E132,$BU132,0,$BP132,$BS132,$BT132,($A132-Inputs!$D$1)+15,1,0)))))</f>
        <v xml:space="preserve"> </v>
      </c>
      <c r="R132" s="320" t="str">
        <f>IF($A132="N/A"," ",IF('Pricing Inputs'!$AN$8=2,(K132-$H132),IF('Pricing Inputs'!$AN$3=2,IF((K132-$H132)&gt;0,K132-$H132,0),(_xll.xSPRDOPT(K132,$E132,$BU132,0,$BP132,$BS132,$BT132,($A132-Inputs!$D$1)+15,1,0)))))</f>
        <v xml:space="preserve"> </v>
      </c>
      <c r="S132" s="320" t="str">
        <f>IF($A132="N/A"," ",IF('Pricing Inputs'!$AN$8=2,(L132-$H132),IF('Pricing Inputs'!$AN$3=2,IF((L132-$H132)&gt;0,L132-$H132,0),(_xll.xSPRDOPT(L132,$E132,$BU132,0,$BP132,$BS132,$BT132,($A132-Inputs!$D$1)+15,1,0)))))</f>
        <v xml:space="preserve"> </v>
      </c>
      <c r="T132" s="320" t="str">
        <f>IF($A132="N/A"," ",IF('Pricing Inputs'!$AN$8=2,(M132-$H132),IF('Pricing Inputs'!$AN$3=2,IF((M132-$H132)&gt;0,M132-$H132,0),(_xll.xSPRDOPT(M132,$E132,$BU132,0,$BP132,$BS132,$BT132,($A132-Inputs!$D$1)+15,1,0)))))</f>
        <v xml:space="preserve"> </v>
      </c>
      <c r="U132" s="320" t="str">
        <f>IF($A132="N/A"," ",IF('Pricing Inputs'!$AN$8=2,(N132-$H132),IF('Pricing Inputs'!$AN$3=2,IF((N132-$H132)&gt;0,N132-$H132,0),(_xll.xSPRDOPT(N132,$E132,$BU132,0,$BP132,$BS132,$BT132,($A132-Inputs!$D$1)+15,1,0)))))</f>
        <v xml:space="preserve"> </v>
      </c>
      <c r="V132" s="259" t="str">
        <f>IF($A132="N/A"," ",(IF('Pricing Inputs'!$AN$8=2,(O132-$H132),IF((O132-$H132)&lt;=0,0,(O132-$H132)))))</f>
        <v xml:space="preserve"> </v>
      </c>
      <c r="W132" s="306" t="str">
        <f>IF($A132="N/A"," ",IF(0&lt;&gt;P132,IF('Pricing Inputs'!$AN$3=2,8*VLOOKUP($A132,NumberofDaysTable,2),(_xll.xSPRDOPT(I132,$E132,$BU132,0,$BP132,$BS132,$BT132,$A132-Inputs!$D$1,1,1))*(8*VLOOKUP($A132,NumberofDaysTable,2))),0))</f>
        <v xml:space="preserve"> </v>
      </c>
      <c r="X132" s="306" t="str">
        <f>IF($A132="N/A"," ",IF(Q132&lt;&gt;0,IF('Pricing Inputs'!$AN$3=2,8*VLOOKUP($A132,NumberofDaysTable,2),(_xll.xSPRDOPT(J132,$E132,$BU132,0,$BP132,$BS132,$BT132,$A132-Inputs!$D$1,1,1))*(8*VLOOKUP($A132,NumberofDaysTable,2))),0))</f>
        <v xml:space="preserve"> </v>
      </c>
      <c r="Y132" s="306" t="str">
        <f>IF($A132="N/A"," ",IF(R132&lt;&gt;0,IF('Pricing Inputs'!$AN$3=2,8*VLOOKUP($A132,NumberofDaysTable,3),(_xll.xSPRDOPT(K132,$E132,$BU132,0,$BP132,$BS132,$BT132,$A132-Inputs!$D$1,1,1))*(8*VLOOKUP($A132,NumberofDaysTable,3))),0))</f>
        <v xml:space="preserve"> </v>
      </c>
      <c r="Z132" s="306" t="str">
        <f>IF($A132="N/A"," ",IF(S132&lt;&gt;0,IF('Pricing Inputs'!$AN$3=2,8*VLOOKUP($A132,NumberofDaysTable,3),(_xll.xSPRDOPT(L132,$E132,$BU132,0,$BP132,$BS132,$BT132,$A132-Inputs!$D$1,1,1))*(8*VLOOKUP($A132,NumberofDaysTable,3))),0))</f>
        <v xml:space="preserve"> </v>
      </c>
      <c r="AA132" s="306" t="str">
        <f>IF($A132="N/A"," ",IF(T132&lt;&gt;0,IF('Pricing Inputs'!$AN$3=2,8*VLOOKUP($A132,NumberofDaysTable,4),(_xll.xSPRDOPT(M132,$E132,$BU132,0,$BP132,$BS132,$BT132,$A132-Inputs!$D$1,1,1))*(8*VLOOKUP($A132,NumberofDaysTable,4))),0))</f>
        <v xml:space="preserve"> </v>
      </c>
      <c r="AB132" s="306" t="str">
        <f>IF($A132="N/A"," ",IF(U132&lt;&gt;0,IF('Pricing Inputs'!$AN$3=2,8*VLOOKUP($A132,NumberofDaysTable,4),(_xll.xSPRDOPT(N132,$E132,$BU132,0,$BP132,$BS132,$BT132,$A132-Inputs!$D$1,1,1))*(8*VLOOKUP($A132,NumberofDaysTable,4))),0))</f>
        <v xml:space="preserve"> </v>
      </c>
      <c r="AC132" s="306" t="str">
        <f t="shared" si="132"/>
        <v xml:space="preserve"> </v>
      </c>
      <c r="AD132" s="274" t="str">
        <f t="shared" si="220"/>
        <v xml:space="preserve"> </v>
      </c>
      <c r="AE132" s="275" t="str">
        <f t="shared" si="221"/>
        <v xml:space="preserve"> </v>
      </c>
      <c r="AF132" s="275" t="str">
        <f t="shared" si="222"/>
        <v xml:space="preserve"> </v>
      </c>
      <c r="AG132" s="275" t="str">
        <f t="shared" si="223"/>
        <v xml:space="preserve"> </v>
      </c>
      <c r="AH132" s="275" t="str">
        <f t="shared" si="224"/>
        <v xml:space="preserve"> </v>
      </c>
      <c r="AI132" s="275" t="str">
        <f t="shared" si="225"/>
        <v xml:space="preserve"> </v>
      </c>
      <c r="AJ132" s="276" t="str">
        <f t="shared" si="226"/>
        <v xml:space="preserve"> </v>
      </c>
      <c r="AK132" s="314" t="str">
        <f t="shared" si="158"/>
        <v xml:space="preserve"> </v>
      </c>
      <c r="AL132" s="315" t="str">
        <f t="shared" si="159"/>
        <v xml:space="preserve"> </v>
      </c>
      <c r="AM132" s="315" t="str">
        <f t="shared" si="160"/>
        <v xml:space="preserve"> </v>
      </c>
      <c r="AN132" s="315" t="str">
        <f t="shared" si="161"/>
        <v xml:space="preserve"> </v>
      </c>
      <c r="AO132" s="315" t="str">
        <f t="shared" si="162"/>
        <v xml:space="preserve"> </v>
      </c>
      <c r="AP132" s="315" t="str">
        <f t="shared" si="163"/>
        <v xml:space="preserve"> </v>
      </c>
      <c r="AQ132" s="315" t="str">
        <f t="shared" si="164"/>
        <v xml:space="preserve"> </v>
      </c>
      <c r="AR132" s="276"/>
      <c r="AS132" s="321" t="str">
        <f t="shared" si="213"/>
        <v xml:space="preserve"> </v>
      </c>
      <c r="AT132" s="324" t="str">
        <f t="shared" si="214"/>
        <v xml:space="preserve"> </v>
      </c>
      <c r="AU132" s="324" t="str">
        <f t="shared" si="215"/>
        <v xml:space="preserve"> </v>
      </c>
      <c r="AV132" s="324" t="str">
        <f t="shared" si="216"/>
        <v xml:space="preserve"> </v>
      </c>
      <c r="AW132" s="324" t="str">
        <f t="shared" si="217"/>
        <v xml:space="preserve"> </v>
      </c>
      <c r="AX132" s="324" t="str">
        <f t="shared" si="218"/>
        <v xml:space="preserve"> </v>
      </c>
      <c r="AY132" s="324" t="str">
        <f t="shared" si="219"/>
        <v xml:space="preserve"> </v>
      </c>
      <c r="AZ132" s="283"/>
      <c r="BA132" s="267" t="str">
        <f>IF($A132="N/A"," ",(IF(MONTH(A132)&gt;=4,IF(MONTH(A132)&lt;=10,Inputs!$F$13,Inputs!$F$14),Inputs!$F$14))*$BW132)</f>
        <v xml:space="preserve"> </v>
      </c>
      <c r="BB132" s="268" t="str">
        <f t="shared" si="165"/>
        <v xml:space="preserve"> </v>
      </c>
      <c r="BC132" s="268" t="str">
        <f t="shared" si="166"/>
        <v xml:space="preserve"> </v>
      </c>
      <c r="BD132" s="268" t="str">
        <f t="shared" si="133"/>
        <v xml:space="preserve"> </v>
      </c>
      <c r="BE132" s="268" t="str">
        <f t="shared" si="134"/>
        <v xml:space="preserve"> </v>
      </c>
      <c r="BF132" s="268" t="str">
        <f t="shared" si="135"/>
        <v xml:space="preserve"> </v>
      </c>
      <c r="BG132" s="268" t="str">
        <f t="shared" si="136"/>
        <v xml:space="preserve"> </v>
      </c>
      <c r="BH132" s="268" t="str">
        <f t="shared" si="157"/>
        <v xml:space="preserve"> </v>
      </c>
      <c r="BI132" s="268" t="str">
        <f t="shared" si="137"/>
        <v xml:space="preserve"> </v>
      </c>
      <c r="BJ132" s="296" t="str">
        <f t="shared" si="138"/>
        <v xml:space="preserve"> </v>
      </c>
      <c r="BK132" s="296" t="str">
        <f t="shared" si="139"/>
        <v xml:space="preserve"> </v>
      </c>
      <c r="BL132" s="296" t="str">
        <f t="shared" si="140"/>
        <v xml:space="preserve"> </v>
      </c>
      <c r="BM132" s="296" t="str">
        <f t="shared" si="141"/>
        <v xml:space="preserve"> </v>
      </c>
      <c r="BN132" s="405" t="str">
        <f>IF(A132="N/A"," ",(VLOOKUP(A132,PowerVolTable,(IF('Pricing Inputs'!$AT$3=2,7,IF('Pricing Inputs'!$AT$3=1,6,8))),FALSE)))</f>
        <v xml:space="preserve"> </v>
      </c>
      <c r="BO132" s="405" t="str">
        <f>IF(A132="N/A"," ",(VLOOKUP(A132,IntraPowerVol,(IF('Pricing Inputs'!$AT$3=2,3,IF('Pricing Inputs'!$AT$3=1,2,4))),FALSE)*VLOOKUP(MONTH($A132),Inputs!$A$28:$B$39,2)))</f>
        <v xml:space="preserve"> </v>
      </c>
      <c r="BP132" s="406" t="str">
        <f t="shared" ref="BP132:BP195" si="227">IF($A132="N/A"," ",(IF(DateToday&gt;$A132,$BO132,((($BN132^2)*((($A132-1)-DateToday)/((EOMONTH($A132,0)+1)-DateToday-15)))+((($BO132)^2)*((15)/((EOMONTH($A132,0)+1)-DateToday-15))))^0.5)))</f>
        <v xml:space="preserve"> </v>
      </c>
      <c r="BQ132" s="405" t="str">
        <f>IF($A132="N/A"," ",(VLOOKUP($A132,GasVolTable,(IF('Pricing Inputs'!$AT$3=2,6,IF('Pricing Inputs'!$AT$3=1,7,5))),FALSE)))</f>
        <v xml:space="preserve"> </v>
      </c>
      <c r="BR132" s="405" t="str">
        <f>IF($A132="N/A"," ",(VLOOKUP($A132,OmicronVol,(IF('Pricing Inputs'!$AT$3=2,3,IF('Pricing Inputs'!$AT$3=1,4,2))),FALSE)))</f>
        <v xml:space="preserve"> </v>
      </c>
      <c r="BS132" s="406" t="str">
        <f>IF($A132="N/A"," ",IF('Pricing Inputs'!$AN$3=1,(IF(DateToday&gt;$A132,$BR132,((($BQ132^2)*((($A132-1)-DateToday)/((EOMONTH($A132,0)+1)-DateToday-15)))+((($BR132)^2)*((15)/((EOMONTH($A132,0)+1)-DateToday-15))))^0.5)),0.0001))</f>
        <v xml:space="preserve"> </v>
      </c>
      <c r="BT132" s="405" t="str">
        <f>IF($A132="N/A"," ",IF('Pricing Inputs'!$AN$3=1,(VLOOKUP($A132,CorrelationTable,2,FALSE)),0))</f>
        <v xml:space="preserve"> </v>
      </c>
      <c r="BU132" s="407" t="str">
        <f>IF($A132="N/A"," ",F132+G132+(D132*(VLOOKUP($A132,'Gas Curves'!$B$17:$P$310,14,FALSE))))</f>
        <v xml:space="preserve"> </v>
      </c>
      <c r="BV132" s="405" t="str">
        <f>IF($A132="N/A"," ",IF('Pricing Inputs'!$AW$3=1,0,(VLOOKUP($A132,InterestRatesTable,2))))</f>
        <v xml:space="preserve"> </v>
      </c>
      <c r="BW132" s="408" t="str">
        <f t="shared" ref="BW132:BW195" si="228">IF($A132="N/A"," ",(1+BV132/2)^(-2*((EOMONTH(A132,0)+20)-DateToday)/365.25))</f>
        <v xml:space="preserve"> </v>
      </c>
    </row>
    <row r="133" spans="1:75">
      <c r="A133" s="248" t="str">
        <f>IF(A132="N/A","N/A",IF(EDATE(A132,1)&gt;Inputs!$K$3,"N/A",EDATE(A132,1)))</f>
        <v>N/A</v>
      </c>
      <c r="B133" s="262" t="str">
        <f t="shared" ref="B133:B196" si="229">IF(A133="N/A"," ",YEAR(A133))</f>
        <v xml:space="preserve"> </v>
      </c>
      <c r="C133" s="249" t="str">
        <f t="shared" ref="C133:C196" si="230">IF(A133="N/A"," ",VLOOKUP(A133,ScaledPrice,10))</f>
        <v xml:space="preserve"> </v>
      </c>
      <c r="D133" s="250" t="str">
        <f>IF(A133="N/A"," ",(VLOOKUP(MONTH($A133),Inputs!$A$14:$B$25,2))/1000)</f>
        <v xml:space="preserve"> </v>
      </c>
      <c r="E133" s="304" t="str">
        <f t="shared" ref="E133:E196" si="231">IF($A133="N/A"," ",C133*D133)</f>
        <v xml:space="preserve"> </v>
      </c>
      <c r="F133" s="251" t="str">
        <f>IF(A133="N/A"," ",Inputs!$F$6)</f>
        <v xml:space="preserve"> </v>
      </c>
      <c r="G133" s="251" t="str">
        <f>IF(A133="N/A"," ",Inputs!$F$9/IF(AND('Pricing Inputs'!$AQ$3&gt;=4,'Pricing Inputs'!$AQ$3&lt;=6),16,IF(AND('Pricing Inputs'!$AQ$3&gt;=7,'Pricing Inputs'!$AQ$3&lt;=9),8,24))/(BA133/BW133))</f>
        <v xml:space="preserve"> </v>
      </c>
      <c r="H133" s="252" t="str">
        <f t="shared" ref="H133:H196" si="232">IF(A133="N/A"," ",(C133*D133)+F133+G133)</f>
        <v xml:space="preserve"> </v>
      </c>
      <c r="I133" s="255" t="str">
        <f>VLOOKUP(A133,ScaledPrice,(IF(AND('Pricing Inputs'!$AQ$3&gt;=1,'Pricing Inputs'!$AQ$3&lt;=6),2,4)))</f>
        <v xml:space="preserve"> </v>
      </c>
      <c r="J133" s="255" t="str">
        <f>IF(A133="N/A"," ",IF(AND('Pricing Inputs'!$AQ$3&gt;=1,'Pricing Inputs'!$AQ$3&lt;=6),I133,(VLOOKUP(A133,ScaledPrice,2))*(2-(VLOOKUP(A133,ScaledPrice,3)))))</f>
        <v xml:space="preserve"> </v>
      </c>
      <c r="K133" s="255" t="str">
        <f>IF(A133="N/A"," ",IF(OR('Pricing Inputs'!$AQ$3=2,'Pricing Inputs'!$AQ$3=3,'Pricing Inputs'!$AQ$3=5,'Pricing Inputs'!$AQ$3=6,'Pricing Inputs'!$AQ$3=8,'Pricing Inputs'!$AQ$3=9),VLOOKUP(A133,ScaledPrice,IF(AND('Pricing Inputs'!$AQ$3&gt;=2,'Pricing Inputs'!$AQ$3&lt;=6),5,6)),0))</f>
        <v xml:space="preserve"> </v>
      </c>
      <c r="L133" s="255" t="str">
        <f>IF(A133="N/A"," ",IF(OR('Pricing Inputs'!$AQ$3=2,'Pricing Inputs'!$AQ$3=3,'Pricing Inputs'!$AQ$3=5,'Pricing Inputs'!$AQ$3=6,'Pricing Inputs'!$AQ$3=8,'Pricing Inputs'!$AQ$3=9),IF(AND('Pricing Inputs'!$AQ$3&gt;=2,'Pricing Inputs'!$AQ$3&lt;=6),K133,(VLOOKUP(A133,ScaledPrice,5))*(2-(VLOOKUP(A133,ScaledPrice,3)))),0))</f>
        <v xml:space="preserve"> </v>
      </c>
      <c r="M133" s="255" t="str">
        <f>IF(A133="N/A"," ",IF(OR('Pricing Inputs'!$AQ$3=3,'Pricing Inputs'!$AQ$3=6,'Pricing Inputs'!$AQ$3=9),(VLOOKUP(A133,ScaledPrice,IF(AND('Pricing Inputs'!$AQ$3&gt;=3,'Pricing Inputs'!$AQ$3&lt;=6),7,8))),0))</f>
        <v xml:space="preserve"> </v>
      </c>
      <c r="N133" s="255" t="str">
        <f>IF(A133="N/A"," ",IF(OR('Pricing Inputs'!$AQ$3=3,'Pricing Inputs'!$AQ$3=6,'Pricing Inputs'!$AQ$3=9),IF(AND('Pricing Inputs'!$AQ$3&gt;=3,'Pricing Inputs'!$AQ$3&lt;=6),M133,(VLOOKUP(A133,ScaledPrice,7))*(2-(VLOOKUP(A133,ScaledPrice,3)))),0))</f>
        <v xml:space="preserve"> </v>
      </c>
      <c r="O133" s="255" t="str">
        <f>IF(A133="N/A"," ",IF(AND('Pricing Inputs'!$AQ$3&gt;=1,'Pricing Inputs'!$AQ$3&lt;=3),VLOOKUP(A133,ScaledPrice,9),0))</f>
        <v xml:space="preserve"> </v>
      </c>
      <c r="P133" s="320" t="str">
        <f>IF($A133="N/A"," ",IF('Pricing Inputs'!$AN$8=2,(I133-H133),IF('Pricing Inputs'!$AN$3=2,IF((I133-$H133)&gt;0,I133-$H133,0),(_xll.xSPRDOPT(I133,$E133,$BU133,0,$BP133,$BS133,$BT133,($A133-Inputs!$D$1)+15,1,0)))))</f>
        <v xml:space="preserve"> </v>
      </c>
      <c r="Q133" s="320" t="str">
        <f>IF($A133="N/A"," ",IF('Pricing Inputs'!$AN$8=2,(J133-$H133),IF('Pricing Inputs'!$AN$3=2,IF((J133-$H133)&gt;0,J133-$H133,0),(_xll.xSPRDOPT(J133,$E133,$BU133,0,$BP133,$BS133,$BT133,($A133-Inputs!$D$1)+15,1,0)))))</f>
        <v xml:space="preserve"> </v>
      </c>
      <c r="R133" s="320" t="str">
        <f>IF($A133="N/A"," ",IF('Pricing Inputs'!$AN$8=2,(K133-$H133),IF('Pricing Inputs'!$AN$3=2,IF((K133-$H133)&gt;0,K133-$H133,0),(_xll.xSPRDOPT(K133,$E133,$BU133,0,$BP133,$BS133,$BT133,($A133-Inputs!$D$1)+15,1,0)))))</f>
        <v xml:space="preserve"> </v>
      </c>
      <c r="S133" s="320" t="str">
        <f>IF($A133="N/A"," ",IF('Pricing Inputs'!$AN$8=2,(L133-$H133),IF('Pricing Inputs'!$AN$3=2,IF((L133-$H133)&gt;0,L133-$H133,0),(_xll.xSPRDOPT(L133,$E133,$BU133,0,$BP133,$BS133,$BT133,($A133-Inputs!$D$1)+15,1,0)))))</f>
        <v xml:space="preserve"> </v>
      </c>
      <c r="T133" s="320" t="str">
        <f>IF($A133="N/A"," ",IF('Pricing Inputs'!$AN$8=2,(M133-$H133),IF('Pricing Inputs'!$AN$3=2,IF((M133-$H133)&gt;0,M133-$H133,0),(_xll.xSPRDOPT(M133,$E133,$BU133,0,$BP133,$BS133,$BT133,($A133-Inputs!$D$1)+15,1,0)))))</f>
        <v xml:space="preserve"> </v>
      </c>
      <c r="U133" s="320" t="str">
        <f>IF($A133="N/A"," ",IF('Pricing Inputs'!$AN$8=2,(N133-$H133),IF('Pricing Inputs'!$AN$3=2,IF((N133-$H133)&gt;0,N133-$H133,0),(_xll.xSPRDOPT(N133,$E133,$BU133,0,$BP133,$BS133,$BT133,($A133-Inputs!$D$1)+15,1,0)))))</f>
        <v xml:space="preserve"> </v>
      </c>
      <c r="V133" s="259" t="str">
        <f>IF($A133="N/A"," ",(IF('Pricing Inputs'!$AN$8=2,(O133-$H133),IF((O133-$H133)&lt;=0,0,(O133-$H133)))))</f>
        <v xml:space="preserve"> </v>
      </c>
      <c r="W133" s="306" t="str">
        <f>IF($A133="N/A"," ",IF(0&lt;&gt;P133,IF('Pricing Inputs'!$AN$3=2,8*VLOOKUP($A133,NumberofDaysTable,2),(_xll.xSPRDOPT(I133,$E133,$BU133,0,$BP133,$BS133,$BT133,$A133-Inputs!$D$1,1,1))*(8*VLOOKUP($A133,NumberofDaysTable,2))),0))</f>
        <v xml:space="preserve"> </v>
      </c>
      <c r="X133" s="306" t="str">
        <f>IF($A133="N/A"," ",IF(Q133&lt;&gt;0,IF('Pricing Inputs'!$AN$3=2,8*VLOOKUP($A133,NumberofDaysTable,2),(_xll.xSPRDOPT(J133,$E133,$BU133,0,$BP133,$BS133,$BT133,$A133-Inputs!$D$1,1,1))*(8*VLOOKUP($A133,NumberofDaysTable,2))),0))</f>
        <v xml:space="preserve"> </v>
      </c>
      <c r="Y133" s="306" t="str">
        <f>IF($A133="N/A"," ",IF(R133&lt;&gt;0,IF('Pricing Inputs'!$AN$3=2,8*VLOOKUP($A133,NumberofDaysTable,3),(_xll.xSPRDOPT(K133,$E133,$BU133,0,$BP133,$BS133,$BT133,$A133-Inputs!$D$1,1,1))*(8*VLOOKUP($A133,NumberofDaysTable,3))),0))</f>
        <v xml:space="preserve"> </v>
      </c>
      <c r="Z133" s="306" t="str">
        <f>IF($A133="N/A"," ",IF(S133&lt;&gt;0,IF('Pricing Inputs'!$AN$3=2,8*VLOOKUP($A133,NumberofDaysTable,3),(_xll.xSPRDOPT(L133,$E133,$BU133,0,$BP133,$BS133,$BT133,$A133-Inputs!$D$1,1,1))*(8*VLOOKUP($A133,NumberofDaysTable,3))),0))</f>
        <v xml:space="preserve"> </v>
      </c>
      <c r="AA133" s="306" t="str">
        <f>IF($A133="N/A"," ",IF(T133&lt;&gt;0,IF('Pricing Inputs'!$AN$3=2,8*VLOOKUP($A133,NumberofDaysTable,4),(_xll.xSPRDOPT(M133,$E133,$BU133,0,$BP133,$BS133,$BT133,$A133-Inputs!$D$1,1,1))*(8*VLOOKUP($A133,NumberofDaysTable,4))),0))</f>
        <v xml:space="preserve"> </v>
      </c>
      <c r="AB133" s="306" t="str">
        <f>IF($A133="N/A"," ",IF(U133&lt;&gt;0,IF('Pricing Inputs'!$AN$3=2,8*VLOOKUP($A133,NumberofDaysTable,4),(_xll.xSPRDOPT(N133,$E133,$BU133,0,$BP133,$BS133,$BT133,$A133-Inputs!$D$1,1,1))*(8*VLOOKUP($A133,NumberofDaysTable,4))),0))</f>
        <v xml:space="preserve"> </v>
      </c>
      <c r="AC133" s="306" t="str">
        <f t="shared" ref="AC133:AC196" si="233">IF($A133="N/A"," ",(IF(V133&lt;&gt;0,(8*VLOOKUP($A133,NumberofDaysTable,6)),0)))</f>
        <v xml:space="preserve"> </v>
      </c>
      <c r="AD133" s="274" t="str">
        <f t="shared" si="220"/>
        <v xml:space="preserve"> </v>
      </c>
      <c r="AE133" s="275" t="str">
        <f t="shared" si="221"/>
        <v xml:space="preserve"> </v>
      </c>
      <c r="AF133" s="275" t="str">
        <f t="shared" si="222"/>
        <v xml:space="preserve"> </v>
      </c>
      <c r="AG133" s="275" t="str">
        <f t="shared" si="223"/>
        <v xml:space="preserve"> </v>
      </c>
      <c r="AH133" s="275" t="str">
        <f t="shared" si="224"/>
        <v xml:space="preserve"> </v>
      </c>
      <c r="AI133" s="275" t="str">
        <f t="shared" si="225"/>
        <v xml:space="preserve"> </v>
      </c>
      <c r="AJ133" s="276" t="str">
        <f t="shared" si="226"/>
        <v xml:space="preserve"> </v>
      </c>
      <c r="AK133" s="314" t="str">
        <f t="shared" si="158"/>
        <v xml:space="preserve"> </v>
      </c>
      <c r="AL133" s="315" t="str">
        <f t="shared" si="159"/>
        <v xml:space="preserve"> </v>
      </c>
      <c r="AM133" s="315" t="str">
        <f t="shared" si="160"/>
        <v xml:space="preserve"> </v>
      </c>
      <c r="AN133" s="315" t="str">
        <f t="shared" si="161"/>
        <v xml:space="preserve"> </v>
      </c>
      <c r="AO133" s="315" t="str">
        <f t="shared" si="162"/>
        <v xml:space="preserve"> </v>
      </c>
      <c r="AP133" s="315" t="str">
        <f t="shared" si="163"/>
        <v xml:space="preserve"> </v>
      </c>
      <c r="AQ133" s="315" t="str">
        <f t="shared" si="164"/>
        <v xml:space="preserve"> </v>
      </c>
      <c r="AR133" s="284" t="s">
        <v>1292</v>
      </c>
      <c r="AS133" s="321" t="str">
        <f t="shared" si="213"/>
        <v xml:space="preserve"> </v>
      </c>
      <c r="AT133" s="324" t="str">
        <f t="shared" si="214"/>
        <v xml:space="preserve"> </v>
      </c>
      <c r="AU133" s="324" t="str">
        <f t="shared" si="215"/>
        <v xml:space="preserve"> </v>
      </c>
      <c r="AV133" s="324" t="str">
        <f t="shared" si="216"/>
        <v xml:space="preserve"> </v>
      </c>
      <c r="AW133" s="324" t="str">
        <f t="shared" si="217"/>
        <v xml:space="preserve"> </v>
      </c>
      <c r="AX133" s="324" t="str">
        <f t="shared" si="218"/>
        <v xml:space="preserve"> </v>
      </c>
      <c r="AY133" s="324" t="str">
        <f t="shared" si="219"/>
        <v xml:space="preserve"> </v>
      </c>
      <c r="AZ133" s="283" t="s">
        <v>1304</v>
      </c>
      <c r="BA133" s="267" t="str">
        <f>IF($A133="N/A"," ",(IF(MONTH(A133)&gt;=4,IF(MONTH(A133)&lt;=10,Inputs!$F$13,Inputs!$F$14),Inputs!$F$14))*$BW133)</f>
        <v xml:space="preserve"> </v>
      </c>
      <c r="BB133" s="268" t="str">
        <f t="shared" si="165"/>
        <v xml:space="preserve"> </v>
      </c>
      <c r="BC133" s="268" t="str">
        <f t="shared" si="166"/>
        <v xml:space="preserve"> </v>
      </c>
      <c r="BD133" s="268" t="str">
        <f t="shared" ref="BD133:BD196" si="234">IF($A133="N/A"," ",(IF(AM133&gt;0,($BA133*(8*(VLOOKUP($A133,NumberofDaysTable,3)))*R133),0)+IF(AU133&gt;0,($BA133*((AU133))*R133),0)))</f>
        <v xml:space="preserve"> </v>
      </c>
      <c r="BE133" s="268" t="str">
        <f t="shared" ref="BE133:BE196" si="235">IF($A133="N/A"," ",(IF(AN133&gt;0,($BA133*(8*(VLOOKUP($A133,NumberofDaysTable,3)))*S133),0)+IF(AV133&gt;0,($BA133*((AV133))*S133),0)))</f>
        <v xml:space="preserve"> </v>
      </c>
      <c r="BF133" s="268" t="str">
        <f t="shared" ref="BF133:BF196" si="236">IF($A133="N/A"," ",(IF(AO133&gt;0,($BA133*(8*(VLOOKUP($A133,NumberofDaysTable,4)+VLOOKUP($A133,NumberofDaysTable,5)))*T133),0)+IF(AW133&gt;0,($BA133*((AW133))*T133),0)))</f>
        <v xml:space="preserve"> </v>
      </c>
      <c r="BG133" s="268" t="str">
        <f t="shared" ref="BG133:BG196" si="237">IF($A133="N/A"," ",(IF(AP133&gt;0,($BA133*(8*(VLOOKUP($A133,NumberofDaysTable,4)+VLOOKUP($A133,NumberofDaysTable,5)))*U133),0)+IF(AX133&gt;0,($BA133*((AX133))*U133),0)))</f>
        <v xml:space="preserve"> </v>
      </c>
      <c r="BH133" s="268" t="str">
        <f t="shared" si="157"/>
        <v xml:space="preserve"> </v>
      </c>
      <c r="BI133" s="268" t="str">
        <f t="shared" ref="BI133:BI196" si="238">IF($A133="N/A"," ",SUM(BB133:BH133))</f>
        <v xml:space="preserve"> </v>
      </c>
      <c r="BJ133" s="296" t="str">
        <f t="shared" ref="BJ133:BJ196" si="239">IF($A133="N/A"," ",(H133*(SUM(AK133:AQ133)+SUM(AS133:AY133))*BA133))</f>
        <v xml:space="preserve"> </v>
      </c>
      <c r="BK133" s="296" t="str">
        <f t="shared" ref="BK133:BK196" si="240">IF($A133="N/A"," ",((C133*D133)*(SUM($AK133:$AQ133)+SUM($AS133:$AY133))*$BA133))</f>
        <v xml:space="preserve"> </v>
      </c>
      <c r="BL133" s="296" t="str">
        <f t="shared" ref="BL133:BL196" si="241">IF($A133="N/A"," ",(F133*(SUM($AK133:$AQ133)+SUM($AS133:$AY133))*$BA133))</f>
        <v xml:space="preserve"> </v>
      </c>
      <c r="BM133" s="296" t="str">
        <f t="shared" ref="BM133:BM196" si="242">IF($A133="N/A"," ",(G133*(SUM($AK133:$AQ133)+SUM($AS133:$AY133))*$BA133))</f>
        <v xml:space="preserve"> </v>
      </c>
      <c r="BN133" s="405" t="str">
        <f>IF(A133="N/A"," ",(VLOOKUP(A133,PowerVolTable,(IF('Pricing Inputs'!$AT$3=2,7,IF('Pricing Inputs'!$AT$3=1,6,8))),FALSE)))</f>
        <v xml:space="preserve"> </v>
      </c>
      <c r="BO133" s="405" t="str">
        <f>IF(A133="N/A"," ",(VLOOKUP(A133,IntraPowerVol,(IF('Pricing Inputs'!$AT$3=2,3,IF('Pricing Inputs'!$AT$3=1,2,4))),FALSE)*VLOOKUP(MONTH($A133),Inputs!$A$28:$B$39,2)))</f>
        <v xml:space="preserve"> </v>
      </c>
      <c r="BP133" s="406" t="str">
        <f t="shared" si="227"/>
        <v xml:space="preserve"> </v>
      </c>
      <c r="BQ133" s="405" t="str">
        <f>IF($A133="N/A"," ",(VLOOKUP($A133,GasVolTable,(IF('Pricing Inputs'!$AT$3=2,6,IF('Pricing Inputs'!$AT$3=1,7,5))),FALSE)))</f>
        <v xml:space="preserve"> </v>
      </c>
      <c r="BR133" s="405" t="str">
        <f>IF($A133="N/A"," ",(VLOOKUP($A133,OmicronVol,(IF('Pricing Inputs'!$AT$3=2,3,IF('Pricing Inputs'!$AT$3=1,4,2))),FALSE)))</f>
        <v xml:space="preserve"> </v>
      </c>
      <c r="BS133" s="406" t="str">
        <f>IF($A133="N/A"," ",IF('Pricing Inputs'!$AN$3=1,(IF(DateToday&gt;$A133,$BR133,((($BQ133^2)*((($A133-1)-DateToday)/((EOMONTH($A133,0)+1)-DateToday-15)))+((($BR133)^2)*((15)/((EOMONTH($A133,0)+1)-DateToday-15))))^0.5)),0.0001))</f>
        <v xml:space="preserve"> </v>
      </c>
      <c r="BT133" s="405" t="str">
        <f>IF($A133="N/A"," ",IF('Pricing Inputs'!$AN$3=1,(VLOOKUP($A133,CorrelationTable,2,FALSE)),0))</f>
        <v xml:space="preserve"> </v>
      </c>
      <c r="BU133" s="407" t="str">
        <f>IF($A133="N/A"," ",F133+G133+(D133*(VLOOKUP($A133,'Gas Curves'!$B$17:$P$310,14,FALSE))))</f>
        <v xml:space="preserve"> </v>
      </c>
      <c r="BV133" s="405" t="str">
        <f>IF($A133="N/A"," ",IF('Pricing Inputs'!$AW$3=1,0,(VLOOKUP($A133,InterestRatesTable,2))))</f>
        <v xml:space="preserve"> </v>
      </c>
      <c r="BW133" s="408" t="str">
        <f t="shared" si="228"/>
        <v xml:space="preserve"> </v>
      </c>
    </row>
    <row r="134" spans="1:75">
      <c r="A134" s="248" t="str">
        <f>IF(A133="N/A","N/A",IF(EDATE(A133,1)&gt;Inputs!$K$3,"N/A",EDATE(A133,1)))</f>
        <v>N/A</v>
      </c>
      <c r="B134" s="262" t="str">
        <f t="shared" si="229"/>
        <v xml:space="preserve"> </v>
      </c>
      <c r="C134" s="249" t="str">
        <f t="shared" si="230"/>
        <v xml:space="preserve"> </v>
      </c>
      <c r="D134" s="250" t="str">
        <f>IF(A134="N/A"," ",(VLOOKUP(MONTH($A134),Inputs!$A$14:$B$25,2))/1000)</f>
        <v xml:space="preserve"> </v>
      </c>
      <c r="E134" s="304" t="str">
        <f t="shared" si="231"/>
        <v xml:space="preserve"> </v>
      </c>
      <c r="F134" s="251" t="str">
        <f>IF(A134="N/A"," ",Inputs!$F$6)</f>
        <v xml:space="preserve"> </v>
      </c>
      <c r="G134" s="251" t="str">
        <f>IF(A134="N/A"," ",Inputs!$F$9/IF(AND('Pricing Inputs'!$AQ$3&gt;=4,'Pricing Inputs'!$AQ$3&lt;=6),16,IF(AND('Pricing Inputs'!$AQ$3&gt;=7,'Pricing Inputs'!$AQ$3&lt;=9),8,24))/(BA134/BW134))</f>
        <v xml:space="preserve"> </v>
      </c>
      <c r="H134" s="252" t="str">
        <f t="shared" si="232"/>
        <v xml:space="preserve"> </v>
      </c>
      <c r="I134" s="255" t="str">
        <f>VLOOKUP(A134,ScaledPrice,(IF(AND('Pricing Inputs'!$AQ$3&gt;=1,'Pricing Inputs'!$AQ$3&lt;=6),2,4)))</f>
        <v xml:space="preserve"> </v>
      </c>
      <c r="J134" s="255" t="str">
        <f>IF(A134="N/A"," ",IF(AND('Pricing Inputs'!$AQ$3&gt;=1,'Pricing Inputs'!$AQ$3&lt;=6),I134,(VLOOKUP(A134,ScaledPrice,2))*(2-(VLOOKUP(A134,ScaledPrice,3)))))</f>
        <v xml:space="preserve"> </v>
      </c>
      <c r="K134" s="255" t="str">
        <f>IF(A134="N/A"," ",IF(OR('Pricing Inputs'!$AQ$3=2,'Pricing Inputs'!$AQ$3=3,'Pricing Inputs'!$AQ$3=5,'Pricing Inputs'!$AQ$3=6,'Pricing Inputs'!$AQ$3=8,'Pricing Inputs'!$AQ$3=9),VLOOKUP(A134,ScaledPrice,IF(AND('Pricing Inputs'!$AQ$3&gt;=2,'Pricing Inputs'!$AQ$3&lt;=6),5,6)),0))</f>
        <v xml:space="preserve"> </v>
      </c>
      <c r="L134" s="255" t="str">
        <f>IF(A134="N/A"," ",IF(OR('Pricing Inputs'!$AQ$3=2,'Pricing Inputs'!$AQ$3=3,'Pricing Inputs'!$AQ$3=5,'Pricing Inputs'!$AQ$3=6,'Pricing Inputs'!$AQ$3=8,'Pricing Inputs'!$AQ$3=9),IF(AND('Pricing Inputs'!$AQ$3&gt;=2,'Pricing Inputs'!$AQ$3&lt;=6),K134,(VLOOKUP(A134,ScaledPrice,5))*(2-(VLOOKUP(A134,ScaledPrice,3)))),0))</f>
        <v xml:space="preserve"> </v>
      </c>
      <c r="M134" s="255" t="str">
        <f>IF(A134="N/A"," ",IF(OR('Pricing Inputs'!$AQ$3=3,'Pricing Inputs'!$AQ$3=6,'Pricing Inputs'!$AQ$3=9),(VLOOKUP(A134,ScaledPrice,IF(AND('Pricing Inputs'!$AQ$3&gt;=3,'Pricing Inputs'!$AQ$3&lt;=6),7,8))),0))</f>
        <v xml:space="preserve"> </v>
      </c>
      <c r="N134" s="255" t="str">
        <f>IF(A134="N/A"," ",IF(OR('Pricing Inputs'!$AQ$3=3,'Pricing Inputs'!$AQ$3=6,'Pricing Inputs'!$AQ$3=9),IF(AND('Pricing Inputs'!$AQ$3&gt;=3,'Pricing Inputs'!$AQ$3&lt;=6),M134,(VLOOKUP(A134,ScaledPrice,7))*(2-(VLOOKUP(A134,ScaledPrice,3)))),0))</f>
        <v xml:space="preserve"> </v>
      </c>
      <c r="O134" s="255" t="str">
        <f>IF(A134="N/A"," ",IF(AND('Pricing Inputs'!$AQ$3&gt;=1,'Pricing Inputs'!$AQ$3&lt;=3),VLOOKUP(A134,ScaledPrice,9),0))</f>
        <v xml:space="preserve"> </v>
      </c>
      <c r="P134" s="320" t="str">
        <f>IF($A134="N/A"," ",IF('Pricing Inputs'!$AN$8=2,(I134-H134),IF('Pricing Inputs'!$AN$3=2,IF((I134-$H134)&gt;0,I134-$H134,0),(_xll.xSPRDOPT(I134,$E134,$BU134,0,$BP134,$BS134,$BT134,($A134-Inputs!$D$1)+15,1,0)))))</f>
        <v xml:space="preserve"> </v>
      </c>
      <c r="Q134" s="320" t="str">
        <f>IF($A134="N/A"," ",IF('Pricing Inputs'!$AN$8=2,(J134-$H134),IF('Pricing Inputs'!$AN$3=2,IF((J134-$H134)&gt;0,J134-$H134,0),(_xll.xSPRDOPT(J134,$E134,$BU134,0,$BP134,$BS134,$BT134,($A134-Inputs!$D$1)+15,1,0)))))</f>
        <v xml:space="preserve"> </v>
      </c>
      <c r="R134" s="320" t="str">
        <f>IF($A134="N/A"," ",IF('Pricing Inputs'!$AN$8=2,(K134-$H134),IF('Pricing Inputs'!$AN$3=2,IF((K134-$H134)&gt;0,K134-$H134,0),(_xll.xSPRDOPT(K134,$E134,$BU134,0,$BP134,$BS134,$BT134,($A134-Inputs!$D$1)+15,1,0)))))</f>
        <v xml:space="preserve"> </v>
      </c>
      <c r="S134" s="320" t="str">
        <f>IF($A134="N/A"," ",IF('Pricing Inputs'!$AN$8=2,(L134-$H134),IF('Pricing Inputs'!$AN$3=2,IF((L134-$H134)&gt;0,L134-$H134,0),(_xll.xSPRDOPT(L134,$E134,$BU134,0,$BP134,$BS134,$BT134,($A134-Inputs!$D$1)+15,1,0)))))</f>
        <v xml:space="preserve"> </v>
      </c>
      <c r="T134" s="320" t="str">
        <f>IF($A134="N/A"," ",IF('Pricing Inputs'!$AN$8=2,(M134-$H134),IF('Pricing Inputs'!$AN$3=2,IF((M134-$H134)&gt;0,M134-$H134,0),(_xll.xSPRDOPT(M134,$E134,$BU134,0,$BP134,$BS134,$BT134,($A134-Inputs!$D$1)+15,1,0)))))</f>
        <v xml:space="preserve"> </v>
      </c>
      <c r="U134" s="320" t="str">
        <f>IF($A134="N/A"," ",IF('Pricing Inputs'!$AN$8=2,(N134-$H134),IF('Pricing Inputs'!$AN$3=2,IF((N134-$H134)&gt;0,N134-$H134,0),(_xll.xSPRDOPT(N134,$E134,$BU134,0,$BP134,$BS134,$BT134,($A134-Inputs!$D$1)+15,1,0)))))</f>
        <v xml:space="preserve"> </v>
      </c>
      <c r="V134" s="259" t="str">
        <f>IF($A134="N/A"," ",(IF('Pricing Inputs'!$AN$8=2,(O134-$H134),IF((O134-$H134)&lt;=0,0,(O134-$H134)))))</f>
        <v xml:space="preserve"> </v>
      </c>
      <c r="W134" s="306" t="str">
        <f>IF($A134="N/A"," ",IF(0&lt;&gt;P134,IF('Pricing Inputs'!$AN$3=2,8*VLOOKUP($A134,NumberofDaysTable,2),(_xll.xSPRDOPT(I134,$E134,$BU134,0,$BP134,$BS134,$BT134,$A134-Inputs!$D$1,1,1))*(8*VLOOKUP($A134,NumberofDaysTable,2))),0))</f>
        <v xml:space="preserve"> </v>
      </c>
      <c r="X134" s="306" t="str">
        <f>IF($A134="N/A"," ",IF(Q134&lt;&gt;0,IF('Pricing Inputs'!$AN$3=2,8*VLOOKUP($A134,NumberofDaysTable,2),(_xll.xSPRDOPT(J134,$E134,$BU134,0,$BP134,$BS134,$BT134,$A134-Inputs!$D$1,1,1))*(8*VLOOKUP($A134,NumberofDaysTable,2))),0))</f>
        <v xml:space="preserve"> </v>
      </c>
      <c r="Y134" s="306" t="str">
        <f>IF($A134="N/A"," ",IF(R134&lt;&gt;0,IF('Pricing Inputs'!$AN$3=2,8*VLOOKUP($A134,NumberofDaysTable,3),(_xll.xSPRDOPT(K134,$E134,$BU134,0,$BP134,$BS134,$BT134,$A134-Inputs!$D$1,1,1))*(8*VLOOKUP($A134,NumberofDaysTable,3))),0))</f>
        <v xml:space="preserve"> </v>
      </c>
      <c r="Z134" s="306" t="str">
        <f>IF($A134="N/A"," ",IF(S134&lt;&gt;0,IF('Pricing Inputs'!$AN$3=2,8*VLOOKUP($A134,NumberofDaysTable,3),(_xll.xSPRDOPT(L134,$E134,$BU134,0,$BP134,$BS134,$BT134,$A134-Inputs!$D$1,1,1))*(8*VLOOKUP($A134,NumberofDaysTable,3))),0))</f>
        <v xml:space="preserve"> </v>
      </c>
      <c r="AA134" s="306" t="str">
        <f>IF($A134="N/A"," ",IF(T134&lt;&gt;0,IF('Pricing Inputs'!$AN$3=2,8*VLOOKUP($A134,NumberofDaysTable,4),(_xll.xSPRDOPT(M134,$E134,$BU134,0,$BP134,$BS134,$BT134,$A134-Inputs!$D$1,1,1))*(8*VLOOKUP($A134,NumberofDaysTable,4))),0))</f>
        <v xml:space="preserve"> </v>
      </c>
      <c r="AB134" s="306" t="str">
        <f>IF($A134="N/A"," ",IF(U134&lt;&gt;0,IF('Pricing Inputs'!$AN$3=2,8*VLOOKUP($A134,NumberofDaysTable,4),(_xll.xSPRDOPT(N134,$E134,$BU134,0,$BP134,$BS134,$BT134,$A134-Inputs!$D$1,1,1))*(8*VLOOKUP($A134,NumberofDaysTable,4))),0))</f>
        <v xml:space="preserve"> </v>
      </c>
      <c r="AC134" s="306" t="str">
        <f t="shared" si="233"/>
        <v xml:space="preserve"> </v>
      </c>
      <c r="AD134" s="274" t="str">
        <f t="shared" si="220"/>
        <v xml:space="preserve"> </v>
      </c>
      <c r="AE134" s="275" t="str">
        <f t="shared" si="221"/>
        <v xml:space="preserve"> </v>
      </c>
      <c r="AF134" s="275" t="str">
        <f t="shared" si="222"/>
        <v xml:space="preserve"> </v>
      </c>
      <c r="AG134" s="275" t="str">
        <f t="shared" si="223"/>
        <v xml:space="preserve"> </v>
      </c>
      <c r="AH134" s="275" t="str">
        <f t="shared" si="224"/>
        <v xml:space="preserve"> </v>
      </c>
      <c r="AI134" s="275" t="str">
        <f t="shared" si="225"/>
        <v xml:space="preserve"> </v>
      </c>
      <c r="AJ134" s="276" t="str">
        <f t="shared" si="226"/>
        <v xml:space="preserve"> </v>
      </c>
      <c r="AK134" s="314" t="str">
        <f t="shared" si="158"/>
        <v xml:space="preserve"> </v>
      </c>
      <c r="AL134" s="315" t="str">
        <f t="shared" si="159"/>
        <v xml:space="preserve"> </v>
      </c>
      <c r="AM134" s="315" t="str">
        <f t="shared" si="160"/>
        <v xml:space="preserve"> </v>
      </c>
      <c r="AN134" s="315" t="str">
        <f t="shared" si="161"/>
        <v xml:space="preserve"> </v>
      </c>
      <c r="AO134" s="315" t="str">
        <f t="shared" si="162"/>
        <v xml:space="preserve"> </v>
      </c>
      <c r="AP134" s="315" t="str">
        <f t="shared" si="163"/>
        <v xml:space="preserve"> </v>
      </c>
      <c r="AQ134" s="315" t="str">
        <f t="shared" si="164"/>
        <v xml:space="preserve"> </v>
      </c>
      <c r="AR134" s="276">
        <f>SUM(AK124:AQ135)</f>
        <v>0</v>
      </c>
      <c r="AS134" s="321" t="str">
        <f t="shared" si="213"/>
        <v xml:space="preserve"> </v>
      </c>
      <c r="AT134" s="324" t="str">
        <f t="shared" si="214"/>
        <v xml:space="preserve"> </v>
      </c>
      <c r="AU134" s="324" t="str">
        <f t="shared" si="215"/>
        <v xml:space="preserve"> </v>
      </c>
      <c r="AV134" s="324" t="str">
        <f t="shared" si="216"/>
        <v xml:space="preserve"> </v>
      </c>
      <c r="AW134" s="324" t="str">
        <f t="shared" si="217"/>
        <v xml:space="preserve"> </v>
      </c>
      <c r="AX134" s="324" t="str">
        <f t="shared" si="218"/>
        <v xml:space="preserve"> </v>
      </c>
      <c r="AY134" s="324" t="str">
        <f t="shared" si="219"/>
        <v xml:space="preserve"> </v>
      </c>
      <c r="AZ134" s="276">
        <f>SUM(AS124:AY135)</f>
        <v>0</v>
      </c>
      <c r="BA134" s="267" t="str">
        <f>IF($A134="N/A"," ",(IF(MONTH(A134)&gt;=4,IF(MONTH(A134)&lt;=10,Inputs!$F$13,Inputs!$F$14),Inputs!$F$14))*$BW134)</f>
        <v xml:space="preserve"> </v>
      </c>
      <c r="BB134" s="268" t="str">
        <f t="shared" si="165"/>
        <v xml:space="preserve"> </v>
      </c>
      <c r="BC134" s="268" t="str">
        <f t="shared" si="166"/>
        <v xml:space="preserve"> </v>
      </c>
      <c r="BD134" s="268" t="str">
        <f t="shared" si="234"/>
        <v xml:space="preserve"> </v>
      </c>
      <c r="BE134" s="268" t="str">
        <f t="shared" si="235"/>
        <v xml:space="preserve"> </v>
      </c>
      <c r="BF134" s="268" t="str">
        <f t="shared" si="236"/>
        <v xml:space="preserve"> </v>
      </c>
      <c r="BG134" s="268" t="str">
        <f t="shared" si="237"/>
        <v xml:space="preserve"> </v>
      </c>
      <c r="BH134" s="268" t="str">
        <f t="shared" si="157"/>
        <v xml:space="preserve"> </v>
      </c>
      <c r="BI134" s="268" t="str">
        <f t="shared" si="238"/>
        <v xml:space="preserve"> </v>
      </c>
      <c r="BJ134" s="296" t="str">
        <f t="shared" si="239"/>
        <v xml:space="preserve"> </v>
      </c>
      <c r="BK134" s="296" t="str">
        <f t="shared" si="240"/>
        <v xml:space="preserve"> </v>
      </c>
      <c r="BL134" s="296" t="str">
        <f t="shared" si="241"/>
        <v xml:space="preserve"> </v>
      </c>
      <c r="BM134" s="296" t="str">
        <f t="shared" si="242"/>
        <v xml:space="preserve"> </v>
      </c>
      <c r="BN134" s="405" t="str">
        <f>IF(A134="N/A"," ",(VLOOKUP(A134,PowerVolTable,(IF('Pricing Inputs'!$AT$3=2,7,IF('Pricing Inputs'!$AT$3=1,6,8))),FALSE)))</f>
        <v xml:space="preserve"> </v>
      </c>
      <c r="BO134" s="405" t="str">
        <f>IF(A134="N/A"," ",(VLOOKUP(A134,IntraPowerVol,(IF('Pricing Inputs'!$AT$3=2,3,IF('Pricing Inputs'!$AT$3=1,2,4))),FALSE)*VLOOKUP(MONTH($A134),Inputs!$A$28:$B$39,2)))</f>
        <v xml:space="preserve"> </v>
      </c>
      <c r="BP134" s="406" t="str">
        <f t="shared" si="227"/>
        <v xml:space="preserve"> </v>
      </c>
      <c r="BQ134" s="405" t="str">
        <f>IF($A134="N/A"," ",(VLOOKUP($A134,GasVolTable,(IF('Pricing Inputs'!$AT$3=2,6,IF('Pricing Inputs'!$AT$3=1,7,5))),FALSE)))</f>
        <v xml:space="preserve"> </v>
      </c>
      <c r="BR134" s="405" t="str">
        <f>IF($A134="N/A"," ",(VLOOKUP($A134,OmicronVol,(IF('Pricing Inputs'!$AT$3=2,3,IF('Pricing Inputs'!$AT$3=1,4,2))),FALSE)))</f>
        <v xml:space="preserve"> </v>
      </c>
      <c r="BS134" s="406" t="str">
        <f>IF($A134="N/A"," ",IF('Pricing Inputs'!$AN$3=1,(IF(DateToday&gt;$A134,$BR134,((($BQ134^2)*((($A134-1)-DateToday)/((EOMONTH($A134,0)+1)-DateToday-15)))+((($BR134)^2)*((15)/((EOMONTH($A134,0)+1)-DateToday-15))))^0.5)),0.0001))</f>
        <v xml:space="preserve"> </v>
      </c>
      <c r="BT134" s="405" t="str">
        <f>IF($A134="N/A"," ",IF('Pricing Inputs'!$AN$3=1,(VLOOKUP($A134,CorrelationTable,2,FALSE)),0))</f>
        <v xml:space="preserve"> </v>
      </c>
      <c r="BU134" s="407" t="str">
        <f>IF($A134="N/A"," ",F134+G134+(D134*(VLOOKUP($A134,'Gas Curves'!$B$17:$P$310,14,FALSE))))</f>
        <v xml:space="preserve"> </v>
      </c>
      <c r="BV134" s="405" t="str">
        <f>IF($A134="N/A"," ",IF('Pricing Inputs'!$AW$3=1,0,(VLOOKUP($A134,InterestRatesTable,2))))</f>
        <v xml:space="preserve"> </v>
      </c>
      <c r="BW134" s="408" t="str">
        <f t="shared" si="228"/>
        <v xml:space="preserve"> </v>
      </c>
    </row>
    <row r="135" spans="1:75">
      <c r="A135" s="248" t="str">
        <f>IF(A134="N/A","N/A",IF(EDATE(A134,1)&gt;Inputs!$K$3,"N/A",EDATE(A134,1)))</f>
        <v>N/A</v>
      </c>
      <c r="B135" s="262" t="str">
        <f t="shared" si="229"/>
        <v xml:space="preserve"> </v>
      </c>
      <c r="C135" s="249" t="str">
        <f t="shared" si="230"/>
        <v xml:space="preserve"> </v>
      </c>
      <c r="D135" s="250" t="str">
        <f>IF(A135="N/A"," ",(VLOOKUP(MONTH($A135),Inputs!$A$14:$B$25,2))/1000)</f>
        <v xml:space="preserve"> </v>
      </c>
      <c r="E135" s="304" t="str">
        <f t="shared" si="231"/>
        <v xml:space="preserve"> </v>
      </c>
      <c r="F135" s="251" t="str">
        <f>IF(A135="N/A"," ",Inputs!$F$6)</f>
        <v xml:space="preserve"> </v>
      </c>
      <c r="G135" s="251" t="str">
        <f>IF(A135="N/A"," ",Inputs!$F$9/IF(AND('Pricing Inputs'!$AQ$3&gt;=4,'Pricing Inputs'!$AQ$3&lt;=6),16,IF(AND('Pricing Inputs'!$AQ$3&gt;=7,'Pricing Inputs'!$AQ$3&lt;=9),8,24))/(BA135/BW135))</f>
        <v xml:space="preserve"> </v>
      </c>
      <c r="H135" s="252" t="str">
        <f t="shared" si="232"/>
        <v xml:space="preserve"> </v>
      </c>
      <c r="I135" s="255" t="str">
        <f>VLOOKUP(A135,ScaledPrice,(IF(AND('Pricing Inputs'!$AQ$3&gt;=1,'Pricing Inputs'!$AQ$3&lt;=6),2,4)))</f>
        <v xml:space="preserve"> </v>
      </c>
      <c r="J135" s="255" t="str">
        <f>IF(A135="N/A"," ",IF(AND('Pricing Inputs'!$AQ$3&gt;=1,'Pricing Inputs'!$AQ$3&lt;=6),I135,(VLOOKUP(A135,ScaledPrice,2))*(2-(VLOOKUP(A135,ScaledPrice,3)))))</f>
        <v xml:space="preserve"> </v>
      </c>
      <c r="K135" s="255" t="str">
        <f>IF(A135="N/A"," ",IF(OR('Pricing Inputs'!$AQ$3=2,'Pricing Inputs'!$AQ$3=3,'Pricing Inputs'!$AQ$3=5,'Pricing Inputs'!$AQ$3=6,'Pricing Inputs'!$AQ$3=8,'Pricing Inputs'!$AQ$3=9),VLOOKUP(A135,ScaledPrice,IF(AND('Pricing Inputs'!$AQ$3&gt;=2,'Pricing Inputs'!$AQ$3&lt;=6),5,6)),0))</f>
        <v xml:space="preserve"> </v>
      </c>
      <c r="L135" s="255" t="str">
        <f>IF(A135="N/A"," ",IF(OR('Pricing Inputs'!$AQ$3=2,'Pricing Inputs'!$AQ$3=3,'Pricing Inputs'!$AQ$3=5,'Pricing Inputs'!$AQ$3=6,'Pricing Inputs'!$AQ$3=8,'Pricing Inputs'!$AQ$3=9),IF(AND('Pricing Inputs'!$AQ$3&gt;=2,'Pricing Inputs'!$AQ$3&lt;=6),K135,(VLOOKUP(A135,ScaledPrice,5))*(2-(VLOOKUP(A135,ScaledPrice,3)))),0))</f>
        <v xml:space="preserve"> </v>
      </c>
      <c r="M135" s="255" t="str">
        <f>IF(A135="N/A"," ",IF(OR('Pricing Inputs'!$AQ$3=3,'Pricing Inputs'!$AQ$3=6,'Pricing Inputs'!$AQ$3=9),(VLOOKUP(A135,ScaledPrice,IF(AND('Pricing Inputs'!$AQ$3&gt;=3,'Pricing Inputs'!$AQ$3&lt;=6),7,8))),0))</f>
        <v xml:space="preserve"> </v>
      </c>
      <c r="N135" s="255" t="str">
        <f>IF(A135="N/A"," ",IF(OR('Pricing Inputs'!$AQ$3=3,'Pricing Inputs'!$AQ$3=6,'Pricing Inputs'!$AQ$3=9),IF(AND('Pricing Inputs'!$AQ$3&gt;=3,'Pricing Inputs'!$AQ$3&lt;=6),M135,(VLOOKUP(A135,ScaledPrice,7))*(2-(VLOOKUP(A135,ScaledPrice,3)))),0))</f>
        <v xml:space="preserve"> </v>
      </c>
      <c r="O135" s="255" t="str">
        <f>IF(A135="N/A"," ",IF(AND('Pricing Inputs'!$AQ$3&gt;=1,'Pricing Inputs'!$AQ$3&lt;=3),VLOOKUP(A135,ScaledPrice,9),0))</f>
        <v xml:space="preserve"> </v>
      </c>
      <c r="P135" s="320" t="str">
        <f>IF($A135="N/A"," ",IF('Pricing Inputs'!$AN$8=2,(I135-H135),IF('Pricing Inputs'!$AN$3=2,IF((I135-$H135)&gt;0,I135-$H135,0),(_xll.xSPRDOPT(I135,$E135,$BU135,0,$BP135,$BS135,$BT135,($A135-Inputs!$D$1)+15,1,0)))))</f>
        <v xml:space="preserve"> </v>
      </c>
      <c r="Q135" s="320" t="str">
        <f>IF($A135="N/A"," ",IF('Pricing Inputs'!$AN$8=2,(J135-$H135),IF('Pricing Inputs'!$AN$3=2,IF((J135-$H135)&gt;0,J135-$H135,0),(_xll.xSPRDOPT(J135,$E135,$BU135,0,$BP135,$BS135,$BT135,($A135-Inputs!$D$1)+15,1,0)))))</f>
        <v xml:space="preserve"> </v>
      </c>
      <c r="R135" s="320" t="str">
        <f>IF($A135="N/A"," ",IF('Pricing Inputs'!$AN$8=2,(K135-$H135),IF('Pricing Inputs'!$AN$3=2,IF((K135-$H135)&gt;0,K135-$H135,0),(_xll.xSPRDOPT(K135,$E135,$BU135,0,$BP135,$BS135,$BT135,($A135-Inputs!$D$1)+15,1,0)))))</f>
        <v xml:space="preserve"> </v>
      </c>
      <c r="S135" s="320" t="str">
        <f>IF($A135="N/A"," ",IF('Pricing Inputs'!$AN$8=2,(L135-$H135),IF('Pricing Inputs'!$AN$3=2,IF((L135-$H135)&gt;0,L135-$H135,0),(_xll.xSPRDOPT(L135,$E135,$BU135,0,$BP135,$BS135,$BT135,($A135-Inputs!$D$1)+15,1,0)))))</f>
        <v xml:space="preserve"> </v>
      </c>
      <c r="T135" s="320" t="str">
        <f>IF($A135="N/A"," ",IF('Pricing Inputs'!$AN$8=2,(M135-$H135),IF('Pricing Inputs'!$AN$3=2,IF((M135-$H135)&gt;0,M135-$H135,0),(_xll.xSPRDOPT(M135,$E135,$BU135,0,$BP135,$BS135,$BT135,($A135-Inputs!$D$1)+15,1,0)))))</f>
        <v xml:space="preserve"> </v>
      </c>
      <c r="U135" s="320" t="str">
        <f>IF($A135="N/A"," ",IF('Pricing Inputs'!$AN$8=2,(N135-$H135),IF('Pricing Inputs'!$AN$3=2,IF((N135-$H135)&gt;0,N135-$H135,0),(_xll.xSPRDOPT(N135,$E135,$BU135,0,$BP135,$BS135,$BT135,($A135-Inputs!$D$1)+15,1,0)))))</f>
        <v xml:space="preserve"> </v>
      </c>
      <c r="V135" s="259" t="str">
        <f>IF($A135="N/A"," ",(IF('Pricing Inputs'!$AN$8=2,(O135-$H135),IF((O135-$H135)&lt;=0,0,(O135-$H135)))))</f>
        <v xml:space="preserve"> </v>
      </c>
      <c r="W135" s="306" t="str">
        <f>IF($A135="N/A"," ",IF(0&lt;&gt;P135,IF('Pricing Inputs'!$AN$3=2,8*VLOOKUP($A135,NumberofDaysTable,2),(_xll.xSPRDOPT(I135,$E135,$BU135,0,$BP135,$BS135,$BT135,$A135-Inputs!$D$1,1,1))*(8*VLOOKUP($A135,NumberofDaysTable,2))),0))</f>
        <v xml:space="preserve"> </v>
      </c>
      <c r="X135" s="306" t="str">
        <f>IF($A135="N/A"," ",IF(Q135&lt;&gt;0,IF('Pricing Inputs'!$AN$3=2,8*VLOOKUP($A135,NumberofDaysTable,2),(_xll.xSPRDOPT(J135,$E135,$BU135,0,$BP135,$BS135,$BT135,$A135-Inputs!$D$1,1,1))*(8*VLOOKUP($A135,NumberofDaysTable,2))),0))</f>
        <v xml:space="preserve"> </v>
      </c>
      <c r="Y135" s="306" t="str">
        <f>IF($A135="N/A"," ",IF(R135&lt;&gt;0,IF('Pricing Inputs'!$AN$3=2,8*VLOOKUP($A135,NumberofDaysTable,3),(_xll.xSPRDOPT(K135,$E135,$BU135,0,$BP135,$BS135,$BT135,$A135-Inputs!$D$1,1,1))*(8*VLOOKUP($A135,NumberofDaysTable,3))),0))</f>
        <v xml:space="preserve"> </v>
      </c>
      <c r="Z135" s="306" t="str">
        <f>IF($A135="N/A"," ",IF(S135&lt;&gt;0,IF('Pricing Inputs'!$AN$3=2,8*VLOOKUP($A135,NumberofDaysTable,3),(_xll.xSPRDOPT(L135,$E135,$BU135,0,$BP135,$BS135,$BT135,$A135-Inputs!$D$1,1,1))*(8*VLOOKUP($A135,NumberofDaysTable,3))),0))</f>
        <v xml:space="preserve"> </v>
      </c>
      <c r="AA135" s="306" t="str">
        <f>IF($A135="N/A"," ",IF(T135&lt;&gt;0,IF('Pricing Inputs'!$AN$3=2,8*VLOOKUP($A135,NumberofDaysTable,4),(_xll.xSPRDOPT(M135,$E135,$BU135,0,$BP135,$BS135,$BT135,$A135-Inputs!$D$1,1,1))*(8*VLOOKUP($A135,NumberofDaysTable,4))),0))</f>
        <v xml:space="preserve"> </v>
      </c>
      <c r="AB135" s="306" t="str">
        <f>IF($A135="N/A"," ",IF(U135&lt;&gt;0,IF('Pricing Inputs'!$AN$3=2,8*VLOOKUP($A135,NumberofDaysTable,4),(_xll.xSPRDOPT(N135,$E135,$BU135,0,$BP135,$BS135,$BT135,$A135-Inputs!$D$1,1,1))*(8*VLOOKUP($A135,NumberofDaysTable,4))),0))</f>
        <v xml:space="preserve"> </v>
      </c>
      <c r="AC135" s="306" t="str">
        <f t="shared" si="233"/>
        <v xml:space="preserve"> </v>
      </c>
      <c r="AD135" s="277" t="str">
        <f t="shared" si="220"/>
        <v xml:space="preserve"> </v>
      </c>
      <c r="AE135" s="278" t="str">
        <f t="shared" si="221"/>
        <v xml:space="preserve"> </v>
      </c>
      <c r="AF135" s="278" t="str">
        <f t="shared" si="222"/>
        <v xml:space="preserve"> </v>
      </c>
      <c r="AG135" s="278" t="str">
        <f t="shared" si="223"/>
        <v xml:space="preserve"> </v>
      </c>
      <c r="AH135" s="278" t="str">
        <f t="shared" si="224"/>
        <v xml:space="preserve"> </v>
      </c>
      <c r="AI135" s="278" t="str">
        <f t="shared" si="225"/>
        <v xml:space="preserve"> </v>
      </c>
      <c r="AJ135" s="279" t="str">
        <f t="shared" si="226"/>
        <v xml:space="preserve"> </v>
      </c>
      <c r="AK135" s="316" t="str">
        <f t="shared" si="158"/>
        <v xml:space="preserve"> </v>
      </c>
      <c r="AL135" s="317" t="str">
        <f t="shared" si="159"/>
        <v xml:space="preserve"> </v>
      </c>
      <c r="AM135" s="317" t="str">
        <f t="shared" si="160"/>
        <v xml:space="preserve"> </v>
      </c>
      <c r="AN135" s="317" t="str">
        <f t="shared" si="161"/>
        <v xml:space="preserve"> </v>
      </c>
      <c r="AO135" s="317" t="str">
        <f t="shared" si="162"/>
        <v xml:space="preserve"> </v>
      </c>
      <c r="AP135" s="317" t="str">
        <f t="shared" si="163"/>
        <v xml:space="preserve"> </v>
      </c>
      <c r="AQ135" s="317" t="str">
        <f t="shared" si="164"/>
        <v xml:space="preserve"> </v>
      </c>
      <c r="AR135" s="279">
        <f>IF(($AP$2-AR134)&gt;=0,$AP$2-AR134,0)</f>
        <v>1400</v>
      </c>
      <c r="AS135" s="325" t="str">
        <f t="shared" si="213"/>
        <v xml:space="preserve"> </v>
      </c>
      <c r="AT135" s="326" t="str">
        <f t="shared" si="214"/>
        <v xml:space="preserve"> </v>
      </c>
      <c r="AU135" s="326" t="str">
        <f t="shared" si="215"/>
        <v xml:space="preserve"> </v>
      </c>
      <c r="AV135" s="326" t="str">
        <f t="shared" si="216"/>
        <v xml:space="preserve"> </v>
      </c>
      <c r="AW135" s="326" t="str">
        <f t="shared" si="217"/>
        <v xml:space="preserve"> </v>
      </c>
      <c r="AX135" s="326" t="str">
        <f t="shared" si="218"/>
        <v xml:space="preserve"> </v>
      </c>
      <c r="AY135" s="326" t="str">
        <f t="shared" si="219"/>
        <v xml:space="preserve"> </v>
      </c>
      <c r="AZ135" s="285">
        <f>AR134+AZ134</f>
        <v>0</v>
      </c>
      <c r="BA135" s="267" t="str">
        <f>IF($A135="N/A"," ",(IF(MONTH(A135)&gt;=4,IF(MONTH(A135)&lt;=10,Inputs!$F$13,Inputs!$F$14),Inputs!$F$14))*$BW135)</f>
        <v xml:space="preserve"> </v>
      </c>
      <c r="BB135" s="268" t="str">
        <f t="shared" si="165"/>
        <v xml:space="preserve"> </v>
      </c>
      <c r="BC135" s="268" t="str">
        <f t="shared" si="166"/>
        <v xml:space="preserve"> </v>
      </c>
      <c r="BD135" s="268" t="str">
        <f t="shared" si="234"/>
        <v xml:space="preserve"> </v>
      </c>
      <c r="BE135" s="268" t="str">
        <f t="shared" si="235"/>
        <v xml:space="preserve"> </v>
      </c>
      <c r="BF135" s="268" t="str">
        <f t="shared" si="236"/>
        <v xml:space="preserve"> </v>
      </c>
      <c r="BG135" s="268" t="str">
        <f t="shared" si="237"/>
        <v xml:space="preserve"> </v>
      </c>
      <c r="BH135" s="268" t="str">
        <f t="shared" si="157"/>
        <v xml:space="preserve"> </v>
      </c>
      <c r="BI135" s="268" t="str">
        <f t="shared" si="238"/>
        <v xml:space="preserve"> </v>
      </c>
      <c r="BJ135" s="296" t="str">
        <f t="shared" si="239"/>
        <v xml:space="preserve"> </v>
      </c>
      <c r="BK135" s="296" t="str">
        <f t="shared" si="240"/>
        <v xml:space="preserve"> </v>
      </c>
      <c r="BL135" s="296" t="str">
        <f t="shared" si="241"/>
        <v xml:space="preserve"> </v>
      </c>
      <c r="BM135" s="296" t="str">
        <f t="shared" si="242"/>
        <v xml:space="preserve"> </v>
      </c>
      <c r="BN135" s="405" t="str">
        <f>IF(A135="N/A"," ",(VLOOKUP(A135,PowerVolTable,(IF('Pricing Inputs'!$AT$3=2,7,IF('Pricing Inputs'!$AT$3=1,6,8))),FALSE)))</f>
        <v xml:space="preserve"> </v>
      </c>
      <c r="BO135" s="405" t="str">
        <f>IF(A135="N/A"," ",(VLOOKUP(A135,IntraPowerVol,(IF('Pricing Inputs'!$AT$3=2,3,IF('Pricing Inputs'!$AT$3=1,2,4))),FALSE)*VLOOKUP(MONTH($A135),Inputs!$A$28:$B$39,2)))</f>
        <v xml:space="preserve"> </v>
      </c>
      <c r="BP135" s="406" t="str">
        <f t="shared" si="227"/>
        <v xml:space="preserve"> </v>
      </c>
      <c r="BQ135" s="405" t="str">
        <f>IF($A135="N/A"," ",(VLOOKUP($A135,GasVolTable,(IF('Pricing Inputs'!$AT$3=2,6,IF('Pricing Inputs'!$AT$3=1,7,5))),FALSE)))</f>
        <v xml:space="preserve"> </v>
      </c>
      <c r="BR135" s="405" t="str">
        <f>IF($A135="N/A"," ",(VLOOKUP($A135,OmicronVol,(IF('Pricing Inputs'!$AT$3=2,3,IF('Pricing Inputs'!$AT$3=1,4,2))),FALSE)))</f>
        <v xml:space="preserve"> </v>
      </c>
      <c r="BS135" s="406" t="str">
        <f>IF($A135="N/A"," ",IF('Pricing Inputs'!$AN$3=1,(IF(DateToday&gt;$A135,$BR135,((($BQ135^2)*((($A135-1)-DateToday)/((EOMONTH($A135,0)+1)-DateToday-15)))+((($BR135)^2)*((15)/((EOMONTH($A135,0)+1)-DateToday-15))))^0.5)),0.0001))</f>
        <v xml:space="preserve"> </v>
      </c>
      <c r="BT135" s="405" t="str">
        <f>IF($A135="N/A"," ",IF('Pricing Inputs'!$AN$3=1,(VLOOKUP($A135,CorrelationTable,2,FALSE)),0))</f>
        <v xml:space="preserve"> </v>
      </c>
      <c r="BU135" s="407" t="str">
        <f>IF($A135="N/A"," ",F135+G135+(D135*(VLOOKUP($A135,'Gas Curves'!$B$17:$P$310,14,FALSE))))</f>
        <v xml:space="preserve"> </v>
      </c>
      <c r="BV135" s="405" t="str">
        <f>IF($A135="N/A"," ",IF('Pricing Inputs'!$AW$3=1,0,(VLOOKUP($A135,InterestRatesTable,2))))</f>
        <v xml:space="preserve"> </v>
      </c>
      <c r="BW135" s="408" t="str">
        <f t="shared" si="228"/>
        <v xml:space="preserve"> </v>
      </c>
    </row>
    <row r="136" spans="1:75">
      <c r="A136" s="248" t="str">
        <f>IF(A135="N/A","N/A",IF(EDATE(A135,1)&gt;Inputs!$K$3,"N/A",EDATE(A135,1)))</f>
        <v>N/A</v>
      </c>
      <c r="B136" s="262" t="str">
        <f t="shared" si="229"/>
        <v xml:space="preserve"> </v>
      </c>
      <c r="C136" s="249" t="str">
        <f t="shared" si="230"/>
        <v xml:space="preserve"> </v>
      </c>
      <c r="D136" s="250" t="str">
        <f>IF(A136="N/A"," ",(VLOOKUP(MONTH($A136),Inputs!$A$14:$B$25,2))/1000)</f>
        <v xml:space="preserve"> </v>
      </c>
      <c r="E136" s="304" t="str">
        <f t="shared" si="231"/>
        <v xml:space="preserve"> </v>
      </c>
      <c r="F136" s="251" t="str">
        <f>IF(A136="N/A"," ",Inputs!$F$6)</f>
        <v xml:space="preserve"> </v>
      </c>
      <c r="G136" s="251" t="str">
        <f>IF(A136="N/A"," ",Inputs!$F$9/IF(AND('Pricing Inputs'!$AQ$3&gt;=4,'Pricing Inputs'!$AQ$3&lt;=6),16,IF(AND('Pricing Inputs'!$AQ$3&gt;=7,'Pricing Inputs'!$AQ$3&lt;=9),8,24))/(BA136/BW136))</f>
        <v xml:space="preserve"> </v>
      </c>
      <c r="H136" s="252" t="str">
        <f t="shared" si="232"/>
        <v xml:space="preserve"> </v>
      </c>
      <c r="I136" s="255" t="str">
        <f>VLOOKUP(A136,ScaledPrice,(IF(AND('Pricing Inputs'!$AQ$3&gt;=1,'Pricing Inputs'!$AQ$3&lt;=6),2,4)))</f>
        <v xml:space="preserve"> </v>
      </c>
      <c r="J136" s="255" t="str">
        <f>IF(A136="N/A"," ",IF(AND('Pricing Inputs'!$AQ$3&gt;=1,'Pricing Inputs'!$AQ$3&lt;=6),I136,(VLOOKUP(A136,ScaledPrice,2))*(2-(VLOOKUP(A136,ScaledPrice,3)))))</f>
        <v xml:space="preserve"> </v>
      </c>
      <c r="K136" s="255" t="str">
        <f>IF(A136="N/A"," ",IF(OR('Pricing Inputs'!$AQ$3=2,'Pricing Inputs'!$AQ$3=3,'Pricing Inputs'!$AQ$3=5,'Pricing Inputs'!$AQ$3=6,'Pricing Inputs'!$AQ$3=8,'Pricing Inputs'!$AQ$3=9),VLOOKUP(A136,ScaledPrice,IF(AND('Pricing Inputs'!$AQ$3&gt;=2,'Pricing Inputs'!$AQ$3&lt;=6),5,6)),0))</f>
        <v xml:space="preserve"> </v>
      </c>
      <c r="L136" s="255" t="str">
        <f>IF(A136="N/A"," ",IF(OR('Pricing Inputs'!$AQ$3=2,'Pricing Inputs'!$AQ$3=3,'Pricing Inputs'!$AQ$3=5,'Pricing Inputs'!$AQ$3=6,'Pricing Inputs'!$AQ$3=8,'Pricing Inputs'!$AQ$3=9),IF(AND('Pricing Inputs'!$AQ$3&gt;=2,'Pricing Inputs'!$AQ$3&lt;=6),K136,(VLOOKUP(A136,ScaledPrice,5))*(2-(VLOOKUP(A136,ScaledPrice,3)))),0))</f>
        <v xml:space="preserve"> </v>
      </c>
      <c r="M136" s="255" t="str">
        <f>IF(A136="N/A"," ",IF(OR('Pricing Inputs'!$AQ$3=3,'Pricing Inputs'!$AQ$3=6,'Pricing Inputs'!$AQ$3=9),(VLOOKUP(A136,ScaledPrice,IF(AND('Pricing Inputs'!$AQ$3&gt;=3,'Pricing Inputs'!$AQ$3&lt;=6),7,8))),0))</f>
        <v xml:space="preserve"> </v>
      </c>
      <c r="N136" s="255" t="str">
        <f>IF(A136="N/A"," ",IF(OR('Pricing Inputs'!$AQ$3=3,'Pricing Inputs'!$AQ$3=6,'Pricing Inputs'!$AQ$3=9),IF(AND('Pricing Inputs'!$AQ$3&gt;=3,'Pricing Inputs'!$AQ$3&lt;=6),M136,(VLOOKUP(A136,ScaledPrice,7))*(2-(VLOOKUP(A136,ScaledPrice,3)))),0))</f>
        <v xml:space="preserve"> </v>
      </c>
      <c r="O136" s="255" t="str">
        <f>IF(A136="N/A"," ",IF(AND('Pricing Inputs'!$AQ$3&gt;=1,'Pricing Inputs'!$AQ$3&lt;=3),VLOOKUP(A136,ScaledPrice,9),0))</f>
        <v xml:space="preserve"> </v>
      </c>
      <c r="P136" s="320" t="str">
        <f>IF($A136="N/A"," ",IF('Pricing Inputs'!$AN$8=2,(I136-H136),IF('Pricing Inputs'!$AN$3=2,IF((I136-$H136)&gt;0,I136-$H136,0),(_xll.xSPRDOPT(I136,$E136,$BU136,0,$BP136,$BS136,$BT136,($A136-Inputs!$D$1)+15,1,0)))))</f>
        <v xml:space="preserve"> </v>
      </c>
      <c r="Q136" s="320" t="str">
        <f>IF($A136="N/A"," ",IF('Pricing Inputs'!$AN$8=2,(J136-$H136),IF('Pricing Inputs'!$AN$3=2,IF((J136-$H136)&gt;0,J136-$H136,0),(_xll.xSPRDOPT(J136,$E136,$BU136,0,$BP136,$BS136,$BT136,($A136-Inputs!$D$1)+15,1,0)))))</f>
        <v xml:space="preserve"> </v>
      </c>
      <c r="R136" s="320" t="str">
        <f>IF($A136="N/A"," ",IF('Pricing Inputs'!$AN$8=2,(K136-$H136),IF('Pricing Inputs'!$AN$3=2,IF((K136-$H136)&gt;0,K136-$H136,0),(_xll.xSPRDOPT(K136,$E136,$BU136,0,$BP136,$BS136,$BT136,($A136-Inputs!$D$1)+15,1,0)))))</f>
        <v xml:space="preserve"> </v>
      </c>
      <c r="S136" s="320" t="str">
        <f>IF($A136="N/A"," ",IF('Pricing Inputs'!$AN$8=2,(L136-$H136),IF('Pricing Inputs'!$AN$3=2,IF((L136-$H136)&gt;0,L136-$H136,0),(_xll.xSPRDOPT(L136,$E136,$BU136,0,$BP136,$BS136,$BT136,($A136-Inputs!$D$1)+15,1,0)))))</f>
        <v xml:space="preserve"> </v>
      </c>
      <c r="T136" s="320" t="str">
        <f>IF($A136="N/A"," ",IF('Pricing Inputs'!$AN$8=2,(M136-$H136),IF('Pricing Inputs'!$AN$3=2,IF((M136-$H136)&gt;0,M136-$H136,0),(_xll.xSPRDOPT(M136,$E136,$BU136,0,$BP136,$BS136,$BT136,($A136-Inputs!$D$1)+15,1,0)))))</f>
        <v xml:space="preserve"> </v>
      </c>
      <c r="U136" s="320" t="str">
        <f>IF($A136="N/A"," ",IF('Pricing Inputs'!$AN$8=2,(N136-$H136),IF('Pricing Inputs'!$AN$3=2,IF((N136-$H136)&gt;0,N136-$H136,0),(_xll.xSPRDOPT(N136,$E136,$BU136,0,$BP136,$BS136,$BT136,($A136-Inputs!$D$1)+15,1,0)))))</f>
        <v xml:space="preserve"> </v>
      </c>
      <c r="V136" s="259" t="str">
        <f>IF($A136="N/A"," ",(IF('Pricing Inputs'!$AN$8=2,(O136-$H136),IF((O136-$H136)&lt;=0,0,(O136-$H136)))))</f>
        <v xml:space="preserve"> </v>
      </c>
      <c r="W136" s="306" t="str">
        <f>IF($A136="N/A"," ",IF(0&lt;&gt;P136,IF('Pricing Inputs'!$AN$3=2,8*VLOOKUP($A136,NumberofDaysTable,2),(_xll.xSPRDOPT(I136,$E136,$BU136,0,$BP136,$BS136,$BT136,$A136-Inputs!$D$1,1,1))*(8*VLOOKUP($A136,NumberofDaysTable,2))),0))</f>
        <v xml:space="preserve"> </v>
      </c>
      <c r="X136" s="306" t="str">
        <f>IF($A136="N/A"," ",IF(Q136&lt;&gt;0,IF('Pricing Inputs'!$AN$3=2,8*VLOOKUP($A136,NumberofDaysTable,2),(_xll.xSPRDOPT(J136,$E136,$BU136,0,$BP136,$BS136,$BT136,$A136-Inputs!$D$1,1,1))*(8*VLOOKUP($A136,NumberofDaysTable,2))),0))</f>
        <v xml:space="preserve"> </v>
      </c>
      <c r="Y136" s="306" t="str">
        <f>IF($A136="N/A"," ",IF(R136&lt;&gt;0,IF('Pricing Inputs'!$AN$3=2,8*VLOOKUP($A136,NumberofDaysTable,3),(_xll.xSPRDOPT(K136,$E136,$BU136,0,$BP136,$BS136,$BT136,$A136-Inputs!$D$1,1,1))*(8*VLOOKUP($A136,NumberofDaysTable,3))),0))</f>
        <v xml:space="preserve"> </v>
      </c>
      <c r="Z136" s="306" t="str">
        <f>IF($A136="N/A"," ",IF(S136&lt;&gt;0,IF('Pricing Inputs'!$AN$3=2,8*VLOOKUP($A136,NumberofDaysTable,3),(_xll.xSPRDOPT(L136,$E136,$BU136,0,$BP136,$BS136,$BT136,$A136-Inputs!$D$1,1,1))*(8*VLOOKUP($A136,NumberofDaysTable,3))),0))</f>
        <v xml:space="preserve"> </v>
      </c>
      <c r="AA136" s="306" t="str">
        <f>IF($A136="N/A"," ",IF(T136&lt;&gt;0,IF('Pricing Inputs'!$AN$3=2,8*VLOOKUP($A136,NumberofDaysTable,4),(_xll.xSPRDOPT(M136,$E136,$BU136,0,$BP136,$BS136,$BT136,$A136-Inputs!$D$1,1,1))*(8*VLOOKUP($A136,NumberofDaysTable,4))),0))</f>
        <v xml:space="preserve"> </v>
      </c>
      <c r="AB136" s="306" t="str">
        <f>IF($A136="N/A"," ",IF(U136&lt;&gt;0,IF('Pricing Inputs'!$AN$3=2,8*VLOOKUP($A136,NumberofDaysTable,4),(_xll.xSPRDOPT(N136,$E136,$BU136,0,$BP136,$BS136,$BT136,$A136-Inputs!$D$1,1,1))*(8*VLOOKUP($A136,NumberofDaysTable,4))),0))</f>
        <v xml:space="preserve"> </v>
      </c>
      <c r="AC136" s="306" t="str">
        <f t="shared" si="233"/>
        <v xml:space="preserve"> </v>
      </c>
      <c r="AD136" s="271" t="str">
        <f t="shared" ref="AD136:AJ136" si="243">IF($A136="N/A"," ",RANK(P136,$P$136:$V$147))</f>
        <v xml:space="preserve"> </v>
      </c>
      <c r="AE136" s="272" t="str">
        <f t="shared" si="243"/>
        <v xml:space="preserve"> </v>
      </c>
      <c r="AF136" s="272" t="str">
        <f t="shared" si="243"/>
        <v xml:space="preserve"> </v>
      </c>
      <c r="AG136" s="272" t="str">
        <f t="shared" si="243"/>
        <v xml:space="preserve"> </v>
      </c>
      <c r="AH136" s="272" t="str">
        <f t="shared" si="243"/>
        <v xml:space="preserve"> </v>
      </c>
      <c r="AI136" s="272" t="str">
        <f t="shared" si="243"/>
        <v xml:space="preserve"> </v>
      </c>
      <c r="AJ136" s="273" t="str">
        <f t="shared" si="243"/>
        <v xml:space="preserve"> </v>
      </c>
      <c r="AK136" s="312" t="str">
        <f t="shared" si="158"/>
        <v xml:space="preserve"> </v>
      </c>
      <c r="AL136" s="313" t="str">
        <f t="shared" si="159"/>
        <v xml:space="preserve"> </v>
      </c>
      <c r="AM136" s="313" t="str">
        <f t="shared" si="160"/>
        <v xml:space="preserve"> </v>
      </c>
      <c r="AN136" s="313" t="str">
        <f t="shared" si="161"/>
        <v xml:space="preserve"> </v>
      </c>
      <c r="AO136" s="313" t="str">
        <f t="shared" si="162"/>
        <v xml:space="preserve"> </v>
      </c>
      <c r="AP136" s="313" t="str">
        <f t="shared" si="163"/>
        <v xml:space="preserve"> </v>
      </c>
      <c r="AQ136" s="313" t="str">
        <f t="shared" si="164"/>
        <v xml:space="preserve"> </v>
      </c>
      <c r="AR136" s="273"/>
      <c r="AS136" s="327" t="str">
        <f t="shared" ref="AS136:AS147" si="244">IF($A136="N/A"," ",IF(AND(AD136=$AJ$2+1,AK136=0),MIN($AR$147,W136),0))</f>
        <v xml:space="preserve"> </v>
      </c>
      <c r="AT136" s="322" t="str">
        <f t="shared" ref="AT136:AT147" si="245">IF($A136="N/A"," ",IF(AND(AE136=$AJ$2+1,AL136=0),MIN($AR$147,X136),0))</f>
        <v xml:space="preserve"> </v>
      </c>
      <c r="AU136" s="322" t="str">
        <f t="shared" ref="AU136:AU147" si="246">IF($A136="N/A"," ",IF(AND(AF136=$AJ$2+1,AM136=0),MIN($AR$147,Y136),0))</f>
        <v xml:space="preserve"> </v>
      </c>
      <c r="AV136" s="322" t="str">
        <f t="shared" ref="AV136:AV147" si="247">IF($A136="N/A"," ",IF(AND(AG136=$AJ$2+1,AN136=0),MIN($AR$147,Z136),0))</f>
        <v xml:space="preserve"> </v>
      </c>
      <c r="AW136" s="322" t="str">
        <f t="shared" ref="AW136:AW147" si="248">IF($A136="N/A"," ",IF(AND(AH136=$AJ$2+1,AO136=0),MIN($AR$147,AA136),0))</f>
        <v xml:space="preserve"> </v>
      </c>
      <c r="AX136" s="322" t="str">
        <f t="shared" ref="AX136:AX147" si="249">IF($A136="N/A"," ",IF(AND(AI136=$AJ$2+1,AP136=0),MIN($AR$147,AB136),0))</f>
        <v xml:space="preserve"> </v>
      </c>
      <c r="AY136" s="322" t="str">
        <f t="shared" ref="AY136:AY147" si="250">IF($A136="N/A"," ",IF(AND(AJ136=$AJ$2+1,AQ136=0),MIN($AR$147,AC136),0))</f>
        <v xml:space="preserve"> </v>
      </c>
      <c r="AZ136" s="273"/>
      <c r="BA136" s="267" t="str">
        <f>IF($A136="N/A"," ",(IF(MONTH(A136)&gt;=4,IF(MONTH(A136)&lt;=10,Inputs!$F$13,Inputs!$F$14),Inputs!$F$14))*$BW136)</f>
        <v xml:space="preserve"> </v>
      </c>
      <c r="BB136" s="268" t="str">
        <f t="shared" si="165"/>
        <v xml:space="preserve"> </v>
      </c>
      <c r="BC136" s="268" t="str">
        <f t="shared" si="166"/>
        <v xml:space="preserve"> </v>
      </c>
      <c r="BD136" s="268" t="str">
        <f t="shared" si="234"/>
        <v xml:space="preserve"> </v>
      </c>
      <c r="BE136" s="268" t="str">
        <f t="shared" si="235"/>
        <v xml:space="preserve"> </v>
      </c>
      <c r="BF136" s="268" t="str">
        <f t="shared" si="236"/>
        <v xml:space="preserve"> </v>
      </c>
      <c r="BG136" s="268" t="str">
        <f t="shared" si="237"/>
        <v xml:space="preserve"> </v>
      </c>
      <c r="BH136" s="268" t="str">
        <f t="shared" si="157"/>
        <v xml:space="preserve"> </v>
      </c>
      <c r="BI136" s="268" t="str">
        <f t="shared" si="238"/>
        <v xml:space="preserve"> </v>
      </c>
      <c r="BJ136" s="296" t="str">
        <f t="shared" si="239"/>
        <v xml:space="preserve"> </v>
      </c>
      <c r="BK136" s="296" t="str">
        <f t="shared" si="240"/>
        <v xml:space="preserve"> </v>
      </c>
      <c r="BL136" s="296" t="str">
        <f t="shared" si="241"/>
        <v xml:space="preserve"> </v>
      </c>
      <c r="BM136" s="296" t="str">
        <f t="shared" si="242"/>
        <v xml:space="preserve"> </v>
      </c>
      <c r="BN136" s="405" t="str">
        <f>IF(A136="N/A"," ",(VLOOKUP(A136,PowerVolTable,(IF('Pricing Inputs'!$AT$3=2,7,IF('Pricing Inputs'!$AT$3=1,6,8))),FALSE)))</f>
        <v xml:space="preserve"> </v>
      </c>
      <c r="BO136" s="405" t="str">
        <f>IF(A136="N/A"," ",(VLOOKUP(A136,IntraPowerVol,(IF('Pricing Inputs'!$AT$3=2,3,IF('Pricing Inputs'!$AT$3=1,2,4))),FALSE)*VLOOKUP(MONTH($A136),Inputs!$A$28:$B$39,2)))</f>
        <v xml:space="preserve"> </v>
      </c>
      <c r="BP136" s="406" t="str">
        <f t="shared" si="227"/>
        <v xml:space="preserve"> </v>
      </c>
      <c r="BQ136" s="405" t="str">
        <f>IF($A136="N/A"," ",(VLOOKUP($A136,GasVolTable,(IF('Pricing Inputs'!$AT$3=2,6,IF('Pricing Inputs'!$AT$3=1,7,5))),FALSE)))</f>
        <v xml:space="preserve"> </v>
      </c>
      <c r="BR136" s="405" t="str">
        <f>IF($A136="N/A"," ",(VLOOKUP($A136,OmicronVol,(IF('Pricing Inputs'!$AT$3=2,3,IF('Pricing Inputs'!$AT$3=1,4,2))),FALSE)))</f>
        <v xml:space="preserve"> </v>
      </c>
      <c r="BS136" s="406" t="str">
        <f>IF($A136="N/A"," ",IF('Pricing Inputs'!$AN$3=1,(IF(DateToday&gt;$A136,$BR136,((($BQ136^2)*((($A136-1)-DateToday)/((EOMONTH($A136,0)+1)-DateToday-15)))+((($BR136)^2)*((15)/((EOMONTH($A136,0)+1)-DateToday-15))))^0.5)),0.0001))</f>
        <v xml:space="preserve"> </v>
      </c>
      <c r="BT136" s="405" t="str">
        <f>IF($A136="N/A"," ",IF('Pricing Inputs'!$AN$3=1,(VLOOKUP($A136,CorrelationTable,2,FALSE)),0))</f>
        <v xml:space="preserve"> </v>
      </c>
      <c r="BU136" s="407" t="str">
        <f>IF($A136="N/A"," ",F136+G136+(D136*(VLOOKUP($A136,'Gas Curves'!$B$17:$P$310,14,FALSE))))</f>
        <v xml:space="preserve"> </v>
      </c>
      <c r="BV136" s="405" t="str">
        <f>IF($A136="N/A"," ",IF('Pricing Inputs'!$AW$3=1,0,(VLOOKUP($A136,InterestRatesTable,2))))</f>
        <v xml:space="preserve"> </v>
      </c>
      <c r="BW136" s="408" t="str">
        <f t="shared" si="228"/>
        <v xml:space="preserve"> </v>
      </c>
    </row>
    <row r="137" spans="1:75">
      <c r="A137" s="248" t="str">
        <f>IF(A136="N/A","N/A",IF(EDATE(A136,1)&gt;Inputs!$K$3,"N/A",EDATE(A136,1)))</f>
        <v>N/A</v>
      </c>
      <c r="B137" s="262" t="str">
        <f t="shared" si="229"/>
        <v xml:space="preserve"> </v>
      </c>
      <c r="C137" s="249" t="str">
        <f t="shared" si="230"/>
        <v xml:space="preserve"> </v>
      </c>
      <c r="D137" s="250" t="str">
        <f>IF(A137="N/A"," ",(VLOOKUP(MONTH($A137),Inputs!$A$14:$B$25,2))/1000)</f>
        <v xml:space="preserve"> </v>
      </c>
      <c r="E137" s="304" t="str">
        <f t="shared" si="231"/>
        <v xml:space="preserve"> </v>
      </c>
      <c r="F137" s="251" t="str">
        <f>IF(A137="N/A"," ",Inputs!$F$6)</f>
        <v xml:space="preserve"> </v>
      </c>
      <c r="G137" s="251" t="str">
        <f>IF(A137="N/A"," ",Inputs!$F$9/IF(AND('Pricing Inputs'!$AQ$3&gt;=4,'Pricing Inputs'!$AQ$3&lt;=6),16,IF(AND('Pricing Inputs'!$AQ$3&gt;=7,'Pricing Inputs'!$AQ$3&lt;=9),8,24))/(BA137/BW137))</f>
        <v xml:space="preserve"> </v>
      </c>
      <c r="H137" s="252" t="str">
        <f t="shared" si="232"/>
        <v xml:space="preserve"> </v>
      </c>
      <c r="I137" s="255" t="str">
        <f>VLOOKUP(A137,ScaledPrice,(IF(AND('Pricing Inputs'!$AQ$3&gt;=1,'Pricing Inputs'!$AQ$3&lt;=6),2,4)))</f>
        <v xml:space="preserve"> </v>
      </c>
      <c r="J137" s="255" t="str">
        <f>IF(A137="N/A"," ",IF(AND('Pricing Inputs'!$AQ$3&gt;=1,'Pricing Inputs'!$AQ$3&lt;=6),I137,(VLOOKUP(A137,ScaledPrice,2))*(2-(VLOOKUP(A137,ScaledPrice,3)))))</f>
        <v xml:space="preserve"> </v>
      </c>
      <c r="K137" s="255" t="str">
        <f>IF(A137="N/A"," ",IF(OR('Pricing Inputs'!$AQ$3=2,'Pricing Inputs'!$AQ$3=3,'Pricing Inputs'!$AQ$3=5,'Pricing Inputs'!$AQ$3=6,'Pricing Inputs'!$AQ$3=8,'Pricing Inputs'!$AQ$3=9),VLOOKUP(A137,ScaledPrice,IF(AND('Pricing Inputs'!$AQ$3&gt;=2,'Pricing Inputs'!$AQ$3&lt;=6),5,6)),0))</f>
        <v xml:space="preserve"> </v>
      </c>
      <c r="L137" s="255" t="str">
        <f>IF(A137="N/A"," ",IF(OR('Pricing Inputs'!$AQ$3=2,'Pricing Inputs'!$AQ$3=3,'Pricing Inputs'!$AQ$3=5,'Pricing Inputs'!$AQ$3=6,'Pricing Inputs'!$AQ$3=8,'Pricing Inputs'!$AQ$3=9),IF(AND('Pricing Inputs'!$AQ$3&gt;=2,'Pricing Inputs'!$AQ$3&lt;=6),K137,(VLOOKUP(A137,ScaledPrice,5))*(2-(VLOOKUP(A137,ScaledPrice,3)))),0))</f>
        <v xml:space="preserve"> </v>
      </c>
      <c r="M137" s="255" t="str">
        <f>IF(A137="N/A"," ",IF(OR('Pricing Inputs'!$AQ$3=3,'Pricing Inputs'!$AQ$3=6,'Pricing Inputs'!$AQ$3=9),(VLOOKUP(A137,ScaledPrice,IF(AND('Pricing Inputs'!$AQ$3&gt;=3,'Pricing Inputs'!$AQ$3&lt;=6),7,8))),0))</f>
        <v xml:space="preserve"> </v>
      </c>
      <c r="N137" s="255" t="str">
        <f>IF(A137="N/A"," ",IF(OR('Pricing Inputs'!$AQ$3=3,'Pricing Inputs'!$AQ$3=6,'Pricing Inputs'!$AQ$3=9),IF(AND('Pricing Inputs'!$AQ$3&gt;=3,'Pricing Inputs'!$AQ$3&lt;=6),M137,(VLOOKUP(A137,ScaledPrice,7))*(2-(VLOOKUP(A137,ScaledPrice,3)))),0))</f>
        <v xml:space="preserve"> </v>
      </c>
      <c r="O137" s="255" t="str">
        <f>IF(A137="N/A"," ",IF(AND('Pricing Inputs'!$AQ$3&gt;=1,'Pricing Inputs'!$AQ$3&lt;=3),VLOOKUP(A137,ScaledPrice,9),0))</f>
        <v xml:space="preserve"> </v>
      </c>
      <c r="P137" s="320" t="str">
        <f>IF($A137="N/A"," ",IF('Pricing Inputs'!$AN$8=2,(I137-H137),IF('Pricing Inputs'!$AN$3=2,IF((I137-$H137)&gt;0,I137-$H137,0),(_xll.xSPRDOPT(I137,$E137,$BU137,0,$BP137,$BS137,$BT137,($A137-Inputs!$D$1)+15,1,0)))))</f>
        <v xml:space="preserve"> </v>
      </c>
      <c r="Q137" s="320" t="str">
        <f>IF($A137="N/A"," ",IF('Pricing Inputs'!$AN$8=2,(J137-$H137),IF('Pricing Inputs'!$AN$3=2,IF((J137-$H137)&gt;0,J137-$H137,0),(_xll.xSPRDOPT(J137,$E137,$BU137,0,$BP137,$BS137,$BT137,($A137-Inputs!$D$1)+15,1,0)))))</f>
        <v xml:space="preserve"> </v>
      </c>
      <c r="R137" s="320" t="str">
        <f>IF($A137="N/A"," ",IF('Pricing Inputs'!$AN$8=2,(K137-$H137),IF('Pricing Inputs'!$AN$3=2,IF((K137-$H137)&gt;0,K137-$H137,0),(_xll.xSPRDOPT(K137,$E137,$BU137,0,$BP137,$BS137,$BT137,($A137-Inputs!$D$1)+15,1,0)))))</f>
        <v xml:space="preserve"> </v>
      </c>
      <c r="S137" s="320" t="str">
        <f>IF($A137="N/A"," ",IF('Pricing Inputs'!$AN$8=2,(L137-$H137),IF('Pricing Inputs'!$AN$3=2,IF((L137-$H137)&gt;0,L137-$H137,0),(_xll.xSPRDOPT(L137,$E137,$BU137,0,$BP137,$BS137,$BT137,($A137-Inputs!$D$1)+15,1,0)))))</f>
        <v xml:space="preserve"> </v>
      </c>
      <c r="T137" s="320" t="str">
        <f>IF($A137="N/A"," ",IF('Pricing Inputs'!$AN$8=2,(M137-$H137),IF('Pricing Inputs'!$AN$3=2,IF((M137-$H137)&gt;0,M137-$H137,0),(_xll.xSPRDOPT(M137,$E137,$BU137,0,$BP137,$BS137,$BT137,($A137-Inputs!$D$1)+15,1,0)))))</f>
        <v xml:space="preserve"> </v>
      </c>
      <c r="U137" s="320" t="str">
        <f>IF($A137="N/A"," ",IF('Pricing Inputs'!$AN$8=2,(N137-$H137),IF('Pricing Inputs'!$AN$3=2,IF((N137-$H137)&gt;0,N137-$H137,0),(_xll.xSPRDOPT(N137,$E137,$BU137,0,$BP137,$BS137,$BT137,($A137-Inputs!$D$1)+15,1,0)))))</f>
        <v xml:space="preserve"> </v>
      </c>
      <c r="V137" s="259" t="str">
        <f>IF($A137="N/A"," ",(IF('Pricing Inputs'!$AN$8=2,(O137-$H137),IF((O137-$H137)&lt;=0,0,(O137-$H137)))))</f>
        <v xml:space="preserve"> </v>
      </c>
      <c r="W137" s="306" t="str">
        <f>IF($A137="N/A"," ",IF(0&lt;&gt;P137,IF('Pricing Inputs'!$AN$3=2,8*VLOOKUP($A137,NumberofDaysTable,2),(_xll.xSPRDOPT(I137,$E137,$BU137,0,$BP137,$BS137,$BT137,$A137-Inputs!$D$1,1,1))*(8*VLOOKUP($A137,NumberofDaysTable,2))),0))</f>
        <v xml:space="preserve"> </v>
      </c>
      <c r="X137" s="306" t="str">
        <f>IF($A137="N/A"," ",IF(Q137&lt;&gt;0,IF('Pricing Inputs'!$AN$3=2,8*VLOOKUP($A137,NumberofDaysTable,2),(_xll.xSPRDOPT(J137,$E137,$BU137,0,$BP137,$BS137,$BT137,$A137-Inputs!$D$1,1,1))*(8*VLOOKUP($A137,NumberofDaysTable,2))),0))</f>
        <v xml:space="preserve"> </v>
      </c>
      <c r="Y137" s="306" t="str">
        <f>IF($A137="N/A"," ",IF(R137&lt;&gt;0,IF('Pricing Inputs'!$AN$3=2,8*VLOOKUP($A137,NumberofDaysTable,3),(_xll.xSPRDOPT(K137,$E137,$BU137,0,$BP137,$BS137,$BT137,$A137-Inputs!$D$1,1,1))*(8*VLOOKUP($A137,NumberofDaysTable,3))),0))</f>
        <v xml:space="preserve"> </v>
      </c>
      <c r="Z137" s="306" t="str">
        <f>IF($A137="N/A"," ",IF(S137&lt;&gt;0,IF('Pricing Inputs'!$AN$3=2,8*VLOOKUP($A137,NumberofDaysTable,3),(_xll.xSPRDOPT(L137,$E137,$BU137,0,$BP137,$BS137,$BT137,$A137-Inputs!$D$1,1,1))*(8*VLOOKUP($A137,NumberofDaysTable,3))),0))</f>
        <v xml:space="preserve"> </v>
      </c>
      <c r="AA137" s="306" t="str">
        <f>IF($A137="N/A"," ",IF(T137&lt;&gt;0,IF('Pricing Inputs'!$AN$3=2,8*VLOOKUP($A137,NumberofDaysTable,4),(_xll.xSPRDOPT(M137,$E137,$BU137,0,$BP137,$BS137,$BT137,$A137-Inputs!$D$1,1,1))*(8*VLOOKUP($A137,NumberofDaysTable,4))),0))</f>
        <v xml:space="preserve"> </v>
      </c>
      <c r="AB137" s="306" t="str">
        <f>IF($A137="N/A"," ",IF(U137&lt;&gt;0,IF('Pricing Inputs'!$AN$3=2,8*VLOOKUP($A137,NumberofDaysTable,4),(_xll.xSPRDOPT(N137,$E137,$BU137,0,$BP137,$BS137,$BT137,$A137-Inputs!$D$1,1,1))*(8*VLOOKUP($A137,NumberofDaysTable,4))),0))</f>
        <v xml:space="preserve"> </v>
      </c>
      <c r="AC137" s="306" t="str">
        <f t="shared" si="233"/>
        <v xml:space="preserve"> </v>
      </c>
      <c r="AD137" s="274" t="str">
        <f t="shared" ref="AD137:AD147" si="251">IF($A137="N/A"," ",RANK(P137,$P$136:$V$147))</f>
        <v xml:space="preserve"> </v>
      </c>
      <c r="AE137" s="275" t="str">
        <f t="shared" ref="AE137:AE147" si="252">IF($A137="N/A"," ",RANK(Q137,$P$136:$V$147))</f>
        <v xml:space="preserve"> </v>
      </c>
      <c r="AF137" s="275" t="str">
        <f t="shared" ref="AF137:AF147" si="253">IF($A137="N/A"," ",RANK(R137,$P$136:$V$147))</f>
        <v xml:space="preserve"> </v>
      </c>
      <c r="AG137" s="275" t="str">
        <f t="shared" ref="AG137:AG147" si="254">IF($A137="N/A"," ",RANK(S137,$P$136:$V$147))</f>
        <v xml:space="preserve"> </v>
      </c>
      <c r="AH137" s="275" t="str">
        <f t="shared" ref="AH137:AH147" si="255">IF($A137="N/A"," ",RANK(T137,$P$136:$V$147))</f>
        <v xml:space="preserve"> </v>
      </c>
      <c r="AI137" s="275" t="str">
        <f t="shared" ref="AI137:AI147" si="256">IF($A137="N/A"," ",RANK(U137,$P$136:$V$147))</f>
        <v xml:space="preserve"> </v>
      </c>
      <c r="AJ137" s="276" t="str">
        <f t="shared" ref="AJ137:AJ147" si="257">IF($A137="N/A"," ",RANK(V137,$P$136:$V$147))</f>
        <v xml:space="preserve"> </v>
      </c>
      <c r="AK137" s="314" t="str">
        <f t="shared" si="158"/>
        <v xml:space="preserve"> </v>
      </c>
      <c r="AL137" s="315" t="str">
        <f t="shared" si="159"/>
        <v xml:space="preserve"> </v>
      </c>
      <c r="AM137" s="315" t="str">
        <f t="shared" si="160"/>
        <v xml:space="preserve"> </v>
      </c>
      <c r="AN137" s="315" t="str">
        <f t="shared" si="161"/>
        <v xml:space="preserve"> </v>
      </c>
      <c r="AO137" s="315" t="str">
        <f t="shared" si="162"/>
        <v xml:space="preserve"> </v>
      </c>
      <c r="AP137" s="315" t="str">
        <f t="shared" si="163"/>
        <v xml:space="preserve"> </v>
      </c>
      <c r="AQ137" s="315" t="str">
        <f t="shared" si="164"/>
        <v xml:space="preserve"> </v>
      </c>
      <c r="AR137" s="276"/>
      <c r="AS137" s="321" t="str">
        <f t="shared" si="244"/>
        <v xml:space="preserve"> </v>
      </c>
      <c r="AT137" s="324" t="str">
        <f t="shared" si="245"/>
        <v xml:space="preserve"> </v>
      </c>
      <c r="AU137" s="324" t="str">
        <f t="shared" si="246"/>
        <v xml:space="preserve"> </v>
      </c>
      <c r="AV137" s="324" t="str">
        <f t="shared" si="247"/>
        <v xml:space="preserve"> </v>
      </c>
      <c r="AW137" s="324" t="str">
        <f t="shared" si="248"/>
        <v xml:space="preserve"> </v>
      </c>
      <c r="AX137" s="324" t="str">
        <f t="shared" si="249"/>
        <v xml:space="preserve"> </v>
      </c>
      <c r="AY137" s="324" t="str">
        <f t="shared" si="250"/>
        <v xml:space="preserve"> </v>
      </c>
      <c r="AZ137" s="276"/>
      <c r="BA137" s="267" t="str">
        <f>IF($A137="N/A"," ",(IF(MONTH(A137)&gt;=4,IF(MONTH(A137)&lt;=10,Inputs!$F$13,Inputs!$F$14),Inputs!$F$14))*$BW137)</f>
        <v xml:space="preserve"> </v>
      </c>
      <c r="BB137" s="268" t="str">
        <f t="shared" si="165"/>
        <v xml:space="preserve"> </v>
      </c>
      <c r="BC137" s="268" t="str">
        <f t="shared" si="166"/>
        <v xml:space="preserve"> </v>
      </c>
      <c r="BD137" s="268" t="str">
        <f t="shared" si="234"/>
        <v xml:space="preserve"> </v>
      </c>
      <c r="BE137" s="268" t="str">
        <f t="shared" si="235"/>
        <v xml:space="preserve"> </v>
      </c>
      <c r="BF137" s="268" t="str">
        <f t="shared" si="236"/>
        <v xml:space="preserve"> </v>
      </c>
      <c r="BG137" s="268" t="str">
        <f t="shared" si="237"/>
        <v xml:space="preserve"> </v>
      </c>
      <c r="BH137" s="268" t="str">
        <f t="shared" si="157"/>
        <v xml:space="preserve"> </v>
      </c>
      <c r="BI137" s="268" t="str">
        <f t="shared" si="238"/>
        <v xml:space="preserve"> </v>
      </c>
      <c r="BJ137" s="296" t="str">
        <f t="shared" si="239"/>
        <v xml:space="preserve"> </v>
      </c>
      <c r="BK137" s="296" t="str">
        <f t="shared" si="240"/>
        <v xml:space="preserve"> </v>
      </c>
      <c r="BL137" s="296" t="str">
        <f t="shared" si="241"/>
        <v xml:space="preserve"> </v>
      </c>
      <c r="BM137" s="296" t="str">
        <f t="shared" si="242"/>
        <v xml:space="preserve"> </v>
      </c>
      <c r="BN137" s="405" t="str">
        <f>IF(A137="N/A"," ",(VLOOKUP(A137,PowerVolTable,(IF('Pricing Inputs'!$AT$3=2,7,IF('Pricing Inputs'!$AT$3=1,6,8))),FALSE)))</f>
        <v xml:space="preserve"> </v>
      </c>
      <c r="BO137" s="405" t="str">
        <f>IF(A137="N/A"," ",(VLOOKUP(A137,IntraPowerVol,(IF('Pricing Inputs'!$AT$3=2,3,IF('Pricing Inputs'!$AT$3=1,2,4))),FALSE)*VLOOKUP(MONTH($A137),Inputs!$A$28:$B$39,2)))</f>
        <v xml:space="preserve"> </v>
      </c>
      <c r="BP137" s="406" t="str">
        <f t="shared" si="227"/>
        <v xml:space="preserve"> </v>
      </c>
      <c r="BQ137" s="405" t="str">
        <f>IF($A137="N/A"," ",(VLOOKUP($A137,GasVolTable,(IF('Pricing Inputs'!$AT$3=2,6,IF('Pricing Inputs'!$AT$3=1,7,5))),FALSE)))</f>
        <v xml:space="preserve"> </v>
      </c>
      <c r="BR137" s="405" t="str">
        <f>IF($A137="N/A"," ",(VLOOKUP($A137,OmicronVol,(IF('Pricing Inputs'!$AT$3=2,3,IF('Pricing Inputs'!$AT$3=1,4,2))),FALSE)))</f>
        <v xml:space="preserve"> </v>
      </c>
      <c r="BS137" s="406" t="str">
        <f>IF($A137="N/A"," ",IF('Pricing Inputs'!$AN$3=1,(IF(DateToday&gt;$A137,$BR137,((($BQ137^2)*((($A137-1)-DateToday)/((EOMONTH($A137,0)+1)-DateToday-15)))+((($BR137)^2)*((15)/((EOMONTH($A137,0)+1)-DateToday-15))))^0.5)),0.0001))</f>
        <v xml:space="preserve"> </v>
      </c>
      <c r="BT137" s="405" t="str">
        <f>IF($A137="N/A"," ",IF('Pricing Inputs'!$AN$3=1,(VLOOKUP($A137,CorrelationTable,2,FALSE)),0))</f>
        <v xml:space="preserve"> </v>
      </c>
      <c r="BU137" s="407" t="str">
        <f>IF($A137="N/A"," ",F137+G137+(D137*(VLOOKUP($A137,'Gas Curves'!$B$17:$P$310,14,FALSE))))</f>
        <v xml:space="preserve"> </v>
      </c>
      <c r="BV137" s="405" t="str">
        <f>IF($A137="N/A"," ",IF('Pricing Inputs'!$AW$3=1,0,(VLOOKUP($A137,InterestRatesTable,2))))</f>
        <v xml:space="preserve"> </v>
      </c>
      <c r="BW137" s="408" t="str">
        <f t="shared" si="228"/>
        <v xml:space="preserve"> </v>
      </c>
    </row>
    <row r="138" spans="1:75">
      <c r="A138" s="248" t="str">
        <f>IF(A137="N/A","N/A",IF(EDATE(A137,1)&gt;Inputs!$K$3,"N/A",EDATE(A137,1)))</f>
        <v>N/A</v>
      </c>
      <c r="B138" s="262" t="str">
        <f t="shared" si="229"/>
        <v xml:space="preserve"> </v>
      </c>
      <c r="C138" s="249" t="str">
        <f t="shared" si="230"/>
        <v xml:space="preserve"> </v>
      </c>
      <c r="D138" s="250" t="str">
        <f>IF(A138="N/A"," ",(VLOOKUP(MONTH($A138),Inputs!$A$14:$B$25,2))/1000)</f>
        <v xml:space="preserve"> </v>
      </c>
      <c r="E138" s="304" t="str">
        <f t="shared" si="231"/>
        <v xml:space="preserve"> </v>
      </c>
      <c r="F138" s="251" t="str">
        <f>IF(A138="N/A"," ",Inputs!$F$6)</f>
        <v xml:space="preserve"> </v>
      </c>
      <c r="G138" s="251" t="str">
        <f>IF(A138="N/A"," ",Inputs!$F$9/IF(AND('Pricing Inputs'!$AQ$3&gt;=4,'Pricing Inputs'!$AQ$3&lt;=6),16,IF(AND('Pricing Inputs'!$AQ$3&gt;=7,'Pricing Inputs'!$AQ$3&lt;=9),8,24))/(BA138/BW138))</f>
        <v xml:space="preserve"> </v>
      </c>
      <c r="H138" s="252" t="str">
        <f t="shared" si="232"/>
        <v xml:space="preserve"> </v>
      </c>
      <c r="I138" s="255" t="str">
        <f>VLOOKUP(A138,ScaledPrice,(IF(AND('Pricing Inputs'!$AQ$3&gt;=1,'Pricing Inputs'!$AQ$3&lt;=6),2,4)))</f>
        <v xml:space="preserve"> </v>
      </c>
      <c r="J138" s="255" t="str">
        <f>IF(A138="N/A"," ",IF(AND('Pricing Inputs'!$AQ$3&gt;=1,'Pricing Inputs'!$AQ$3&lt;=6),I138,(VLOOKUP(A138,ScaledPrice,2))*(2-(VLOOKUP(A138,ScaledPrice,3)))))</f>
        <v xml:space="preserve"> </v>
      </c>
      <c r="K138" s="255" t="str">
        <f>IF(A138="N/A"," ",IF(OR('Pricing Inputs'!$AQ$3=2,'Pricing Inputs'!$AQ$3=3,'Pricing Inputs'!$AQ$3=5,'Pricing Inputs'!$AQ$3=6,'Pricing Inputs'!$AQ$3=8,'Pricing Inputs'!$AQ$3=9),VLOOKUP(A138,ScaledPrice,IF(AND('Pricing Inputs'!$AQ$3&gt;=2,'Pricing Inputs'!$AQ$3&lt;=6),5,6)),0))</f>
        <v xml:space="preserve"> </v>
      </c>
      <c r="L138" s="255" t="str">
        <f>IF(A138="N/A"," ",IF(OR('Pricing Inputs'!$AQ$3=2,'Pricing Inputs'!$AQ$3=3,'Pricing Inputs'!$AQ$3=5,'Pricing Inputs'!$AQ$3=6,'Pricing Inputs'!$AQ$3=8,'Pricing Inputs'!$AQ$3=9),IF(AND('Pricing Inputs'!$AQ$3&gt;=2,'Pricing Inputs'!$AQ$3&lt;=6),K138,(VLOOKUP(A138,ScaledPrice,5))*(2-(VLOOKUP(A138,ScaledPrice,3)))),0))</f>
        <v xml:space="preserve"> </v>
      </c>
      <c r="M138" s="255" t="str">
        <f>IF(A138="N/A"," ",IF(OR('Pricing Inputs'!$AQ$3=3,'Pricing Inputs'!$AQ$3=6,'Pricing Inputs'!$AQ$3=9),(VLOOKUP(A138,ScaledPrice,IF(AND('Pricing Inputs'!$AQ$3&gt;=3,'Pricing Inputs'!$AQ$3&lt;=6),7,8))),0))</f>
        <v xml:space="preserve"> </v>
      </c>
      <c r="N138" s="255" t="str">
        <f>IF(A138="N/A"," ",IF(OR('Pricing Inputs'!$AQ$3=3,'Pricing Inputs'!$AQ$3=6,'Pricing Inputs'!$AQ$3=9),IF(AND('Pricing Inputs'!$AQ$3&gt;=3,'Pricing Inputs'!$AQ$3&lt;=6),M138,(VLOOKUP(A138,ScaledPrice,7))*(2-(VLOOKUP(A138,ScaledPrice,3)))),0))</f>
        <v xml:space="preserve"> </v>
      </c>
      <c r="O138" s="255" t="str">
        <f>IF(A138="N/A"," ",IF(AND('Pricing Inputs'!$AQ$3&gt;=1,'Pricing Inputs'!$AQ$3&lt;=3),VLOOKUP(A138,ScaledPrice,9),0))</f>
        <v xml:space="preserve"> </v>
      </c>
      <c r="P138" s="320" t="str">
        <f>IF($A138="N/A"," ",IF('Pricing Inputs'!$AN$8=2,(I138-H138),IF('Pricing Inputs'!$AN$3=2,IF((I138-$H138)&gt;0,I138-$H138,0),(_xll.xSPRDOPT(I138,$E138,$BU138,0,$BP138,$BS138,$BT138,($A138-Inputs!$D$1)+15,1,0)))))</f>
        <v xml:space="preserve"> </v>
      </c>
      <c r="Q138" s="320" t="str">
        <f>IF($A138="N/A"," ",IF('Pricing Inputs'!$AN$8=2,(J138-$H138),IF('Pricing Inputs'!$AN$3=2,IF((J138-$H138)&gt;0,J138-$H138,0),(_xll.xSPRDOPT(J138,$E138,$BU138,0,$BP138,$BS138,$BT138,($A138-Inputs!$D$1)+15,1,0)))))</f>
        <v xml:space="preserve"> </v>
      </c>
      <c r="R138" s="320" t="str">
        <f>IF($A138="N/A"," ",IF('Pricing Inputs'!$AN$8=2,(K138-$H138),IF('Pricing Inputs'!$AN$3=2,IF((K138-$H138)&gt;0,K138-$H138,0),(_xll.xSPRDOPT(K138,$E138,$BU138,0,$BP138,$BS138,$BT138,($A138-Inputs!$D$1)+15,1,0)))))</f>
        <v xml:space="preserve"> </v>
      </c>
      <c r="S138" s="320" t="str">
        <f>IF($A138="N/A"," ",IF('Pricing Inputs'!$AN$8=2,(L138-$H138),IF('Pricing Inputs'!$AN$3=2,IF((L138-$H138)&gt;0,L138-$H138,0),(_xll.xSPRDOPT(L138,$E138,$BU138,0,$BP138,$BS138,$BT138,($A138-Inputs!$D$1)+15,1,0)))))</f>
        <v xml:space="preserve"> </v>
      </c>
      <c r="T138" s="320" t="str">
        <f>IF($A138="N/A"," ",IF('Pricing Inputs'!$AN$8=2,(M138-$H138),IF('Pricing Inputs'!$AN$3=2,IF((M138-$H138)&gt;0,M138-$H138,0),(_xll.xSPRDOPT(M138,$E138,$BU138,0,$BP138,$BS138,$BT138,($A138-Inputs!$D$1)+15,1,0)))))</f>
        <v xml:space="preserve"> </v>
      </c>
      <c r="U138" s="320" t="str">
        <f>IF($A138="N/A"," ",IF('Pricing Inputs'!$AN$8=2,(N138-$H138),IF('Pricing Inputs'!$AN$3=2,IF((N138-$H138)&gt;0,N138-$H138,0),(_xll.xSPRDOPT(N138,$E138,$BU138,0,$BP138,$BS138,$BT138,($A138-Inputs!$D$1)+15,1,0)))))</f>
        <v xml:space="preserve"> </v>
      </c>
      <c r="V138" s="259" t="str">
        <f>IF($A138="N/A"," ",(IF('Pricing Inputs'!$AN$8=2,(O138-$H138),IF((O138-$H138)&lt;=0,0,(O138-$H138)))))</f>
        <v xml:space="preserve"> </v>
      </c>
      <c r="W138" s="306" t="str">
        <f>IF($A138="N/A"," ",IF(0&lt;&gt;P138,IF('Pricing Inputs'!$AN$3=2,8*VLOOKUP($A138,NumberofDaysTable,2),(_xll.xSPRDOPT(I138,$E138,$BU138,0,$BP138,$BS138,$BT138,$A138-Inputs!$D$1,1,1))*(8*VLOOKUP($A138,NumberofDaysTable,2))),0))</f>
        <v xml:space="preserve"> </v>
      </c>
      <c r="X138" s="306" t="str">
        <f>IF($A138="N/A"," ",IF(Q138&lt;&gt;0,IF('Pricing Inputs'!$AN$3=2,8*VLOOKUP($A138,NumberofDaysTable,2),(_xll.xSPRDOPT(J138,$E138,$BU138,0,$BP138,$BS138,$BT138,$A138-Inputs!$D$1,1,1))*(8*VLOOKUP($A138,NumberofDaysTable,2))),0))</f>
        <v xml:space="preserve"> </v>
      </c>
      <c r="Y138" s="306" t="str">
        <f>IF($A138="N/A"," ",IF(R138&lt;&gt;0,IF('Pricing Inputs'!$AN$3=2,8*VLOOKUP($A138,NumberofDaysTable,3),(_xll.xSPRDOPT(K138,$E138,$BU138,0,$BP138,$BS138,$BT138,$A138-Inputs!$D$1,1,1))*(8*VLOOKUP($A138,NumberofDaysTable,3))),0))</f>
        <v xml:space="preserve"> </v>
      </c>
      <c r="Z138" s="306" t="str">
        <f>IF($A138="N/A"," ",IF(S138&lt;&gt;0,IF('Pricing Inputs'!$AN$3=2,8*VLOOKUP($A138,NumberofDaysTable,3),(_xll.xSPRDOPT(L138,$E138,$BU138,0,$BP138,$BS138,$BT138,$A138-Inputs!$D$1,1,1))*(8*VLOOKUP($A138,NumberofDaysTable,3))),0))</f>
        <v xml:space="preserve"> </v>
      </c>
      <c r="AA138" s="306" t="str">
        <f>IF($A138="N/A"," ",IF(T138&lt;&gt;0,IF('Pricing Inputs'!$AN$3=2,8*VLOOKUP($A138,NumberofDaysTable,4),(_xll.xSPRDOPT(M138,$E138,$BU138,0,$BP138,$BS138,$BT138,$A138-Inputs!$D$1,1,1))*(8*VLOOKUP($A138,NumberofDaysTable,4))),0))</f>
        <v xml:space="preserve"> </v>
      </c>
      <c r="AB138" s="306" t="str">
        <f>IF($A138="N/A"," ",IF(U138&lt;&gt;0,IF('Pricing Inputs'!$AN$3=2,8*VLOOKUP($A138,NumberofDaysTable,4),(_xll.xSPRDOPT(N138,$E138,$BU138,0,$BP138,$BS138,$BT138,$A138-Inputs!$D$1,1,1))*(8*VLOOKUP($A138,NumberofDaysTable,4))),0))</f>
        <v xml:space="preserve"> </v>
      </c>
      <c r="AC138" s="306" t="str">
        <f t="shared" si="233"/>
        <v xml:space="preserve"> </v>
      </c>
      <c r="AD138" s="274" t="str">
        <f t="shared" si="251"/>
        <v xml:space="preserve"> </v>
      </c>
      <c r="AE138" s="275" t="str">
        <f t="shared" si="252"/>
        <v xml:space="preserve"> </v>
      </c>
      <c r="AF138" s="275" t="str">
        <f t="shared" si="253"/>
        <v xml:space="preserve"> </v>
      </c>
      <c r="AG138" s="275" t="str">
        <f t="shared" si="254"/>
        <v xml:space="preserve"> </v>
      </c>
      <c r="AH138" s="275" t="str">
        <f t="shared" si="255"/>
        <v xml:space="preserve"> </v>
      </c>
      <c r="AI138" s="275" t="str">
        <f t="shared" si="256"/>
        <v xml:space="preserve"> </v>
      </c>
      <c r="AJ138" s="276" t="str">
        <f t="shared" si="257"/>
        <v xml:space="preserve"> </v>
      </c>
      <c r="AK138" s="314" t="str">
        <f t="shared" si="158"/>
        <v xml:space="preserve"> </v>
      </c>
      <c r="AL138" s="315" t="str">
        <f t="shared" si="159"/>
        <v xml:space="preserve"> </v>
      </c>
      <c r="AM138" s="315" t="str">
        <f t="shared" si="160"/>
        <v xml:space="preserve"> </v>
      </c>
      <c r="AN138" s="315" t="str">
        <f t="shared" si="161"/>
        <v xml:space="preserve"> </v>
      </c>
      <c r="AO138" s="315" t="str">
        <f t="shared" si="162"/>
        <v xml:space="preserve"> </v>
      </c>
      <c r="AP138" s="315" t="str">
        <f t="shared" si="163"/>
        <v xml:space="preserve"> </v>
      </c>
      <c r="AQ138" s="315" t="str">
        <f t="shared" si="164"/>
        <v xml:space="preserve"> </v>
      </c>
      <c r="AR138" s="276"/>
      <c r="AS138" s="321" t="str">
        <f t="shared" si="244"/>
        <v xml:space="preserve"> </v>
      </c>
      <c r="AT138" s="324" t="str">
        <f t="shared" si="245"/>
        <v xml:space="preserve"> </v>
      </c>
      <c r="AU138" s="324" t="str">
        <f t="shared" si="246"/>
        <v xml:space="preserve"> </v>
      </c>
      <c r="AV138" s="324" t="str">
        <f t="shared" si="247"/>
        <v xml:space="preserve"> </v>
      </c>
      <c r="AW138" s="324" t="str">
        <f t="shared" si="248"/>
        <v xml:space="preserve"> </v>
      </c>
      <c r="AX138" s="324" t="str">
        <f t="shared" si="249"/>
        <v xml:space="preserve"> </v>
      </c>
      <c r="AY138" s="324" t="str">
        <f t="shared" si="250"/>
        <v xml:space="preserve"> </v>
      </c>
      <c r="AZ138" s="276"/>
      <c r="BA138" s="267" t="str">
        <f>IF($A138="N/A"," ",(IF(MONTH(A138)&gt;=4,IF(MONTH(A138)&lt;=10,Inputs!$F$13,Inputs!$F$14),Inputs!$F$14))*$BW138)</f>
        <v xml:space="preserve"> </v>
      </c>
      <c r="BB138" s="268" t="str">
        <f t="shared" si="165"/>
        <v xml:space="preserve"> </v>
      </c>
      <c r="BC138" s="268" t="str">
        <f t="shared" si="166"/>
        <v xml:space="preserve"> </v>
      </c>
      <c r="BD138" s="268" t="str">
        <f t="shared" si="234"/>
        <v xml:space="preserve"> </v>
      </c>
      <c r="BE138" s="268" t="str">
        <f t="shared" si="235"/>
        <v xml:space="preserve"> </v>
      </c>
      <c r="BF138" s="268" t="str">
        <f t="shared" si="236"/>
        <v xml:space="preserve"> </v>
      </c>
      <c r="BG138" s="268" t="str">
        <f t="shared" si="237"/>
        <v xml:space="preserve"> </v>
      </c>
      <c r="BH138" s="268" t="str">
        <f t="shared" si="157"/>
        <v xml:space="preserve"> </v>
      </c>
      <c r="BI138" s="268" t="str">
        <f t="shared" si="238"/>
        <v xml:space="preserve"> </v>
      </c>
      <c r="BJ138" s="296" t="str">
        <f t="shared" si="239"/>
        <v xml:space="preserve"> </v>
      </c>
      <c r="BK138" s="296" t="str">
        <f t="shared" si="240"/>
        <v xml:space="preserve"> </v>
      </c>
      <c r="BL138" s="296" t="str">
        <f t="shared" si="241"/>
        <v xml:space="preserve"> </v>
      </c>
      <c r="BM138" s="296" t="str">
        <f t="shared" si="242"/>
        <v xml:space="preserve"> </v>
      </c>
      <c r="BN138" s="405" t="str">
        <f>IF(A138="N/A"," ",(VLOOKUP(A138,PowerVolTable,(IF('Pricing Inputs'!$AT$3=2,7,IF('Pricing Inputs'!$AT$3=1,6,8))),FALSE)))</f>
        <v xml:space="preserve"> </v>
      </c>
      <c r="BO138" s="405" t="str">
        <f>IF(A138="N/A"," ",(VLOOKUP(A138,IntraPowerVol,(IF('Pricing Inputs'!$AT$3=2,3,IF('Pricing Inputs'!$AT$3=1,2,4))),FALSE)*VLOOKUP(MONTH($A138),Inputs!$A$28:$B$39,2)))</f>
        <v xml:space="preserve"> </v>
      </c>
      <c r="BP138" s="406" t="str">
        <f t="shared" si="227"/>
        <v xml:space="preserve"> </v>
      </c>
      <c r="BQ138" s="405" t="str">
        <f>IF($A138="N/A"," ",(VLOOKUP($A138,GasVolTable,(IF('Pricing Inputs'!$AT$3=2,6,IF('Pricing Inputs'!$AT$3=1,7,5))),FALSE)))</f>
        <v xml:space="preserve"> </v>
      </c>
      <c r="BR138" s="405" t="str">
        <f>IF($A138="N/A"," ",(VLOOKUP($A138,OmicronVol,(IF('Pricing Inputs'!$AT$3=2,3,IF('Pricing Inputs'!$AT$3=1,4,2))),FALSE)))</f>
        <v xml:space="preserve"> </v>
      </c>
      <c r="BS138" s="406" t="str">
        <f>IF($A138="N/A"," ",IF('Pricing Inputs'!$AN$3=1,(IF(DateToday&gt;$A138,$BR138,((($BQ138^2)*((($A138-1)-DateToday)/((EOMONTH($A138,0)+1)-DateToday-15)))+((($BR138)^2)*((15)/((EOMONTH($A138,0)+1)-DateToday-15))))^0.5)),0.0001))</f>
        <v xml:space="preserve"> </v>
      </c>
      <c r="BT138" s="405" t="str">
        <f>IF($A138="N/A"," ",IF('Pricing Inputs'!$AN$3=1,(VLOOKUP($A138,CorrelationTable,2,FALSE)),0))</f>
        <v xml:space="preserve"> </v>
      </c>
      <c r="BU138" s="407" t="str">
        <f>IF($A138="N/A"," ",F138+G138+(D138*(VLOOKUP($A138,'Gas Curves'!$B$17:$P$310,14,FALSE))))</f>
        <v xml:space="preserve"> </v>
      </c>
      <c r="BV138" s="405" t="str">
        <f>IF($A138="N/A"," ",IF('Pricing Inputs'!$AW$3=1,0,(VLOOKUP($A138,InterestRatesTable,2))))</f>
        <v xml:space="preserve"> </v>
      </c>
      <c r="BW138" s="408" t="str">
        <f t="shared" si="228"/>
        <v xml:space="preserve"> </v>
      </c>
    </row>
    <row r="139" spans="1:75">
      <c r="A139" s="248" t="str">
        <f>IF(A138="N/A","N/A",IF(EDATE(A138,1)&gt;Inputs!$K$3,"N/A",EDATE(A138,1)))</f>
        <v>N/A</v>
      </c>
      <c r="B139" s="262" t="str">
        <f t="shared" si="229"/>
        <v xml:space="preserve"> </v>
      </c>
      <c r="C139" s="249" t="str">
        <f t="shared" si="230"/>
        <v xml:space="preserve"> </v>
      </c>
      <c r="D139" s="250" t="str">
        <f>IF(A139="N/A"," ",(VLOOKUP(MONTH($A139),Inputs!$A$14:$B$25,2))/1000)</f>
        <v xml:space="preserve"> </v>
      </c>
      <c r="E139" s="304" t="str">
        <f t="shared" si="231"/>
        <v xml:space="preserve"> </v>
      </c>
      <c r="F139" s="251" t="str">
        <f>IF(A139="N/A"," ",Inputs!$F$6)</f>
        <v xml:space="preserve"> </v>
      </c>
      <c r="G139" s="251" t="str">
        <f>IF(A139="N/A"," ",Inputs!$F$9/IF(AND('Pricing Inputs'!$AQ$3&gt;=4,'Pricing Inputs'!$AQ$3&lt;=6),16,IF(AND('Pricing Inputs'!$AQ$3&gt;=7,'Pricing Inputs'!$AQ$3&lt;=9),8,24))/(BA139/BW139))</f>
        <v xml:space="preserve"> </v>
      </c>
      <c r="H139" s="252" t="str">
        <f t="shared" si="232"/>
        <v xml:space="preserve"> </v>
      </c>
      <c r="I139" s="255" t="str">
        <f>VLOOKUP(A139,ScaledPrice,(IF(AND('Pricing Inputs'!$AQ$3&gt;=1,'Pricing Inputs'!$AQ$3&lt;=6),2,4)))</f>
        <v xml:space="preserve"> </v>
      </c>
      <c r="J139" s="255" t="str">
        <f>IF(A139="N/A"," ",IF(AND('Pricing Inputs'!$AQ$3&gt;=1,'Pricing Inputs'!$AQ$3&lt;=6),I139,(VLOOKUP(A139,ScaledPrice,2))*(2-(VLOOKUP(A139,ScaledPrice,3)))))</f>
        <v xml:space="preserve"> </v>
      </c>
      <c r="K139" s="255" t="str">
        <f>IF(A139="N/A"," ",IF(OR('Pricing Inputs'!$AQ$3=2,'Pricing Inputs'!$AQ$3=3,'Pricing Inputs'!$AQ$3=5,'Pricing Inputs'!$AQ$3=6,'Pricing Inputs'!$AQ$3=8,'Pricing Inputs'!$AQ$3=9),VLOOKUP(A139,ScaledPrice,IF(AND('Pricing Inputs'!$AQ$3&gt;=2,'Pricing Inputs'!$AQ$3&lt;=6),5,6)),0))</f>
        <v xml:space="preserve"> </v>
      </c>
      <c r="L139" s="255" t="str">
        <f>IF(A139="N/A"," ",IF(OR('Pricing Inputs'!$AQ$3=2,'Pricing Inputs'!$AQ$3=3,'Pricing Inputs'!$AQ$3=5,'Pricing Inputs'!$AQ$3=6,'Pricing Inputs'!$AQ$3=8,'Pricing Inputs'!$AQ$3=9),IF(AND('Pricing Inputs'!$AQ$3&gt;=2,'Pricing Inputs'!$AQ$3&lt;=6),K139,(VLOOKUP(A139,ScaledPrice,5))*(2-(VLOOKUP(A139,ScaledPrice,3)))),0))</f>
        <v xml:space="preserve"> </v>
      </c>
      <c r="M139" s="255" t="str">
        <f>IF(A139="N/A"," ",IF(OR('Pricing Inputs'!$AQ$3=3,'Pricing Inputs'!$AQ$3=6,'Pricing Inputs'!$AQ$3=9),(VLOOKUP(A139,ScaledPrice,IF(AND('Pricing Inputs'!$AQ$3&gt;=3,'Pricing Inputs'!$AQ$3&lt;=6),7,8))),0))</f>
        <v xml:space="preserve"> </v>
      </c>
      <c r="N139" s="255" t="str">
        <f>IF(A139="N/A"," ",IF(OR('Pricing Inputs'!$AQ$3=3,'Pricing Inputs'!$AQ$3=6,'Pricing Inputs'!$AQ$3=9),IF(AND('Pricing Inputs'!$AQ$3&gt;=3,'Pricing Inputs'!$AQ$3&lt;=6),M139,(VLOOKUP(A139,ScaledPrice,7))*(2-(VLOOKUP(A139,ScaledPrice,3)))),0))</f>
        <v xml:space="preserve"> </v>
      </c>
      <c r="O139" s="255" t="str">
        <f>IF(A139="N/A"," ",IF(AND('Pricing Inputs'!$AQ$3&gt;=1,'Pricing Inputs'!$AQ$3&lt;=3),VLOOKUP(A139,ScaledPrice,9),0))</f>
        <v xml:space="preserve"> </v>
      </c>
      <c r="P139" s="320" t="str">
        <f>IF($A139="N/A"," ",IF('Pricing Inputs'!$AN$8=2,(I139-H139),IF('Pricing Inputs'!$AN$3=2,IF((I139-$H139)&gt;0,I139-$H139,0),(_xll.xSPRDOPT(I139,$E139,$BU139,0,$BP139,$BS139,$BT139,($A139-Inputs!$D$1)+15,1,0)))))</f>
        <v xml:space="preserve"> </v>
      </c>
      <c r="Q139" s="320" t="str">
        <f>IF($A139="N/A"," ",IF('Pricing Inputs'!$AN$8=2,(J139-$H139),IF('Pricing Inputs'!$AN$3=2,IF((J139-$H139)&gt;0,J139-$H139,0),(_xll.xSPRDOPT(J139,$E139,$BU139,0,$BP139,$BS139,$BT139,($A139-Inputs!$D$1)+15,1,0)))))</f>
        <v xml:space="preserve"> </v>
      </c>
      <c r="R139" s="320" t="str">
        <f>IF($A139="N/A"," ",IF('Pricing Inputs'!$AN$8=2,(K139-$H139),IF('Pricing Inputs'!$AN$3=2,IF((K139-$H139)&gt;0,K139-$H139,0),(_xll.xSPRDOPT(K139,$E139,$BU139,0,$BP139,$BS139,$BT139,($A139-Inputs!$D$1)+15,1,0)))))</f>
        <v xml:space="preserve"> </v>
      </c>
      <c r="S139" s="320" t="str">
        <f>IF($A139="N/A"," ",IF('Pricing Inputs'!$AN$8=2,(L139-$H139),IF('Pricing Inputs'!$AN$3=2,IF((L139-$H139)&gt;0,L139-$H139,0),(_xll.xSPRDOPT(L139,$E139,$BU139,0,$BP139,$BS139,$BT139,($A139-Inputs!$D$1)+15,1,0)))))</f>
        <v xml:space="preserve"> </v>
      </c>
      <c r="T139" s="320" t="str">
        <f>IF($A139="N/A"," ",IF('Pricing Inputs'!$AN$8=2,(M139-$H139),IF('Pricing Inputs'!$AN$3=2,IF((M139-$H139)&gt;0,M139-$H139,0),(_xll.xSPRDOPT(M139,$E139,$BU139,0,$BP139,$BS139,$BT139,($A139-Inputs!$D$1)+15,1,0)))))</f>
        <v xml:space="preserve"> </v>
      </c>
      <c r="U139" s="320" t="str">
        <f>IF($A139="N/A"," ",IF('Pricing Inputs'!$AN$8=2,(N139-$H139),IF('Pricing Inputs'!$AN$3=2,IF((N139-$H139)&gt;0,N139-$H139,0),(_xll.xSPRDOPT(N139,$E139,$BU139,0,$BP139,$BS139,$BT139,($A139-Inputs!$D$1)+15,1,0)))))</f>
        <v xml:space="preserve"> </v>
      </c>
      <c r="V139" s="259" t="str">
        <f>IF($A139="N/A"," ",(IF('Pricing Inputs'!$AN$8=2,(O139-$H139),IF((O139-$H139)&lt;=0,0,(O139-$H139)))))</f>
        <v xml:space="preserve"> </v>
      </c>
      <c r="W139" s="306" t="str">
        <f>IF($A139="N/A"," ",IF(0&lt;&gt;P139,IF('Pricing Inputs'!$AN$3=2,8*VLOOKUP($A139,NumberofDaysTable,2),(_xll.xSPRDOPT(I139,$E139,$BU139,0,$BP139,$BS139,$BT139,$A139-Inputs!$D$1,1,1))*(8*VLOOKUP($A139,NumberofDaysTable,2))),0))</f>
        <v xml:space="preserve"> </v>
      </c>
      <c r="X139" s="306" t="str">
        <f>IF($A139="N/A"," ",IF(Q139&lt;&gt;0,IF('Pricing Inputs'!$AN$3=2,8*VLOOKUP($A139,NumberofDaysTable,2),(_xll.xSPRDOPT(J139,$E139,$BU139,0,$BP139,$BS139,$BT139,$A139-Inputs!$D$1,1,1))*(8*VLOOKUP($A139,NumberofDaysTable,2))),0))</f>
        <v xml:space="preserve"> </v>
      </c>
      <c r="Y139" s="306" t="str">
        <f>IF($A139="N/A"," ",IF(R139&lt;&gt;0,IF('Pricing Inputs'!$AN$3=2,8*VLOOKUP($A139,NumberofDaysTable,3),(_xll.xSPRDOPT(K139,$E139,$BU139,0,$BP139,$BS139,$BT139,$A139-Inputs!$D$1,1,1))*(8*VLOOKUP($A139,NumberofDaysTable,3))),0))</f>
        <v xml:space="preserve"> </v>
      </c>
      <c r="Z139" s="306" t="str">
        <f>IF($A139="N/A"," ",IF(S139&lt;&gt;0,IF('Pricing Inputs'!$AN$3=2,8*VLOOKUP($A139,NumberofDaysTable,3),(_xll.xSPRDOPT(L139,$E139,$BU139,0,$BP139,$BS139,$BT139,$A139-Inputs!$D$1,1,1))*(8*VLOOKUP($A139,NumberofDaysTable,3))),0))</f>
        <v xml:space="preserve"> </v>
      </c>
      <c r="AA139" s="306" t="str">
        <f>IF($A139="N/A"," ",IF(T139&lt;&gt;0,IF('Pricing Inputs'!$AN$3=2,8*VLOOKUP($A139,NumberofDaysTable,4),(_xll.xSPRDOPT(M139,$E139,$BU139,0,$BP139,$BS139,$BT139,$A139-Inputs!$D$1,1,1))*(8*VLOOKUP($A139,NumberofDaysTable,4))),0))</f>
        <v xml:space="preserve"> </v>
      </c>
      <c r="AB139" s="306" t="str">
        <f>IF($A139="N/A"," ",IF(U139&lt;&gt;0,IF('Pricing Inputs'!$AN$3=2,8*VLOOKUP($A139,NumberofDaysTable,4),(_xll.xSPRDOPT(N139,$E139,$BU139,0,$BP139,$BS139,$BT139,$A139-Inputs!$D$1,1,1))*(8*VLOOKUP($A139,NumberofDaysTable,4))),0))</f>
        <v xml:space="preserve"> </v>
      </c>
      <c r="AC139" s="306" t="str">
        <f t="shared" si="233"/>
        <v xml:space="preserve"> </v>
      </c>
      <c r="AD139" s="274" t="str">
        <f t="shared" si="251"/>
        <v xml:space="preserve"> </v>
      </c>
      <c r="AE139" s="275" t="str">
        <f t="shared" si="252"/>
        <v xml:space="preserve"> </v>
      </c>
      <c r="AF139" s="275" t="str">
        <f t="shared" si="253"/>
        <v xml:space="preserve"> </v>
      </c>
      <c r="AG139" s="275" t="str">
        <f t="shared" si="254"/>
        <v xml:space="preserve"> </v>
      </c>
      <c r="AH139" s="275" t="str">
        <f t="shared" si="255"/>
        <v xml:space="preserve"> </v>
      </c>
      <c r="AI139" s="275" t="str">
        <f t="shared" si="256"/>
        <v xml:space="preserve"> </v>
      </c>
      <c r="AJ139" s="276" t="str">
        <f t="shared" si="257"/>
        <v xml:space="preserve"> </v>
      </c>
      <c r="AK139" s="314" t="str">
        <f t="shared" si="158"/>
        <v xml:space="preserve"> </v>
      </c>
      <c r="AL139" s="315" t="str">
        <f t="shared" si="159"/>
        <v xml:space="preserve"> </v>
      </c>
      <c r="AM139" s="315" t="str">
        <f t="shared" si="160"/>
        <v xml:space="preserve"> </v>
      </c>
      <c r="AN139" s="315" t="str">
        <f t="shared" si="161"/>
        <v xml:space="preserve"> </v>
      </c>
      <c r="AO139" s="315" t="str">
        <f t="shared" si="162"/>
        <v xml:space="preserve"> </v>
      </c>
      <c r="AP139" s="315" t="str">
        <f t="shared" si="163"/>
        <v xml:space="preserve"> </v>
      </c>
      <c r="AQ139" s="315" t="str">
        <f t="shared" si="164"/>
        <v xml:space="preserve"> </v>
      </c>
      <c r="AR139" s="276"/>
      <c r="AS139" s="321" t="str">
        <f t="shared" si="244"/>
        <v xml:space="preserve"> </v>
      </c>
      <c r="AT139" s="324" t="str">
        <f t="shared" si="245"/>
        <v xml:space="preserve"> </v>
      </c>
      <c r="AU139" s="324" t="str">
        <f t="shared" si="246"/>
        <v xml:space="preserve"> </v>
      </c>
      <c r="AV139" s="324" t="str">
        <f t="shared" si="247"/>
        <v xml:space="preserve"> </v>
      </c>
      <c r="AW139" s="324" t="str">
        <f t="shared" si="248"/>
        <v xml:space="preserve"> </v>
      </c>
      <c r="AX139" s="324" t="str">
        <f t="shared" si="249"/>
        <v xml:space="preserve"> </v>
      </c>
      <c r="AY139" s="324" t="str">
        <f t="shared" si="250"/>
        <v xml:space="preserve"> </v>
      </c>
      <c r="AZ139" s="276"/>
      <c r="BA139" s="267" t="str">
        <f>IF($A139="N/A"," ",(IF(MONTH(A139)&gt;=4,IF(MONTH(A139)&lt;=10,Inputs!$F$13,Inputs!$F$14),Inputs!$F$14))*$BW139)</f>
        <v xml:space="preserve"> </v>
      </c>
      <c r="BB139" s="268" t="str">
        <f t="shared" si="165"/>
        <v xml:space="preserve"> </v>
      </c>
      <c r="BC139" s="268" t="str">
        <f t="shared" si="166"/>
        <v xml:space="preserve"> </v>
      </c>
      <c r="BD139" s="268" t="str">
        <f t="shared" si="234"/>
        <v xml:space="preserve"> </v>
      </c>
      <c r="BE139" s="268" t="str">
        <f t="shared" si="235"/>
        <v xml:space="preserve"> </v>
      </c>
      <c r="BF139" s="268" t="str">
        <f t="shared" si="236"/>
        <v xml:space="preserve"> </v>
      </c>
      <c r="BG139" s="268" t="str">
        <f t="shared" si="237"/>
        <v xml:space="preserve"> </v>
      </c>
      <c r="BH139" s="268" t="str">
        <f t="shared" si="157"/>
        <v xml:space="preserve"> </v>
      </c>
      <c r="BI139" s="268" t="str">
        <f t="shared" si="238"/>
        <v xml:space="preserve"> </v>
      </c>
      <c r="BJ139" s="296" t="str">
        <f t="shared" si="239"/>
        <v xml:space="preserve"> </v>
      </c>
      <c r="BK139" s="296" t="str">
        <f t="shared" si="240"/>
        <v xml:space="preserve"> </v>
      </c>
      <c r="BL139" s="296" t="str">
        <f t="shared" si="241"/>
        <v xml:space="preserve"> </v>
      </c>
      <c r="BM139" s="296" t="str">
        <f t="shared" si="242"/>
        <v xml:space="preserve"> </v>
      </c>
      <c r="BN139" s="405" t="str">
        <f>IF(A139="N/A"," ",(VLOOKUP(A139,PowerVolTable,(IF('Pricing Inputs'!$AT$3=2,7,IF('Pricing Inputs'!$AT$3=1,6,8))),FALSE)))</f>
        <v xml:space="preserve"> </v>
      </c>
      <c r="BO139" s="405" t="str">
        <f>IF(A139="N/A"," ",(VLOOKUP(A139,IntraPowerVol,(IF('Pricing Inputs'!$AT$3=2,3,IF('Pricing Inputs'!$AT$3=1,2,4))),FALSE)*VLOOKUP(MONTH($A139),Inputs!$A$28:$B$39,2)))</f>
        <v xml:space="preserve"> </v>
      </c>
      <c r="BP139" s="406" t="str">
        <f t="shared" si="227"/>
        <v xml:space="preserve"> </v>
      </c>
      <c r="BQ139" s="405" t="str">
        <f>IF($A139="N/A"," ",(VLOOKUP($A139,GasVolTable,(IF('Pricing Inputs'!$AT$3=2,6,IF('Pricing Inputs'!$AT$3=1,7,5))),FALSE)))</f>
        <v xml:space="preserve"> </v>
      </c>
      <c r="BR139" s="405" t="str">
        <f>IF($A139="N/A"," ",(VLOOKUP($A139,OmicronVol,(IF('Pricing Inputs'!$AT$3=2,3,IF('Pricing Inputs'!$AT$3=1,4,2))),FALSE)))</f>
        <v xml:space="preserve"> </v>
      </c>
      <c r="BS139" s="406" t="str">
        <f>IF($A139="N/A"," ",IF('Pricing Inputs'!$AN$3=1,(IF(DateToday&gt;$A139,$BR139,((($BQ139^2)*((($A139-1)-DateToday)/((EOMONTH($A139,0)+1)-DateToday-15)))+((($BR139)^2)*((15)/((EOMONTH($A139,0)+1)-DateToday-15))))^0.5)),0.0001))</f>
        <v xml:space="preserve"> </v>
      </c>
      <c r="BT139" s="405" t="str">
        <f>IF($A139="N/A"," ",IF('Pricing Inputs'!$AN$3=1,(VLOOKUP($A139,CorrelationTable,2,FALSE)),0))</f>
        <v xml:space="preserve"> </v>
      </c>
      <c r="BU139" s="407" t="str">
        <f>IF($A139="N/A"," ",F139+G139+(D139*(VLOOKUP($A139,'Gas Curves'!$B$17:$P$310,14,FALSE))))</f>
        <v xml:space="preserve"> </v>
      </c>
      <c r="BV139" s="405" t="str">
        <f>IF($A139="N/A"," ",IF('Pricing Inputs'!$AW$3=1,0,(VLOOKUP($A139,InterestRatesTable,2))))</f>
        <v xml:space="preserve"> </v>
      </c>
      <c r="BW139" s="408" t="str">
        <f t="shared" si="228"/>
        <v xml:space="preserve"> </v>
      </c>
    </row>
    <row r="140" spans="1:75">
      <c r="A140" s="248" t="str">
        <f>IF(A139="N/A","N/A",IF(EDATE(A139,1)&gt;Inputs!$K$3,"N/A",EDATE(A139,1)))</f>
        <v>N/A</v>
      </c>
      <c r="B140" s="262" t="str">
        <f t="shared" si="229"/>
        <v xml:space="preserve"> </v>
      </c>
      <c r="C140" s="249" t="str">
        <f t="shared" si="230"/>
        <v xml:space="preserve"> </v>
      </c>
      <c r="D140" s="250" t="str">
        <f>IF(A140="N/A"," ",(VLOOKUP(MONTH($A140),Inputs!$A$14:$B$25,2))/1000)</f>
        <v xml:space="preserve"> </v>
      </c>
      <c r="E140" s="304" t="str">
        <f t="shared" si="231"/>
        <v xml:space="preserve"> </v>
      </c>
      <c r="F140" s="251" t="str">
        <f>IF(A140="N/A"," ",Inputs!$F$6)</f>
        <v xml:space="preserve"> </v>
      </c>
      <c r="G140" s="251" t="str">
        <f>IF(A140="N/A"," ",Inputs!$F$9/IF(AND('Pricing Inputs'!$AQ$3&gt;=4,'Pricing Inputs'!$AQ$3&lt;=6),16,IF(AND('Pricing Inputs'!$AQ$3&gt;=7,'Pricing Inputs'!$AQ$3&lt;=9),8,24))/(BA140/BW140))</f>
        <v xml:space="preserve"> </v>
      </c>
      <c r="H140" s="252" t="str">
        <f t="shared" si="232"/>
        <v xml:space="preserve"> </v>
      </c>
      <c r="I140" s="255" t="str">
        <f>VLOOKUP(A140,ScaledPrice,(IF(AND('Pricing Inputs'!$AQ$3&gt;=1,'Pricing Inputs'!$AQ$3&lt;=6),2,4)))</f>
        <v xml:space="preserve"> </v>
      </c>
      <c r="J140" s="255" t="str">
        <f>IF(A140="N/A"," ",IF(AND('Pricing Inputs'!$AQ$3&gt;=1,'Pricing Inputs'!$AQ$3&lt;=6),I140,(VLOOKUP(A140,ScaledPrice,2))*(2-(VLOOKUP(A140,ScaledPrice,3)))))</f>
        <v xml:space="preserve"> </v>
      </c>
      <c r="K140" s="255" t="str">
        <f>IF(A140="N/A"," ",IF(OR('Pricing Inputs'!$AQ$3=2,'Pricing Inputs'!$AQ$3=3,'Pricing Inputs'!$AQ$3=5,'Pricing Inputs'!$AQ$3=6,'Pricing Inputs'!$AQ$3=8,'Pricing Inputs'!$AQ$3=9),VLOOKUP(A140,ScaledPrice,IF(AND('Pricing Inputs'!$AQ$3&gt;=2,'Pricing Inputs'!$AQ$3&lt;=6),5,6)),0))</f>
        <v xml:space="preserve"> </v>
      </c>
      <c r="L140" s="255" t="str">
        <f>IF(A140="N/A"," ",IF(OR('Pricing Inputs'!$AQ$3=2,'Pricing Inputs'!$AQ$3=3,'Pricing Inputs'!$AQ$3=5,'Pricing Inputs'!$AQ$3=6,'Pricing Inputs'!$AQ$3=8,'Pricing Inputs'!$AQ$3=9),IF(AND('Pricing Inputs'!$AQ$3&gt;=2,'Pricing Inputs'!$AQ$3&lt;=6),K140,(VLOOKUP(A140,ScaledPrice,5))*(2-(VLOOKUP(A140,ScaledPrice,3)))),0))</f>
        <v xml:space="preserve"> </v>
      </c>
      <c r="M140" s="255" t="str">
        <f>IF(A140="N/A"," ",IF(OR('Pricing Inputs'!$AQ$3=3,'Pricing Inputs'!$AQ$3=6,'Pricing Inputs'!$AQ$3=9),(VLOOKUP(A140,ScaledPrice,IF(AND('Pricing Inputs'!$AQ$3&gt;=3,'Pricing Inputs'!$AQ$3&lt;=6),7,8))),0))</f>
        <v xml:space="preserve"> </v>
      </c>
      <c r="N140" s="255" t="str">
        <f>IF(A140="N/A"," ",IF(OR('Pricing Inputs'!$AQ$3=3,'Pricing Inputs'!$AQ$3=6,'Pricing Inputs'!$AQ$3=9),IF(AND('Pricing Inputs'!$AQ$3&gt;=3,'Pricing Inputs'!$AQ$3&lt;=6),M140,(VLOOKUP(A140,ScaledPrice,7))*(2-(VLOOKUP(A140,ScaledPrice,3)))),0))</f>
        <v xml:space="preserve"> </v>
      </c>
      <c r="O140" s="255" t="str">
        <f>IF(A140="N/A"," ",IF(AND('Pricing Inputs'!$AQ$3&gt;=1,'Pricing Inputs'!$AQ$3&lt;=3),VLOOKUP(A140,ScaledPrice,9),0))</f>
        <v xml:space="preserve"> </v>
      </c>
      <c r="P140" s="320" t="str">
        <f>IF($A140="N/A"," ",IF('Pricing Inputs'!$AN$8=2,(I140-H140),IF('Pricing Inputs'!$AN$3=2,IF((I140-$H140)&gt;0,I140-$H140,0),(_xll.xSPRDOPT(I140,$E140,$BU140,0,$BP140,$BS140,$BT140,($A140-Inputs!$D$1)+15,1,0)))))</f>
        <v xml:space="preserve"> </v>
      </c>
      <c r="Q140" s="320" t="str">
        <f>IF($A140="N/A"," ",IF('Pricing Inputs'!$AN$8=2,(J140-$H140),IF('Pricing Inputs'!$AN$3=2,IF((J140-$H140)&gt;0,J140-$H140,0),(_xll.xSPRDOPT(J140,$E140,$BU140,0,$BP140,$BS140,$BT140,($A140-Inputs!$D$1)+15,1,0)))))</f>
        <v xml:space="preserve"> </v>
      </c>
      <c r="R140" s="320" t="str">
        <f>IF($A140="N/A"," ",IF('Pricing Inputs'!$AN$8=2,(K140-$H140),IF('Pricing Inputs'!$AN$3=2,IF((K140-$H140)&gt;0,K140-$H140,0),(_xll.xSPRDOPT(K140,$E140,$BU140,0,$BP140,$BS140,$BT140,($A140-Inputs!$D$1)+15,1,0)))))</f>
        <v xml:space="preserve"> </v>
      </c>
      <c r="S140" s="320" t="str">
        <f>IF($A140="N/A"," ",IF('Pricing Inputs'!$AN$8=2,(L140-$H140),IF('Pricing Inputs'!$AN$3=2,IF((L140-$H140)&gt;0,L140-$H140,0),(_xll.xSPRDOPT(L140,$E140,$BU140,0,$BP140,$BS140,$BT140,($A140-Inputs!$D$1)+15,1,0)))))</f>
        <v xml:space="preserve"> </v>
      </c>
      <c r="T140" s="320" t="str">
        <f>IF($A140="N/A"," ",IF('Pricing Inputs'!$AN$8=2,(M140-$H140),IF('Pricing Inputs'!$AN$3=2,IF((M140-$H140)&gt;0,M140-$H140,0),(_xll.xSPRDOPT(M140,$E140,$BU140,0,$BP140,$BS140,$BT140,($A140-Inputs!$D$1)+15,1,0)))))</f>
        <v xml:space="preserve"> </v>
      </c>
      <c r="U140" s="320" t="str">
        <f>IF($A140="N/A"," ",IF('Pricing Inputs'!$AN$8=2,(N140-$H140),IF('Pricing Inputs'!$AN$3=2,IF((N140-$H140)&gt;0,N140-$H140,0),(_xll.xSPRDOPT(N140,$E140,$BU140,0,$BP140,$BS140,$BT140,($A140-Inputs!$D$1)+15,1,0)))))</f>
        <v xml:space="preserve"> </v>
      </c>
      <c r="V140" s="259" t="str">
        <f>IF($A140="N/A"," ",(IF('Pricing Inputs'!$AN$8=2,(O140-$H140),IF((O140-$H140)&lt;=0,0,(O140-$H140)))))</f>
        <v xml:space="preserve"> </v>
      </c>
      <c r="W140" s="306" t="str">
        <f>IF($A140="N/A"," ",IF(0&lt;&gt;P140,IF('Pricing Inputs'!$AN$3=2,8*VLOOKUP($A140,NumberofDaysTable,2),(_xll.xSPRDOPT(I140,$E140,$BU140,0,$BP140,$BS140,$BT140,$A140-Inputs!$D$1,1,1))*(8*VLOOKUP($A140,NumberofDaysTable,2))),0))</f>
        <v xml:space="preserve"> </v>
      </c>
      <c r="X140" s="306" t="str">
        <f>IF($A140="N/A"," ",IF(Q140&lt;&gt;0,IF('Pricing Inputs'!$AN$3=2,8*VLOOKUP($A140,NumberofDaysTable,2),(_xll.xSPRDOPT(J140,$E140,$BU140,0,$BP140,$BS140,$BT140,$A140-Inputs!$D$1,1,1))*(8*VLOOKUP($A140,NumberofDaysTable,2))),0))</f>
        <v xml:space="preserve"> </v>
      </c>
      <c r="Y140" s="306" t="str">
        <f>IF($A140="N/A"," ",IF(R140&lt;&gt;0,IF('Pricing Inputs'!$AN$3=2,8*VLOOKUP($A140,NumberofDaysTable,3),(_xll.xSPRDOPT(K140,$E140,$BU140,0,$BP140,$BS140,$BT140,$A140-Inputs!$D$1,1,1))*(8*VLOOKUP($A140,NumberofDaysTable,3))),0))</f>
        <v xml:space="preserve"> </v>
      </c>
      <c r="Z140" s="306" t="str">
        <f>IF($A140="N/A"," ",IF(S140&lt;&gt;0,IF('Pricing Inputs'!$AN$3=2,8*VLOOKUP($A140,NumberofDaysTable,3),(_xll.xSPRDOPT(L140,$E140,$BU140,0,$BP140,$BS140,$BT140,$A140-Inputs!$D$1,1,1))*(8*VLOOKUP($A140,NumberofDaysTable,3))),0))</f>
        <v xml:space="preserve"> </v>
      </c>
      <c r="AA140" s="306" t="str">
        <f>IF($A140="N/A"," ",IF(T140&lt;&gt;0,IF('Pricing Inputs'!$AN$3=2,8*VLOOKUP($A140,NumberofDaysTable,4),(_xll.xSPRDOPT(M140,$E140,$BU140,0,$BP140,$BS140,$BT140,$A140-Inputs!$D$1,1,1))*(8*VLOOKUP($A140,NumberofDaysTable,4))),0))</f>
        <v xml:space="preserve"> </v>
      </c>
      <c r="AB140" s="306" t="str">
        <f>IF($A140="N/A"," ",IF(U140&lt;&gt;0,IF('Pricing Inputs'!$AN$3=2,8*VLOOKUP($A140,NumberofDaysTable,4),(_xll.xSPRDOPT(N140,$E140,$BU140,0,$BP140,$BS140,$BT140,$A140-Inputs!$D$1,1,1))*(8*VLOOKUP($A140,NumberofDaysTable,4))),0))</f>
        <v xml:space="preserve"> </v>
      </c>
      <c r="AC140" s="306" t="str">
        <f t="shared" si="233"/>
        <v xml:space="preserve"> </v>
      </c>
      <c r="AD140" s="274" t="str">
        <f t="shared" si="251"/>
        <v xml:space="preserve"> </v>
      </c>
      <c r="AE140" s="275" t="str">
        <f t="shared" si="252"/>
        <v xml:space="preserve"> </v>
      </c>
      <c r="AF140" s="275" t="str">
        <f t="shared" si="253"/>
        <v xml:space="preserve"> </v>
      </c>
      <c r="AG140" s="275" t="str">
        <f t="shared" si="254"/>
        <v xml:space="preserve"> </v>
      </c>
      <c r="AH140" s="275" t="str">
        <f t="shared" si="255"/>
        <v xml:space="preserve"> </v>
      </c>
      <c r="AI140" s="275" t="str">
        <f t="shared" si="256"/>
        <v xml:space="preserve"> </v>
      </c>
      <c r="AJ140" s="276" t="str">
        <f t="shared" si="257"/>
        <v xml:space="preserve"> </v>
      </c>
      <c r="AK140" s="314" t="str">
        <f t="shared" si="158"/>
        <v xml:space="preserve"> </v>
      </c>
      <c r="AL140" s="315" t="str">
        <f t="shared" si="159"/>
        <v xml:space="preserve"> </v>
      </c>
      <c r="AM140" s="315" t="str">
        <f t="shared" si="160"/>
        <v xml:space="preserve"> </v>
      </c>
      <c r="AN140" s="315" t="str">
        <f t="shared" si="161"/>
        <v xml:space="preserve"> </v>
      </c>
      <c r="AO140" s="315" t="str">
        <f t="shared" si="162"/>
        <v xml:space="preserve"> </v>
      </c>
      <c r="AP140" s="315" t="str">
        <f t="shared" si="163"/>
        <v xml:space="preserve"> </v>
      </c>
      <c r="AQ140" s="315" t="str">
        <f t="shared" si="164"/>
        <v xml:space="preserve"> </v>
      </c>
      <c r="AR140" s="276"/>
      <c r="AS140" s="321" t="str">
        <f t="shared" si="244"/>
        <v xml:space="preserve"> </v>
      </c>
      <c r="AT140" s="324" t="str">
        <f t="shared" si="245"/>
        <v xml:space="preserve"> </v>
      </c>
      <c r="AU140" s="324" t="str">
        <f t="shared" si="246"/>
        <v xml:space="preserve"> </v>
      </c>
      <c r="AV140" s="324" t="str">
        <f t="shared" si="247"/>
        <v xml:space="preserve"> </v>
      </c>
      <c r="AW140" s="324" t="str">
        <f t="shared" si="248"/>
        <v xml:space="preserve"> </v>
      </c>
      <c r="AX140" s="324" t="str">
        <f t="shared" si="249"/>
        <v xml:space="preserve"> </v>
      </c>
      <c r="AY140" s="324" t="str">
        <f t="shared" si="250"/>
        <v xml:space="preserve"> </v>
      </c>
      <c r="AZ140" s="276"/>
      <c r="BA140" s="267" t="str">
        <f>IF($A140="N/A"," ",(IF(MONTH(A140)&gt;=4,IF(MONTH(A140)&lt;=10,Inputs!$F$13,Inputs!$F$14),Inputs!$F$14))*$BW140)</f>
        <v xml:space="preserve"> </v>
      </c>
      <c r="BB140" s="268" t="str">
        <f t="shared" si="165"/>
        <v xml:space="preserve"> </v>
      </c>
      <c r="BC140" s="268" t="str">
        <f t="shared" si="166"/>
        <v xml:space="preserve"> </v>
      </c>
      <c r="BD140" s="268" t="str">
        <f t="shared" si="234"/>
        <v xml:space="preserve"> </v>
      </c>
      <c r="BE140" s="268" t="str">
        <f t="shared" si="235"/>
        <v xml:space="preserve"> </v>
      </c>
      <c r="BF140" s="268" t="str">
        <f t="shared" si="236"/>
        <v xml:space="preserve"> </v>
      </c>
      <c r="BG140" s="268" t="str">
        <f t="shared" si="237"/>
        <v xml:space="preserve"> </v>
      </c>
      <c r="BH140" s="268" t="str">
        <f t="shared" si="157"/>
        <v xml:space="preserve"> </v>
      </c>
      <c r="BI140" s="268" t="str">
        <f t="shared" si="238"/>
        <v xml:space="preserve"> </v>
      </c>
      <c r="BJ140" s="296" t="str">
        <f t="shared" si="239"/>
        <v xml:space="preserve"> </v>
      </c>
      <c r="BK140" s="296" t="str">
        <f t="shared" si="240"/>
        <v xml:space="preserve"> </v>
      </c>
      <c r="BL140" s="296" t="str">
        <f t="shared" si="241"/>
        <v xml:space="preserve"> </v>
      </c>
      <c r="BM140" s="296" t="str">
        <f t="shared" si="242"/>
        <v xml:space="preserve"> </v>
      </c>
      <c r="BN140" s="405" t="str">
        <f>IF(A140="N/A"," ",(VLOOKUP(A140,PowerVolTable,(IF('Pricing Inputs'!$AT$3=2,7,IF('Pricing Inputs'!$AT$3=1,6,8))),FALSE)))</f>
        <v xml:space="preserve"> </v>
      </c>
      <c r="BO140" s="405" t="str">
        <f>IF(A140="N/A"," ",(VLOOKUP(A140,IntraPowerVol,(IF('Pricing Inputs'!$AT$3=2,3,IF('Pricing Inputs'!$AT$3=1,2,4))),FALSE)*VLOOKUP(MONTH($A140),Inputs!$A$28:$B$39,2)))</f>
        <v xml:space="preserve"> </v>
      </c>
      <c r="BP140" s="406" t="str">
        <f t="shared" si="227"/>
        <v xml:space="preserve"> </v>
      </c>
      <c r="BQ140" s="405" t="str">
        <f>IF($A140="N/A"," ",(VLOOKUP($A140,GasVolTable,(IF('Pricing Inputs'!$AT$3=2,6,IF('Pricing Inputs'!$AT$3=1,7,5))),FALSE)))</f>
        <v xml:space="preserve"> </v>
      </c>
      <c r="BR140" s="405" t="str">
        <f>IF($A140="N/A"," ",(VLOOKUP($A140,OmicronVol,(IF('Pricing Inputs'!$AT$3=2,3,IF('Pricing Inputs'!$AT$3=1,4,2))),FALSE)))</f>
        <v xml:space="preserve"> </v>
      </c>
      <c r="BS140" s="406" t="str">
        <f>IF($A140="N/A"," ",IF('Pricing Inputs'!$AN$3=1,(IF(DateToday&gt;$A140,$BR140,((($BQ140^2)*((($A140-1)-DateToday)/((EOMONTH($A140,0)+1)-DateToday-15)))+((($BR140)^2)*((15)/((EOMONTH($A140,0)+1)-DateToday-15))))^0.5)),0.0001))</f>
        <v xml:space="preserve"> </v>
      </c>
      <c r="BT140" s="405" t="str">
        <f>IF($A140="N/A"," ",IF('Pricing Inputs'!$AN$3=1,(VLOOKUP($A140,CorrelationTable,2,FALSE)),0))</f>
        <v xml:space="preserve"> </v>
      </c>
      <c r="BU140" s="407" t="str">
        <f>IF($A140="N/A"," ",F140+G140+(D140*(VLOOKUP($A140,'Gas Curves'!$B$17:$P$310,14,FALSE))))</f>
        <v xml:space="preserve"> </v>
      </c>
      <c r="BV140" s="405" t="str">
        <f>IF($A140="N/A"," ",IF('Pricing Inputs'!$AW$3=1,0,(VLOOKUP($A140,InterestRatesTable,2))))</f>
        <v xml:space="preserve"> </v>
      </c>
      <c r="BW140" s="408" t="str">
        <f t="shared" si="228"/>
        <v xml:space="preserve"> </v>
      </c>
    </row>
    <row r="141" spans="1:75">
      <c r="A141" s="248" t="str">
        <f>IF(A140="N/A","N/A",IF(EDATE(A140,1)&gt;Inputs!$K$3,"N/A",EDATE(A140,1)))</f>
        <v>N/A</v>
      </c>
      <c r="B141" s="262" t="str">
        <f t="shared" si="229"/>
        <v xml:space="preserve"> </v>
      </c>
      <c r="C141" s="249" t="str">
        <f t="shared" si="230"/>
        <v xml:space="preserve"> </v>
      </c>
      <c r="D141" s="250" t="str">
        <f>IF(A141="N/A"," ",(VLOOKUP(MONTH($A141),Inputs!$A$14:$B$25,2))/1000)</f>
        <v xml:space="preserve"> </v>
      </c>
      <c r="E141" s="304" t="str">
        <f t="shared" si="231"/>
        <v xml:space="preserve"> </v>
      </c>
      <c r="F141" s="251" t="str">
        <f>IF(A141="N/A"," ",Inputs!$F$6)</f>
        <v xml:space="preserve"> </v>
      </c>
      <c r="G141" s="251" t="str">
        <f>IF(A141="N/A"," ",Inputs!$F$9/IF(AND('Pricing Inputs'!$AQ$3&gt;=4,'Pricing Inputs'!$AQ$3&lt;=6),16,IF(AND('Pricing Inputs'!$AQ$3&gt;=7,'Pricing Inputs'!$AQ$3&lt;=9),8,24))/(BA141/BW141))</f>
        <v xml:space="preserve"> </v>
      </c>
      <c r="H141" s="252" t="str">
        <f t="shared" si="232"/>
        <v xml:space="preserve"> </v>
      </c>
      <c r="I141" s="255" t="str">
        <f>VLOOKUP(A141,ScaledPrice,(IF(AND('Pricing Inputs'!$AQ$3&gt;=1,'Pricing Inputs'!$AQ$3&lt;=6),2,4)))</f>
        <v xml:space="preserve"> </v>
      </c>
      <c r="J141" s="255" t="str">
        <f>IF(A141="N/A"," ",IF(AND('Pricing Inputs'!$AQ$3&gt;=1,'Pricing Inputs'!$AQ$3&lt;=6),I141,(VLOOKUP(A141,ScaledPrice,2))*(2-(VLOOKUP(A141,ScaledPrice,3)))))</f>
        <v xml:space="preserve"> </v>
      </c>
      <c r="K141" s="255" t="str">
        <f>IF(A141="N/A"," ",IF(OR('Pricing Inputs'!$AQ$3=2,'Pricing Inputs'!$AQ$3=3,'Pricing Inputs'!$AQ$3=5,'Pricing Inputs'!$AQ$3=6,'Pricing Inputs'!$AQ$3=8,'Pricing Inputs'!$AQ$3=9),VLOOKUP(A141,ScaledPrice,IF(AND('Pricing Inputs'!$AQ$3&gt;=2,'Pricing Inputs'!$AQ$3&lt;=6),5,6)),0))</f>
        <v xml:space="preserve"> </v>
      </c>
      <c r="L141" s="255" t="str">
        <f>IF(A141="N/A"," ",IF(OR('Pricing Inputs'!$AQ$3=2,'Pricing Inputs'!$AQ$3=3,'Pricing Inputs'!$AQ$3=5,'Pricing Inputs'!$AQ$3=6,'Pricing Inputs'!$AQ$3=8,'Pricing Inputs'!$AQ$3=9),IF(AND('Pricing Inputs'!$AQ$3&gt;=2,'Pricing Inputs'!$AQ$3&lt;=6),K141,(VLOOKUP(A141,ScaledPrice,5))*(2-(VLOOKUP(A141,ScaledPrice,3)))),0))</f>
        <v xml:space="preserve"> </v>
      </c>
      <c r="M141" s="255" t="str">
        <f>IF(A141="N/A"," ",IF(OR('Pricing Inputs'!$AQ$3=3,'Pricing Inputs'!$AQ$3=6,'Pricing Inputs'!$AQ$3=9),(VLOOKUP(A141,ScaledPrice,IF(AND('Pricing Inputs'!$AQ$3&gt;=3,'Pricing Inputs'!$AQ$3&lt;=6),7,8))),0))</f>
        <v xml:space="preserve"> </v>
      </c>
      <c r="N141" s="255" t="str">
        <f>IF(A141="N/A"," ",IF(OR('Pricing Inputs'!$AQ$3=3,'Pricing Inputs'!$AQ$3=6,'Pricing Inputs'!$AQ$3=9),IF(AND('Pricing Inputs'!$AQ$3&gt;=3,'Pricing Inputs'!$AQ$3&lt;=6),M141,(VLOOKUP(A141,ScaledPrice,7))*(2-(VLOOKUP(A141,ScaledPrice,3)))),0))</f>
        <v xml:space="preserve"> </v>
      </c>
      <c r="O141" s="255" t="str">
        <f>IF(A141="N/A"," ",IF(AND('Pricing Inputs'!$AQ$3&gt;=1,'Pricing Inputs'!$AQ$3&lt;=3),VLOOKUP(A141,ScaledPrice,9),0))</f>
        <v xml:space="preserve"> </v>
      </c>
      <c r="P141" s="320" t="str">
        <f>IF($A141="N/A"," ",IF('Pricing Inputs'!$AN$8=2,(I141-H141),IF('Pricing Inputs'!$AN$3=2,IF((I141-$H141)&gt;0,I141-$H141,0),(_xll.xSPRDOPT(I141,$E141,$BU141,0,$BP141,$BS141,$BT141,($A141-Inputs!$D$1)+15,1,0)))))</f>
        <v xml:space="preserve"> </v>
      </c>
      <c r="Q141" s="320" t="str">
        <f>IF($A141="N/A"," ",IF('Pricing Inputs'!$AN$8=2,(J141-$H141),IF('Pricing Inputs'!$AN$3=2,IF((J141-$H141)&gt;0,J141-$H141,0),(_xll.xSPRDOPT(J141,$E141,$BU141,0,$BP141,$BS141,$BT141,($A141-Inputs!$D$1)+15,1,0)))))</f>
        <v xml:space="preserve"> </v>
      </c>
      <c r="R141" s="320" t="str">
        <f>IF($A141="N/A"," ",IF('Pricing Inputs'!$AN$8=2,(K141-$H141),IF('Pricing Inputs'!$AN$3=2,IF((K141-$H141)&gt;0,K141-$H141,0),(_xll.xSPRDOPT(K141,$E141,$BU141,0,$BP141,$BS141,$BT141,($A141-Inputs!$D$1)+15,1,0)))))</f>
        <v xml:space="preserve"> </v>
      </c>
      <c r="S141" s="320" t="str">
        <f>IF($A141="N/A"," ",IF('Pricing Inputs'!$AN$8=2,(L141-$H141),IF('Pricing Inputs'!$AN$3=2,IF((L141-$H141)&gt;0,L141-$H141,0),(_xll.xSPRDOPT(L141,$E141,$BU141,0,$BP141,$BS141,$BT141,($A141-Inputs!$D$1)+15,1,0)))))</f>
        <v xml:space="preserve"> </v>
      </c>
      <c r="T141" s="320" t="str">
        <f>IF($A141="N/A"," ",IF('Pricing Inputs'!$AN$8=2,(M141-$H141),IF('Pricing Inputs'!$AN$3=2,IF((M141-$H141)&gt;0,M141-$H141,0),(_xll.xSPRDOPT(M141,$E141,$BU141,0,$BP141,$BS141,$BT141,($A141-Inputs!$D$1)+15,1,0)))))</f>
        <v xml:space="preserve"> </v>
      </c>
      <c r="U141" s="320" t="str">
        <f>IF($A141="N/A"," ",IF('Pricing Inputs'!$AN$8=2,(N141-$H141),IF('Pricing Inputs'!$AN$3=2,IF((N141-$H141)&gt;0,N141-$H141,0),(_xll.xSPRDOPT(N141,$E141,$BU141,0,$BP141,$BS141,$BT141,($A141-Inputs!$D$1)+15,1,0)))))</f>
        <v xml:space="preserve"> </v>
      </c>
      <c r="V141" s="259" t="str">
        <f>IF($A141="N/A"," ",(IF('Pricing Inputs'!$AN$8=2,(O141-$H141),IF((O141-$H141)&lt;=0,0,(O141-$H141)))))</f>
        <v xml:space="preserve"> </v>
      </c>
      <c r="W141" s="306" t="str">
        <f>IF($A141="N/A"," ",IF(0&lt;&gt;P141,IF('Pricing Inputs'!$AN$3=2,8*VLOOKUP($A141,NumberofDaysTable,2),(_xll.xSPRDOPT(I141,$E141,$BU141,0,$BP141,$BS141,$BT141,$A141-Inputs!$D$1,1,1))*(8*VLOOKUP($A141,NumberofDaysTable,2))),0))</f>
        <v xml:space="preserve"> </v>
      </c>
      <c r="X141" s="306" t="str">
        <f>IF($A141="N/A"," ",IF(Q141&lt;&gt;0,IF('Pricing Inputs'!$AN$3=2,8*VLOOKUP($A141,NumberofDaysTable,2),(_xll.xSPRDOPT(J141,$E141,$BU141,0,$BP141,$BS141,$BT141,$A141-Inputs!$D$1,1,1))*(8*VLOOKUP($A141,NumberofDaysTable,2))),0))</f>
        <v xml:space="preserve"> </v>
      </c>
      <c r="Y141" s="306" t="str">
        <f>IF($A141="N/A"," ",IF(R141&lt;&gt;0,IF('Pricing Inputs'!$AN$3=2,8*VLOOKUP($A141,NumberofDaysTable,3),(_xll.xSPRDOPT(K141,$E141,$BU141,0,$BP141,$BS141,$BT141,$A141-Inputs!$D$1,1,1))*(8*VLOOKUP($A141,NumberofDaysTable,3))),0))</f>
        <v xml:space="preserve"> </v>
      </c>
      <c r="Z141" s="306" t="str">
        <f>IF($A141="N/A"," ",IF(S141&lt;&gt;0,IF('Pricing Inputs'!$AN$3=2,8*VLOOKUP($A141,NumberofDaysTable,3),(_xll.xSPRDOPT(L141,$E141,$BU141,0,$BP141,$BS141,$BT141,$A141-Inputs!$D$1,1,1))*(8*VLOOKUP($A141,NumberofDaysTable,3))),0))</f>
        <v xml:space="preserve"> </v>
      </c>
      <c r="AA141" s="306" t="str">
        <f>IF($A141="N/A"," ",IF(T141&lt;&gt;0,IF('Pricing Inputs'!$AN$3=2,8*VLOOKUP($A141,NumberofDaysTable,4),(_xll.xSPRDOPT(M141,$E141,$BU141,0,$BP141,$BS141,$BT141,$A141-Inputs!$D$1,1,1))*(8*VLOOKUP($A141,NumberofDaysTable,4))),0))</f>
        <v xml:space="preserve"> </v>
      </c>
      <c r="AB141" s="306" t="str">
        <f>IF($A141="N/A"," ",IF(U141&lt;&gt;0,IF('Pricing Inputs'!$AN$3=2,8*VLOOKUP($A141,NumberofDaysTable,4),(_xll.xSPRDOPT(N141,$E141,$BU141,0,$BP141,$BS141,$BT141,$A141-Inputs!$D$1,1,1))*(8*VLOOKUP($A141,NumberofDaysTable,4))),0))</f>
        <v xml:space="preserve"> </v>
      </c>
      <c r="AC141" s="306" t="str">
        <f t="shared" si="233"/>
        <v xml:space="preserve"> </v>
      </c>
      <c r="AD141" s="274" t="str">
        <f t="shared" si="251"/>
        <v xml:space="preserve"> </v>
      </c>
      <c r="AE141" s="275" t="str">
        <f t="shared" si="252"/>
        <v xml:space="preserve"> </v>
      </c>
      <c r="AF141" s="275" t="str">
        <f t="shared" si="253"/>
        <v xml:space="preserve"> </v>
      </c>
      <c r="AG141" s="275" t="str">
        <f t="shared" si="254"/>
        <v xml:space="preserve"> </v>
      </c>
      <c r="AH141" s="275" t="str">
        <f t="shared" si="255"/>
        <v xml:space="preserve"> </v>
      </c>
      <c r="AI141" s="275" t="str">
        <f t="shared" si="256"/>
        <v xml:space="preserve"> </v>
      </c>
      <c r="AJ141" s="276" t="str">
        <f t="shared" si="257"/>
        <v xml:space="preserve"> </v>
      </c>
      <c r="AK141" s="314" t="str">
        <f t="shared" si="158"/>
        <v xml:space="preserve"> </v>
      </c>
      <c r="AL141" s="315" t="str">
        <f t="shared" si="159"/>
        <v xml:space="preserve"> </v>
      </c>
      <c r="AM141" s="315" t="str">
        <f t="shared" si="160"/>
        <v xml:space="preserve"> </v>
      </c>
      <c r="AN141" s="315" t="str">
        <f t="shared" si="161"/>
        <v xml:space="preserve"> </v>
      </c>
      <c r="AO141" s="315" t="str">
        <f t="shared" si="162"/>
        <v xml:space="preserve"> </v>
      </c>
      <c r="AP141" s="315" t="str">
        <f t="shared" si="163"/>
        <v xml:space="preserve"> </v>
      </c>
      <c r="AQ141" s="315" t="str">
        <f t="shared" si="164"/>
        <v xml:space="preserve"> </v>
      </c>
      <c r="AR141" s="276"/>
      <c r="AS141" s="321" t="str">
        <f t="shared" si="244"/>
        <v xml:space="preserve"> </v>
      </c>
      <c r="AT141" s="324" t="str">
        <f t="shared" si="245"/>
        <v xml:space="preserve"> </v>
      </c>
      <c r="AU141" s="324" t="str">
        <f t="shared" si="246"/>
        <v xml:space="preserve"> </v>
      </c>
      <c r="AV141" s="324" t="str">
        <f t="shared" si="247"/>
        <v xml:space="preserve"> </v>
      </c>
      <c r="AW141" s="324" t="str">
        <f t="shared" si="248"/>
        <v xml:space="preserve"> </v>
      </c>
      <c r="AX141" s="324" t="str">
        <f t="shared" si="249"/>
        <v xml:space="preserve"> </v>
      </c>
      <c r="AY141" s="324" t="str">
        <f t="shared" si="250"/>
        <v xml:space="preserve"> </v>
      </c>
      <c r="AZ141" s="276"/>
      <c r="BA141" s="267" t="str">
        <f>IF($A141="N/A"," ",(IF(MONTH(A141)&gt;=4,IF(MONTH(A141)&lt;=10,Inputs!$F$13,Inputs!$F$14),Inputs!$F$14))*$BW141)</f>
        <v xml:space="preserve"> </v>
      </c>
      <c r="BB141" s="268" t="str">
        <f t="shared" si="165"/>
        <v xml:space="preserve"> </v>
      </c>
      <c r="BC141" s="268" t="str">
        <f t="shared" si="166"/>
        <v xml:space="preserve"> </v>
      </c>
      <c r="BD141" s="268" t="str">
        <f t="shared" si="234"/>
        <v xml:space="preserve"> </v>
      </c>
      <c r="BE141" s="268" t="str">
        <f t="shared" si="235"/>
        <v xml:space="preserve"> </v>
      </c>
      <c r="BF141" s="268" t="str">
        <f t="shared" si="236"/>
        <v xml:space="preserve"> </v>
      </c>
      <c r="BG141" s="268" t="str">
        <f t="shared" si="237"/>
        <v xml:space="preserve"> </v>
      </c>
      <c r="BH141" s="268" t="str">
        <f t="shared" ref="BH141:BH204" si="258">IF($A141="N/A"," ",($BA141*AQ141*V141))</f>
        <v xml:space="preserve"> </v>
      </c>
      <c r="BI141" s="268" t="str">
        <f t="shared" si="238"/>
        <v xml:space="preserve"> </v>
      </c>
      <c r="BJ141" s="296" t="str">
        <f t="shared" si="239"/>
        <v xml:space="preserve"> </v>
      </c>
      <c r="BK141" s="296" t="str">
        <f t="shared" si="240"/>
        <v xml:space="preserve"> </v>
      </c>
      <c r="BL141" s="296" t="str">
        <f t="shared" si="241"/>
        <v xml:space="preserve"> </v>
      </c>
      <c r="BM141" s="296" t="str">
        <f t="shared" si="242"/>
        <v xml:space="preserve"> </v>
      </c>
      <c r="BN141" s="405" t="str">
        <f>IF(A141="N/A"," ",(VLOOKUP(A141,PowerVolTable,(IF('Pricing Inputs'!$AT$3=2,7,IF('Pricing Inputs'!$AT$3=1,6,8))),FALSE)))</f>
        <v xml:space="preserve"> </v>
      </c>
      <c r="BO141" s="405" t="str">
        <f>IF(A141="N/A"," ",(VLOOKUP(A141,IntraPowerVol,(IF('Pricing Inputs'!$AT$3=2,3,IF('Pricing Inputs'!$AT$3=1,2,4))),FALSE)*VLOOKUP(MONTH($A141),Inputs!$A$28:$B$39,2)))</f>
        <v xml:space="preserve"> </v>
      </c>
      <c r="BP141" s="406" t="str">
        <f t="shared" si="227"/>
        <v xml:space="preserve"> </v>
      </c>
      <c r="BQ141" s="405" t="str">
        <f>IF($A141="N/A"," ",(VLOOKUP($A141,GasVolTable,(IF('Pricing Inputs'!$AT$3=2,6,IF('Pricing Inputs'!$AT$3=1,7,5))),FALSE)))</f>
        <v xml:space="preserve"> </v>
      </c>
      <c r="BR141" s="405" t="str">
        <f>IF($A141="N/A"," ",(VLOOKUP($A141,OmicronVol,(IF('Pricing Inputs'!$AT$3=2,3,IF('Pricing Inputs'!$AT$3=1,4,2))),FALSE)))</f>
        <v xml:space="preserve"> </v>
      </c>
      <c r="BS141" s="406" t="str">
        <f>IF($A141="N/A"," ",IF('Pricing Inputs'!$AN$3=1,(IF(DateToday&gt;$A141,$BR141,((($BQ141^2)*((($A141-1)-DateToday)/((EOMONTH($A141,0)+1)-DateToday-15)))+((($BR141)^2)*((15)/((EOMONTH($A141,0)+1)-DateToday-15))))^0.5)),0.0001))</f>
        <v xml:space="preserve"> </v>
      </c>
      <c r="BT141" s="405" t="str">
        <f>IF($A141="N/A"," ",IF('Pricing Inputs'!$AN$3=1,(VLOOKUP($A141,CorrelationTable,2,FALSE)),0))</f>
        <v xml:space="preserve"> </v>
      </c>
      <c r="BU141" s="407" t="str">
        <f>IF($A141="N/A"," ",F141+G141+(D141*(VLOOKUP($A141,'Gas Curves'!$B$17:$P$310,14,FALSE))))</f>
        <v xml:space="preserve"> </v>
      </c>
      <c r="BV141" s="405" t="str">
        <f>IF($A141="N/A"," ",IF('Pricing Inputs'!$AW$3=1,0,(VLOOKUP($A141,InterestRatesTable,2))))</f>
        <v xml:space="preserve"> </v>
      </c>
      <c r="BW141" s="408" t="str">
        <f t="shared" si="228"/>
        <v xml:space="preserve"> </v>
      </c>
    </row>
    <row r="142" spans="1:75">
      <c r="A142" s="248" t="str">
        <f>IF(A141="N/A","N/A",IF(EDATE(A141,1)&gt;Inputs!$K$3,"N/A",EDATE(A141,1)))</f>
        <v>N/A</v>
      </c>
      <c r="B142" s="262" t="str">
        <f t="shared" si="229"/>
        <v xml:space="preserve"> </v>
      </c>
      <c r="C142" s="249" t="str">
        <f t="shared" si="230"/>
        <v xml:space="preserve"> </v>
      </c>
      <c r="D142" s="250" t="str">
        <f>IF(A142="N/A"," ",(VLOOKUP(MONTH($A142),Inputs!$A$14:$B$25,2))/1000)</f>
        <v xml:space="preserve"> </v>
      </c>
      <c r="E142" s="304" t="str">
        <f t="shared" si="231"/>
        <v xml:space="preserve"> </v>
      </c>
      <c r="F142" s="251" t="str">
        <f>IF(A142="N/A"," ",Inputs!$F$6)</f>
        <v xml:space="preserve"> </v>
      </c>
      <c r="G142" s="251" t="str">
        <f>IF(A142="N/A"," ",Inputs!$F$9/IF(AND('Pricing Inputs'!$AQ$3&gt;=4,'Pricing Inputs'!$AQ$3&lt;=6),16,IF(AND('Pricing Inputs'!$AQ$3&gt;=7,'Pricing Inputs'!$AQ$3&lt;=9),8,24))/(BA142/BW142))</f>
        <v xml:space="preserve"> </v>
      </c>
      <c r="H142" s="252" t="str">
        <f t="shared" si="232"/>
        <v xml:space="preserve"> </v>
      </c>
      <c r="I142" s="255" t="str">
        <f>VLOOKUP(A142,ScaledPrice,(IF(AND('Pricing Inputs'!$AQ$3&gt;=1,'Pricing Inputs'!$AQ$3&lt;=6),2,4)))</f>
        <v xml:space="preserve"> </v>
      </c>
      <c r="J142" s="255" t="str">
        <f>IF(A142="N/A"," ",IF(AND('Pricing Inputs'!$AQ$3&gt;=1,'Pricing Inputs'!$AQ$3&lt;=6),I142,(VLOOKUP(A142,ScaledPrice,2))*(2-(VLOOKUP(A142,ScaledPrice,3)))))</f>
        <v xml:space="preserve"> </v>
      </c>
      <c r="K142" s="255" t="str">
        <f>IF(A142="N/A"," ",IF(OR('Pricing Inputs'!$AQ$3=2,'Pricing Inputs'!$AQ$3=3,'Pricing Inputs'!$AQ$3=5,'Pricing Inputs'!$AQ$3=6,'Pricing Inputs'!$AQ$3=8,'Pricing Inputs'!$AQ$3=9),VLOOKUP(A142,ScaledPrice,IF(AND('Pricing Inputs'!$AQ$3&gt;=2,'Pricing Inputs'!$AQ$3&lt;=6),5,6)),0))</f>
        <v xml:space="preserve"> </v>
      </c>
      <c r="L142" s="255" t="str">
        <f>IF(A142="N/A"," ",IF(OR('Pricing Inputs'!$AQ$3=2,'Pricing Inputs'!$AQ$3=3,'Pricing Inputs'!$AQ$3=5,'Pricing Inputs'!$AQ$3=6,'Pricing Inputs'!$AQ$3=8,'Pricing Inputs'!$AQ$3=9),IF(AND('Pricing Inputs'!$AQ$3&gt;=2,'Pricing Inputs'!$AQ$3&lt;=6),K142,(VLOOKUP(A142,ScaledPrice,5))*(2-(VLOOKUP(A142,ScaledPrice,3)))),0))</f>
        <v xml:space="preserve"> </v>
      </c>
      <c r="M142" s="255" t="str">
        <f>IF(A142="N/A"," ",IF(OR('Pricing Inputs'!$AQ$3=3,'Pricing Inputs'!$AQ$3=6,'Pricing Inputs'!$AQ$3=9),(VLOOKUP(A142,ScaledPrice,IF(AND('Pricing Inputs'!$AQ$3&gt;=3,'Pricing Inputs'!$AQ$3&lt;=6),7,8))),0))</f>
        <v xml:space="preserve"> </v>
      </c>
      <c r="N142" s="255" t="str">
        <f>IF(A142="N/A"," ",IF(OR('Pricing Inputs'!$AQ$3=3,'Pricing Inputs'!$AQ$3=6,'Pricing Inputs'!$AQ$3=9),IF(AND('Pricing Inputs'!$AQ$3&gt;=3,'Pricing Inputs'!$AQ$3&lt;=6),M142,(VLOOKUP(A142,ScaledPrice,7))*(2-(VLOOKUP(A142,ScaledPrice,3)))),0))</f>
        <v xml:space="preserve"> </v>
      </c>
      <c r="O142" s="255" t="str">
        <f>IF(A142="N/A"," ",IF(AND('Pricing Inputs'!$AQ$3&gt;=1,'Pricing Inputs'!$AQ$3&lt;=3),VLOOKUP(A142,ScaledPrice,9),0))</f>
        <v xml:space="preserve"> </v>
      </c>
      <c r="P142" s="320" t="str">
        <f>IF($A142="N/A"," ",IF('Pricing Inputs'!$AN$8=2,(I142-H142),IF('Pricing Inputs'!$AN$3=2,IF((I142-$H142)&gt;0,I142-$H142,0),(_xll.xSPRDOPT(I142,$E142,$BU142,0,$BP142,$BS142,$BT142,($A142-Inputs!$D$1)+15,1,0)))))</f>
        <v xml:space="preserve"> </v>
      </c>
      <c r="Q142" s="320" t="str">
        <f>IF($A142="N/A"," ",IF('Pricing Inputs'!$AN$8=2,(J142-$H142),IF('Pricing Inputs'!$AN$3=2,IF((J142-$H142)&gt;0,J142-$H142,0),(_xll.xSPRDOPT(J142,$E142,$BU142,0,$BP142,$BS142,$BT142,($A142-Inputs!$D$1)+15,1,0)))))</f>
        <v xml:space="preserve"> </v>
      </c>
      <c r="R142" s="320" t="str">
        <f>IF($A142="N/A"," ",IF('Pricing Inputs'!$AN$8=2,(K142-$H142),IF('Pricing Inputs'!$AN$3=2,IF((K142-$H142)&gt;0,K142-$H142,0),(_xll.xSPRDOPT(K142,$E142,$BU142,0,$BP142,$BS142,$BT142,($A142-Inputs!$D$1)+15,1,0)))))</f>
        <v xml:space="preserve"> </v>
      </c>
      <c r="S142" s="320" t="str">
        <f>IF($A142="N/A"," ",IF('Pricing Inputs'!$AN$8=2,(L142-$H142),IF('Pricing Inputs'!$AN$3=2,IF((L142-$H142)&gt;0,L142-$H142,0),(_xll.xSPRDOPT(L142,$E142,$BU142,0,$BP142,$BS142,$BT142,($A142-Inputs!$D$1)+15,1,0)))))</f>
        <v xml:space="preserve"> </v>
      </c>
      <c r="T142" s="320" t="str">
        <f>IF($A142="N/A"," ",IF('Pricing Inputs'!$AN$8=2,(M142-$H142),IF('Pricing Inputs'!$AN$3=2,IF((M142-$H142)&gt;0,M142-$H142,0),(_xll.xSPRDOPT(M142,$E142,$BU142,0,$BP142,$BS142,$BT142,($A142-Inputs!$D$1)+15,1,0)))))</f>
        <v xml:space="preserve"> </v>
      </c>
      <c r="U142" s="320" t="str">
        <f>IF($A142="N/A"," ",IF('Pricing Inputs'!$AN$8=2,(N142-$H142),IF('Pricing Inputs'!$AN$3=2,IF((N142-$H142)&gt;0,N142-$H142,0),(_xll.xSPRDOPT(N142,$E142,$BU142,0,$BP142,$BS142,$BT142,($A142-Inputs!$D$1)+15,1,0)))))</f>
        <v xml:space="preserve"> </v>
      </c>
      <c r="V142" s="259" t="str">
        <f>IF($A142="N/A"," ",(IF('Pricing Inputs'!$AN$8=2,(O142-$H142),IF((O142-$H142)&lt;=0,0,(O142-$H142)))))</f>
        <v xml:space="preserve"> </v>
      </c>
      <c r="W142" s="306" t="str">
        <f>IF($A142="N/A"," ",IF(0&lt;&gt;P142,IF('Pricing Inputs'!$AN$3=2,8*VLOOKUP($A142,NumberofDaysTable,2),(_xll.xSPRDOPT(I142,$E142,$BU142,0,$BP142,$BS142,$BT142,$A142-Inputs!$D$1,1,1))*(8*VLOOKUP($A142,NumberofDaysTable,2))),0))</f>
        <v xml:space="preserve"> </v>
      </c>
      <c r="X142" s="306" t="str">
        <f>IF($A142="N/A"," ",IF(Q142&lt;&gt;0,IF('Pricing Inputs'!$AN$3=2,8*VLOOKUP($A142,NumberofDaysTable,2),(_xll.xSPRDOPT(J142,$E142,$BU142,0,$BP142,$BS142,$BT142,$A142-Inputs!$D$1,1,1))*(8*VLOOKUP($A142,NumberofDaysTable,2))),0))</f>
        <v xml:space="preserve"> </v>
      </c>
      <c r="Y142" s="306" t="str">
        <f>IF($A142="N/A"," ",IF(R142&lt;&gt;0,IF('Pricing Inputs'!$AN$3=2,8*VLOOKUP($A142,NumberofDaysTable,3),(_xll.xSPRDOPT(K142,$E142,$BU142,0,$BP142,$BS142,$BT142,$A142-Inputs!$D$1,1,1))*(8*VLOOKUP($A142,NumberofDaysTable,3))),0))</f>
        <v xml:space="preserve"> </v>
      </c>
      <c r="Z142" s="306" t="str">
        <f>IF($A142="N/A"," ",IF(S142&lt;&gt;0,IF('Pricing Inputs'!$AN$3=2,8*VLOOKUP($A142,NumberofDaysTable,3),(_xll.xSPRDOPT(L142,$E142,$BU142,0,$BP142,$BS142,$BT142,$A142-Inputs!$D$1,1,1))*(8*VLOOKUP($A142,NumberofDaysTable,3))),0))</f>
        <v xml:space="preserve"> </v>
      </c>
      <c r="AA142" s="306" t="str">
        <f>IF($A142="N/A"," ",IF(T142&lt;&gt;0,IF('Pricing Inputs'!$AN$3=2,8*VLOOKUP($A142,NumberofDaysTable,4),(_xll.xSPRDOPT(M142,$E142,$BU142,0,$BP142,$BS142,$BT142,$A142-Inputs!$D$1,1,1))*(8*VLOOKUP($A142,NumberofDaysTable,4))),0))</f>
        <v xml:space="preserve"> </v>
      </c>
      <c r="AB142" s="306" t="str">
        <f>IF($A142="N/A"," ",IF(U142&lt;&gt;0,IF('Pricing Inputs'!$AN$3=2,8*VLOOKUP($A142,NumberofDaysTable,4),(_xll.xSPRDOPT(N142,$E142,$BU142,0,$BP142,$BS142,$BT142,$A142-Inputs!$D$1,1,1))*(8*VLOOKUP($A142,NumberofDaysTable,4))),0))</f>
        <v xml:space="preserve"> </v>
      </c>
      <c r="AC142" s="306" t="str">
        <f t="shared" si="233"/>
        <v xml:space="preserve"> </v>
      </c>
      <c r="AD142" s="274" t="str">
        <f t="shared" si="251"/>
        <v xml:space="preserve"> </v>
      </c>
      <c r="AE142" s="275" t="str">
        <f t="shared" si="252"/>
        <v xml:space="preserve"> </v>
      </c>
      <c r="AF142" s="275" t="str">
        <f t="shared" si="253"/>
        <v xml:space="preserve"> </v>
      </c>
      <c r="AG142" s="275" t="str">
        <f t="shared" si="254"/>
        <v xml:space="preserve"> </v>
      </c>
      <c r="AH142" s="275" t="str">
        <f t="shared" si="255"/>
        <v xml:space="preserve"> </v>
      </c>
      <c r="AI142" s="275" t="str">
        <f t="shared" si="256"/>
        <v xml:space="preserve"> </v>
      </c>
      <c r="AJ142" s="276" t="str">
        <f t="shared" si="257"/>
        <v xml:space="preserve"> </v>
      </c>
      <c r="AK142" s="314" t="str">
        <f t="shared" si="158"/>
        <v xml:space="preserve"> </v>
      </c>
      <c r="AL142" s="315" t="str">
        <f t="shared" si="159"/>
        <v xml:space="preserve"> </v>
      </c>
      <c r="AM142" s="315" t="str">
        <f t="shared" si="160"/>
        <v xml:space="preserve"> </v>
      </c>
      <c r="AN142" s="315" t="str">
        <f t="shared" si="161"/>
        <v xml:space="preserve"> </v>
      </c>
      <c r="AO142" s="315" t="str">
        <f t="shared" si="162"/>
        <v xml:space="preserve"> </v>
      </c>
      <c r="AP142" s="315" t="str">
        <f t="shared" si="163"/>
        <v xml:space="preserve"> </v>
      </c>
      <c r="AQ142" s="315" t="str">
        <f t="shared" si="164"/>
        <v xml:space="preserve"> </v>
      </c>
      <c r="AR142" s="276"/>
      <c r="AS142" s="321" t="str">
        <f t="shared" si="244"/>
        <v xml:space="preserve"> </v>
      </c>
      <c r="AT142" s="324" t="str">
        <f t="shared" si="245"/>
        <v xml:space="preserve"> </v>
      </c>
      <c r="AU142" s="324" t="str">
        <f t="shared" si="246"/>
        <v xml:space="preserve"> </v>
      </c>
      <c r="AV142" s="324" t="str">
        <f t="shared" si="247"/>
        <v xml:space="preserve"> </v>
      </c>
      <c r="AW142" s="324" t="str">
        <f t="shared" si="248"/>
        <v xml:space="preserve"> </v>
      </c>
      <c r="AX142" s="324" t="str">
        <f t="shared" si="249"/>
        <v xml:space="preserve"> </v>
      </c>
      <c r="AY142" s="324" t="str">
        <f t="shared" si="250"/>
        <v xml:space="preserve"> </v>
      </c>
      <c r="AZ142" s="276"/>
      <c r="BA142" s="267" t="str">
        <f>IF($A142="N/A"," ",(IF(MONTH(A142)&gt;=4,IF(MONTH(A142)&lt;=10,Inputs!$F$13,Inputs!$F$14),Inputs!$F$14))*$BW142)</f>
        <v xml:space="preserve"> </v>
      </c>
      <c r="BB142" s="268" t="str">
        <f t="shared" si="165"/>
        <v xml:space="preserve"> </v>
      </c>
      <c r="BC142" s="268" t="str">
        <f t="shared" si="166"/>
        <v xml:space="preserve"> </v>
      </c>
      <c r="BD142" s="268" t="str">
        <f t="shared" si="234"/>
        <v xml:space="preserve"> </v>
      </c>
      <c r="BE142" s="268" t="str">
        <f t="shared" si="235"/>
        <v xml:space="preserve"> </v>
      </c>
      <c r="BF142" s="268" t="str">
        <f t="shared" si="236"/>
        <v xml:space="preserve"> </v>
      </c>
      <c r="BG142" s="268" t="str">
        <f t="shared" si="237"/>
        <v xml:space="preserve"> </v>
      </c>
      <c r="BH142" s="268" t="str">
        <f t="shared" si="258"/>
        <v xml:space="preserve"> </v>
      </c>
      <c r="BI142" s="268" t="str">
        <f t="shared" si="238"/>
        <v xml:space="preserve"> </v>
      </c>
      <c r="BJ142" s="296" t="str">
        <f t="shared" si="239"/>
        <v xml:space="preserve"> </v>
      </c>
      <c r="BK142" s="296" t="str">
        <f t="shared" si="240"/>
        <v xml:space="preserve"> </v>
      </c>
      <c r="BL142" s="296" t="str">
        <f t="shared" si="241"/>
        <v xml:space="preserve"> </v>
      </c>
      <c r="BM142" s="296" t="str">
        <f t="shared" si="242"/>
        <v xml:space="preserve"> </v>
      </c>
      <c r="BN142" s="405" t="str">
        <f>IF(A142="N/A"," ",(VLOOKUP(A142,PowerVolTable,(IF('Pricing Inputs'!$AT$3=2,7,IF('Pricing Inputs'!$AT$3=1,6,8))),FALSE)))</f>
        <v xml:space="preserve"> </v>
      </c>
      <c r="BO142" s="405" t="str">
        <f>IF(A142="N/A"," ",(VLOOKUP(A142,IntraPowerVol,(IF('Pricing Inputs'!$AT$3=2,3,IF('Pricing Inputs'!$AT$3=1,2,4))),FALSE)*VLOOKUP(MONTH($A142),Inputs!$A$28:$B$39,2)))</f>
        <v xml:space="preserve"> </v>
      </c>
      <c r="BP142" s="406" t="str">
        <f t="shared" si="227"/>
        <v xml:space="preserve"> </v>
      </c>
      <c r="BQ142" s="405" t="str">
        <f>IF($A142="N/A"," ",(VLOOKUP($A142,GasVolTable,(IF('Pricing Inputs'!$AT$3=2,6,IF('Pricing Inputs'!$AT$3=1,7,5))),FALSE)))</f>
        <v xml:space="preserve"> </v>
      </c>
      <c r="BR142" s="405" t="str">
        <f>IF($A142="N/A"," ",(VLOOKUP($A142,OmicronVol,(IF('Pricing Inputs'!$AT$3=2,3,IF('Pricing Inputs'!$AT$3=1,4,2))),FALSE)))</f>
        <v xml:space="preserve"> </v>
      </c>
      <c r="BS142" s="406" t="str">
        <f>IF($A142="N/A"," ",IF('Pricing Inputs'!$AN$3=1,(IF(DateToday&gt;$A142,$BR142,((($BQ142^2)*((($A142-1)-DateToday)/((EOMONTH($A142,0)+1)-DateToday-15)))+((($BR142)^2)*((15)/((EOMONTH($A142,0)+1)-DateToday-15))))^0.5)),0.0001))</f>
        <v xml:space="preserve"> </v>
      </c>
      <c r="BT142" s="405" t="str">
        <f>IF($A142="N/A"," ",IF('Pricing Inputs'!$AN$3=1,(VLOOKUP($A142,CorrelationTable,2,FALSE)),0))</f>
        <v xml:space="preserve"> </v>
      </c>
      <c r="BU142" s="407" t="str">
        <f>IF($A142="N/A"," ",F142+G142+(D142*(VLOOKUP($A142,'Gas Curves'!$B$17:$P$310,14,FALSE))))</f>
        <v xml:space="preserve"> </v>
      </c>
      <c r="BV142" s="405" t="str">
        <f>IF($A142="N/A"," ",IF('Pricing Inputs'!$AW$3=1,0,(VLOOKUP($A142,InterestRatesTable,2))))</f>
        <v xml:space="preserve"> </v>
      </c>
      <c r="BW142" s="408" t="str">
        <f t="shared" si="228"/>
        <v xml:space="preserve"> </v>
      </c>
    </row>
    <row r="143" spans="1:75">
      <c r="A143" s="248" t="str">
        <f>IF(A142="N/A","N/A",IF(EDATE(A142,1)&gt;Inputs!$K$3,"N/A",EDATE(A142,1)))</f>
        <v>N/A</v>
      </c>
      <c r="B143" s="262" t="str">
        <f t="shared" si="229"/>
        <v xml:space="preserve"> </v>
      </c>
      <c r="C143" s="249" t="str">
        <f t="shared" si="230"/>
        <v xml:space="preserve"> </v>
      </c>
      <c r="D143" s="250" t="str">
        <f>IF(A143="N/A"," ",(VLOOKUP(MONTH($A143),Inputs!$A$14:$B$25,2))/1000)</f>
        <v xml:space="preserve"> </v>
      </c>
      <c r="E143" s="304" t="str">
        <f t="shared" si="231"/>
        <v xml:space="preserve"> </v>
      </c>
      <c r="F143" s="251" t="str">
        <f>IF(A143="N/A"," ",Inputs!$F$6)</f>
        <v xml:space="preserve"> </v>
      </c>
      <c r="G143" s="251" t="str">
        <f>IF(A143="N/A"," ",Inputs!$F$9/IF(AND('Pricing Inputs'!$AQ$3&gt;=4,'Pricing Inputs'!$AQ$3&lt;=6),16,IF(AND('Pricing Inputs'!$AQ$3&gt;=7,'Pricing Inputs'!$AQ$3&lt;=9),8,24))/(BA143/BW143))</f>
        <v xml:space="preserve"> </v>
      </c>
      <c r="H143" s="252" t="str">
        <f t="shared" si="232"/>
        <v xml:space="preserve"> </v>
      </c>
      <c r="I143" s="255" t="str">
        <f>VLOOKUP(A143,ScaledPrice,(IF(AND('Pricing Inputs'!$AQ$3&gt;=1,'Pricing Inputs'!$AQ$3&lt;=6),2,4)))</f>
        <v xml:space="preserve"> </v>
      </c>
      <c r="J143" s="255" t="str">
        <f>IF(A143="N/A"," ",IF(AND('Pricing Inputs'!$AQ$3&gt;=1,'Pricing Inputs'!$AQ$3&lt;=6),I143,(VLOOKUP(A143,ScaledPrice,2))*(2-(VLOOKUP(A143,ScaledPrice,3)))))</f>
        <v xml:space="preserve"> </v>
      </c>
      <c r="K143" s="255" t="str">
        <f>IF(A143="N/A"," ",IF(OR('Pricing Inputs'!$AQ$3=2,'Pricing Inputs'!$AQ$3=3,'Pricing Inputs'!$AQ$3=5,'Pricing Inputs'!$AQ$3=6,'Pricing Inputs'!$AQ$3=8,'Pricing Inputs'!$AQ$3=9),VLOOKUP(A143,ScaledPrice,IF(AND('Pricing Inputs'!$AQ$3&gt;=2,'Pricing Inputs'!$AQ$3&lt;=6),5,6)),0))</f>
        <v xml:space="preserve"> </v>
      </c>
      <c r="L143" s="255" t="str">
        <f>IF(A143="N/A"," ",IF(OR('Pricing Inputs'!$AQ$3=2,'Pricing Inputs'!$AQ$3=3,'Pricing Inputs'!$AQ$3=5,'Pricing Inputs'!$AQ$3=6,'Pricing Inputs'!$AQ$3=8,'Pricing Inputs'!$AQ$3=9),IF(AND('Pricing Inputs'!$AQ$3&gt;=2,'Pricing Inputs'!$AQ$3&lt;=6),K143,(VLOOKUP(A143,ScaledPrice,5))*(2-(VLOOKUP(A143,ScaledPrice,3)))),0))</f>
        <v xml:space="preserve"> </v>
      </c>
      <c r="M143" s="255" t="str">
        <f>IF(A143="N/A"," ",IF(OR('Pricing Inputs'!$AQ$3=3,'Pricing Inputs'!$AQ$3=6,'Pricing Inputs'!$AQ$3=9),(VLOOKUP(A143,ScaledPrice,IF(AND('Pricing Inputs'!$AQ$3&gt;=3,'Pricing Inputs'!$AQ$3&lt;=6),7,8))),0))</f>
        <v xml:space="preserve"> </v>
      </c>
      <c r="N143" s="255" t="str">
        <f>IF(A143="N/A"," ",IF(OR('Pricing Inputs'!$AQ$3=3,'Pricing Inputs'!$AQ$3=6,'Pricing Inputs'!$AQ$3=9),IF(AND('Pricing Inputs'!$AQ$3&gt;=3,'Pricing Inputs'!$AQ$3&lt;=6),M143,(VLOOKUP(A143,ScaledPrice,7))*(2-(VLOOKUP(A143,ScaledPrice,3)))),0))</f>
        <v xml:space="preserve"> </v>
      </c>
      <c r="O143" s="255" t="str">
        <f>IF(A143="N/A"," ",IF(AND('Pricing Inputs'!$AQ$3&gt;=1,'Pricing Inputs'!$AQ$3&lt;=3),VLOOKUP(A143,ScaledPrice,9),0))</f>
        <v xml:space="preserve"> </v>
      </c>
      <c r="P143" s="320" t="str">
        <f>IF($A143="N/A"," ",IF('Pricing Inputs'!$AN$8=2,(I143-H143),IF('Pricing Inputs'!$AN$3=2,IF((I143-$H143)&gt;0,I143-$H143,0),(_xll.xSPRDOPT(I143,$E143,$BU143,0,$BP143,$BS143,$BT143,($A143-Inputs!$D$1)+15,1,0)))))</f>
        <v xml:space="preserve"> </v>
      </c>
      <c r="Q143" s="320" t="str">
        <f>IF($A143="N/A"," ",IF('Pricing Inputs'!$AN$8=2,(J143-$H143),IF('Pricing Inputs'!$AN$3=2,IF((J143-$H143)&gt;0,J143-$H143,0),(_xll.xSPRDOPT(J143,$E143,$BU143,0,$BP143,$BS143,$BT143,($A143-Inputs!$D$1)+15,1,0)))))</f>
        <v xml:space="preserve"> </v>
      </c>
      <c r="R143" s="320" t="str">
        <f>IF($A143="N/A"," ",IF('Pricing Inputs'!$AN$8=2,(K143-$H143),IF('Pricing Inputs'!$AN$3=2,IF((K143-$H143)&gt;0,K143-$H143,0),(_xll.xSPRDOPT(K143,$E143,$BU143,0,$BP143,$BS143,$BT143,($A143-Inputs!$D$1)+15,1,0)))))</f>
        <v xml:space="preserve"> </v>
      </c>
      <c r="S143" s="320" t="str">
        <f>IF($A143="N/A"," ",IF('Pricing Inputs'!$AN$8=2,(L143-$H143),IF('Pricing Inputs'!$AN$3=2,IF((L143-$H143)&gt;0,L143-$H143,0),(_xll.xSPRDOPT(L143,$E143,$BU143,0,$BP143,$BS143,$BT143,($A143-Inputs!$D$1)+15,1,0)))))</f>
        <v xml:space="preserve"> </v>
      </c>
      <c r="T143" s="320" t="str">
        <f>IF($A143="N/A"," ",IF('Pricing Inputs'!$AN$8=2,(M143-$H143),IF('Pricing Inputs'!$AN$3=2,IF((M143-$H143)&gt;0,M143-$H143,0),(_xll.xSPRDOPT(M143,$E143,$BU143,0,$BP143,$BS143,$BT143,($A143-Inputs!$D$1)+15,1,0)))))</f>
        <v xml:space="preserve"> </v>
      </c>
      <c r="U143" s="320" t="str">
        <f>IF($A143="N/A"," ",IF('Pricing Inputs'!$AN$8=2,(N143-$H143),IF('Pricing Inputs'!$AN$3=2,IF((N143-$H143)&gt;0,N143-$H143,0),(_xll.xSPRDOPT(N143,$E143,$BU143,0,$BP143,$BS143,$BT143,($A143-Inputs!$D$1)+15,1,0)))))</f>
        <v xml:space="preserve"> </v>
      </c>
      <c r="V143" s="259" t="str">
        <f>IF($A143="N/A"," ",(IF('Pricing Inputs'!$AN$8=2,(O143-$H143),IF((O143-$H143)&lt;=0,0,(O143-$H143)))))</f>
        <v xml:space="preserve"> </v>
      </c>
      <c r="W143" s="306" t="str">
        <f>IF($A143="N/A"," ",IF(0&lt;&gt;P143,IF('Pricing Inputs'!$AN$3=2,8*VLOOKUP($A143,NumberofDaysTable,2),(_xll.xSPRDOPT(I143,$E143,$BU143,0,$BP143,$BS143,$BT143,$A143-Inputs!$D$1,1,1))*(8*VLOOKUP($A143,NumberofDaysTable,2))),0))</f>
        <v xml:space="preserve"> </v>
      </c>
      <c r="X143" s="306" t="str">
        <f>IF($A143="N/A"," ",IF(Q143&lt;&gt;0,IF('Pricing Inputs'!$AN$3=2,8*VLOOKUP($A143,NumberofDaysTable,2),(_xll.xSPRDOPT(J143,$E143,$BU143,0,$BP143,$BS143,$BT143,$A143-Inputs!$D$1,1,1))*(8*VLOOKUP($A143,NumberofDaysTable,2))),0))</f>
        <v xml:space="preserve"> </v>
      </c>
      <c r="Y143" s="306" t="str">
        <f>IF($A143="N/A"," ",IF(R143&lt;&gt;0,IF('Pricing Inputs'!$AN$3=2,8*VLOOKUP($A143,NumberofDaysTable,3),(_xll.xSPRDOPT(K143,$E143,$BU143,0,$BP143,$BS143,$BT143,$A143-Inputs!$D$1,1,1))*(8*VLOOKUP($A143,NumberofDaysTable,3))),0))</f>
        <v xml:space="preserve"> </v>
      </c>
      <c r="Z143" s="306" t="str">
        <f>IF($A143="N/A"," ",IF(S143&lt;&gt;0,IF('Pricing Inputs'!$AN$3=2,8*VLOOKUP($A143,NumberofDaysTable,3),(_xll.xSPRDOPT(L143,$E143,$BU143,0,$BP143,$BS143,$BT143,$A143-Inputs!$D$1,1,1))*(8*VLOOKUP($A143,NumberofDaysTable,3))),0))</f>
        <v xml:space="preserve"> </v>
      </c>
      <c r="AA143" s="306" t="str">
        <f>IF($A143="N/A"," ",IF(T143&lt;&gt;0,IF('Pricing Inputs'!$AN$3=2,8*VLOOKUP($A143,NumberofDaysTable,4),(_xll.xSPRDOPT(M143,$E143,$BU143,0,$BP143,$BS143,$BT143,$A143-Inputs!$D$1,1,1))*(8*VLOOKUP($A143,NumberofDaysTable,4))),0))</f>
        <v xml:space="preserve"> </v>
      </c>
      <c r="AB143" s="306" t="str">
        <f>IF($A143="N/A"," ",IF(U143&lt;&gt;0,IF('Pricing Inputs'!$AN$3=2,8*VLOOKUP($A143,NumberofDaysTable,4),(_xll.xSPRDOPT(N143,$E143,$BU143,0,$BP143,$BS143,$BT143,$A143-Inputs!$D$1,1,1))*(8*VLOOKUP($A143,NumberofDaysTable,4))),0))</f>
        <v xml:space="preserve"> </v>
      </c>
      <c r="AC143" s="306" t="str">
        <f t="shared" si="233"/>
        <v xml:space="preserve"> </v>
      </c>
      <c r="AD143" s="274" t="str">
        <f t="shared" si="251"/>
        <v xml:space="preserve"> </v>
      </c>
      <c r="AE143" s="275" t="str">
        <f t="shared" si="252"/>
        <v xml:space="preserve"> </v>
      </c>
      <c r="AF143" s="275" t="str">
        <f t="shared" si="253"/>
        <v xml:space="preserve"> </v>
      </c>
      <c r="AG143" s="275" t="str">
        <f t="shared" si="254"/>
        <v xml:space="preserve"> </v>
      </c>
      <c r="AH143" s="275" t="str">
        <f t="shared" si="255"/>
        <v xml:space="preserve"> </v>
      </c>
      <c r="AI143" s="275" t="str">
        <f t="shared" si="256"/>
        <v xml:space="preserve"> </v>
      </c>
      <c r="AJ143" s="276" t="str">
        <f t="shared" si="257"/>
        <v xml:space="preserve"> </v>
      </c>
      <c r="AK143" s="314" t="str">
        <f t="shared" si="158"/>
        <v xml:space="preserve"> </v>
      </c>
      <c r="AL143" s="315" t="str">
        <f t="shared" si="159"/>
        <v xml:space="preserve"> </v>
      </c>
      <c r="AM143" s="315" t="str">
        <f t="shared" si="160"/>
        <v xml:space="preserve"> </v>
      </c>
      <c r="AN143" s="315" t="str">
        <f t="shared" si="161"/>
        <v xml:space="preserve"> </v>
      </c>
      <c r="AO143" s="315" t="str">
        <f t="shared" si="162"/>
        <v xml:space="preserve"> </v>
      </c>
      <c r="AP143" s="315" t="str">
        <f t="shared" si="163"/>
        <v xml:space="preserve"> </v>
      </c>
      <c r="AQ143" s="315" t="str">
        <f t="shared" si="164"/>
        <v xml:space="preserve"> </v>
      </c>
      <c r="AR143" s="276"/>
      <c r="AS143" s="321" t="str">
        <f t="shared" si="244"/>
        <v xml:space="preserve"> </v>
      </c>
      <c r="AT143" s="324" t="str">
        <f t="shared" si="245"/>
        <v xml:space="preserve"> </v>
      </c>
      <c r="AU143" s="324" t="str">
        <f t="shared" si="246"/>
        <v xml:space="preserve"> </v>
      </c>
      <c r="AV143" s="324" t="str">
        <f t="shared" si="247"/>
        <v xml:space="preserve"> </v>
      </c>
      <c r="AW143" s="324" t="str">
        <f t="shared" si="248"/>
        <v xml:space="preserve"> </v>
      </c>
      <c r="AX143" s="324" t="str">
        <f t="shared" si="249"/>
        <v xml:space="preserve"> </v>
      </c>
      <c r="AY143" s="324" t="str">
        <f t="shared" si="250"/>
        <v xml:space="preserve"> </v>
      </c>
      <c r="AZ143" s="276"/>
      <c r="BA143" s="267" t="str">
        <f>IF($A143="N/A"," ",(IF(MONTH(A143)&gt;=4,IF(MONTH(A143)&lt;=10,Inputs!$F$13,Inputs!$F$14),Inputs!$F$14))*$BW143)</f>
        <v xml:space="preserve"> </v>
      </c>
      <c r="BB143" s="268" t="str">
        <f t="shared" si="165"/>
        <v xml:space="preserve"> </v>
      </c>
      <c r="BC143" s="268" t="str">
        <f t="shared" si="166"/>
        <v xml:space="preserve"> </v>
      </c>
      <c r="BD143" s="268" t="str">
        <f t="shared" si="234"/>
        <v xml:space="preserve"> </v>
      </c>
      <c r="BE143" s="268" t="str">
        <f t="shared" si="235"/>
        <v xml:space="preserve"> </v>
      </c>
      <c r="BF143" s="268" t="str">
        <f t="shared" si="236"/>
        <v xml:space="preserve"> </v>
      </c>
      <c r="BG143" s="268" t="str">
        <f t="shared" si="237"/>
        <v xml:space="preserve"> </v>
      </c>
      <c r="BH143" s="268" t="str">
        <f t="shared" si="258"/>
        <v xml:space="preserve"> </v>
      </c>
      <c r="BI143" s="268" t="str">
        <f t="shared" si="238"/>
        <v xml:space="preserve"> </v>
      </c>
      <c r="BJ143" s="296" t="str">
        <f t="shared" si="239"/>
        <v xml:space="preserve"> </v>
      </c>
      <c r="BK143" s="296" t="str">
        <f t="shared" si="240"/>
        <v xml:space="preserve"> </v>
      </c>
      <c r="BL143" s="296" t="str">
        <f t="shared" si="241"/>
        <v xml:space="preserve"> </v>
      </c>
      <c r="BM143" s="296" t="str">
        <f t="shared" si="242"/>
        <v xml:space="preserve"> </v>
      </c>
      <c r="BN143" s="405" t="str">
        <f>IF(A143="N/A"," ",(VLOOKUP(A143,PowerVolTable,(IF('Pricing Inputs'!$AT$3=2,7,IF('Pricing Inputs'!$AT$3=1,6,8))),FALSE)))</f>
        <v xml:space="preserve"> </v>
      </c>
      <c r="BO143" s="405" t="str">
        <f>IF(A143="N/A"," ",(VLOOKUP(A143,IntraPowerVol,(IF('Pricing Inputs'!$AT$3=2,3,IF('Pricing Inputs'!$AT$3=1,2,4))),FALSE)*VLOOKUP(MONTH($A143),Inputs!$A$28:$B$39,2)))</f>
        <v xml:space="preserve"> </v>
      </c>
      <c r="BP143" s="406" t="str">
        <f t="shared" si="227"/>
        <v xml:space="preserve"> </v>
      </c>
      <c r="BQ143" s="405" t="str">
        <f>IF($A143="N/A"," ",(VLOOKUP($A143,GasVolTable,(IF('Pricing Inputs'!$AT$3=2,6,IF('Pricing Inputs'!$AT$3=1,7,5))),FALSE)))</f>
        <v xml:space="preserve"> </v>
      </c>
      <c r="BR143" s="405" t="str">
        <f>IF($A143="N/A"," ",(VLOOKUP($A143,OmicronVol,(IF('Pricing Inputs'!$AT$3=2,3,IF('Pricing Inputs'!$AT$3=1,4,2))),FALSE)))</f>
        <v xml:space="preserve"> </v>
      </c>
      <c r="BS143" s="406" t="str">
        <f>IF($A143="N/A"," ",IF('Pricing Inputs'!$AN$3=1,(IF(DateToday&gt;$A143,$BR143,((($BQ143^2)*((($A143-1)-DateToday)/((EOMONTH($A143,0)+1)-DateToday-15)))+((($BR143)^2)*((15)/((EOMONTH($A143,0)+1)-DateToday-15))))^0.5)),0.0001))</f>
        <v xml:space="preserve"> </v>
      </c>
      <c r="BT143" s="405" t="str">
        <f>IF($A143="N/A"," ",IF('Pricing Inputs'!$AN$3=1,(VLOOKUP($A143,CorrelationTable,2,FALSE)),0))</f>
        <v xml:space="preserve"> </v>
      </c>
      <c r="BU143" s="407" t="str">
        <f>IF($A143="N/A"," ",F143+G143+(D143*(VLOOKUP($A143,'Gas Curves'!$B$17:$P$310,14,FALSE))))</f>
        <v xml:space="preserve"> </v>
      </c>
      <c r="BV143" s="405" t="str">
        <f>IF($A143="N/A"," ",IF('Pricing Inputs'!$AW$3=1,0,(VLOOKUP($A143,InterestRatesTable,2))))</f>
        <v xml:space="preserve"> </v>
      </c>
      <c r="BW143" s="408" t="str">
        <f t="shared" si="228"/>
        <v xml:space="preserve"> </v>
      </c>
    </row>
    <row r="144" spans="1:75">
      <c r="A144" s="248" t="str">
        <f>IF(A143="N/A","N/A",IF(EDATE(A143,1)&gt;Inputs!$K$3,"N/A",EDATE(A143,1)))</f>
        <v>N/A</v>
      </c>
      <c r="B144" s="262" t="str">
        <f t="shared" si="229"/>
        <v xml:space="preserve"> </v>
      </c>
      <c r="C144" s="249" t="str">
        <f t="shared" si="230"/>
        <v xml:space="preserve"> </v>
      </c>
      <c r="D144" s="250" t="str">
        <f>IF(A144="N/A"," ",(VLOOKUP(MONTH($A144),Inputs!$A$14:$B$25,2))/1000)</f>
        <v xml:space="preserve"> </v>
      </c>
      <c r="E144" s="304" t="str">
        <f t="shared" si="231"/>
        <v xml:space="preserve"> </v>
      </c>
      <c r="F144" s="251" t="str">
        <f>IF(A144="N/A"," ",Inputs!$F$6)</f>
        <v xml:space="preserve"> </v>
      </c>
      <c r="G144" s="251" t="str">
        <f>IF(A144="N/A"," ",Inputs!$F$9/IF(AND('Pricing Inputs'!$AQ$3&gt;=4,'Pricing Inputs'!$AQ$3&lt;=6),16,IF(AND('Pricing Inputs'!$AQ$3&gt;=7,'Pricing Inputs'!$AQ$3&lt;=9),8,24))/(BA144/BW144))</f>
        <v xml:space="preserve"> </v>
      </c>
      <c r="H144" s="252" t="str">
        <f t="shared" si="232"/>
        <v xml:space="preserve"> </v>
      </c>
      <c r="I144" s="255" t="str">
        <f>VLOOKUP(A144,ScaledPrice,(IF(AND('Pricing Inputs'!$AQ$3&gt;=1,'Pricing Inputs'!$AQ$3&lt;=6),2,4)))</f>
        <v xml:space="preserve"> </v>
      </c>
      <c r="J144" s="255" t="str">
        <f>IF(A144="N/A"," ",IF(AND('Pricing Inputs'!$AQ$3&gt;=1,'Pricing Inputs'!$AQ$3&lt;=6),I144,(VLOOKUP(A144,ScaledPrice,2))*(2-(VLOOKUP(A144,ScaledPrice,3)))))</f>
        <v xml:space="preserve"> </v>
      </c>
      <c r="K144" s="255" t="str">
        <f>IF(A144="N/A"," ",IF(OR('Pricing Inputs'!$AQ$3=2,'Pricing Inputs'!$AQ$3=3,'Pricing Inputs'!$AQ$3=5,'Pricing Inputs'!$AQ$3=6,'Pricing Inputs'!$AQ$3=8,'Pricing Inputs'!$AQ$3=9),VLOOKUP(A144,ScaledPrice,IF(AND('Pricing Inputs'!$AQ$3&gt;=2,'Pricing Inputs'!$AQ$3&lt;=6),5,6)),0))</f>
        <v xml:space="preserve"> </v>
      </c>
      <c r="L144" s="255" t="str">
        <f>IF(A144="N/A"," ",IF(OR('Pricing Inputs'!$AQ$3=2,'Pricing Inputs'!$AQ$3=3,'Pricing Inputs'!$AQ$3=5,'Pricing Inputs'!$AQ$3=6,'Pricing Inputs'!$AQ$3=8,'Pricing Inputs'!$AQ$3=9),IF(AND('Pricing Inputs'!$AQ$3&gt;=2,'Pricing Inputs'!$AQ$3&lt;=6),K144,(VLOOKUP(A144,ScaledPrice,5))*(2-(VLOOKUP(A144,ScaledPrice,3)))),0))</f>
        <v xml:space="preserve"> </v>
      </c>
      <c r="M144" s="255" t="str">
        <f>IF(A144="N/A"," ",IF(OR('Pricing Inputs'!$AQ$3=3,'Pricing Inputs'!$AQ$3=6,'Pricing Inputs'!$AQ$3=9),(VLOOKUP(A144,ScaledPrice,IF(AND('Pricing Inputs'!$AQ$3&gt;=3,'Pricing Inputs'!$AQ$3&lt;=6),7,8))),0))</f>
        <v xml:space="preserve"> </v>
      </c>
      <c r="N144" s="255" t="str">
        <f>IF(A144="N/A"," ",IF(OR('Pricing Inputs'!$AQ$3=3,'Pricing Inputs'!$AQ$3=6,'Pricing Inputs'!$AQ$3=9),IF(AND('Pricing Inputs'!$AQ$3&gt;=3,'Pricing Inputs'!$AQ$3&lt;=6),M144,(VLOOKUP(A144,ScaledPrice,7))*(2-(VLOOKUP(A144,ScaledPrice,3)))),0))</f>
        <v xml:space="preserve"> </v>
      </c>
      <c r="O144" s="255" t="str">
        <f>IF(A144="N/A"," ",IF(AND('Pricing Inputs'!$AQ$3&gt;=1,'Pricing Inputs'!$AQ$3&lt;=3),VLOOKUP(A144,ScaledPrice,9),0))</f>
        <v xml:space="preserve"> </v>
      </c>
      <c r="P144" s="320" t="str">
        <f>IF($A144="N/A"," ",IF('Pricing Inputs'!$AN$8=2,(I144-H144),IF('Pricing Inputs'!$AN$3=2,IF((I144-$H144)&gt;0,I144-$H144,0),(_xll.xSPRDOPT(I144,$E144,$BU144,0,$BP144,$BS144,$BT144,($A144-Inputs!$D$1)+15,1,0)))))</f>
        <v xml:space="preserve"> </v>
      </c>
      <c r="Q144" s="320" t="str">
        <f>IF($A144="N/A"," ",IF('Pricing Inputs'!$AN$8=2,(J144-$H144),IF('Pricing Inputs'!$AN$3=2,IF((J144-$H144)&gt;0,J144-$H144,0),(_xll.xSPRDOPT(J144,$E144,$BU144,0,$BP144,$BS144,$BT144,($A144-Inputs!$D$1)+15,1,0)))))</f>
        <v xml:space="preserve"> </v>
      </c>
      <c r="R144" s="320" t="str">
        <f>IF($A144="N/A"," ",IF('Pricing Inputs'!$AN$8=2,(K144-$H144),IF('Pricing Inputs'!$AN$3=2,IF((K144-$H144)&gt;0,K144-$H144,0),(_xll.xSPRDOPT(K144,$E144,$BU144,0,$BP144,$BS144,$BT144,($A144-Inputs!$D$1)+15,1,0)))))</f>
        <v xml:space="preserve"> </v>
      </c>
      <c r="S144" s="320" t="str">
        <f>IF($A144="N/A"," ",IF('Pricing Inputs'!$AN$8=2,(L144-$H144),IF('Pricing Inputs'!$AN$3=2,IF((L144-$H144)&gt;0,L144-$H144,0),(_xll.xSPRDOPT(L144,$E144,$BU144,0,$BP144,$BS144,$BT144,($A144-Inputs!$D$1)+15,1,0)))))</f>
        <v xml:space="preserve"> </v>
      </c>
      <c r="T144" s="320" t="str">
        <f>IF($A144="N/A"," ",IF('Pricing Inputs'!$AN$8=2,(M144-$H144),IF('Pricing Inputs'!$AN$3=2,IF((M144-$H144)&gt;0,M144-$H144,0),(_xll.xSPRDOPT(M144,$E144,$BU144,0,$BP144,$BS144,$BT144,($A144-Inputs!$D$1)+15,1,0)))))</f>
        <v xml:space="preserve"> </v>
      </c>
      <c r="U144" s="320" t="str">
        <f>IF($A144="N/A"," ",IF('Pricing Inputs'!$AN$8=2,(N144-$H144),IF('Pricing Inputs'!$AN$3=2,IF((N144-$H144)&gt;0,N144-$H144,0),(_xll.xSPRDOPT(N144,$E144,$BU144,0,$BP144,$BS144,$BT144,($A144-Inputs!$D$1)+15,1,0)))))</f>
        <v xml:space="preserve"> </v>
      </c>
      <c r="V144" s="259" t="str">
        <f>IF($A144="N/A"," ",(IF('Pricing Inputs'!$AN$8=2,(O144-$H144),IF((O144-$H144)&lt;=0,0,(O144-$H144)))))</f>
        <v xml:space="preserve"> </v>
      </c>
      <c r="W144" s="306" t="str">
        <f>IF($A144="N/A"," ",IF(0&lt;&gt;P144,IF('Pricing Inputs'!$AN$3=2,8*VLOOKUP($A144,NumberofDaysTable,2),(_xll.xSPRDOPT(I144,$E144,$BU144,0,$BP144,$BS144,$BT144,$A144-Inputs!$D$1,1,1))*(8*VLOOKUP($A144,NumberofDaysTable,2))),0))</f>
        <v xml:space="preserve"> </v>
      </c>
      <c r="X144" s="306" t="str">
        <f>IF($A144="N/A"," ",IF(Q144&lt;&gt;0,IF('Pricing Inputs'!$AN$3=2,8*VLOOKUP($A144,NumberofDaysTable,2),(_xll.xSPRDOPT(J144,$E144,$BU144,0,$BP144,$BS144,$BT144,$A144-Inputs!$D$1,1,1))*(8*VLOOKUP($A144,NumberofDaysTable,2))),0))</f>
        <v xml:space="preserve"> </v>
      </c>
      <c r="Y144" s="306" t="str">
        <f>IF($A144="N/A"," ",IF(R144&lt;&gt;0,IF('Pricing Inputs'!$AN$3=2,8*VLOOKUP($A144,NumberofDaysTable,3),(_xll.xSPRDOPT(K144,$E144,$BU144,0,$BP144,$BS144,$BT144,$A144-Inputs!$D$1,1,1))*(8*VLOOKUP($A144,NumberofDaysTable,3))),0))</f>
        <v xml:space="preserve"> </v>
      </c>
      <c r="Z144" s="306" t="str">
        <f>IF($A144="N/A"," ",IF(S144&lt;&gt;0,IF('Pricing Inputs'!$AN$3=2,8*VLOOKUP($A144,NumberofDaysTable,3),(_xll.xSPRDOPT(L144,$E144,$BU144,0,$BP144,$BS144,$BT144,$A144-Inputs!$D$1,1,1))*(8*VLOOKUP($A144,NumberofDaysTable,3))),0))</f>
        <v xml:space="preserve"> </v>
      </c>
      <c r="AA144" s="306" t="str">
        <f>IF($A144="N/A"," ",IF(T144&lt;&gt;0,IF('Pricing Inputs'!$AN$3=2,8*VLOOKUP($A144,NumberofDaysTable,4),(_xll.xSPRDOPT(M144,$E144,$BU144,0,$BP144,$BS144,$BT144,$A144-Inputs!$D$1,1,1))*(8*VLOOKUP($A144,NumberofDaysTable,4))),0))</f>
        <v xml:space="preserve"> </v>
      </c>
      <c r="AB144" s="306" t="str">
        <f>IF($A144="N/A"," ",IF(U144&lt;&gt;0,IF('Pricing Inputs'!$AN$3=2,8*VLOOKUP($A144,NumberofDaysTable,4),(_xll.xSPRDOPT(N144,$E144,$BU144,0,$BP144,$BS144,$BT144,$A144-Inputs!$D$1,1,1))*(8*VLOOKUP($A144,NumberofDaysTable,4))),0))</f>
        <v xml:space="preserve"> </v>
      </c>
      <c r="AC144" s="306" t="str">
        <f t="shared" si="233"/>
        <v xml:space="preserve"> </v>
      </c>
      <c r="AD144" s="274" t="str">
        <f t="shared" si="251"/>
        <v xml:space="preserve"> </v>
      </c>
      <c r="AE144" s="275" t="str">
        <f t="shared" si="252"/>
        <v xml:space="preserve"> </v>
      </c>
      <c r="AF144" s="275" t="str">
        <f t="shared" si="253"/>
        <v xml:space="preserve"> </v>
      </c>
      <c r="AG144" s="275" t="str">
        <f t="shared" si="254"/>
        <v xml:space="preserve"> </v>
      </c>
      <c r="AH144" s="275" t="str">
        <f t="shared" si="255"/>
        <v xml:space="preserve"> </v>
      </c>
      <c r="AI144" s="275" t="str">
        <f t="shared" si="256"/>
        <v xml:space="preserve"> </v>
      </c>
      <c r="AJ144" s="276" t="str">
        <f t="shared" si="257"/>
        <v xml:space="preserve"> </v>
      </c>
      <c r="AK144" s="314" t="str">
        <f t="shared" ref="AK144:AK207" si="259">IF($A144="N/A"," ",IF(AD144&lt;=$AJ$2,W144,0))</f>
        <v xml:space="preserve"> </v>
      </c>
      <c r="AL144" s="315" t="str">
        <f t="shared" ref="AL144:AL207" si="260">IF($A144="N/A"," ",IF(AE144&lt;=$AJ$2,X144,0))</f>
        <v xml:space="preserve"> </v>
      </c>
      <c r="AM144" s="315" t="str">
        <f t="shared" ref="AM144:AM207" si="261">IF($A144="N/A"," ",IF(AF144&lt;=$AJ$2,Y144,0))</f>
        <v xml:space="preserve"> </v>
      </c>
      <c r="AN144" s="315" t="str">
        <f t="shared" ref="AN144:AN207" si="262">IF($A144="N/A"," ",IF(AG144&lt;=$AJ$2,Z144,0))</f>
        <v xml:space="preserve"> </v>
      </c>
      <c r="AO144" s="315" t="str">
        <f t="shared" ref="AO144:AO207" si="263">IF($A144="N/A"," ",IF(AH144&lt;=$AJ$2,AA144,0))</f>
        <v xml:space="preserve"> </v>
      </c>
      <c r="AP144" s="315" t="str">
        <f t="shared" ref="AP144:AP207" si="264">IF($A144="N/A"," ",IF(AI144&lt;=$AJ$2,AB144,0))</f>
        <v xml:space="preserve"> </v>
      </c>
      <c r="AQ144" s="315" t="str">
        <f t="shared" ref="AQ144:AQ207" si="265">IF($A144="N/A"," ",IF(AJ144&lt;=$AJ$2,AC144,0))</f>
        <v xml:space="preserve"> </v>
      </c>
      <c r="AR144" s="276"/>
      <c r="AS144" s="321" t="str">
        <f t="shared" si="244"/>
        <v xml:space="preserve"> </v>
      </c>
      <c r="AT144" s="324" t="str">
        <f t="shared" si="245"/>
        <v xml:space="preserve"> </v>
      </c>
      <c r="AU144" s="324" t="str">
        <f t="shared" si="246"/>
        <v xml:space="preserve"> </v>
      </c>
      <c r="AV144" s="324" t="str">
        <f t="shared" si="247"/>
        <v xml:space="preserve"> </v>
      </c>
      <c r="AW144" s="324" t="str">
        <f t="shared" si="248"/>
        <v xml:space="preserve"> </v>
      </c>
      <c r="AX144" s="324" t="str">
        <f t="shared" si="249"/>
        <v xml:space="preserve"> </v>
      </c>
      <c r="AY144" s="324" t="str">
        <f t="shared" si="250"/>
        <v xml:space="preserve"> </v>
      </c>
      <c r="AZ144" s="276"/>
      <c r="BA144" s="267" t="str">
        <f>IF($A144="N/A"," ",(IF(MONTH(A144)&gt;=4,IF(MONTH(A144)&lt;=10,Inputs!$F$13,Inputs!$F$14),Inputs!$F$14))*$BW144)</f>
        <v xml:space="preserve"> </v>
      </c>
      <c r="BB144" s="268" t="str">
        <f t="shared" si="165"/>
        <v xml:space="preserve"> </v>
      </c>
      <c r="BC144" s="268" t="str">
        <f t="shared" si="166"/>
        <v xml:space="preserve"> </v>
      </c>
      <c r="BD144" s="268" t="str">
        <f t="shared" si="234"/>
        <v xml:space="preserve"> </v>
      </c>
      <c r="BE144" s="268" t="str">
        <f t="shared" si="235"/>
        <v xml:space="preserve"> </v>
      </c>
      <c r="BF144" s="268" t="str">
        <f t="shared" si="236"/>
        <v xml:space="preserve"> </v>
      </c>
      <c r="BG144" s="268" t="str">
        <f t="shared" si="237"/>
        <v xml:space="preserve"> </v>
      </c>
      <c r="BH144" s="268" t="str">
        <f t="shared" si="258"/>
        <v xml:space="preserve"> </v>
      </c>
      <c r="BI144" s="268" t="str">
        <f t="shared" si="238"/>
        <v xml:space="preserve"> </v>
      </c>
      <c r="BJ144" s="296" t="str">
        <f t="shared" si="239"/>
        <v xml:space="preserve"> </v>
      </c>
      <c r="BK144" s="296" t="str">
        <f t="shared" si="240"/>
        <v xml:space="preserve"> </v>
      </c>
      <c r="BL144" s="296" t="str">
        <f t="shared" si="241"/>
        <v xml:space="preserve"> </v>
      </c>
      <c r="BM144" s="296" t="str">
        <f t="shared" si="242"/>
        <v xml:space="preserve"> </v>
      </c>
      <c r="BN144" s="405" t="str">
        <f>IF(A144="N/A"," ",(VLOOKUP(A144,PowerVolTable,(IF('Pricing Inputs'!$AT$3=2,7,IF('Pricing Inputs'!$AT$3=1,6,8))),FALSE)))</f>
        <v xml:space="preserve"> </v>
      </c>
      <c r="BO144" s="405" t="str">
        <f>IF(A144="N/A"," ",(VLOOKUP(A144,IntraPowerVol,(IF('Pricing Inputs'!$AT$3=2,3,IF('Pricing Inputs'!$AT$3=1,2,4))),FALSE)*VLOOKUP(MONTH($A144),Inputs!$A$28:$B$39,2)))</f>
        <v xml:space="preserve"> </v>
      </c>
      <c r="BP144" s="406" t="str">
        <f t="shared" si="227"/>
        <v xml:space="preserve"> </v>
      </c>
      <c r="BQ144" s="405" t="str">
        <f>IF($A144="N/A"," ",(VLOOKUP($A144,GasVolTable,(IF('Pricing Inputs'!$AT$3=2,6,IF('Pricing Inputs'!$AT$3=1,7,5))),FALSE)))</f>
        <v xml:space="preserve"> </v>
      </c>
      <c r="BR144" s="405" t="str">
        <f>IF($A144="N/A"," ",(VLOOKUP($A144,OmicronVol,(IF('Pricing Inputs'!$AT$3=2,3,IF('Pricing Inputs'!$AT$3=1,4,2))),FALSE)))</f>
        <v xml:space="preserve"> </v>
      </c>
      <c r="BS144" s="406" t="str">
        <f>IF($A144="N/A"," ",IF('Pricing Inputs'!$AN$3=1,(IF(DateToday&gt;$A144,$BR144,((($BQ144^2)*((($A144-1)-DateToday)/((EOMONTH($A144,0)+1)-DateToday-15)))+((($BR144)^2)*((15)/((EOMONTH($A144,0)+1)-DateToday-15))))^0.5)),0.0001))</f>
        <v xml:space="preserve"> </v>
      </c>
      <c r="BT144" s="405" t="str">
        <f>IF($A144="N/A"," ",IF('Pricing Inputs'!$AN$3=1,(VLOOKUP($A144,CorrelationTable,2,FALSE)),0))</f>
        <v xml:space="preserve"> </v>
      </c>
      <c r="BU144" s="407" t="str">
        <f>IF($A144="N/A"," ",F144+G144+(D144*(VLOOKUP($A144,'Gas Curves'!$B$17:$P$310,14,FALSE))))</f>
        <v xml:space="preserve"> </v>
      </c>
      <c r="BV144" s="405" t="str">
        <f>IF($A144="N/A"," ",IF('Pricing Inputs'!$AW$3=1,0,(VLOOKUP($A144,InterestRatesTable,2))))</f>
        <v xml:space="preserve"> </v>
      </c>
      <c r="BW144" s="408" t="str">
        <f t="shared" si="228"/>
        <v xml:space="preserve"> </v>
      </c>
    </row>
    <row r="145" spans="1:75">
      <c r="A145" s="248" t="str">
        <f>IF(A144="N/A","N/A",IF(EDATE(A144,1)&gt;Inputs!$K$3,"N/A",EDATE(A144,1)))</f>
        <v>N/A</v>
      </c>
      <c r="B145" s="262" t="str">
        <f t="shared" si="229"/>
        <v xml:space="preserve"> </v>
      </c>
      <c r="C145" s="249" t="str">
        <f t="shared" si="230"/>
        <v xml:space="preserve"> </v>
      </c>
      <c r="D145" s="250" t="str">
        <f>IF(A145="N/A"," ",(VLOOKUP(MONTH($A145),Inputs!$A$14:$B$25,2))/1000)</f>
        <v xml:space="preserve"> </v>
      </c>
      <c r="E145" s="304" t="str">
        <f t="shared" si="231"/>
        <v xml:space="preserve"> </v>
      </c>
      <c r="F145" s="251" t="str">
        <f>IF(A145="N/A"," ",Inputs!$F$6)</f>
        <v xml:space="preserve"> </v>
      </c>
      <c r="G145" s="251" t="str">
        <f>IF(A145="N/A"," ",Inputs!$F$9/IF(AND('Pricing Inputs'!$AQ$3&gt;=4,'Pricing Inputs'!$AQ$3&lt;=6),16,IF(AND('Pricing Inputs'!$AQ$3&gt;=7,'Pricing Inputs'!$AQ$3&lt;=9),8,24))/(BA145/BW145))</f>
        <v xml:space="preserve"> </v>
      </c>
      <c r="H145" s="252" t="str">
        <f t="shared" si="232"/>
        <v xml:space="preserve"> </v>
      </c>
      <c r="I145" s="255" t="str">
        <f>VLOOKUP(A145,ScaledPrice,(IF(AND('Pricing Inputs'!$AQ$3&gt;=1,'Pricing Inputs'!$AQ$3&lt;=6),2,4)))</f>
        <v xml:space="preserve"> </v>
      </c>
      <c r="J145" s="255" t="str">
        <f>IF(A145="N/A"," ",IF(AND('Pricing Inputs'!$AQ$3&gt;=1,'Pricing Inputs'!$AQ$3&lt;=6),I145,(VLOOKUP(A145,ScaledPrice,2))*(2-(VLOOKUP(A145,ScaledPrice,3)))))</f>
        <v xml:space="preserve"> </v>
      </c>
      <c r="K145" s="255" t="str">
        <f>IF(A145="N/A"," ",IF(OR('Pricing Inputs'!$AQ$3=2,'Pricing Inputs'!$AQ$3=3,'Pricing Inputs'!$AQ$3=5,'Pricing Inputs'!$AQ$3=6,'Pricing Inputs'!$AQ$3=8,'Pricing Inputs'!$AQ$3=9),VLOOKUP(A145,ScaledPrice,IF(AND('Pricing Inputs'!$AQ$3&gt;=2,'Pricing Inputs'!$AQ$3&lt;=6),5,6)),0))</f>
        <v xml:space="preserve"> </v>
      </c>
      <c r="L145" s="255" t="str">
        <f>IF(A145="N/A"," ",IF(OR('Pricing Inputs'!$AQ$3=2,'Pricing Inputs'!$AQ$3=3,'Pricing Inputs'!$AQ$3=5,'Pricing Inputs'!$AQ$3=6,'Pricing Inputs'!$AQ$3=8,'Pricing Inputs'!$AQ$3=9),IF(AND('Pricing Inputs'!$AQ$3&gt;=2,'Pricing Inputs'!$AQ$3&lt;=6),K145,(VLOOKUP(A145,ScaledPrice,5))*(2-(VLOOKUP(A145,ScaledPrice,3)))),0))</f>
        <v xml:space="preserve"> </v>
      </c>
      <c r="M145" s="255" t="str">
        <f>IF(A145="N/A"," ",IF(OR('Pricing Inputs'!$AQ$3=3,'Pricing Inputs'!$AQ$3=6,'Pricing Inputs'!$AQ$3=9),(VLOOKUP(A145,ScaledPrice,IF(AND('Pricing Inputs'!$AQ$3&gt;=3,'Pricing Inputs'!$AQ$3&lt;=6),7,8))),0))</f>
        <v xml:space="preserve"> </v>
      </c>
      <c r="N145" s="255" t="str">
        <f>IF(A145="N/A"," ",IF(OR('Pricing Inputs'!$AQ$3=3,'Pricing Inputs'!$AQ$3=6,'Pricing Inputs'!$AQ$3=9),IF(AND('Pricing Inputs'!$AQ$3&gt;=3,'Pricing Inputs'!$AQ$3&lt;=6),M145,(VLOOKUP(A145,ScaledPrice,7))*(2-(VLOOKUP(A145,ScaledPrice,3)))),0))</f>
        <v xml:space="preserve"> </v>
      </c>
      <c r="O145" s="255" t="str">
        <f>IF(A145="N/A"," ",IF(AND('Pricing Inputs'!$AQ$3&gt;=1,'Pricing Inputs'!$AQ$3&lt;=3),VLOOKUP(A145,ScaledPrice,9),0))</f>
        <v xml:space="preserve"> </v>
      </c>
      <c r="P145" s="320" t="str">
        <f>IF($A145="N/A"," ",IF('Pricing Inputs'!$AN$8=2,(I145-H145),IF('Pricing Inputs'!$AN$3=2,IF((I145-$H145)&gt;0,I145-$H145,0),(_xll.xSPRDOPT(I145,$E145,$BU145,0,$BP145,$BS145,$BT145,($A145-Inputs!$D$1)+15,1,0)))))</f>
        <v xml:space="preserve"> </v>
      </c>
      <c r="Q145" s="320" t="str">
        <f>IF($A145="N/A"," ",IF('Pricing Inputs'!$AN$8=2,(J145-$H145),IF('Pricing Inputs'!$AN$3=2,IF((J145-$H145)&gt;0,J145-$H145,0),(_xll.xSPRDOPT(J145,$E145,$BU145,0,$BP145,$BS145,$BT145,($A145-Inputs!$D$1)+15,1,0)))))</f>
        <v xml:space="preserve"> </v>
      </c>
      <c r="R145" s="320" t="str">
        <f>IF($A145="N/A"," ",IF('Pricing Inputs'!$AN$8=2,(K145-$H145),IF('Pricing Inputs'!$AN$3=2,IF((K145-$H145)&gt;0,K145-$H145,0),(_xll.xSPRDOPT(K145,$E145,$BU145,0,$BP145,$BS145,$BT145,($A145-Inputs!$D$1)+15,1,0)))))</f>
        <v xml:space="preserve"> </v>
      </c>
      <c r="S145" s="320" t="str">
        <f>IF($A145="N/A"," ",IF('Pricing Inputs'!$AN$8=2,(L145-$H145),IF('Pricing Inputs'!$AN$3=2,IF((L145-$H145)&gt;0,L145-$H145,0),(_xll.xSPRDOPT(L145,$E145,$BU145,0,$BP145,$BS145,$BT145,($A145-Inputs!$D$1)+15,1,0)))))</f>
        <v xml:space="preserve"> </v>
      </c>
      <c r="T145" s="320" t="str">
        <f>IF($A145="N/A"," ",IF('Pricing Inputs'!$AN$8=2,(M145-$H145),IF('Pricing Inputs'!$AN$3=2,IF((M145-$H145)&gt;0,M145-$H145,0),(_xll.xSPRDOPT(M145,$E145,$BU145,0,$BP145,$BS145,$BT145,($A145-Inputs!$D$1)+15,1,0)))))</f>
        <v xml:space="preserve"> </v>
      </c>
      <c r="U145" s="320" t="str">
        <f>IF($A145="N/A"," ",IF('Pricing Inputs'!$AN$8=2,(N145-$H145),IF('Pricing Inputs'!$AN$3=2,IF((N145-$H145)&gt;0,N145-$H145,0),(_xll.xSPRDOPT(N145,$E145,$BU145,0,$BP145,$BS145,$BT145,($A145-Inputs!$D$1)+15,1,0)))))</f>
        <v xml:space="preserve"> </v>
      </c>
      <c r="V145" s="259" t="str">
        <f>IF($A145="N/A"," ",(IF('Pricing Inputs'!$AN$8=2,(O145-$H145),IF((O145-$H145)&lt;=0,0,(O145-$H145)))))</f>
        <v xml:space="preserve"> </v>
      </c>
      <c r="W145" s="306" t="str">
        <f>IF($A145="N/A"," ",IF(0&lt;&gt;P145,IF('Pricing Inputs'!$AN$3=2,8*VLOOKUP($A145,NumberofDaysTable,2),(_xll.xSPRDOPT(I145,$E145,$BU145,0,$BP145,$BS145,$BT145,$A145-Inputs!$D$1,1,1))*(8*VLOOKUP($A145,NumberofDaysTable,2))),0))</f>
        <v xml:space="preserve"> </v>
      </c>
      <c r="X145" s="306" t="str">
        <f>IF($A145="N/A"," ",IF(Q145&lt;&gt;0,IF('Pricing Inputs'!$AN$3=2,8*VLOOKUP($A145,NumberofDaysTable,2),(_xll.xSPRDOPT(J145,$E145,$BU145,0,$BP145,$BS145,$BT145,$A145-Inputs!$D$1,1,1))*(8*VLOOKUP($A145,NumberofDaysTable,2))),0))</f>
        <v xml:space="preserve"> </v>
      </c>
      <c r="Y145" s="306" t="str">
        <f>IF($A145="N/A"," ",IF(R145&lt;&gt;0,IF('Pricing Inputs'!$AN$3=2,8*VLOOKUP($A145,NumberofDaysTable,3),(_xll.xSPRDOPT(K145,$E145,$BU145,0,$BP145,$BS145,$BT145,$A145-Inputs!$D$1,1,1))*(8*VLOOKUP($A145,NumberofDaysTable,3))),0))</f>
        <v xml:space="preserve"> </v>
      </c>
      <c r="Z145" s="306" t="str">
        <f>IF($A145="N/A"," ",IF(S145&lt;&gt;0,IF('Pricing Inputs'!$AN$3=2,8*VLOOKUP($A145,NumberofDaysTable,3),(_xll.xSPRDOPT(L145,$E145,$BU145,0,$BP145,$BS145,$BT145,$A145-Inputs!$D$1,1,1))*(8*VLOOKUP($A145,NumberofDaysTable,3))),0))</f>
        <v xml:space="preserve"> </v>
      </c>
      <c r="AA145" s="306" t="str">
        <f>IF($A145="N/A"," ",IF(T145&lt;&gt;0,IF('Pricing Inputs'!$AN$3=2,8*VLOOKUP($A145,NumberofDaysTable,4),(_xll.xSPRDOPT(M145,$E145,$BU145,0,$BP145,$BS145,$BT145,$A145-Inputs!$D$1,1,1))*(8*VLOOKUP($A145,NumberofDaysTable,4))),0))</f>
        <v xml:space="preserve"> </v>
      </c>
      <c r="AB145" s="306" t="str">
        <f>IF($A145="N/A"," ",IF(U145&lt;&gt;0,IF('Pricing Inputs'!$AN$3=2,8*VLOOKUP($A145,NumberofDaysTable,4),(_xll.xSPRDOPT(N145,$E145,$BU145,0,$BP145,$BS145,$BT145,$A145-Inputs!$D$1,1,1))*(8*VLOOKUP($A145,NumberofDaysTable,4))),0))</f>
        <v xml:space="preserve"> </v>
      </c>
      <c r="AC145" s="306" t="str">
        <f t="shared" si="233"/>
        <v xml:space="preserve"> </v>
      </c>
      <c r="AD145" s="274" t="str">
        <f t="shared" si="251"/>
        <v xml:space="preserve"> </v>
      </c>
      <c r="AE145" s="275" t="str">
        <f t="shared" si="252"/>
        <v xml:space="preserve"> </v>
      </c>
      <c r="AF145" s="275" t="str">
        <f t="shared" si="253"/>
        <v xml:space="preserve"> </v>
      </c>
      <c r="AG145" s="275" t="str">
        <f t="shared" si="254"/>
        <v xml:space="preserve"> </v>
      </c>
      <c r="AH145" s="275" t="str">
        <f t="shared" si="255"/>
        <v xml:space="preserve"> </v>
      </c>
      <c r="AI145" s="275" t="str">
        <f t="shared" si="256"/>
        <v xml:space="preserve"> </v>
      </c>
      <c r="AJ145" s="276" t="str">
        <f t="shared" si="257"/>
        <v xml:space="preserve"> </v>
      </c>
      <c r="AK145" s="314" t="str">
        <f t="shared" si="259"/>
        <v xml:space="preserve"> </v>
      </c>
      <c r="AL145" s="315" t="str">
        <f t="shared" si="260"/>
        <v xml:space="preserve"> </v>
      </c>
      <c r="AM145" s="315" t="str">
        <f t="shared" si="261"/>
        <v xml:space="preserve"> </v>
      </c>
      <c r="AN145" s="315" t="str">
        <f t="shared" si="262"/>
        <v xml:space="preserve"> </v>
      </c>
      <c r="AO145" s="315" t="str">
        <f t="shared" si="263"/>
        <v xml:space="preserve"> </v>
      </c>
      <c r="AP145" s="315" t="str">
        <f t="shared" si="264"/>
        <v xml:space="preserve"> </v>
      </c>
      <c r="AQ145" s="315" t="str">
        <f t="shared" si="265"/>
        <v xml:space="preserve"> </v>
      </c>
      <c r="AR145" s="284" t="s">
        <v>1292</v>
      </c>
      <c r="AS145" s="321" t="str">
        <f t="shared" si="244"/>
        <v xml:space="preserve"> </v>
      </c>
      <c r="AT145" s="324" t="str">
        <f t="shared" si="245"/>
        <v xml:space="preserve"> </v>
      </c>
      <c r="AU145" s="324" t="str">
        <f t="shared" si="246"/>
        <v xml:space="preserve"> </v>
      </c>
      <c r="AV145" s="324" t="str">
        <f t="shared" si="247"/>
        <v xml:space="preserve"> </v>
      </c>
      <c r="AW145" s="324" t="str">
        <f t="shared" si="248"/>
        <v xml:space="preserve"> </v>
      </c>
      <c r="AX145" s="324" t="str">
        <f t="shared" si="249"/>
        <v xml:space="preserve"> </v>
      </c>
      <c r="AY145" s="324" t="str">
        <f t="shared" si="250"/>
        <v xml:space="preserve"> </v>
      </c>
      <c r="AZ145" s="283" t="s">
        <v>1304</v>
      </c>
      <c r="BA145" s="267" t="str">
        <f>IF($A145="N/A"," ",(IF(MONTH(A145)&gt;=4,IF(MONTH(A145)&lt;=10,Inputs!$F$13,Inputs!$F$14),Inputs!$F$14))*$BW145)</f>
        <v xml:space="preserve"> </v>
      </c>
      <c r="BB145" s="268" t="str">
        <f t="shared" ref="BB145:BB208" si="266">IF($A145="N/A"," ",(IF(AK145&gt;0,($BA145*(8*(VLOOKUP($A145,NumberofDaysTable,2)))*P145),0)+IF(AS145&gt;0,($BA145*((AS145))*P145),0)))</f>
        <v xml:space="preserve"> </v>
      </c>
      <c r="BC145" s="268" t="str">
        <f t="shared" ref="BC145:BC208" si="267">IF($A145="N/A"," ",(IF(AL145&gt;0,($BA145*(8*(VLOOKUP($A145,NumberofDaysTable,2)))*Q145),0)+IF(AT145&gt;0,($BA145*((AT145))*Q145),0)))</f>
        <v xml:space="preserve"> </v>
      </c>
      <c r="BD145" s="268" t="str">
        <f t="shared" si="234"/>
        <v xml:space="preserve"> </v>
      </c>
      <c r="BE145" s="268" t="str">
        <f t="shared" si="235"/>
        <v xml:space="preserve"> </v>
      </c>
      <c r="BF145" s="268" t="str">
        <f t="shared" si="236"/>
        <v xml:space="preserve"> </v>
      </c>
      <c r="BG145" s="268" t="str">
        <f t="shared" si="237"/>
        <v xml:space="preserve"> </v>
      </c>
      <c r="BH145" s="268" t="str">
        <f t="shared" si="258"/>
        <v xml:space="preserve"> </v>
      </c>
      <c r="BI145" s="268" t="str">
        <f t="shared" si="238"/>
        <v xml:space="preserve"> </v>
      </c>
      <c r="BJ145" s="296" t="str">
        <f t="shared" si="239"/>
        <v xml:space="preserve"> </v>
      </c>
      <c r="BK145" s="296" t="str">
        <f t="shared" si="240"/>
        <v xml:space="preserve"> </v>
      </c>
      <c r="BL145" s="296" t="str">
        <f t="shared" si="241"/>
        <v xml:space="preserve"> </v>
      </c>
      <c r="BM145" s="296" t="str">
        <f t="shared" si="242"/>
        <v xml:space="preserve"> </v>
      </c>
      <c r="BN145" s="405" t="str">
        <f>IF(A145="N/A"," ",(VLOOKUP(A145,PowerVolTable,(IF('Pricing Inputs'!$AT$3=2,7,IF('Pricing Inputs'!$AT$3=1,6,8))),FALSE)))</f>
        <v xml:space="preserve"> </v>
      </c>
      <c r="BO145" s="405" t="str">
        <f>IF(A145="N/A"," ",(VLOOKUP(A145,IntraPowerVol,(IF('Pricing Inputs'!$AT$3=2,3,IF('Pricing Inputs'!$AT$3=1,2,4))),FALSE)*VLOOKUP(MONTH($A145),Inputs!$A$28:$B$39,2)))</f>
        <v xml:space="preserve"> </v>
      </c>
      <c r="BP145" s="406" t="str">
        <f t="shared" si="227"/>
        <v xml:space="preserve"> </v>
      </c>
      <c r="BQ145" s="405" t="str">
        <f>IF($A145="N/A"," ",(VLOOKUP($A145,GasVolTable,(IF('Pricing Inputs'!$AT$3=2,6,IF('Pricing Inputs'!$AT$3=1,7,5))),FALSE)))</f>
        <v xml:space="preserve"> </v>
      </c>
      <c r="BR145" s="405" t="str">
        <f>IF($A145="N/A"," ",(VLOOKUP($A145,OmicronVol,(IF('Pricing Inputs'!$AT$3=2,3,IF('Pricing Inputs'!$AT$3=1,4,2))),FALSE)))</f>
        <v xml:space="preserve"> </v>
      </c>
      <c r="BS145" s="406" t="str">
        <f>IF($A145="N/A"," ",IF('Pricing Inputs'!$AN$3=1,(IF(DateToday&gt;$A145,$BR145,((($BQ145^2)*((($A145-1)-DateToday)/((EOMONTH($A145,0)+1)-DateToday-15)))+((($BR145)^2)*((15)/((EOMONTH($A145,0)+1)-DateToday-15))))^0.5)),0.0001))</f>
        <v xml:space="preserve"> </v>
      </c>
      <c r="BT145" s="405" t="str">
        <f>IF($A145="N/A"," ",IF('Pricing Inputs'!$AN$3=1,(VLOOKUP($A145,CorrelationTable,2,FALSE)),0))</f>
        <v xml:space="preserve"> </v>
      </c>
      <c r="BU145" s="407" t="str">
        <f>IF($A145="N/A"," ",F145+G145+(D145*(VLOOKUP($A145,'Gas Curves'!$B$17:$P$310,14,FALSE))))</f>
        <v xml:space="preserve"> </v>
      </c>
      <c r="BV145" s="405" t="str">
        <f>IF($A145="N/A"," ",IF('Pricing Inputs'!$AW$3=1,0,(VLOOKUP($A145,InterestRatesTable,2))))</f>
        <v xml:space="preserve"> </v>
      </c>
      <c r="BW145" s="408" t="str">
        <f t="shared" si="228"/>
        <v xml:space="preserve"> </v>
      </c>
    </row>
    <row r="146" spans="1:75">
      <c r="A146" s="248" t="str">
        <f>IF(A145="N/A","N/A",IF(EDATE(A145,1)&gt;Inputs!$K$3,"N/A",EDATE(A145,1)))</f>
        <v>N/A</v>
      </c>
      <c r="B146" s="262" t="str">
        <f t="shared" si="229"/>
        <v xml:space="preserve"> </v>
      </c>
      <c r="C146" s="249" t="str">
        <f t="shared" si="230"/>
        <v xml:space="preserve"> </v>
      </c>
      <c r="D146" s="250" t="str">
        <f>IF(A146="N/A"," ",(VLOOKUP(MONTH($A146),Inputs!$A$14:$B$25,2))/1000)</f>
        <v xml:space="preserve"> </v>
      </c>
      <c r="E146" s="304" t="str">
        <f t="shared" si="231"/>
        <v xml:space="preserve"> </v>
      </c>
      <c r="F146" s="251" t="str">
        <f>IF(A146="N/A"," ",Inputs!$F$6)</f>
        <v xml:space="preserve"> </v>
      </c>
      <c r="G146" s="251" t="str">
        <f>IF(A146="N/A"," ",Inputs!$F$9/IF(AND('Pricing Inputs'!$AQ$3&gt;=4,'Pricing Inputs'!$AQ$3&lt;=6),16,IF(AND('Pricing Inputs'!$AQ$3&gt;=7,'Pricing Inputs'!$AQ$3&lt;=9),8,24))/(BA146/BW146))</f>
        <v xml:space="preserve"> </v>
      </c>
      <c r="H146" s="252" t="str">
        <f t="shared" si="232"/>
        <v xml:space="preserve"> </v>
      </c>
      <c r="I146" s="255" t="str">
        <f>VLOOKUP(A146,ScaledPrice,(IF(AND('Pricing Inputs'!$AQ$3&gt;=1,'Pricing Inputs'!$AQ$3&lt;=6),2,4)))</f>
        <v xml:space="preserve"> </v>
      </c>
      <c r="J146" s="255" t="str">
        <f>IF(A146="N/A"," ",IF(AND('Pricing Inputs'!$AQ$3&gt;=1,'Pricing Inputs'!$AQ$3&lt;=6),I146,(VLOOKUP(A146,ScaledPrice,2))*(2-(VLOOKUP(A146,ScaledPrice,3)))))</f>
        <v xml:space="preserve"> </v>
      </c>
      <c r="K146" s="255" t="str">
        <f>IF(A146="N/A"," ",IF(OR('Pricing Inputs'!$AQ$3=2,'Pricing Inputs'!$AQ$3=3,'Pricing Inputs'!$AQ$3=5,'Pricing Inputs'!$AQ$3=6,'Pricing Inputs'!$AQ$3=8,'Pricing Inputs'!$AQ$3=9),VLOOKUP(A146,ScaledPrice,IF(AND('Pricing Inputs'!$AQ$3&gt;=2,'Pricing Inputs'!$AQ$3&lt;=6),5,6)),0))</f>
        <v xml:space="preserve"> </v>
      </c>
      <c r="L146" s="255" t="str">
        <f>IF(A146="N/A"," ",IF(OR('Pricing Inputs'!$AQ$3=2,'Pricing Inputs'!$AQ$3=3,'Pricing Inputs'!$AQ$3=5,'Pricing Inputs'!$AQ$3=6,'Pricing Inputs'!$AQ$3=8,'Pricing Inputs'!$AQ$3=9),IF(AND('Pricing Inputs'!$AQ$3&gt;=2,'Pricing Inputs'!$AQ$3&lt;=6),K146,(VLOOKUP(A146,ScaledPrice,5))*(2-(VLOOKUP(A146,ScaledPrice,3)))),0))</f>
        <v xml:space="preserve"> </v>
      </c>
      <c r="M146" s="255" t="str">
        <f>IF(A146="N/A"," ",IF(OR('Pricing Inputs'!$AQ$3=3,'Pricing Inputs'!$AQ$3=6,'Pricing Inputs'!$AQ$3=9),(VLOOKUP(A146,ScaledPrice,IF(AND('Pricing Inputs'!$AQ$3&gt;=3,'Pricing Inputs'!$AQ$3&lt;=6),7,8))),0))</f>
        <v xml:space="preserve"> </v>
      </c>
      <c r="N146" s="255" t="str">
        <f>IF(A146="N/A"," ",IF(OR('Pricing Inputs'!$AQ$3=3,'Pricing Inputs'!$AQ$3=6,'Pricing Inputs'!$AQ$3=9),IF(AND('Pricing Inputs'!$AQ$3&gt;=3,'Pricing Inputs'!$AQ$3&lt;=6),M146,(VLOOKUP(A146,ScaledPrice,7))*(2-(VLOOKUP(A146,ScaledPrice,3)))),0))</f>
        <v xml:space="preserve"> </v>
      </c>
      <c r="O146" s="255" t="str">
        <f>IF(A146="N/A"," ",IF(AND('Pricing Inputs'!$AQ$3&gt;=1,'Pricing Inputs'!$AQ$3&lt;=3),VLOOKUP(A146,ScaledPrice,9),0))</f>
        <v xml:space="preserve"> </v>
      </c>
      <c r="P146" s="320" t="str">
        <f>IF($A146="N/A"," ",IF('Pricing Inputs'!$AN$8=2,(I146-H146),IF('Pricing Inputs'!$AN$3=2,IF((I146-$H146)&gt;0,I146-$H146,0),(_xll.xSPRDOPT(I146,$E146,$BU146,0,$BP146,$BS146,$BT146,($A146-Inputs!$D$1)+15,1,0)))))</f>
        <v xml:space="preserve"> </v>
      </c>
      <c r="Q146" s="320" t="str">
        <f>IF($A146="N/A"," ",IF('Pricing Inputs'!$AN$8=2,(J146-$H146),IF('Pricing Inputs'!$AN$3=2,IF((J146-$H146)&gt;0,J146-$H146,0),(_xll.xSPRDOPT(J146,$E146,$BU146,0,$BP146,$BS146,$BT146,($A146-Inputs!$D$1)+15,1,0)))))</f>
        <v xml:space="preserve"> </v>
      </c>
      <c r="R146" s="320" t="str">
        <f>IF($A146="N/A"," ",IF('Pricing Inputs'!$AN$8=2,(K146-$H146),IF('Pricing Inputs'!$AN$3=2,IF((K146-$H146)&gt;0,K146-$H146,0),(_xll.xSPRDOPT(K146,$E146,$BU146,0,$BP146,$BS146,$BT146,($A146-Inputs!$D$1)+15,1,0)))))</f>
        <v xml:space="preserve"> </v>
      </c>
      <c r="S146" s="320" t="str">
        <f>IF($A146="N/A"," ",IF('Pricing Inputs'!$AN$8=2,(L146-$H146),IF('Pricing Inputs'!$AN$3=2,IF((L146-$H146)&gt;0,L146-$H146,0),(_xll.xSPRDOPT(L146,$E146,$BU146,0,$BP146,$BS146,$BT146,($A146-Inputs!$D$1)+15,1,0)))))</f>
        <v xml:space="preserve"> </v>
      </c>
      <c r="T146" s="320" t="str">
        <f>IF($A146="N/A"," ",IF('Pricing Inputs'!$AN$8=2,(M146-$H146),IF('Pricing Inputs'!$AN$3=2,IF((M146-$H146)&gt;0,M146-$H146,0),(_xll.xSPRDOPT(M146,$E146,$BU146,0,$BP146,$BS146,$BT146,($A146-Inputs!$D$1)+15,1,0)))))</f>
        <v xml:space="preserve"> </v>
      </c>
      <c r="U146" s="320" t="str">
        <f>IF($A146="N/A"," ",IF('Pricing Inputs'!$AN$8=2,(N146-$H146),IF('Pricing Inputs'!$AN$3=2,IF((N146-$H146)&gt;0,N146-$H146,0),(_xll.xSPRDOPT(N146,$E146,$BU146,0,$BP146,$BS146,$BT146,($A146-Inputs!$D$1)+15,1,0)))))</f>
        <v xml:space="preserve"> </v>
      </c>
      <c r="V146" s="259" t="str">
        <f>IF($A146="N/A"," ",(IF('Pricing Inputs'!$AN$8=2,(O146-$H146),IF((O146-$H146)&lt;=0,0,(O146-$H146)))))</f>
        <v xml:space="preserve"> </v>
      </c>
      <c r="W146" s="306" t="str">
        <f>IF($A146="N/A"," ",IF(0&lt;&gt;P146,IF('Pricing Inputs'!$AN$3=2,8*VLOOKUP($A146,NumberofDaysTable,2),(_xll.xSPRDOPT(I146,$E146,$BU146,0,$BP146,$BS146,$BT146,$A146-Inputs!$D$1,1,1))*(8*VLOOKUP($A146,NumberofDaysTable,2))),0))</f>
        <v xml:space="preserve"> </v>
      </c>
      <c r="X146" s="306" t="str">
        <f>IF($A146="N/A"," ",IF(Q146&lt;&gt;0,IF('Pricing Inputs'!$AN$3=2,8*VLOOKUP($A146,NumberofDaysTable,2),(_xll.xSPRDOPT(J146,$E146,$BU146,0,$BP146,$BS146,$BT146,$A146-Inputs!$D$1,1,1))*(8*VLOOKUP($A146,NumberofDaysTable,2))),0))</f>
        <v xml:space="preserve"> </v>
      </c>
      <c r="Y146" s="306" t="str">
        <f>IF($A146="N/A"," ",IF(R146&lt;&gt;0,IF('Pricing Inputs'!$AN$3=2,8*VLOOKUP($A146,NumberofDaysTable,3),(_xll.xSPRDOPT(K146,$E146,$BU146,0,$BP146,$BS146,$BT146,$A146-Inputs!$D$1,1,1))*(8*VLOOKUP($A146,NumberofDaysTable,3))),0))</f>
        <v xml:space="preserve"> </v>
      </c>
      <c r="Z146" s="306" t="str">
        <f>IF($A146="N/A"," ",IF(S146&lt;&gt;0,IF('Pricing Inputs'!$AN$3=2,8*VLOOKUP($A146,NumberofDaysTable,3),(_xll.xSPRDOPT(L146,$E146,$BU146,0,$BP146,$BS146,$BT146,$A146-Inputs!$D$1,1,1))*(8*VLOOKUP($A146,NumberofDaysTable,3))),0))</f>
        <v xml:space="preserve"> </v>
      </c>
      <c r="AA146" s="306" t="str">
        <f>IF($A146="N/A"," ",IF(T146&lt;&gt;0,IF('Pricing Inputs'!$AN$3=2,8*VLOOKUP($A146,NumberofDaysTable,4),(_xll.xSPRDOPT(M146,$E146,$BU146,0,$BP146,$BS146,$BT146,$A146-Inputs!$D$1,1,1))*(8*VLOOKUP($A146,NumberofDaysTable,4))),0))</f>
        <v xml:space="preserve"> </v>
      </c>
      <c r="AB146" s="306" t="str">
        <f>IF($A146="N/A"," ",IF(U146&lt;&gt;0,IF('Pricing Inputs'!$AN$3=2,8*VLOOKUP($A146,NumberofDaysTable,4),(_xll.xSPRDOPT(N146,$E146,$BU146,0,$BP146,$BS146,$BT146,$A146-Inputs!$D$1,1,1))*(8*VLOOKUP($A146,NumberofDaysTable,4))),0))</f>
        <v xml:space="preserve"> </v>
      </c>
      <c r="AC146" s="306" t="str">
        <f t="shared" si="233"/>
        <v xml:space="preserve"> </v>
      </c>
      <c r="AD146" s="274" t="str">
        <f t="shared" si="251"/>
        <v xml:space="preserve"> </v>
      </c>
      <c r="AE146" s="275" t="str">
        <f t="shared" si="252"/>
        <v xml:space="preserve"> </v>
      </c>
      <c r="AF146" s="275" t="str">
        <f t="shared" si="253"/>
        <v xml:space="preserve"> </v>
      </c>
      <c r="AG146" s="275" t="str">
        <f t="shared" si="254"/>
        <v xml:space="preserve"> </v>
      </c>
      <c r="AH146" s="275" t="str">
        <f t="shared" si="255"/>
        <v xml:space="preserve"> </v>
      </c>
      <c r="AI146" s="275" t="str">
        <f t="shared" si="256"/>
        <v xml:space="preserve"> </v>
      </c>
      <c r="AJ146" s="276" t="str">
        <f t="shared" si="257"/>
        <v xml:space="preserve"> </v>
      </c>
      <c r="AK146" s="314" t="str">
        <f t="shared" si="259"/>
        <v xml:space="preserve"> </v>
      </c>
      <c r="AL146" s="315" t="str">
        <f t="shared" si="260"/>
        <v xml:space="preserve"> </v>
      </c>
      <c r="AM146" s="315" t="str">
        <f t="shared" si="261"/>
        <v xml:space="preserve"> </v>
      </c>
      <c r="AN146" s="315" t="str">
        <f t="shared" si="262"/>
        <v xml:space="preserve"> </v>
      </c>
      <c r="AO146" s="315" t="str">
        <f t="shared" si="263"/>
        <v xml:space="preserve"> </v>
      </c>
      <c r="AP146" s="315" t="str">
        <f t="shared" si="264"/>
        <v xml:space="preserve"> </v>
      </c>
      <c r="AQ146" s="315" t="str">
        <f t="shared" si="265"/>
        <v xml:space="preserve"> </v>
      </c>
      <c r="AR146" s="276">
        <f>SUM(AK136:AQ147)</f>
        <v>0</v>
      </c>
      <c r="AS146" s="321" t="str">
        <f t="shared" si="244"/>
        <v xml:space="preserve"> </v>
      </c>
      <c r="AT146" s="324" t="str">
        <f t="shared" si="245"/>
        <v xml:space="preserve"> </v>
      </c>
      <c r="AU146" s="324" t="str">
        <f t="shared" si="246"/>
        <v xml:space="preserve"> </v>
      </c>
      <c r="AV146" s="324" t="str">
        <f t="shared" si="247"/>
        <v xml:space="preserve"> </v>
      </c>
      <c r="AW146" s="324" t="str">
        <f t="shared" si="248"/>
        <v xml:space="preserve"> </v>
      </c>
      <c r="AX146" s="324" t="str">
        <f t="shared" si="249"/>
        <v xml:space="preserve"> </v>
      </c>
      <c r="AY146" s="324" t="str">
        <f t="shared" si="250"/>
        <v xml:space="preserve"> </v>
      </c>
      <c r="AZ146" s="276">
        <f>SUM(AS136:AY147)</f>
        <v>0</v>
      </c>
      <c r="BA146" s="267" t="str">
        <f>IF($A146="N/A"," ",(IF(MONTH(A146)&gt;=4,IF(MONTH(A146)&lt;=10,Inputs!$F$13,Inputs!$F$14),Inputs!$F$14))*$BW146)</f>
        <v xml:space="preserve"> </v>
      </c>
      <c r="BB146" s="268" t="str">
        <f t="shared" si="266"/>
        <v xml:space="preserve"> </v>
      </c>
      <c r="BC146" s="268" t="str">
        <f t="shared" si="267"/>
        <v xml:space="preserve"> </v>
      </c>
      <c r="BD146" s="268" t="str">
        <f t="shared" si="234"/>
        <v xml:space="preserve"> </v>
      </c>
      <c r="BE146" s="268" t="str">
        <f t="shared" si="235"/>
        <v xml:space="preserve"> </v>
      </c>
      <c r="BF146" s="268" t="str">
        <f t="shared" si="236"/>
        <v xml:space="preserve"> </v>
      </c>
      <c r="BG146" s="268" t="str">
        <f t="shared" si="237"/>
        <v xml:space="preserve"> </v>
      </c>
      <c r="BH146" s="268" t="str">
        <f t="shared" si="258"/>
        <v xml:space="preserve"> </v>
      </c>
      <c r="BI146" s="268" t="str">
        <f t="shared" si="238"/>
        <v xml:space="preserve"> </v>
      </c>
      <c r="BJ146" s="296" t="str">
        <f t="shared" si="239"/>
        <v xml:space="preserve"> </v>
      </c>
      <c r="BK146" s="296" t="str">
        <f t="shared" si="240"/>
        <v xml:space="preserve"> </v>
      </c>
      <c r="BL146" s="296" t="str">
        <f t="shared" si="241"/>
        <v xml:space="preserve"> </v>
      </c>
      <c r="BM146" s="296" t="str">
        <f t="shared" si="242"/>
        <v xml:space="preserve"> </v>
      </c>
      <c r="BN146" s="405" t="str">
        <f>IF(A146="N/A"," ",(VLOOKUP(A146,PowerVolTable,(IF('Pricing Inputs'!$AT$3=2,7,IF('Pricing Inputs'!$AT$3=1,6,8))),FALSE)))</f>
        <v xml:space="preserve"> </v>
      </c>
      <c r="BO146" s="405" t="str">
        <f>IF(A146="N/A"," ",(VLOOKUP(A146,IntraPowerVol,(IF('Pricing Inputs'!$AT$3=2,3,IF('Pricing Inputs'!$AT$3=1,2,4))),FALSE)*VLOOKUP(MONTH($A146),Inputs!$A$28:$B$39,2)))</f>
        <v xml:space="preserve"> </v>
      </c>
      <c r="BP146" s="406" t="str">
        <f t="shared" si="227"/>
        <v xml:space="preserve"> </v>
      </c>
      <c r="BQ146" s="405" t="str">
        <f>IF($A146="N/A"," ",(VLOOKUP($A146,GasVolTable,(IF('Pricing Inputs'!$AT$3=2,6,IF('Pricing Inputs'!$AT$3=1,7,5))),FALSE)))</f>
        <v xml:space="preserve"> </v>
      </c>
      <c r="BR146" s="405" t="str">
        <f>IF($A146="N/A"," ",(VLOOKUP($A146,OmicronVol,(IF('Pricing Inputs'!$AT$3=2,3,IF('Pricing Inputs'!$AT$3=1,4,2))),FALSE)))</f>
        <v xml:space="preserve"> </v>
      </c>
      <c r="BS146" s="406" t="str">
        <f>IF($A146="N/A"," ",IF('Pricing Inputs'!$AN$3=1,(IF(DateToday&gt;$A146,$BR146,((($BQ146^2)*((($A146-1)-DateToday)/((EOMONTH($A146,0)+1)-DateToday-15)))+((($BR146)^2)*((15)/((EOMONTH($A146,0)+1)-DateToday-15))))^0.5)),0.0001))</f>
        <v xml:space="preserve"> </v>
      </c>
      <c r="BT146" s="405" t="str">
        <f>IF($A146="N/A"," ",IF('Pricing Inputs'!$AN$3=1,(VLOOKUP($A146,CorrelationTable,2,FALSE)),0))</f>
        <v xml:space="preserve"> </v>
      </c>
      <c r="BU146" s="407" t="str">
        <f>IF($A146="N/A"," ",F146+G146+(D146*(VLOOKUP($A146,'Gas Curves'!$B$17:$P$310,14,FALSE))))</f>
        <v xml:space="preserve"> </v>
      </c>
      <c r="BV146" s="405" t="str">
        <f>IF($A146="N/A"," ",IF('Pricing Inputs'!$AW$3=1,0,(VLOOKUP($A146,InterestRatesTable,2))))</f>
        <v xml:space="preserve"> </v>
      </c>
      <c r="BW146" s="408" t="str">
        <f t="shared" si="228"/>
        <v xml:space="preserve"> </v>
      </c>
    </row>
    <row r="147" spans="1:75">
      <c r="A147" s="248" t="str">
        <f>IF(A146="N/A","N/A",IF(EDATE(A146,1)&gt;Inputs!$K$3,"N/A",EDATE(A146,1)))</f>
        <v>N/A</v>
      </c>
      <c r="B147" s="262" t="str">
        <f t="shared" si="229"/>
        <v xml:space="preserve"> </v>
      </c>
      <c r="C147" s="249" t="str">
        <f t="shared" si="230"/>
        <v xml:space="preserve"> </v>
      </c>
      <c r="D147" s="250" t="str">
        <f>IF(A147="N/A"," ",(VLOOKUP(MONTH($A147),Inputs!$A$14:$B$25,2))/1000)</f>
        <v xml:space="preserve"> </v>
      </c>
      <c r="E147" s="304" t="str">
        <f t="shared" si="231"/>
        <v xml:space="preserve"> </v>
      </c>
      <c r="F147" s="251" t="str">
        <f>IF(A147="N/A"," ",Inputs!$F$6)</f>
        <v xml:space="preserve"> </v>
      </c>
      <c r="G147" s="251" t="str">
        <f>IF(A147="N/A"," ",Inputs!$F$9/IF(AND('Pricing Inputs'!$AQ$3&gt;=4,'Pricing Inputs'!$AQ$3&lt;=6),16,IF(AND('Pricing Inputs'!$AQ$3&gt;=7,'Pricing Inputs'!$AQ$3&lt;=9),8,24))/(BA147/BW147))</f>
        <v xml:space="preserve"> </v>
      </c>
      <c r="H147" s="252" t="str">
        <f t="shared" si="232"/>
        <v xml:space="preserve"> </v>
      </c>
      <c r="I147" s="255" t="str">
        <f>VLOOKUP(A147,ScaledPrice,(IF(AND('Pricing Inputs'!$AQ$3&gt;=1,'Pricing Inputs'!$AQ$3&lt;=6),2,4)))</f>
        <v xml:space="preserve"> </v>
      </c>
      <c r="J147" s="255" t="str">
        <f>IF(A147="N/A"," ",IF(AND('Pricing Inputs'!$AQ$3&gt;=1,'Pricing Inputs'!$AQ$3&lt;=6),I147,(VLOOKUP(A147,ScaledPrice,2))*(2-(VLOOKUP(A147,ScaledPrice,3)))))</f>
        <v xml:space="preserve"> </v>
      </c>
      <c r="K147" s="255" t="str">
        <f>IF(A147="N/A"," ",IF(OR('Pricing Inputs'!$AQ$3=2,'Pricing Inputs'!$AQ$3=3,'Pricing Inputs'!$AQ$3=5,'Pricing Inputs'!$AQ$3=6,'Pricing Inputs'!$AQ$3=8,'Pricing Inputs'!$AQ$3=9),VLOOKUP(A147,ScaledPrice,IF(AND('Pricing Inputs'!$AQ$3&gt;=2,'Pricing Inputs'!$AQ$3&lt;=6),5,6)),0))</f>
        <v xml:space="preserve"> </v>
      </c>
      <c r="L147" s="255" t="str">
        <f>IF(A147="N/A"," ",IF(OR('Pricing Inputs'!$AQ$3=2,'Pricing Inputs'!$AQ$3=3,'Pricing Inputs'!$AQ$3=5,'Pricing Inputs'!$AQ$3=6,'Pricing Inputs'!$AQ$3=8,'Pricing Inputs'!$AQ$3=9),IF(AND('Pricing Inputs'!$AQ$3&gt;=2,'Pricing Inputs'!$AQ$3&lt;=6),K147,(VLOOKUP(A147,ScaledPrice,5))*(2-(VLOOKUP(A147,ScaledPrice,3)))),0))</f>
        <v xml:space="preserve"> </v>
      </c>
      <c r="M147" s="255" t="str">
        <f>IF(A147="N/A"," ",IF(OR('Pricing Inputs'!$AQ$3=3,'Pricing Inputs'!$AQ$3=6,'Pricing Inputs'!$AQ$3=9),(VLOOKUP(A147,ScaledPrice,IF(AND('Pricing Inputs'!$AQ$3&gt;=3,'Pricing Inputs'!$AQ$3&lt;=6),7,8))),0))</f>
        <v xml:space="preserve"> </v>
      </c>
      <c r="N147" s="255" t="str">
        <f>IF(A147="N/A"," ",IF(OR('Pricing Inputs'!$AQ$3=3,'Pricing Inputs'!$AQ$3=6,'Pricing Inputs'!$AQ$3=9),IF(AND('Pricing Inputs'!$AQ$3&gt;=3,'Pricing Inputs'!$AQ$3&lt;=6),M147,(VLOOKUP(A147,ScaledPrice,7))*(2-(VLOOKUP(A147,ScaledPrice,3)))),0))</f>
        <v xml:space="preserve"> </v>
      </c>
      <c r="O147" s="255" t="str">
        <f>IF(A147="N/A"," ",IF(AND('Pricing Inputs'!$AQ$3&gt;=1,'Pricing Inputs'!$AQ$3&lt;=3),VLOOKUP(A147,ScaledPrice,9),0))</f>
        <v xml:space="preserve"> </v>
      </c>
      <c r="P147" s="320" t="str">
        <f>IF($A147="N/A"," ",IF('Pricing Inputs'!$AN$8=2,(I147-H147),IF('Pricing Inputs'!$AN$3=2,IF((I147-$H147)&gt;0,I147-$H147,0),(_xll.xSPRDOPT(I147,$E147,$BU147,0,$BP147,$BS147,$BT147,($A147-Inputs!$D$1)+15,1,0)))))</f>
        <v xml:space="preserve"> </v>
      </c>
      <c r="Q147" s="320" t="str">
        <f>IF($A147="N/A"," ",IF('Pricing Inputs'!$AN$8=2,(J147-$H147),IF('Pricing Inputs'!$AN$3=2,IF((J147-$H147)&gt;0,J147-$H147,0),(_xll.xSPRDOPT(J147,$E147,$BU147,0,$BP147,$BS147,$BT147,($A147-Inputs!$D$1)+15,1,0)))))</f>
        <v xml:space="preserve"> </v>
      </c>
      <c r="R147" s="320" t="str">
        <f>IF($A147="N/A"," ",IF('Pricing Inputs'!$AN$8=2,(K147-$H147),IF('Pricing Inputs'!$AN$3=2,IF((K147-$H147)&gt;0,K147-$H147,0),(_xll.xSPRDOPT(K147,$E147,$BU147,0,$BP147,$BS147,$BT147,($A147-Inputs!$D$1)+15,1,0)))))</f>
        <v xml:space="preserve"> </v>
      </c>
      <c r="S147" s="320" t="str">
        <f>IF($A147="N/A"," ",IF('Pricing Inputs'!$AN$8=2,(L147-$H147),IF('Pricing Inputs'!$AN$3=2,IF((L147-$H147)&gt;0,L147-$H147,0),(_xll.xSPRDOPT(L147,$E147,$BU147,0,$BP147,$BS147,$BT147,($A147-Inputs!$D$1)+15,1,0)))))</f>
        <v xml:space="preserve"> </v>
      </c>
      <c r="T147" s="320" t="str">
        <f>IF($A147="N/A"," ",IF('Pricing Inputs'!$AN$8=2,(M147-$H147),IF('Pricing Inputs'!$AN$3=2,IF((M147-$H147)&gt;0,M147-$H147,0),(_xll.xSPRDOPT(M147,$E147,$BU147,0,$BP147,$BS147,$BT147,($A147-Inputs!$D$1)+15,1,0)))))</f>
        <v xml:space="preserve"> </v>
      </c>
      <c r="U147" s="320" t="str">
        <f>IF($A147="N/A"," ",IF('Pricing Inputs'!$AN$8=2,(N147-$H147),IF('Pricing Inputs'!$AN$3=2,IF((N147-$H147)&gt;0,N147-$H147,0),(_xll.xSPRDOPT(N147,$E147,$BU147,0,$BP147,$BS147,$BT147,($A147-Inputs!$D$1)+15,1,0)))))</f>
        <v xml:space="preserve"> </v>
      </c>
      <c r="V147" s="259" t="str">
        <f>IF($A147="N/A"," ",(IF('Pricing Inputs'!$AN$8=2,(O147-$H147),IF((O147-$H147)&lt;=0,0,(O147-$H147)))))</f>
        <v xml:space="preserve"> </v>
      </c>
      <c r="W147" s="306" t="str">
        <f>IF($A147="N/A"," ",IF(0&lt;&gt;P147,IF('Pricing Inputs'!$AN$3=2,8*VLOOKUP($A147,NumberofDaysTable,2),(_xll.xSPRDOPT(I147,$E147,$BU147,0,$BP147,$BS147,$BT147,$A147-Inputs!$D$1,1,1))*(8*VLOOKUP($A147,NumberofDaysTable,2))),0))</f>
        <v xml:space="preserve"> </v>
      </c>
      <c r="X147" s="306" t="str">
        <f>IF($A147="N/A"," ",IF(Q147&lt;&gt;0,IF('Pricing Inputs'!$AN$3=2,8*VLOOKUP($A147,NumberofDaysTable,2),(_xll.xSPRDOPT(J147,$E147,$BU147,0,$BP147,$BS147,$BT147,$A147-Inputs!$D$1,1,1))*(8*VLOOKUP($A147,NumberofDaysTable,2))),0))</f>
        <v xml:space="preserve"> </v>
      </c>
      <c r="Y147" s="306" t="str">
        <f>IF($A147="N/A"," ",IF(R147&lt;&gt;0,IF('Pricing Inputs'!$AN$3=2,8*VLOOKUP($A147,NumberofDaysTable,3),(_xll.xSPRDOPT(K147,$E147,$BU147,0,$BP147,$BS147,$BT147,$A147-Inputs!$D$1,1,1))*(8*VLOOKUP($A147,NumberofDaysTable,3))),0))</f>
        <v xml:space="preserve"> </v>
      </c>
      <c r="Z147" s="306" t="str">
        <f>IF($A147="N/A"," ",IF(S147&lt;&gt;0,IF('Pricing Inputs'!$AN$3=2,8*VLOOKUP($A147,NumberofDaysTable,3),(_xll.xSPRDOPT(L147,$E147,$BU147,0,$BP147,$BS147,$BT147,$A147-Inputs!$D$1,1,1))*(8*VLOOKUP($A147,NumberofDaysTable,3))),0))</f>
        <v xml:space="preserve"> </v>
      </c>
      <c r="AA147" s="306" t="str">
        <f>IF($A147="N/A"," ",IF(T147&lt;&gt;0,IF('Pricing Inputs'!$AN$3=2,8*VLOOKUP($A147,NumberofDaysTable,4),(_xll.xSPRDOPT(M147,$E147,$BU147,0,$BP147,$BS147,$BT147,$A147-Inputs!$D$1,1,1))*(8*VLOOKUP($A147,NumberofDaysTable,4))),0))</f>
        <v xml:space="preserve"> </v>
      </c>
      <c r="AB147" s="306" t="str">
        <f>IF($A147="N/A"," ",IF(U147&lt;&gt;0,IF('Pricing Inputs'!$AN$3=2,8*VLOOKUP($A147,NumberofDaysTable,4),(_xll.xSPRDOPT(N147,$E147,$BU147,0,$BP147,$BS147,$BT147,$A147-Inputs!$D$1,1,1))*(8*VLOOKUP($A147,NumberofDaysTable,4))),0))</f>
        <v xml:space="preserve"> </v>
      </c>
      <c r="AC147" s="306" t="str">
        <f t="shared" si="233"/>
        <v xml:space="preserve"> </v>
      </c>
      <c r="AD147" s="277" t="str">
        <f t="shared" si="251"/>
        <v xml:space="preserve"> </v>
      </c>
      <c r="AE147" s="278" t="str">
        <f t="shared" si="252"/>
        <v xml:space="preserve"> </v>
      </c>
      <c r="AF147" s="278" t="str">
        <f t="shared" si="253"/>
        <v xml:space="preserve"> </v>
      </c>
      <c r="AG147" s="278" t="str">
        <f t="shared" si="254"/>
        <v xml:space="preserve"> </v>
      </c>
      <c r="AH147" s="278" t="str">
        <f t="shared" si="255"/>
        <v xml:space="preserve"> </v>
      </c>
      <c r="AI147" s="278" t="str">
        <f t="shared" si="256"/>
        <v xml:space="preserve"> </v>
      </c>
      <c r="AJ147" s="279" t="str">
        <f t="shared" si="257"/>
        <v xml:space="preserve"> </v>
      </c>
      <c r="AK147" s="316" t="str">
        <f t="shared" si="259"/>
        <v xml:space="preserve"> </v>
      </c>
      <c r="AL147" s="317" t="str">
        <f t="shared" si="260"/>
        <v xml:space="preserve"> </v>
      </c>
      <c r="AM147" s="317" t="str">
        <f t="shared" si="261"/>
        <v xml:space="preserve"> </v>
      </c>
      <c r="AN147" s="317" t="str">
        <f t="shared" si="262"/>
        <v xml:space="preserve"> </v>
      </c>
      <c r="AO147" s="317" t="str">
        <f t="shared" si="263"/>
        <v xml:space="preserve"> </v>
      </c>
      <c r="AP147" s="317" t="str">
        <f t="shared" si="264"/>
        <v xml:space="preserve"> </v>
      </c>
      <c r="AQ147" s="317" t="str">
        <f t="shared" si="265"/>
        <v xml:space="preserve"> </v>
      </c>
      <c r="AR147" s="279">
        <f>IF(($AP$2-AR146)&gt;=0,$AP$2-AR146,0)</f>
        <v>1400</v>
      </c>
      <c r="AS147" s="325" t="str">
        <f t="shared" si="244"/>
        <v xml:space="preserve"> </v>
      </c>
      <c r="AT147" s="326" t="str">
        <f t="shared" si="245"/>
        <v xml:space="preserve"> </v>
      </c>
      <c r="AU147" s="326" t="str">
        <f t="shared" si="246"/>
        <v xml:space="preserve"> </v>
      </c>
      <c r="AV147" s="326" t="str">
        <f t="shared" si="247"/>
        <v xml:space="preserve"> </v>
      </c>
      <c r="AW147" s="326" t="str">
        <f t="shared" si="248"/>
        <v xml:space="preserve"> </v>
      </c>
      <c r="AX147" s="326" t="str">
        <f t="shared" si="249"/>
        <v xml:space="preserve"> </v>
      </c>
      <c r="AY147" s="326" t="str">
        <f t="shared" si="250"/>
        <v xml:space="preserve"> </v>
      </c>
      <c r="AZ147" s="285">
        <f>AR146+AZ146</f>
        <v>0</v>
      </c>
      <c r="BA147" s="267" t="str">
        <f>IF($A147="N/A"," ",(IF(MONTH(A147)&gt;=4,IF(MONTH(A147)&lt;=10,Inputs!$F$13,Inputs!$F$14),Inputs!$F$14))*$BW147)</f>
        <v xml:space="preserve"> </v>
      </c>
      <c r="BB147" s="268" t="str">
        <f t="shared" si="266"/>
        <v xml:space="preserve"> </v>
      </c>
      <c r="BC147" s="268" t="str">
        <f t="shared" si="267"/>
        <v xml:space="preserve"> </v>
      </c>
      <c r="BD147" s="268" t="str">
        <f t="shared" si="234"/>
        <v xml:space="preserve"> </v>
      </c>
      <c r="BE147" s="268" t="str">
        <f t="shared" si="235"/>
        <v xml:space="preserve"> </v>
      </c>
      <c r="BF147" s="268" t="str">
        <f t="shared" si="236"/>
        <v xml:space="preserve"> </v>
      </c>
      <c r="BG147" s="268" t="str">
        <f t="shared" si="237"/>
        <v xml:space="preserve"> </v>
      </c>
      <c r="BH147" s="268" t="str">
        <f t="shared" si="258"/>
        <v xml:space="preserve"> </v>
      </c>
      <c r="BI147" s="268" t="str">
        <f t="shared" si="238"/>
        <v xml:space="preserve"> </v>
      </c>
      <c r="BJ147" s="296" t="str">
        <f t="shared" si="239"/>
        <v xml:space="preserve"> </v>
      </c>
      <c r="BK147" s="296" t="str">
        <f t="shared" si="240"/>
        <v xml:space="preserve"> </v>
      </c>
      <c r="BL147" s="296" t="str">
        <f t="shared" si="241"/>
        <v xml:space="preserve"> </v>
      </c>
      <c r="BM147" s="296" t="str">
        <f t="shared" si="242"/>
        <v xml:space="preserve"> </v>
      </c>
      <c r="BN147" s="405" t="str">
        <f>IF(A147="N/A"," ",(VLOOKUP(A147,PowerVolTable,(IF('Pricing Inputs'!$AT$3=2,7,IF('Pricing Inputs'!$AT$3=1,6,8))),FALSE)))</f>
        <v xml:space="preserve"> </v>
      </c>
      <c r="BO147" s="405" t="str">
        <f>IF(A147="N/A"," ",(VLOOKUP(A147,IntraPowerVol,(IF('Pricing Inputs'!$AT$3=2,3,IF('Pricing Inputs'!$AT$3=1,2,4))),FALSE)*VLOOKUP(MONTH($A147),Inputs!$A$28:$B$39,2)))</f>
        <v xml:space="preserve"> </v>
      </c>
      <c r="BP147" s="406" t="str">
        <f t="shared" si="227"/>
        <v xml:space="preserve"> </v>
      </c>
      <c r="BQ147" s="405" t="str">
        <f>IF($A147="N/A"," ",(VLOOKUP($A147,GasVolTable,(IF('Pricing Inputs'!$AT$3=2,6,IF('Pricing Inputs'!$AT$3=1,7,5))),FALSE)))</f>
        <v xml:space="preserve"> </v>
      </c>
      <c r="BR147" s="405" t="str">
        <f>IF($A147="N/A"," ",(VLOOKUP($A147,OmicronVol,(IF('Pricing Inputs'!$AT$3=2,3,IF('Pricing Inputs'!$AT$3=1,4,2))),FALSE)))</f>
        <v xml:space="preserve"> </v>
      </c>
      <c r="BS147" s="406" t="str">
        <f>IF($A147="N/A"," ",IF('Pricing Inputs'!$AN$3=1,(IF(DateToday&gt;$A147,$BR147,((($BQ147^2)*((($A147-1)-DateToday)/((EOMONTH($A147,0)+1)-DateToday-15)))+((($BR147)^2)*((15)/((EOMONTH($A147,0)+1)-DateToday-15))))^0.5)),0.0001))</f>
        <v xml:space="preserve"> </v>
      </c>
      <c r="BT147" s="405" t="str">
        <f>IF($A147="N/A"," ",IF('Pricing Inputs'!$AN$3=1,(VLOOKUP($A147,CorrelationTable,2,FALSE)),0))</f>
        <v xml:space="preserve"> </v>
      </c>
      <c r="BU147" s="407" t="str">
        <f>IF($A147="N/A"," ",F147+G147+(D147*(VLOOKUP($A147,'Gas Curves'!$B$17:$P$310,14,FALSE))))</f>
        <v xml:space="preserve"> </v>
      </c>
      <c r="BV147" s="405" t="str">
        <f>IF($A147="N/A"," ",IF('Pricing Inputs'!$AW$3=1,0,(VLOOKUP($A147,InterestRatesTable,2))))</f>
        <v xml:space="preserve"> </v>
      </c>
      <c r="BW147" s="408" t="str">
        <f t="shared" si="228"/>
        <v xml:space="preserve"> </v>
      </c>
    </row>
    <row r="148" spans="1:75">
      <c r="A148" s="248" t="str">
        <f>IF(A147="N/A","N/A",IF(EDATE(A147,1)&gt;Inputs!$K$3,"N/A",EDATE(A147,1)))</f>
        <v>N/A</v>
      </c>
      <c r="B148" s="262" t="str">
        <f t="shared" si="229"/>
        <v xml:space="preserve"> </v>
      </c>
      <c r="C148" s="249" t="str">
        <f t="shared" si="230"/>
        <v xml:space="preserve"> </v>
      </c>
      <c r="D148" s="250" t="str">
        <f>IF(A148="N/A"," ",(VLOOKUP(MONTH($A148),Inputs!$A$14:$B$25,2))/1000)</f>
        <v xml:space="preserve"> </v>
      </c>
      <c r="E148" s="304" t="str">
        <f t="shared" si="231"/>
        <v xml:space="preserve"> </v>
      </c>
      <c r="F148" s="251" t="str">
        <f>IF(A148="N/A"," ",Inputs!$F$6)</f>
        <v xml:space="preserve"> </v>
      </c>
      <c r="G148" s="251" t="str">
        <f>IF(A148="N/A"," ",Inputs!$F$9/IF(AND('Pricing Inputs'!$AQ$3&gt;=4,'Pricing Inputs'!$AQ$3&lt;=6),16,IF(AND('Pricing Inputs'!$AQ$3&gt;=7,'Pricing Inputs'!$AQ$3&lt;=9),8,24))/(BA148/BW148))</f>
        <v xml:space="preserve"> </v>
      </c>
      <c r="H148" s="252" t="str">
        <f t="shared" si="232"/>
        <v xml:space="preserve"> </v>
      </c>
      <c r="I148" s="255" t="str">
        <f>VLOOKUP(A148,ScaledPrice,(IF(AND('Pricing Inputs'!$AQ$3&gt;=1,'Pricing Inputs'!$AQ$3&lt;=6),2,4)))</f>
        <v xml:space="preserve"> </v>
      </c>
      <c r="J148" s="255" t="str">
        <f>IF(A148="N/A"," ",IF(AND('Pricing Inputs'!$AQ$3&gt;=1,'Pricing Inputs'!$AQ$3&lt;=6),I148,(VLOOKUP(A148,ScaledPrice,2))*(2-(VLOOKUP(A148,ScaledPrice,3)))))</f>
        <v xml:space="preserve"> </v>
      </c>
      <c r="K148" s="255" t="str">
        <f>IF(A148="N/A"," ",IF(OR('Pricing Inputs'!$AQ$3=2,'Pricing Inputs'!$AQ$3=3,'Pricing Inputs'!$AQ$3=5,'Pricing Inputs'!$AQ$3=6,'Pricing Inputs'!$AQ$3=8,'Pricing Inputs'!$AQ$3=9),VLOOKUP(A148,ScaledPrice,IF(AND('Pricing Inputs'!$AQ$3&gt;=2,'Pricing Inputs'!$AQ$3&lt;=6),5,6)),0))</f>
        <v xml:space="preserve"> </v>
      </c>
      <c r="L148" s="255" t="str">
        <f>IF(A148="N/A"," ",IF(OR('Pricing Inputs'!$AQ$3=2,'Pricing Inputs'!$AQ$3=3,'Pricing Inputs'!$AQ$3=5,'Pricing Inputs'!$AQ$3=6,'Pricing Inputs'!$AQ$3=8,'Pricing Inputs'!$AQ$3=9),IF(AND('Pricing Inputs'!$AQ$3&gt;=2,'Pricing Inputs'!$AQ$3&lt;=6),K148,(VLOOKUP(A148,ScaledPrice,5))*(2-(VLOOKUP(A148,ScaledPrice,3)))),0))</f>
        <v xml:space="preserve"> </v>
      </c>
      <c r="M148" s="255" t="str">
        <f>IF(A148="N/A"," ",IF(OR('Pricing Inputs'!$AQ$3=3,'Pricing Inputs'!$AQ$3=6,'Pricing Inputs'!$AQ$3=9),(VLOOKUP(A148,ScaledPrice,IF(AND('Pricing Inputs'!$AQ$3&gt;=3,'Pricing Inputs'!$AQ$3&lt;=6),7,8))),0))</f>
        <v xml:space="preserve"> </v>
      </c>
      <c r="N148" s="255" t="str">
        <f>IF(A148="N/A"," ",IF(OR('Pricing Inputs'!$AQ$3=3,'Pricing Inputs'!$AQ$3=6,'Pricing Inputs'!$AQ$3=9),IF(AND('Pricing Inputs'!$AQ$3&gt;=3,'Pricing Inputs'!$AQ$3&lt;=6),M148,(VLOOKUP(A148,ScaledPrice,7))*(2-(VLOOKUP(A148,ScaledPrice,3)))),0))</f>
        <v xml:space="preserve"> </v>
      </c>
      <c r="O148" s="255" t="str">
        <f>IF(A148="N/A"," ",IF(AND('Pricing Inputs'!$AQ$3&gt;=1,'Pricing Inputs'!$AQ$3&lt;=3),VLOOKUP(A148,ScaledPrice,9),0))</f>
        <v xml:space="preserve"> </v>
      </c>
      <c r="P148" s="320" t="str">
        <f>IF($A148="N/A"," ",IF('Pricing Inputs'!$AN$8=2,(I148-H148),IF('Pricing Inputs'!$AN$3=2,IF((I148-$H148)&gt;0,I148-$H148,0),(_xll.xSPRDOPT(I148,$E148,$BU148,0,$BP148,$BS148,$BT148,($A148-Inputs!$D$1)+15,1,0)))))</f>
        <v xml:space="preserve"> </v>
      </c>
      <c r="Q148" s="320" t="str">
        <f>IF($A148="N/A"," ",IF('Pricing Inputs'!$AN$8=2,(J148-$H148),IF('Pricing Inputs'!$AN$3=2,IF((J148-$H148)&gt;0,J148-$H148,0),(_xll.xSPRDOPT(J148,$E148,$BU148,0,$BP148,$BS148,$BT148,($A148-Inputs!$D$1)+15,1,0)))))</f>
        <v xml:space="preserve"> </v>
      </c>
      <c r="R148" s="320" t="str">
        <f>IF($A148="N/A"," ",IF('Pricing Inputs'!$AN$8=2,(K148-$H148),IF('Pricing Inputs'!$AN$3=2,IF((K148-$H148)&gt;0,K148-$H148,0),(_xll.xSPRDOPT(K148,$E148,$BU148,0,$BP148,$BS148,$BT148,($A148-Inputs!$D$1)+15,1,0)))))</f>
        <v xml:space="preserve"> </v>
      </c>
      <c r="S148" s="320" t="str">
        <f>IF($A148="N/A"," ",IF('Pricing Inputs'!$AN$8=2,(L148-$H148),IF('Pricing Inputs'!$AN$3=2,IF((L148-$H148)&gt;0,L148-$H148,0),(_xll.xSPRDOPT(L148,$E148,$BU148,0,$BP148,$BS148,$BT148,($A148-Inputs!$D$1)+15,1,0)))))</f>
        <v xml:space="preserve"> </v>
      </c>
      <c r="T148" s="320" t="str">
        <f>IF($A148="N/A"," ",IF('Pricing Inputs'!$AN$8=2,(M148-$H148),IF('Pricing Inputs'!$AN$3=2,IF((M148-$H148)&gt;0,M148-$H148,0),(_xll.xSPRDOPT(M148,$E148,$BU148,0,$BP148,$BS148,$BT148,($A148-Inputs!$D$1)+15,1,0)))))</f>
        <v xml:space="preserve"> </v>
      </c>
      <c r="U148" s="320" t="str">
        <f>IF($A148="N/A"," ",IF('Pricing Inputs'!$AN$8=2,(N148-$H148),IF('Pricing Inputs'!$AN$3=2,IF((N148-$H148)&gt;0,N148-$H148,0),(_xll.xSPRDOPT(N148,$E148,$BU148,0,$BP148,$BS148,$BT148,($A148-Inputs!$D$1)+15,1,0)))))</f>
        <v xml:space="preserve"> </v>
      </c>
      <c r="V148" s="259" t="str">
        <f>IF($A148="N/A"," ",(IF('Pricing Inputs'!$AN$8=2,(O148-$H148),IF((O148-$H148)&lt;=0,0,(O148-$H148)))))</f>
        <v xml:space="preserve"> </v>
      </c>
      <c r="W148" s="306" t="str">
        <f>IF($A148="N/A"," ",IF(0&lt;&gt;P148,IF('Pricing Inputs'!$AN$3=2,8*VLOOKUP($A148,NumberofDaysTable,2),(_xll.xSPRDOPT(I148,$E148,$BU148,0,$BP148,$BS148,$BT148,$A148-Inputs!$D$1,1,1))*(8*VLOOKUP($A148,NumberofDaysTable,2))),0))</f>
        <v xml:space="preserve"> </v>
      </c>
      <c r="X148" s="306" t="str">
        <f>IF($A148="N/A"," ",IF(Q148&lt;&gt;0,IF('Pricing Inputs'!$AN$3=2,8*VLOOKUP($A148,NumberofDaysTable,2),(_xll.xSPRDOPT(J148,$E148,$BU148,0,$BP148,$BS148,$BT148,$A148-Inputs!$D$1,1,1))*(8*VLOOKUP($A148,NumberofDaysTable,2))),0))</f>
        <v xml:space="preserve"> </v>
      </c>
      <c r="Y148" s="306" t="str">
        <f>IF($A148="N/A"," ",IF(R148&lt;&gt;0,IF('Pricing Inputs'!$AN$3=2,8*VLOOKUP($A148,NumberofDaysTable,3),(_xll.xSPRDOPT(K148,$E148,$BU148,0,$BP148,$BS148,$BT148,$A148-Inputs!$D$1,1,1))*(8*VLOOKUP($A148,NumberofDaysTable,3))),0))</f>
        <v xml:space="preserve"> </v>
      </c>
      <c r="Z148" s="306" t="str">
        <f>IF($A148="N/A"," ",IF(S148&lt;&gt;0,IF('Pricing Inputs'!$AN$3=2,8*VLOOKUP($A148,NumberofDaysTable,3),(_xll.xSPRDOPT(L148,$E148,$BU148,0,$BP148,$BS148,$BT148,$A148-Inputs!$D$1,1,1))*(8*VLOOKUP($A148,NumberofDaysTable,3))),0))</f>
        <v xml:space="preserve"> </v>
      </c>
      <c r="AA148" s="306" t="str">
        <f>IF($A148="N/A"," ",IF(T148&lt;&gt;0,IF('Pricing Inputs'!$AN$3=2,8*VLOOKUP($A148,NumberofDaysTable,4),(_xll.xSPRDOPT(M148,$E148,$BU148,0,$BP148,$BS148,$BT148,$A148-Inputs!$D$1,1,1))*(8*VLOOKUP($A148,NumberofDaysTable,4))),0))</f>
        <v xml:space="preserve"> </v>
      </c>
      <c r="AB148" s="306" t="str">
        <f>IF($A148="N/A"," ",IF(U148&lt;&gt;0,IF('Pricing Inputs'!$AN$3=2,8*VLOOKUP($A148,NumberofDaysTable,4),(_xll.xSPRDOPT(N148,$E148,$BU148,0,$BP148,$BS148,$BT148,$A148-Inputs!$D$1,1,1))*(8*VLOOKUP($A148,NumberofDaysTable,4))),0))</f>
        <v xml:space="preserve"> </v>
      </c>
      <c r="AC148" s="306" t="str">
        <f t="shared" si="233"/>
        <v xml:space="preserve"> </v>
      </c>
      <c r="AD148" s="271" t="str">
        <f t="shared" ref="AD148:AJ148" si="268">IF($A148="N/A"," ",RANK(P148,$P$148:$V$159))</f>
        <v xml:space="preserve"> </v>
      </c>
      <c r="AE148" s="272" t="str">
        <f t="shared" si="268"/>
        <v xml:space="preserve"> </v>
      </c>
      <c r="AF148" s="272" t="str">
        <f t="shared" si="268"/>
        <v xml:space="preserve"> </v>
      </c>
      <c r="AG148" s="272" t="str">
        <f t="shared" si="268"/>
        <v xml:space="preserve"> </v>
      </c>
      <c r="AH148" s="272" t="str">
        <f t="shared" si="268"/>
        <v xml:space="preserve"> </v>
      </c>
      <c r="AI148" s="272" t="str">
        <f t="shared" si="268"/>
        <v xml:space="preserve"> </v>
      </c>
      <c r="AJ148" s="273" t="str">
        <f t="shared" si="268"/>
        <v xml:space="preserve"> </v>
      </c>
      <c r="AK148" s="312" t="str">
        <f t="shared" si="259"/>
        <v xml:space="preserve"> </v>
      </c>
      <c r="AL148" s="313" t="str">
        <f t="shared" si="260"/>
        <v xml:space="preserve"> </v>
      </c>
      <c r="AM148" s="313" t="str">
        <f t="shared" si="261"/>
        <v xml:space="preserve"> </v>
      </c>
      <c r="AN148" s="313" t="str">
        <f t="shared" si="262"/>
        <v xml:space="preserve"> </v>
      </c>
      <c r="AO148" s="313" t="str">
        <f t="shared" si="263"/>
        <v xml:space="preserve"> </v>
      </c>
      <c r="AP148" s="313" t="str">
        <f t="shared" si="264"/>
        <v xml:space="preserve"> </v>
      </c>
      <c r="AQ148" s="313" t="str">
        <f t="shared" si="265"/>
        <v xml:space="preserve"> </v>
      </c>
      <c r="AR148" s="273"/>
      <c r="AS148" s="327" t="str">
        <f t="shared" ref="AS148:AS159" si="269">IF($A148="N/A"," ",IF(AND(AD148=$AJ$2+1,AK148=0),MIN($AR$159,W148),0))</f>
        <v xml:space="preserve"> </v>
      </c>
      <c r="AT148" s="322" t="str">
        <f t="shared" ref="AT148:AT159" si="270">IF($A148="N/A"," ",IF(AND(AE148=$AJ$2+1,AL148=0),MIN($AR$159,X148),0))</f>
        <v xml:space="preserve"> </v>
      </c>
      <c r="AU148" s="322" t="str">
        <f t="shared" ref="AU148:AU159" si="271">IF($A148="N/A"," ",IF(AND(AF148=$AJ$2+1,AM148=0),MIN($AR$159,Y148),0))</f>
        <v xml:space="preserve"> </v>
      </c>
      <c r="AV148" s="322" t="str">
        <f t="shared" ref="AV148:AV159" si="272">IF($A148="N/A"," ",IF(AND(AG148=$AJ$2+1,AN148=0),MIN($AR$159,Z148),0))</f>
        <v xml:space="preserve"> </v>
      </c>
      <c r="AW148" s="322" t="str">
        <f t="shared" ref="AW148:AW159" si="273">IF($A148="N/A"," ",IF(AND(AH148=$AJ$2+1,AO148=0),MIN($AR$159,AA148),0))</f>
        <v xml:space="preserve"> </v>
      </c>
      <c r="AX148" s="322" t="str">
        <f t="shared" ref="AX148:AX159" si="274">IF($A148="N/A"," ",IF(AND(AI148=$AJ$2+1,AP148=0),MIN($AR$159,AB148),0))</f>
        <v xml:space="preserve"> </v>
      </c>
      <c r="AY148" s="322" t="str">
        <f t="shared" ref="AY148:AY159" si="275">IF($A148="N/A"," ",IF(AND(AJ148=$AJ$2+1,AQ148=0),MIN($AR$159,AC148),0))</f>
        <v xml:space="preserve"> </v>
      </c>
      <c r="AZ148" s="273"/>
      <c r="BA148" s="267" t="str">
        <f>IF($A148="N/A"," ",(IF(MONTH(A148)&gt;=4,IF(MONTH(A148)&lt;=10,Inputs!$F$13,Inputs!$F$14),Inputs!$F$14))*$BW148)</f>
        <v xml:space="preserve"> </v>
      </c>
      <c r="BB148" s="268" t="str">
        <f t="shared" si="266"/>
        <v xml:space="preserve"> </v>
      </c>
      <c r="BC148" s="268" t="str">
        <f t="shared" si="267"/>
        <v xml:space="preserve"> </v>
      </c>
      <c r="BD148" s="268" t="str">
        <f t="shared" si="234"/>
        <v xml:space="preserve"> </v>
      </c>
      <c r="BE148" s="268" t="str">
        <f t="shared" si="235"/>
        <v xml:space="preserve"> </v>
      </c>
      <c r="BF148" s="268" t="str">
        <f t="shared" si="236"/>
        <v xml:space="preserve"> </v>
      </c>
      <c r="BG148" s="268" t="str">
        <f t="shared" si="237"/>
        <v xml:space="preserve"> </v>
      </c>
      <c r="BH148" s="268" t="str">
        <f t="shared" si="258"/>
        <v xml:space="preserve"> </v>
      </c>
      <c r="BI148" s="268" t="str">
        <f t="shared" si="238"/>
        <v xml:space="preserve"> </v>
      </c>
      <c r="BJ148" s="296" t="str">
        <f t="shared" si="239"/>
        <v xml:space="preserve"> </v>
      </c>
      <c r="BK148" s="296" t="str">
        <f t="shared" si="240"/>
        <v xml:space="preserve"> </v>
      </c>
      <c r="BL148" s="296" t="str">
        <f t="shared" si="241"/>
        <v xml:space="preserve"> </v>
      </c>
      <c r="BM148" s="296" t="str">
        <f t="shared" si="242"/>
        <v xml:space="preserve"> </v>
      </c>
      <c r="BN148" s="405" t="str">
        <f>IF(A148="N/A"," ",(VLOOKUP(A148,PowerVolTable,(IF('Pricing Inputs'!$AT$3=2,7,IF('Pricing Inputs'!$AT$3=1,6,8))),FALSE)))</f>
        <v xml:space="preserve"> </v>
      </c>
      <c r="BO148" s="405" t="str">
        <f>IF(A148="N/A"," ",(VLOOKUP(A148,IntraPowerVol,(IF('Pricing Inputs'!$AT$3=2,3,IF('Pricing Inputs'!$AT$3=1,2,4))),FALSE)*VLOOKUP(MONTH($A148),Inputs!$A$28:$B$39,2)))</f>
        <v xml:space="preserve"> </v>
      </c>
      <c r="BP148" s="406" t="str">
        <f t="shared" si="227"/>
        <v xml:space="preserve"> </v>
      </c>
      <c r="BQ148" s="405" t="str">
        <f>IF($A148="N/A"," ",(VLOOKUP($A148,GasVolTable,(IF('Pricing Inputs'!$AT$3=2,6,IF('Pricing Inputs'!$AT$3=1,7,5))),FALSE)))</f>
        <v xml:space="preserve"> </v>
      </c>
      <c r="BR148" s="405" t="str">
        <f>IF($A148="N/A"," ",(VLOOKUP($A148,OmicronVol,(IF('Pricing Inputs'!$AT$3=2,3,IF('Pricing Inputs'!$AT$3=1,4,2))),FALSE)))</f>
        <v xml:space="preserve"> </v>
      </c>
      <c r="BS148" s="406" t="str">
        <f>IF($A148="N/A"," ",IF('Pricing Inputs'!$AN$3=1,(IF(DateToday&gt;$A148,$BR148,((($BQ148^2)*((($A148-1)-DateToday)/((EOMONTH($A148,0)+1)-DateToday-15)))+((($BR148)^2)*((15)/((EOMONTH($A148,0)+1)-DateToday-15))))^0.5)),0.0001))</f>
        <v xml:space="preserve"> </v>
      </c>
      <c r="BT148" s="405" t="str">
        <f>IF($A148="N/A"," ",IF('Pricing Inputs'!$AN$3=1,(VLOOKUP($A148,CorrelationTable,2,FALSE)),0))</f>
        <v xml:space="preserve"> </v>
      </c>
      <c r="BU148" s="407" t="str">
        <f>IF($A148="N/A"," ",F148+G148+(D148*(VLOOKUP($A148,'Gas Curves'!$B$17:$P$310,14,FALSE))))</f>
        <v xml:space="preserve"> </v>
      </c>
      <c r="BV148" s="405" t="str">
        <f>IF($A148="N/A"," ",IF('Pricing Inputs'!$AW$3=1,0,(VLOOKUP($A148,InterestRatesTable,2))))</f>
        <v xml:space="preserve"> </v>
      </c>
      <c r="BW148" s="408" t="str">
        <f t="shared" si="228"/>
        <v xml:space="preserve"> </v>
      </c>
    </row>
    <row r="149" spans="1:75">
      <c r="A149" s="248" t="str">
        <f>IF(A148="N/A","N/A",IF(EDATE(A148,1)&gt;Inputs!$K$3,"N/A",EDATE(A148,1)))</f>
        <v>N/A</v>
      </c>
      <c r="B149" s="262" t="str">
        <f t="shared" si="229"/>
        <v xml:space="preserve"> </v>
      </c>
      <c r="C149" s="249" t="str">
        <f t="shared" si="230"/>
        <v xml:space="preserve"> </v>
      </c>
      <c r="D149" s="250" t="str">
        <f>IF(A149="N/A"," ",(VLOOKUP(MONTH($A149),Inputs!$A$14:$B$25,2))/1000)</f>
        <v xml:space="preserve"> </v>
      </c>
      <c r="E149" s="304" t="str">
        <f t="shared" si="231"/>
        <v xml:space="preserve"> </v>
      </c>
      <c r="F149" s="251" t="str">
        <f>IF(A149="N/A"," ",Inputs!$F$6)</f>
        <v xml:space="preserve"> </v>
      </c>
      <c r="G149" s="251" t="str">
        <f>IF(A149="N/A"," ",Inputs!$F$9/IF(AND('Pricing Inputs'!$AQ$3&gt;=4,'Pricing Inputs'!$AQ$3&lt;=6),16,IF(AND('Pricing Inputs'!$AQ$3&gt;=7,'Pricing Inputs'!$AQ$3&lt;=9),8,24))/(BA149/BW149))</f>
        <v xml:space="preserve"> </v>
      </c>
      <c r="H149" s="252" t="str">
        <f t="shared" si="232"/>
        <v xml:space="preserve"> </v>
      </c>
      <c r="I149" s="255" t="str">
        <f>VLOOKUP(A149,ScaledPrice,(IF(AND('Pricing Inputs'!$AQ$3&gt;=1,'Pricing Inputs'!$AQ$3&lt;=6),2,4)))</f>
        <v xml:space="preserve"> </v>
      </c>
      <c r="J149" s="255" t="str">
        <f>IF(A149="N/A"," ",IF(AND('Pricing Inputs'!$AQ$3&gt;=1,'Pricing Inputs'!$AQ$3&lt;=6),I149,(VLOOKUP(A149,ScaledPrice,2))*(2-(VLOOKUP(A149,ScaledPrice,3)))))</f>
        <v xml:space="preserve"> </v>
      </c>
      <c r="K149" s="255" t="str">
        <f>IF(A149="N/A"," ",IF(OR('Pricing Inputs'!$AQ$3=2,'Pricing Inputs'!$AQ$3=3,'Pricing Inputs'!$AQ$3=5,'Pricing Inputs'!$AQ$3=6,'Pricing Inputs'!$AQ$3=8,'Pricing Inputs'!$AQ$3=9),VLOOKUP(A149,ScaledPrice,IF(AND('Pricing Inputs'!$AQ$3&gt;=2,'Pricing Inputs'!$AQ$3&lt;=6),5,6)),0))</f>
        <v xml:space="preserve"> </v>
      </c>
      <c r="L149" s="255" t="str">
        <f>IF(A149="N/A"," ",IF(OR('Pricing Inputs'!$AQ$3=2,'Pricing Inputs'!$AQ$3=3,'Pricing Inputs'!$AQ$3=5,'Pricing Inputs'!$AQ$3=6,'Pricing Inputs'!$AQ$3=8,'Pricing Inputs'!$AQ$3=9),IF(AND('Pricing Inputs'!$AQ$3&gt;=2,'Pricing Inputs'!$AQ$3&lt;=6),K149,(VLOOKUP(A149,ScaledPrice,5))*(2-(VLOOKUP(A149,ScaledPrice,3)))),0))</f>
        <v xml:space="preserve"> </v>
      </c>
      <c r="M149" s="255" t="str">
        <f>IF(A149="N/A"," ",IF(OR('Pricing Inputs'!$AQ$3=3,'Pricing Inputs'!$AQ$3=6,'Pricing Inputs'!$AQ$3=9),(VLOOKUP(A149,ScaledPrice,IF(AND('Pricing Inputs'!$AQ$3&gt;=3,'Pricing Inputs'!$AQ$3&lt;=6),7,8))),0))</f>
        <v xml:space="preserve"> </v>
      </c>
      <c r="N149" s="255" t="str">
        <f>IF(A149="N/A"," ",IF(OR('Pricing Inputs'!$AQ$3=3,'Pricing Inputs'!$AQ$3=6,'Pricing Inputs'!$AQ$3=9),IF(AND('Pricing Inputs'!$AQ$3&gt;=3,'Pricing Inputs'!$AQ$3&lt;=6),M149,(VLOOKUP(A149,ScaledPrice,7))*(2-(VLOOKUP(A149,ScaledPrice,3)))),0))</f>
        <v xml:space="preserve"> </v>
      </c>
      <c r="O149" s="255" t="str">
        <f>IF(A149="N/A"," ",IF(AND('Pricing Inputs'!$AQ$3&gt;=1,'Pricing Inputs'!$AQ$3&lt;=3),VLOOKUP(A149,ScaledPrice,9),0))</f>
        <v xml:space="preserve"> </v>
      </c>
      <c r="P149" s="320" t="str">
        <f>IF($A149="N/A"," ",IF('Pricing Inputs'!$AN$8=2,(I149-H149),IF('Pricing Inputs'!$AN$3=2,IF((I149-$H149)&gt;0,I149-$H149,0),(_xll.xSPRDOPT(I149,$E149,$BU149,0,$BP149,$BS149,$BT149,($A149-Inputs!$D$1)+15,1,0)))))</f>
        <v xml:space="preserve"> </v>
      </c>
      <c r="Q149" s="320" t="str">
        <f>IF($A149="N/A"," ",IF('Pricing Inputs'!$AN$8=2,(J149-$H149),IF('Pricing Inputs'!$AN$3=2,IF((J149-$H149)&gt;0,J149-$H149,0),(_xll.xSPRDOPT(J149,$E149,$BU149,0,$BP149,$BS149,$BT149,($A149-Inputs!$D$1)+15,1,0)))))</f>
        <v xml:space="preserve"> </v>
      </c>
      <c r="R149" s="320" t="str">
        <f>IF($A149="N/A"," ",IF('Pricing Inputs'!$AN$8=2,(K149-$H149),IF('Pricing Inputs'!$AN$3=2,IF((K149-$H149)&gt;0,K149-$H149,0),(_xll.xSPRDOPT(K149,$E149,$BU149,0,$BP149,$BS149,$BT149,($A149-Inputs!$D$1)+15,1,0)))))</f>
        <v xml:space="preserve"> </v>
      </c>
      <c r="S149" s="320" t="str">
        <f>IF($A149="N/A"," ",IF('Pricing Inputs'!$AN$8=2,(L149-$H149),IF('Pricing Inputs'!$AN$3=2,IF((L149-$H149)&gt;0,L149-$H149,0),(_xll.xSPRDOPT(L149,$E149,$BU149,0,$BP149,$BS149,$BT149,($A149-Inputs!$D$1)+15,1,0)))))</f>
        <v xml:space="preserve"> </v>
      </c>
      <c r="T149" s="320" t="str">
        <f>IF($A149="N/A"," ",IF('Pricing Inputs'!$AN$8=2,(M149-$H149),IF('Pricing Inputs'!$AN$3=2,IF((M149-$H149)&gt;0,M149-$H149,0),(_xll.xSPRDOPT(M149,$E149,$BU149,0,$BP149,$BS149,$BT149,($A149-Inputs!$D$1)+15,1,0)))))</f>
        <v xml:space="preserve"> </v>
      </c>
      <c r="U149" s="320" t="str">
        <f>IF($A149="N/A"," ",IF('Pricing Inputs'!$AN$8=2,(N149-$H149),IF('Pricing Inputs'!$AN$3=2,IF((N149-$H149)&gt;0,N149-$H149,0),(_xll.xSPRDOPT(N149,$E149,$BU149,0,$BP149,$BS149,$BT149,($A149-Inputs!$D$1)+15,1,0)))))</f>
        <v xml:space="preserve"> </v>
      </c>
      <c r="V149" s="259" t="str">
        <f>IF($A149="N/A"," ",(IF('Pricing Inputs'!$AN$8=2,(O149-$H149),IF((O149-$H149)&lt;=0,0,(O149-$H149)))))</f>
        <v xml:space="preserve"> </v>
      </c>
      <c r="W149" s="306" t="str">
        <f>IF($A149="N/A"," ",IF(0&lt;&gt;P149,IF('Pricing Inputs'!$AN$3=2,8*VLOOKUP($A149,NumberofDaysTable,2),(_xll.xSPRDOPT(I149,$E149,$BU149,0,$BP149,$BS149,$BT149,$A149-Inputs!$D$1,1,1))*(8*VLOOKUP($A149,NumberofDaysTable,2))),0))</f>
        <v xml:space="preserve"> </v>
      </c>
      <c r="X149" s="306" t="str">
        <f>IF($A149="N/A"," ",IF(Q149&lt;&gt;0,IF('Pricing Inputs'!$AN$3=2,8*VLOOKUP($A149,NumberofDaysTable,2),(_xll.xSPRDOPT(J149,$E149,$BU149,0,$BP149,$BS149,$BT149,$A149-Inputs!$D$1,1,1))*(8*VLOOKUP($A149,NumberofDaysTable,2))),0))</f>
        <v xml:space="preserve"> </v>
      </c>
      <c r="Y149" s="306" t="str">
        <f>IF($A149="N/A"," ",IF(R149&lt;&gt;0,IF('Pricing Inputs'!$AN$3=2,8*VLOOKUP($A149,NumberofDaysTable,3),(_xll.xSPRDOPT(K149,$E149,$BU149,0,$BP149,$BS149,$BT149,$A149-Inputs!$D$1,1,1))*(8*VLOOKUP($A149,NumberofDaysTable,3))),0))</f>
        <v xml:space="preserve"> </v>
      </c>
      <c r="Z149" s="306" t="str">
        <f>IF($A149="N/A"," ",IF(S149&lt;&gt;0,IF('Pricing Inputs'!$AN$3=2,8*VLOOKUP($A149,NumberofDaysTable,3),(_xll.xSPRDOPT(L149,$E149,$BU149,0,$BP149,$BS149,$BT149,$A149-Inputs!$D$1,1,1))*(8*VLOOKUP($A149,NumberofDaysTable,3))),0))</f>
        <v xml:space="preserve"> </v>
      </c>
      <c r="AA149" s="306" t="str">
        <f>IF($A149="N/A"," ",IF(T149&lt;&gt;0,IF('Pricing Inputs'!$AN$3=2,8*VLOOKUP($A149,NumberofDaysTable,4),(_xll.xSPRDOPT(M149,$E149,$BU149,0,$BP149,$BS149,$BT149,$A149-Inputs!$D$1,1,1))*(8*VLOOKUP($A149,NumberofDaysTable,4))),0))</f>
        <v xml:space="preserve"> </v>
      </c>
      <c r="AB149" s="306" t="str">
        <f>IF($A149="N/A"," ",IF(U149&lt;&gt;0,IF('Pricing Inputs'!$AN$3=2,8*VLOOKUP($A149,NumberofDaysTable,4),(_xll.xSPRDOPT(N149,$E149,$BU149,0,$BP149,$BS149,$BT149,$A149-Inputs!$D$1,1,1))*(8*VLOOKUP($A149,NumberofDaysTable,4))),0))</f>
        <v xml:space="preserve"> </v>
      </c>
      <c r="AC149" s="306" t="str">
        <f t="shared" si="233"/>
        <v xml:space="preserve"> </v>
      </c>
      <c r="AD149" s="274" t="str">
        <f t="shared" ref="AD149:AD159" si="276">IF($A149="N/A"," ",RANK(P149,$P$148:$V$159))</f>
        <v xml:space="preserve"> </v>
      </c>
      <c r="AE149" s="275" t="str">
        <f t="shared" ref="AE149:AE159" si="277">IF($A149="N/A"," ",RANK(Q149,$P$148:$V$159))</f>
        <v xml:space="preserve"> </v>
      </c>
      <c r="AF149" s="275" t="str">
        <f t="shared" ref="AF149:AF159" si="278">IF($A149="N/A"," ",RANK(R149,$P$148:$V$159))</f>
        <v xml:space="preserve"> </v>
      </c>
      <c r="AG149" s="275" t="str">
        <f t="shared" ref="AG149:AG159" si="279">IF($A149="N/A"," ",RANK(S149,$P$148:$V$159))</f>
        <v xml:space="preserve"> </v>
      </c>
      <c r="AH149" s="275" t="str">
        <f t="shared" ref="AH149:AH159" si="280">IF($A149="N/A"," ",RANK(T149,$P$148:$V$159))</f>
        <v xml:space="preserve"> </v>
      </c>
      <c r="AI149" s="275" t="str">
        <f t="shared" ref="AI149:AI159" si="281">IF($A149="N/A"," ",RANK(U149,$P$148:$V$159))</f>
        <v xml:space="preserve"> </v>
      </c>
      <c r="AJ149" s="276" t="str">
        <f t="shared" ref="AJ149:AJ159" si="282">IF($A149="N/A"," ",RANK(V149,$P$148:$V$159))</f>
        <v xml:space="preserve"> </v>
      </c>
      <c r="AK149" s="314" t="str">
        <f t="shared" si="259"/>
        <v xml:space="preserve"> </v>
      </c>
      <c r="AL149" s="315" t="str">
        <f t="shared" si="260"/>
        <v xml:space="preserve"> </v>
      </c>
      <c r="AM149" s="315" t="str">
        <f t="shared" si="261"/>
        <v xml:space="preserve"> </v>
      </c>
      <c r="AN149" s="315" t="str">
        <f t="shared" si="262"/>
        <v xml:space="preserve"> </v>
      </c>
      <c r="AO149" s="315" t="str">
        <f t="shared" si="263"/>
        <v xml:space="preserve"> </v>
      </c>
      <c r="AP149" s="315" t="str">
        <f t="shared" si="264"/>
        <v xml:space="preserve"> </v>
      </c>
      <c r="AQ149" s="315" t="str">
        <f t="shared" si="265"/>
        <v xml:space="preserve"> </v>
      </c>
      <c r="AR149" s="276"/>
      <c r="AS149" s="321" t="str">
        <f t="shared" si="269"/>
        <v xml:space="preserve"> </v>
      </c>
      <c r="AT149" s="324" t="str">
        <f t="shared" si="270"/>
        <v xml:space="preserve"> </v>
      </c>
      <c r="AU149" s="324" t="str">
        <f t="shared" si="271"/>
        <v xml:space="preserve"> </v>
      </c>
      <c r="AV149" s="324" t="str">
        <f t="shared" si="272"/>
        <v xml:space="preserve"> </v>
      </c>
      <c r="AW149" s="324" t="str">
        <f t="shared" si="273"/>
        <v xml:space="preserve"> </v>
      </c>
      <c r="AX149" s="324" t="str">
        <f t="shared" si="274"/>
        <v xml:space="preserve"> </v>
      </c>
      <c r="AY149" s="324" t="str">
        <f t="shared" si="275"/>
        <v xml:space="preserve"> </v>
      </c>
      <c r="AZ149" s="276"/>
      <c r="BA149" s="267" t="str">
        <f>IF($A149="N/A"," ",(IF(MONTH(A149)&gt;=4,IF(MONTH(A149)&lt;=10,Inputs!$F$13,Inputs!$F$14),Inputs!$F$14))*$BW149)</f>
        <v xml:space="preserve"> </v>
      </c>
      <c r="BB149" s="268" t="str">
        <f t="shared" si="266"/>
        <v xml:space="preserve"> </v>
      </c>
      <c r="BC149" s="268" t="str">
        <f t="shared" si="267"/>
        <v xml:space="preserve"> </v>
      </c>
      <c r="BD149" s="268" t="str">
        <f t="shared" si="234"/>
        <v xml:space="preserve"> </v>
      </c>
      <c r="BE149" s="268" t="str">
        <f t="shared" si="235"/>
        <v xml:space="preserve"> </v>
      </c>
      <c r="BF149" s="268" t="str">
        <f t="shared" si="236"/>
        <v xml:space="preserve"> </v>
      </c>
      <c r="BG149" s="268" t="str">
        <f t="shared" si="237"/>
        <v xml:space="preserve"> </v>
      </c>
      <c r="BH149" s="268" t="str">
        <f t="shared" si="258"/>
        <v xml:space="preserve"> </v>
      </c>
      <c r="BI149" s="268" t="str">
        <f t="shared" si="238"/>
        <v xml:space="preserve"> </v>
      </c>
      <c r="BJ149" s="296" t="str">
        <f t="shared" si="239"/>
        <v xml:space="preserve"> </v>
      </c>
      <c r="BK149" s="296" t="str">
        <f t="shared" si="240"/>
        <v xml:space="preserve"> </v>
      </c>
      <c r="BL149" s="296" t="str">
        <f t="shared" si="241"/>
        <v xml:space="preserve"> </v>
      </c>
      <c r="BM149" s="296" t="str">
        <f t="shared" si="242"/>
        <v xml:space="preserve"> </v>
      </c>
      <c r="BN149" s="405" t="str">
        <f>IF(A149="N/A"," ",(VLOOKUP(A149,PowerVolTable,(IF('Pricing Inputs'!$AT$3=2,7,IF('Pricing Inputs'!$AT$3=1,6,8))),FALSE)))</f>
        <v xml:space="preserve"> </v>
      </c>
      <c r="BO149" s="405" t="str">
        <f>IF(A149="N/A"," ",(VLOOKUP(A149,IntraPowerVol,(IF('Pricing Inputs'!$AT$3=2,3,IF('Pricing Inputs'!$AT$3=1,2,4))),FALSE)*VLOOKUP(MONTH($A149),Inputs!$A$28:$B$39,2)))</f>
        <v xml:space="preserve"> </v>
      </c>
      <c r="BP149" s="406" t="str">
        <f t="shared" si="227"/>
        <v xml:space="preserve"> </v>
      </c>
      <c r="BQ149" s="405" t="str">
        <f>IF($A149="N/A"," ",(VLOOKUP($A149,GasVolTable,(IF('Pricing Inputs'!$AT$3=2,6,IF('Pricing Inputs'!$AT$3=1,7,5))),FALSE)))</f>
        <v xml:space="preserve"> </v>
      </c>
      <c r="BR149" s="405" t="str">
        <f>IF($A149="N/A"," ",(VLOOKUP($A149,OmicronVol,(IF('Pricing Inputs'!$AT$3=2,3,IF('Pricing Inputs'!$AT$3=1,4,2))),FALSE)))</f>
        <v xml:space="preserve"> </v>
      </c>
      <c r="BS149" s="406" t="str">
        <f>IF($A149="N/A"," ",IF('Pricing Inputs'!$AN$3=1,(IF(DateToday&gt;$A149,$BR149,((($BQ149^2)*((($A149-1)-DateToday)/((EOMONTH($A149,0)+1)-DateToday-15)))+((($BR149)^2)*((15)/((EOMONTH($A149,0)+1)-DateToday-15))))^0.5)),0.0001))</f>
        <v xml:space="preserve"> </v>
      </c>
      <c r="BT149" s="405" t="str">
        <f>IF($A149="N/A"," ",IF('Pricing Inputs'!$AN$3=1,(VLOOKUP($A149,CorrelationTable,2,FALSE)),0))</f>
        <v xml:space="preserve"> </v>
      </c>
      <c r="BU149" s="407" t="str">
        <f>IF($A149="N/A"," ",F149+G149+(D149*(VLOOKUP($A149,'Gas Curves'!$B$17:$P$310,14,FALSE))))</f>
        <v xml:space="preserve"> </v>
      </c>
      <c r="BV149" s="405" t="str">
        <f>IF($A149="N/A"," ",IF('Pricing Inputs'!$AW$3=1,0,(VLOOKUP($A149,InterestRatesTable,2))))</f>
        <v xml:space="preserve"> </v>
      </c>
      <c r="BW149" s="408" t="str">
        <f t="shared" si="228"/>
        <v xml:space="preserve"> </v>
      </c>
    </row>
    <row r="150" spans="1:75">
      <c r="A150" s="248" t="str">
        <f>IF(A149="N/A","N/A",IF(EDATE(A149,1)&gt;Inputs!$K$3,"N/A",EDATE(A149,1)))</f>
        <v>N/A</v>
      </c>
      <c r="B150" s="262" t="str">
        <f t="shared" si="229"/>
        <v xml:space="preserve"> </v>
      </c>
      <c r="C150" s="249" t="str">
        <f t="shared" si="230"/>
        <v xml:space="preserve"> </v>
      </c>
      <c r="D150" s="250" t="str">
        <f>IF(A150="N/A"," ",(VLOOKUP(MONTH($A150),Inputs!$A$14:$B$25,2))/1000)</f>
        <v xml:space="preserve"> </v>
      </c>
      <c r="E150" s="304" t="str">
        <f t="shared" si="231"/>
        <v xml:space="preserve"> </v>
      </c>
      <c r="F150" s="251" t="str">
        <f>IF(A150="N/A"," ",Inputs!$F$6)</f>
        <v xml:space="preserve"> </v>
      </c>
      <c r="G150" s="251" t="str">
        <f>IF(A150="N/A"," ",Inputs!$F$9/IF(AND('Pricing Inputs'!$AQ$3&gt;=4,'Pricing Inputs'!$AQ$3&lt;=6),16,IF(AND('Pricing Inputs'!$AQ$3&gt;=7,'Pricing Inputs'!$AQ$3&lt;=9),8,24))/(BA150/BW150))</f>
        <v xml:space="preserve"> </v>
      </c>
      <c r="H150" s="252" t="str">
        <f t="shared" si="232"/>
        <v xml:space="preserve"> </v>
      </c>
      <c r="I150" s="255" t="str">
        <f>VLOOKUP(A150,ScaledPrice,(IF(AND('Pricing Inputs'!$AQ$3&gt;=1,'Pricing Inputs'!$AQ$3&lt;=6),2,4)))</f>
        <v xml:space="preserve"> </v>
      </c>
      <c r="J150" s="255" t="str">
        <f>IF(A150="N/A"," ",IF(AND('Pricing Inputs'!$AQ$3&gt;=1,'Pricing Inputs'!$AQ$3&lt;=6),I150,(VLOOKUP(A150,ScaledPrice,2))*(2-(VLOOKUP(A150,ScaledPrice,3)))))</f>
        <v xml:space="preserve"> </v>
      </c>
      <c r="K150" s="255" t="str">
        <f>IF(A150="N/A"," ",IF(OR('Pricing Inputs'!$AQ$3=2,'Pricing Inputs'!$AQ$3=3,'Pricing Inputs'!$AQ$3=5,'Pricing Inputs'!$AQ$3=6,'Pricing Inputs'!$AQ$3=8,'Pricing Inputs'!$AQ$3=9),VLOOKUP(A150,ScaledPrice,IF(AND('Pricing Inputs'!$AQ$3&gt;=2,'Pricing Inputs'!$AQ$3&lt;=6),5,6)),0))</f>
        <v xml:space="preserve"> </v>
      </c>
      <c r="L150" s="255" t="str">
        <f>IF(A150="N/A"," ",IF(OR('Pricing Inputs'!$AQ$3=2,'Pricing Inputs'!$AQ$3=3,'Pricing Inputs'!$AQ$3=5,'Pricing Inputs'!$AQ$3=6,'Pricing Inputs'!$AQ$3=8,'Pricing Inputs'!$AQ$3=9),IF(AND('Pricing Inputs'!$AQ$3&gt;=2,'Pricing Inputs'!$AQ$3&lt;=6),K150,(VLOOKUP(A150,ScaledPrice,5))*(2-(VLOOKUP(A150,ScaledPrice,3)))),0))</f>
        <v xml:space="preserve"> </v>
      </c>
      <c r="M150" s="255" t="str">
        <f>IF(A150="N/A"," ",IF(OR('Pricing Inputs'!$AQ$3=3,'Pricing Inputs'!$AQ$3=6,'Pricing Inputs'!$AQ$3=9),(VLOOKUP(A150,ScaledPrice,IF(AND('Pricing Inputs'!$AQ$3&gt;=3,'Pricing Inputs'!$AQ$3&lt;=6),7,8))),0))</f>
        <v xml:space="preserve"> </v>
      </c>
      <c r="N150" s="255" t="str">
        <f>IF(A150="N/A"," ",IF(OR('Pricing Inputs'!$AQ$3=3,'Pricing Inputs'!$AQ$3=6,'Pricing Inputs'!$AQ$3=9),IF(AND('Pricing Inputs'!$AQ$3&gt;=3,'Pricing Inputs'!$AQ$3&lt;=6),M150,(VLOOKUP(A150,ScaledPrice,7))*(2-(VLOOKUP(A150,ScaledPrice,3)))),0))</f>
        <v xml:space="preserve"> </v>
      </c>
      <c r="O150" s="255" t="str">
        <f>IF(A150="N/A"," ",IF(AND('Pricing Inputs'!$AQ$3&gt;=1,'Pricing Inputs'!$AQ$3&lt;=3),VLOOKUP(A150,ScaledPrice,9),0))</f>
        <v xml:space="preserve"> </v>
      </c>
      <c r="P150" s="320" t="str">
        <f>IF($A150="N/A"," ",IF('Pricing Inputs'!$AN$8=2,(I150-H150),IF('Pricing Inputs'!$AN$3=2,IF((I150-$H150)&gt;0,I150-$H150,0),(_xll.xSPRDOPT(I150,$E150,$BU150,0,$BP150,$BS150,$BT150,($A150-Inputs!$D$1)+15,1,0)))))</f>
        <v xml:space="preserve"> </v>
      </c>
      <c r="Q150" s="320" t="str">
        <f>IF($A150="N/A"," ",IF('Pricing Inputs'!$AN$8=2,(J150-$H150),IF('Pricing Inputs'!$AN$3=2,IF((J150-$H150)&gt;0,J150-$H150,0),(_xll.xSPRDOPT(J150,$E150,$BU150,0,$BP150,$BS150,$BT150,($A150-Inputs!$D$1)+15,1,0)))))</f>
        <v xml:space="preserve"> </v>
      </c>
      <c r="R150" s="320" t="str">
        <f>IF($A150="N/A"," ",IF('Pricing Inputs'!$AN$8=2,(K150-$H150),IF('Pricing Inputs'!$AN$3=2,IF((K150-$H150)&gt;0,K150-$H150,0),(_xll.xSPRDOPT(K150,$E150,$BU150,0,$BP150,$BS150,$BT150,($A150-Inputs!$D$1)+15,1,0)))))</f>
        <v xml:space="preserve"> </v>
      </c>
      <c r="S150" s="320" t="str">
        <f>IF($A150="N/A"," ",IF('Pricing Inputs'!$AN$8=2,(L150-$H150),IF('Pricing Inputs'!$AN$3=2,IF((L150-$H150)&gt;0,L150-$H150,0),(_xll.xSPRDOPT(L150,$E150,$BU150,0,$BP150,$BS150,$BT150,($A150-Inputs!$D$1)+15,1,0)))))</f>
        <v xml:space="preserve"> </v>
      </c>
      <c r="T150" s="320" t="str">
        <f>IF($A150="N/A"," ",IF('Pricing Inputs'!$AN$8=2,(M150-$H150),IF('Pricing Inputs'!$AN$3=2,IF((M150-$H150)&gt;0,M150-$H150,0),(_xll.xSPRDOPT(M150,$E150,$BU150,0,$BP150,$BS150,$BT150,($A150-Inputs!$D$1)+15,1,0)))))</f>
        <v xml:space="preserve"> </v>
      </c>
      <c r="U150" s="320" t="str">
        <f>IF($A150="N/A"," ",IF('Pricing Inputs'!$AN$8=2,(N150-$H150),IF('Pricing Inputs'!$AN$3=2,IF((N150-$H150)&gt;0,N150-$H150,0),(_xll.xSPRDOPT(N150,$E150,$BU150,0,$BP150,$BS150,$BT150,($A150-Inputs!$D$1)+15,1,0)))))</f>
        <v xml:space="preserve"> </v>
      </c>
      <c r="V150" s="259" t="str">
        <f>IF($A150="N/A"," ",(IF('Pricing Inputs'!$AN$8=2,(O150-$H150),IF((O150-$H150)&lt;=0,0,(O150-$H150)))))</f>
        <v xml:space="preserve"> </v>
      </c>
      <c r="W150" s="306" t="str">
        <f>IF($A150="N/A"," ",IF(0&lt;&gt;P150,IF('Pricing Inputs'!$AN$3=2,8*VLOOKUP($A150,NumberofDaysTable,2),(_xll.xSPRDOPT(I150,$E150,$BU150,0,$BP150,$BS150,$BT150,$A150-Inputs!$D$1,1,1))*(8*VLOOKUP($A150,NumberofDaysTable,2))),0))</f>
        <v xml:space="preserve"> </v>
      </c>
      <c r="X150" s="306" t="str">
        <f>IF($A150="N/A"," ",IF(Q150&lt;&gt;0,IF('Pricing Inputs'!$AN$3=2,8*VLOOKUP($A150,NumberofDaysTable,2),(_xll.xSPRDOPT(J150,$E150,$BU150,0,$BP150,$BS150,$BT150,$A150-Inputs!$D$1,1,1))*(8*VLOOKUP($A150,NumberofDaysTable,2))),0))</f>
        <v xml:space="preserve"> </v>
      </c>
      <c r="Y150" s="306" t="str">
        <f>IF($A150="N/A"," ",IF(R150&lt;&gt;0,IF('Pricing Inputs'!$AN$3=2,8*VLOOKUP($A150,NumberofDaysTable,3),(_xll.xSPRDOPT(K150,$E150,$BU150,0,$BP150,$BS150,$BT150,$A150-Inputs!$D$1,1,1))*(8*VLOOKUP($A150,NumberofDaysTable,3))),0))</f>
        <v xml:space="preserve"> </v>
      </c>
      <c r="Z150" s="306" t="str">
        <f>IF($A150="N/A"," ",IF(S150&lt;&gt;0,IF('Pricing Inputs'!$AN$3=2,8*VLOOKUP($A150,NumberofDaysTable,3),(_xll.xSPRDOPT(L150,$E150,$BU150,0,$BP150,$BS150,$BT150,$A150-Inputs!$D$1,1,1))*(8*VLOOKUP($A150,NumberofDaysTable,3))),0))</f>
        <v xml:space="preserve"> </v>
      </c>
      <c r="AA150" s="306" t="str">
        <f>IF($A150="N/A"," ",IF(T150&lt;&gt;0,IF('Pricing Inputs'!$AN$3=2,8*VLOOKUP($A150,NumberofDaysTable,4),(_xll.xSPRDOPT(M150,$E150,$BU150,0,$BP150,$BS150,$BT150,$A150-Inputs!$D$1,1,1))*(8*VLOOKUP($A150,NumberofDaysTable,4))),0))</f>
        <v xml:space="preserve"> </v>
      </c>
      <c r="AB150" s="306" t="str">
        <f>IF($A150="N/A"," ",IF(U150&lt;&gt;0,IF('Pricing Inputs'!$AN$3=2,8*VLOOKUP($A150,NumberofDaysTable,4),(_xll.xSPRDOPT(N150,$E150,$BU150,0,$BP150,$BS150,$BT150,$A150-Inputs!$D$1,1,1))*(8*VLOOKUP($A150,NumberofDaysTable,4))),0))</f>
        <v xml:space="preserve"> </v>
      </c>
      <c r="AC150" s="306" t="str">
        <f t="shared" si="233"/>
        <v xml:space="preserve"> </v>
      </c>
      <c r="AD150" s="274" t="str">
        <f t="shared" si="276"/>
        <v xml:space="preserve"> </v>
      </c>
      <c r="AE150" s="275" t="str">
        <f t="shared" si="277"/>
        <v xml:space="preserve"> </v>
      </c>
      <c r="AF150" s="275" t="str">
        <f t="shared" si="278"/>
        <v xml:space="preserve"> </v>
      </c>
      <c r="AG150" s="275" t="str">
        <f t="shared" si="279"/>
        <v xml:space="preserve"> </v>
      </c>
      <c r="AH150" s="275" t="str">
        <f t="shared" si="280"/>
        <v xml:space="preserve"> </v>
      </c>
      <c r="AI150" s="275" t="str">
        <f t="shared" si="281"/>
        <v xml:space="preserve"> </v>
      </c>
      <c r="AJ150" s="276" t="str">
        <f t="shared" si="282"/>
        <v xml:space="preserve"> </v>
      </c>
      <c r="AK150" s="314" t="str">
        <f t="shared" si="259"/>
        <v xml:space="preserve"> </v>
      </c>
      <c r="AL150" s="315" t="str">
        <f t="shared" si="260"/>
        <v xml:space="preserve"> </v>
      </c>
      <c r="AM150" s="315" t="str">
        <f t="shared" si="261"/>
        <v xml:space="preserve"> </v>
      </c>
      <c r="AN150" s="315" t="str">
        <f t="shared" si="262"/>
        <v xml:space="preserve"> </v>
      </c>
      <c r="AO150" s="315" t="str">
        <f t="shared" si="263"/>
        <v xml:space="preserve"> </v>
      </c>
      <c r="AP150" s="315" t="str">
        <f t="shared" si="264"/>
        <v xml:space="preserve"> </v>
      </c>
      <c r="AQ150" s="315" t="str">
        <f t="shared" si="265"/>
        <v xml:space="preserve"> </v>
      </c>
      <c r="AR150" s="276"/>
      <c r="AS150" s="321" t="str">
        <f t="shared" si="269"/>
        <v xml:space="preserve"> </v>
      </c>
      <c r="AT150" s="324" t="str">
        <f t="shared" si="270"/>
        <v xml:space="preserve"> </v>
      </c>
      <c r="AU150" s="324" t="str">
        <f t="shared" si="271"/>
        <v xml:space="preserve"> </v>
      </c>
      <c r="AV150" s="324" t="str">
        <f t="shared" si="272"/>
        <v xml:space="preserve"> </v>
      </c>
      <c r="AW150" s="324" t="str">
        <f t="shared" si="273"/>
        <v xml:space="preserve"> </v>
      </c>
      <c r="AX150" s="324" t="str">
        <f t="shared" si="274"/>
        <v xml:space="preserve"> </v>
      </c>
      <c r="AY150" s="324" t="str">
        <f t="shared" si="275"/>
        <v xml:space="preserve"> </v>
      </c>
      <c r="AZ150" s="276"/>
      <c r="BA150" s="267" t="str">
        <f>IF($A150="N/A"," ",(IF(MONTH(A150)&gt;=4,IF(MONTH(A150)&lt;=10,Inputs!$F$13,Inputs!$F$14),Inputs!$F$14))*$BW150)</f>
        <v xml:space="preserve"> </v>
      </c>
      <c r="BB150" s="268" t="str">
        <f t="shared" si="266"/>
        <v xml:space="preserve"> </v>
      </c>
      <c r="BC150" s="268" t="str">
        <f t="shared" si="267"/>
        <v xml:space="preserve"> </v>
      </c>
      <c r="BD150" s="268" t="str">
        <f t="shared" si="234"/>
        <v xml:space="preserve"> </v>
      </c>
      <c r="BE150" s="268" t="str">
        <f t="shared" si="235"/>
        <v xml:space="preserve"> </v>
      </c>
      <c r="BF150" s="268" t="str">
        <f t="shared" si="236"/>
        <v xml:space="preserve"> </v>
      </c>
      <c r="BG150" s="268" t="str">
        <f t="shared" si="237"/>
        <v xml:space="preserve"> </v>
      </c>
      <c r="BH150" s="268" t="str">
        <f t="shared" si="258"/>
        <v xml:space="preserve"> </v>
      </c>
      <c r="BI150" s="268" t="str">
        <f t="shared" si="238"/>
        <v xml:space="preserve"> </v>
      </c>
      <c r="BJ150" s="296" t="str">
        <f t="shared" si="239"/>
        <v xml:space="preserve"> </v>
      </c>
      <c r="BK150" s="296" t="str">
        <f t="shared" si="240"/>
        <v xml:space="preserve"> </v>
      </c>
      <c r="BL150" s="296" t="str">
        <f t="shared" si="241"/>
        <v xml:space="preserve"> </v>
      </c>
      <c r="BM150" s="296" t="str">
        <f t="shared" si="242"/>
        <v xml:space="preserve"> </v>
      </c>
      <c r="BN150" s="405" t="str">
        <f>IF(A150="N/A"," ",(VLOOKUP(A150,PowerVolTable,(IF('Pricing Inputs'!$AT$3=2,7,IF('Pricing Inputs'!$AT$3=1,6,8))),FALSE)))</f>
        <v xml:space="preserve"> </v>
      </c>
      <c r="BO150" s="405" t="str">
        <f>IF(A150="N/A"," ",(VLOOKUP(A150,IntraPowerVol,(IF('Pricing Inputs'!$AT$3=2,3,IF('Pricing Inputs'!$AT$3=1,2,4))),FALSE)*VLOOKUP(MONTH($A150),Inputs!$A$28:$B$39,2)))</f>
        <v xml:space="preserve"> </v>
      </c>
      <c r="BP150" s="406" t="str">
        <f t="shared" si="227"/>
        <v xml:space="preserve"> </v>
      </c>
      <c r="BQ150" s="405" t="str">
        <f>IF($A150="N/A"," ",(VLOOKUP($A150,GasVolTable,(IF('Pricing Inputs'!$AT$3=2,6,IF('Pricing Inputs'!$AT$3=1,7,5))),FALSE)))</f>
        <v xml:space="preserve"> </v>
      </c>
      <c r="BR150" s="405" t="str">
        <f>IF($A150="N/A"," ",(VLOOKUP($A150,OmicronVol,(IF('Pricing Inputs'!$AT$3=2,3,IF('Pricing Inputs'!$AT$3=1,4,2))),FALSE)))</f>
        <v xml:space="preserve"> </v>
      </c>
      <c r="BS150" s="406" t="str">
        <f>IF($A150="N/A"," ",IF('Pricing Inputs'!$AN$3=1,(IF(DateToday&gt;$A150,$BR150,((($BQ150^2)*((($A150-1)-DateToday)/((EOMONTH($A150,0)+1)-DateToday-15)))+((($BR150)^2)*((15)/((EOMONTH($A150,0)+1)-DateToday-15))))^0.5)),0.0001))</f>
        <v xml:space="preserve"> </v>
      </c>
      <c r="BT150" s="405" t="str">
        <f>IF($A150="N/A"," ",IF('Pricing Inputs'!$AN$3=1,(VLOOKUP($A150,CorrelationTable,2,FALSE)),0))</f>
        <v xml:space="preserve"> </v>
      </c>
      <c r="BU150" s="407" t="str">
        <f>IF($A150="N/A"," ",F150+G150+(D150*(VLOOKUP($A150,'Gas Curves'!$B$17:$P$310,14,FALSE))))</f>
        <v xml:space="preserve"> </v>
      </c>
      <c r="BV150" s="405" t="str">
        <f>IF($A150="N/A"," ",IF('Pricing Inputs'!$AW$3=1,0,(VLOOKUP($A150,InterestRatesTable,2))))</f>
        <v xml:space="preserve"> </v>
      </c>
      <c r="BW150" s="408" t="str">
        <f t="shared" si="228"/>
        <v xml:space="preserve"> </v>
      </c>
    </row>
    <row r="151" spans="1:75">
      <c r="A151" s="248" t="str">
        <f>IF(A150="N/A","N/A",IF(EDATE(A150,1)&gt;Inputs!$K$3,"N/A",EDATE(A150,1)))</f>
        <v>N/A</v>
      </c>
      <c r="B151" s="262" t="str">
        <f t="shared" si="229"/>
        <v xml:space="preserve"> </v>
      </c>
      <c r="C151" s="249" t="str">
        <f t="shared" si="230"/>
        <v xml:space="preserve"> </v>
      </c>
      <c r="D151" s="250" t="str">
        <f>IF(A151="N/A"," ",(VLOOKUP(MONTH($A151),Inputs!$A$14:$B$25,2))/1000)</f>
        <v xml:space="preserve"> </v>
      </c>
      <c r="E151" s="304" t="str">
        <f t="shared" si="231"/>
        <v xml:space="preserve"> </v>
      </c>
      <c r="F151" s="251" t="str">
        <f>IF(A151="N/A"," ",Inputs!$F$6)</f>
        <v xml:space="preserve"> </v>
      </c>
      <c r="G151" s="251" t="str">
        <f>IF(A151="N/A"," ",Inputs!$F$9/IF(AND('Pricing Inputs'!$AQ$3&gt;=4,'Pricing Inputs'!$AQ$3&lt;=6),16,IF(AND('Pricing Inputs'!$AQ$3&gt;=7,'Pricing Inputs'!$AQ$3&lt;=9),8,24))/(BA151/BW151))</f>
        <v xml:space="preserve"> </v>
      </c>
      <c r="H151" s="252" t="str">
        <f t="shared" si="232"/>
        <v xml:space="preserve"> </v>
      </c>
      <c r="I151" s="255" t="str">
        <f>VLOOKUP(A151,ScaledPrice,(IF(AND('Pricing Inputs'!$AQ$3&gt;=1,'Pricing Inputs'!$AQ$3&lt;=6),2,4)))</f>
        <v xml:space="preserve"> </v>
      </c>
      <c r="J151" s="255" t="str">
        <f>IF(A151="N/A"," ",IF(AND('Pricing Inputs'!$AQ$3&gt;=1,'Pricing Inputs'!$AQ$3&lt;=6),I151,(VLOOKUP(A151,ScaledPrice,2))*(2-(VLOOKUP(A151,ScaledPrice,3)))))</f>
        <v xml:space="preserve"> </v>
      </c>
      <c r="K151" s="255" t="str">
        <f>IF(A151="N/A"," ",IF(OR('Pricing Inputs'!$AQ$3=2,'Pricing Inputs'!$AQ$3=3,'Pricing Inputs'!$AQ$3=5,'Pricing Inputs'!$AQ$3=6,'Pricing Inputs'!$AQ$3=8,'Pricing Inputs'!$AQ$3=9),VLOOKUP(A151,ScaledPrice,IF(AND('Pricing Inputs'!$AQ$3&gt;=2,'Pricing Inputs'!$AQ$3&lt;=6),5,6)),0))</f>
        <v xml:space="preserve"> </v>
      </c>
      <c r="L151" s="255" t="str">
        <f>IF(A151="N/A"," ",IF(OR('Pricing Inputs'!$AQ$3=2,'Pricing Inputs'!$AQ$3=3,'Pricing Inputs'!$AQ$3=5,'Pricing Inputs'!$AQ$3=6,'Pricing Inputs'!$AQ$3=8,'Pricing Inputs'!$AQ$3=9),IF(AND('Pricing Inputs'!$AQ$3&gt;=2,'Pricing Inputs'!$AQ$3&lt;=6),K151,(VLOOKUP(A151,ScaledPrice,5))*(2-(VLOOKUP(A151,ScaledPrice,3)))),0))</f>
        <v xml:space="preserve"> </v>
      </c>
      <c r="M151" s="255" t="str">
        <f>IF(A151="N/A"," ",IF(OR('Pricing Inputs'!$AQ$3=3,'Pricing Inputs'!$AQ$3=6,'Pricing Inputs'!$AQ$3=9),(VLOOKUP(A151,ScaledPrice,IF(AND('Pricing Inputs'!$AQ$3&gt;=3,'Pricing Inputs'!$AQ$3&lt;=6),7,8))),0))</f>
        <v xml:space="preserve"> </v>
      </c>
      <c r="N151" s="255" t="str">
        <f>IF(A151="N/A"," ",IF(OR('Pricing Inputs'!$AQ$3=3,'Pricing Inputs'!$AQ$3=6,'Pricing Inputs'!$AQ$3=9),IF(AND('Pricing Inputs'!$AQ$3&gt;=3,'Pricing Inputs'!$AQ$3&lt;=6),M151,(VLOOKUP(A151,ScaledPrice,7))*(2-(VLOOKUP(A151,ScaledPrice,3)))),0))</f>
        <v xml:space="preserve"> </v>
      </c>
      <c r="O151" s="255" t="str">
        <f>IF(A151="N/A"," ",IF(AND('Pricing Inputs'!$AQ$3&gt;=1,'Pricing Inputs'!$AQ$3&lt;=3),VLOOKUP(A151,ScaledPrice,9),0))</f>
        <v xml:space="preserve"> </v>
      </c>
      <c r="P151" s="320" t="str">
        <f>IF($A151="N/A"," ",IF('Pricing Inputs'!$AN$8=2,(I151-H151),IF('Pricing Inputs'!$AN$3=2,IF((I151-$H151)&gt;0,I151-$H151,0),(_xll.xSPRDOPT(I151,$E151,$BU151,0,$BP151,$BS151,$BT151,($A151-Inputs!$D$1)+15,1,0)))))</f>
        <v xml:space="preserve"> </v>
      </c>
      <c r="Q151" s="320" t="str">
        <f>IF($A151="N/A"," ",IF('Pricing Inputs'!$AN$8=2,(J151-$H151),IF('Pricing Inputs'!$AN$3=2,IF((J151-$H151)&gt;0,J151-$H151,0),(_xll.xSPRDOPT(J151,$E151,$BU151,0,$BP151,$BS151,$BT151,($A151-Inputs!$D$1)+15,1,0)))))</f>
        <v xml:space="preserve"> </v>
      </c>
      <c r="R151" s="320" t="str">
        <f>IF($A151="N/A"," ",IF('Pricing Inputs'!$AN$8=2,(K151-$H151),IF('Pricing Inputs'!$AN$3=2,IF((K151-$H151)&gt;0,K151-$H151,0),(_xll.xSPRDOPT(K151,$E151,$BU151,0,$BP151,$BS151,$BT151,($A151-Inputs!$D$1)+15,1,0)))))</f>
        <v xml:space="preserve"> </v>
      </c>
      <c r="S151" s="320" t="str">
        <f>IF($A151="N/A"," ",IF('Pricing Inputs'!$AN$8=2,(L151-$H151),IF('Pricing Inputs'!$AN$3=2,IF((L151-$H151)&gt;0,L151-$H151,0),(_xll.xSPRDOPT(L151,$E151,$BU151,0,$BP151,$BS151,$BT151,($A151-Inputs!$D$1)+15,1,0)))))</f>
        <v xml:space="preserve"> </v>
      </c>
      <c r="T151" s="320" t="str">
        <f>IF($A151="N/A"," ",IF('Pricing Inputs'!$AN$8=2,(M151-$H151),IF('Pricing Inputs'!$AN$3=2,IF((M151-$H151)&gt;0,M151-$H151,0),(_xll.xSPRDOPT(M151,$E151,$BU151,0,$BP151,$BS151,$BT151,($A151-Inputs!$D$1)+15,1,0)))))</f>
        <v xml:space="preserve"> </v>
      </c>
      <c r="U151" s="320" t="str">
        <f>IF($A151="N/A"," ",IF('Pricing Inputs'!$AN$8=2,(N151-$H151),IF('Pricing Inputs'!$AN$3=2,IF((N151-$H151)&gt;0,N151-$H151,0),(_xll.xSPRDOPT(N151,$E151,$BU151,0,$BP151,$BS151,$BT151,($A151-Inputs!$D$1)+15,1,0)))))</f>
        <v xml:space="preserve"> </v>
      </c>
      <c r="V151" s="259" t="str">
        <f>IF($A151="N/A"," ",(IF('Pricing Inputs'!$AN$8=2,(O151-$H151),IF((O151-$H151)&lt;=0,0,(O151-$H151)))))</f>
        <v xml:space="preserve"> </v>
      </c>
      <c r="W151" s="306" t="str">
        <f>IF($A151="N/A"," ",IF(0&lt;&gt;P151,IF('Pricing Inputs'!$AN$3=2,8*VLOOKUP($A151,NumberofDaysTable,2),(_xll.xSPRDOPT(I151,$E151,$BU151,0,$BP151,$BS151,$BT151,$A151-Inputs!$D$1,1,1))*(8*VLOOKUP($A151,NumberofDaysTable,2))),0))</f>
        <v xml:space="preserve"> </v>
      </c>
      <c r="X151" s="306" t="str">
        <f>IF($A151="N/A"," ",IF(Q151&lt;&gt;0,IF('Pricing Inputs'!$AN$3=2,8*VLOOKUP($A151,NumberofDaysTable,2),(_xll.xSPRDOPT(J151,$E151,$BU151,0,$BP151,$BS151,$BT151,$A151-Inputs!$D$1,1,1))*(8*VLOOKUP($A151,NumberofDaysTable,2))),0))</f>
        <v xml:space="preserve"> </v>
      </c>
      <c r="Y151" s="306" t="str">
        <f>IF($A151="N/A"," ",IF(R151&lt;&gt;0,IF('Pricing Inputs'!$AN$3=2,8*VLOOKUP($A151,NumberofDaysTable,3),(_xll.xSPRDOPT(K151,$E151,$BU151,0,$BP151,$BS151,$BT151,$A151-Inputs!$D$1,1,1))*(8*VLOOKUP($A151,NumberofDaysTable,3))),0))</f>
        <v xml:space="preserve"> </v>
      </c>
      <c r="Z151" s="306" t="str">
        <f>IF($A151="N/A"," ",IF(S151&lt;&gt;0,IF('Pricing Inputs'!$AN$3=2,8*VLOOKUP($A151,NumberofDaysTable,3),(_xll.xSPRDOPT(L151,$E151,$BU151,0,$BP151,$BS151,$BT151,$A151-Inputs!$D$1,1,1))*(8*VLOOKUP($A151,NumberofDaysTable,3))),0))</f>
        <v xml:space="preserve"> </v>
      </c>
      <c r="AA151" s="306" t="str">
        <f>IF($A151="N/A"," ",IF(T151&lt;&gt;0,IF('Pricing Inputs'!$AN$3=2,8*VLOOKUP($A151,NumberofDaysTable,4),(_xll.xSPRDOPT(M151,$E151,$BU151,0,$BP151,$BS151,$BT151,$A151-Inputs!$D$1,1,1))*(8*VLOOKUP($A151,NumberofDaysTable,4))),0))</f>
        <v xml:space="preserve"> </v>
      </c>
      <c r="AB151" s="306" t="str">
        <f>IF($A151="N/A"," ",IF(U151&lt;&gt;0,IF('Pricing Inputs'!$AN$3=2,8*VLOOKUP($A151,NumberofDaysTable,4),(_xll.xSPRDOPT(N151,$E151,$BU151,0,$BP151,$BS151,$BT151,$A151-Inputs!$D$1,1,1))*(8*VLOOKUP($A151,NumberofDaysTable,4))),0))</f>
        <v xml:space="preserve"> </v>
      </c>
      <c r="AC151" s="306" t="str">
        <f t="shared" si="233"/>
        <v xml:space="preserve"> </v>
      </c>
      <c r="AD151" s="274" t="str">
        <f t="shared" si="276"/>
        <v xml:space="preserve"> </v>
      </c>
      <c r="AE151" s="275" t="str">
        <f t="shared" si="277"/>
        <v xml:space="preserve"> </v>
      </c>
      <c r="AF151" s="275" t="str">
        <f t="shared" si="278"/>
        <v xml:space="preserve"> </v>
      </c>
      <c r="AG151" s="275" t="str">
        <f t="shared" si="279"/>
        <v xml:space="preserve"> </v>
      </c>
      <c r="AH151" s="275" t="str">
        <f t="shared" si="280"/>
        <v xml:space="preserve"> </v>
      </c>
      <c r="AI151" s="275" t="str">
        <f t="shared" si="281"/>
        <v xml:space="preserve"> </v>
      </c>
      <c r="AJ151" s="276" t="str">
        <f t="shared" si="282"/>
        <v xml:space="preserve"> </v>
      </c>
      <c r="AK151" s="314" t="str">
        <f t="shared" si="259"/>
        <v xml:space="preserve"> </v>
      </c>
      <c r="AL151" s="315" t="str">
        <f t="shared" si="260"/>
        <v xml:space="preserve"> </v>
      </c>
      <c r="AM151" s="315" t="str">
        <f t="shared" si="261"/>
        <v xml:space="preserve"> </v>
      </c>
      <c r="AN151" s="315" t="str">
        <f t="shared" si="262"/>
        <v xml:space="preserve"> </v>
      </c>
      <c r="AO151" s="315" t="str">
        <f t="shared" si="263"/>
        <v xml:space="preserve"> </v>
      </c>
      <c r="AP151" s="315" t="str">
        <f t="shared" si="264"/>
        <v xml:space="preserve"> </v>
      </c>
      <c r="AQ151" s="315" t="str">
        <f t="shared" si="265"/>
        <v xml:space="preserve"> </v>
      </c>
      <c r="AR151" s="276"/>
      <c r="AS151" s="321" t="str">
        <f t="shared" si="269"/>
        <v xml:space="preserve"> </v>
      </c>
      <c r="AT151" s="324" t="str">
        <f t="shared" si="270"/>
        <v xml:space="preserve"> </v>
      </c>
      <c r="AU151" s="324" t="str">
        <f t="shared" si="271"/>
        <v xml:space="preserve"> </v>
      </c>
      <c r="AV151" s="324" t="str">
        <f t="shared" si="272"/>
        <v xml:space="preserve"> </v>
      </c>
      <c r="AW151" s="324" t="str">
        <f t="shared" si="273"/>
        <v xml:space="preserve"> </v>
      </c>
      <c r="AX151" s="324" t="str">
        <f t="shared" si="274"/>
        <v xml:space="preserve"> </v>
      </c>
      <c r="AY151" s="324" t="str">
        <f t="shared" si="275"/>
        <v xml:space="preserve"> </v>
      </c>
      <c r="AZ151" s="276"/>
      <c r="BA151" s="267" t="str">
        <f>IF($A151="N/A"," ",(IF(MONTH(A151)&gt;=4,IF(MONTH(A151)&lt;=10,Inputs!$F$13,Inputs!$F$14),Inputs!$F$14))*$BW151)</f>
        <v xml:space="preserve"> </v>
      </c>
      <c r="BB151" s="268" t="str">
        <f t="shared" si="266"/>
        <v xml:space="preserve"> </v>
      </c>
      <c r="BC151" s="268" t="str">
        <f t="shared" si="267"/>
        <v xml:space="preserve"> </v>
      </c>
      <c r="BD151" s="268" t="str">
        <f t="shared" si="234"/>
        <v xml:space="preserve"> </v>
      </c>
      <c r="BE151" s="268" t="str">
        <f t="shared" si="235"/>
        <v xml:space="preserve"> </v>
      </c>
      <c r="BF151" s="268" t="str">
        <f t="shared" si="236"/>
        <v xml:space="preserve"> </v>
      </c>
      <c r="BG151" s="268" t="str">
        <f t="shared" si="237"/>
        <v xml:space="preserve"> </v>
      </c>
      <c r="BH151" s="268" t="str">
        <f t="shared" si="258"/>
        <v xml:space="preserve"> </v>
      </c>
      <c r="BI151" s="268" t="str">
        <f t="shared" si="238"/>
        <v xml:space="preserve"> </v>
      </c>
      <c r="BJ151" s="296" t="str">
        <f t="shared" si="239"/>
        <v xml:space="preserve"> </v>
      </c>
      <c r="BK151" s="296" t="str">
        <f t="shared" si="240"/>
        <v xml:space="preserve"> </v>
      </c>
      <c r="BL151" s="296" t="str">
        <f t="shared" si="241"/>
        <v xml:space="preserve"> </v>
      </c>
      <c r="BM151" s="296" t="str">
        <f t="shared" si="242"/>
        <v xml:space="preserve"> </v>
      </c>
      <c r="BN151" s="405" t="str">
        <f>IF(A151="N/A"," ",(VLOOKUP(A151,PowerVolTable,(IF('Pricing Inputs'!$AT$3=2,7,IF('Pricing Inputs'!$AT$3=1,6,8))),FALSE)))</f>
        <v xml:space="preserve"> </v>
      </c>
      <c r="BO151" s="405" t="str">
        <f>IF(A151="N/A"," ",(VLOOKUP(A151,IntraPowerVol,(IF('Pricing Inputs'!$AT$3=2,3,IF('Pricing Inputs'!$AT$3=1,2,4))),FALSE)*VLOOKUP(MONTH($A151),Inputs!$A$28:$B$39,2)))</f>
        <v xml:space="preserve"> </v>
      </c>
      <c r="BP151" s="406" t="str">
        <f t="shared" si="227"/>
        <v xml:space="preserve"> </v>
      </c>
      <c r="BQ151" s="405" t="str">
        <f>IF($A151="N/A"," ",(VLOOKUP($A151,GasVolTable,(IF('Pricing Inputs'!$AT$3=2,6,IF('Pricing Inputs'!$AT$3=1,7,5))),FALSE)))</f>
        <v xml:space="preserve"> </v>
      </c>
      <c r="BR151" s="405" t="str">
        <f>IF($A151="N/A"," ",(VLOOKUP($A151,OmicronVol,(IF('Pricing Inputs'!$AT$3=2,3,IF('Pricing Inputs'!$AT$3=1,4,2))),FALSE)))</f>
        <v xml:space="preserve"> </v>
      </c>
      <c r="BS151" s="406" t="str">
        <f>IF($A151="N/A"," ",IF('Pricing Inputs'!$AN$3=1,(IF(DateToday&gt;$A151,$BR151,((($BQ151^2)*((($A151-1)-DateToday)/((EOMONTH($A151,0)+1)-DateToday-15)))+((($BR151)^2)*((15)/((EOMONTH($A151,0)+1)-DateToday-15))))^0.5)),0.0001))</f>
        <v xml:space="preserve"> </v>
      </c>
      <c r="BT151" s="405" t="str">
        <f>IF($A151="N/A"," ",IF('Pricing Inputs'!$AN$3=1,(VLOOKUP($A151,CorrelationTable,2,FALSE)),0))</f>
        <v xml:space="preserve"> </v>
      </c>
      <c r="BU151" s="407" t="str">
        <f>IF($A151="N/A"," ",F151+G151+(D151*(VLOOKUP($A151,'Gas Curves'!$B$17:$P$310,14,FALSE))))</f>
        <v xml:space="preserve"> </v>
      </c>
      <c r="BV151" s="405" t="str">
        <f>IF($A151="N/A"," ",IF('Pricing Inputs'!$AW$3=1,0,(VLOOKUP($A151,InterestRatesTable,2))))</f>
        <v xml:space="preserve"> </v>
      </c>
      <c r="BW151" s="408" t="str">
        <f t="shared" si="228"/>
        <v xml:space="preserve"> </v>
      </c>
    </row>
    <row r="152" spans="1:75">
      <c r="A152" s="248" t="str">
        <f>IF(A151="N/A","N/A",IF(EDATE(A151,1)&gt;Inputs!$K$3,"N/A",EDATE(A151,1)))</f>
        <v>N/A</v>
      </c>
      <c r="B152" s="262" t="str">
        <f t="shared" si="229"/>
        <v xml:space="preserve"> </v>
      </c>
      <c r="C152" s="249" t="str">
        <f t="shared" si="230"/>
        <v xml:space="preserve"> </v>
      </c>
      <c r="D152" s="250" t="str">
        <f>IF(A152="N/A"," ",(VLOOKUP(MONTH($A152),Inputs!$A$14:$B$25,2))/1000)</f>
        <v xml:space="preserve"> </v>
      </c>
      <c r="E152" s="304" t="str">
        <f t="shared" si="231"/>
        <v xml:space="preserve"> </v>
      </c>
      <c r="F152" s="251" t="str">
        <f>IF(A152="N/A"," ",Inputs!$F$6)</f>
        <v xml:space="preserve"> </v>
      </c>
      <c r="G152" s="251" t="str">
        <f>IF(A152="N/A"," ",Inputs!$F$9/IF(AND('Pricing Inputs'!$AQ$3&gt;=4,'Pricing Inputs'!$AQ$3&lt;=6),16,IF(AND('Pricing Inputs'!$AQ$3&gt;=7,'Pricing Inputs'!$AQ$3&lt;=9),8,24))/(BA152/BW152))</f>
        <v xml:space="preserve"> </v>
      </c>
      <c r="H152" s="252" t="str">
        <f t="shared" si="232"/>
        <v xml:space="preserve"> </v>
      </c>
      <c r="I152" s="255" t="str">
        <f>VLOOKUP(A152,ScaledPrice,(IF(AND('Pricing Inputs'!$AQ$3&gt;=1,'Pricing Inputs'!$AQ$3&lt;=6),2,4)))</f>
        <v xml:space="preserve"> </v>
      </c>
      <c r="J152" s="255" t="str">
        <f>IF(A152="N/A"," ",IF(AND('Pricing Inputs'!$AQ$3&gt;=1,'Pricing Inputs'!$AQ$3&lt;=6),I152,(VLOOKUP(A152,ScaledPrice,2))*(2-(VLOOKUP(A152,ScaledPrice,3)))))</f>
        <v xml:space="preserve"> </v>
      </c>
      <c r="K152" s="255" t="str">
        <f>IF(A152="N/A"," ",IF(OR('Pricing Inputs'!$AQ$3=2,'Pricing Inputs'!$AQ$3=3,'Pricing Inputs'!$AQ$3=5,'Pricing Inputs'!$AQ$3=6,'Pricing Inputs'!$AQ$3=8,'Pricing Inputs'!$AQ$3=9),VLOOKUP(A152,ScaledPrice,IF(AND('Pricing Inputs'!$AQ$3&gt;=2,'Pricing Inputs'!$AQ$3&lt;=6),5,6)),0))</f>
        <v xml:space="preserve"> </v>
      </c>
      <c r="L152" s="255" t="str">
        <f>IF(A152="N/A"," ",IF(OR('Pricing Inputs'!$AQ$3=2,'Pricing Inputs'!$AQ$3=3,'Pricing Inputs'!$AQ$3=5,'Pricing Inputs'!$AQ$3=6,'Pricing Inputs'!$AQ$3=8,'Pricing Inputs'!$AQ$3=9),IF(AND('Pricing Inputs'!$AQ$3&gt;=2,'Pricing Inputs'!$AQ$3&lt;=6),K152,(VLOOKUP(A152,ScaledPrice,5))*(2-(VLOOKUP(A152,ScaledPrice,3)))),0))</f>
        <v xml:space="preserve"> </v>
      </c>
      <c r="M152" s="255" t="str">
        <f>IF(A152="N/A"," ",IF(OR('Pricing Inputs'!$AQ$3=3,'Pricing Inputs'!$AQ$3=6,'Pricing Inputs'!$AQ$3=9),(VLOOKUP(A152,ScaledPrice,IF(AND('Pricing Inputs'!$AQ$3&gt;=3,'Pricing Inputs'!$AQ$3&lt;=6),7,8))),0))</f>
        <v xml:space="preserve"> </v>
      </c>
      <c r="N152" s="255" t="str">
        <f>IF(A152="N/A"," ",IF(OR('Pricing Inputs'!$AQ$3=3,'Pricing Inputs'!$AQ$3=6,'Pricing Inputs'!$AQ$3=9),IF(AND('Pricing Inputs'!$AQ$3&gt;=3,'Pricing Inputs'!$AQ$3&lt;=6),M152,(VLOOKUP(A152,ScaledPrice,7))*(2-(VLOOKUP(A152,ScaledPrice,3)))),0))</f>
        <v xml:space="preserve"> </v>
      </c>
      <c r="O152" s="255" t="str">
        <f>IF(A152="N/A"," ",IF(AND('Pricing Inputs'!$AQ$3&gt;=1,'Pricing Inputs'!$AQ$3&lt;=3),VLOOKUP(A152,ScaledPrice,9),0))</f>
        <v xml:space="preserve"> </v>
      </c>
      <c r="P152" s="320" t="str">
        <f>IF($A152="N/A"," ",IF('Pricing Inputs'!$AN$8=2,(I152-H152),IF('Pricing Inputs'!$AN$3=2,IF((I152-$H152)&gt;0,I152-$H152,0),(_xll.xSPRDOPT(I152,$E152,$BU152,0,$BP152,$BS152,$BT152,($A152-Inputs!$D$1)+15,1,0)))))</f>
        <v xml:space="preserve"> </v>
      </c>
      <c r="Q152" s="320" t="str">
        <f>IF($A152="N/A"," ",IF('Pricing Inputs'!$AN$8=2,(J152-$H152),IF('Pricing Inputs'!$AN$3=2,IF((J152-$H152)&gt;0,J152-$H152,0),(_xll.xSPRDOPT(J152,$E152,$BU152,0,$BP152,$BS152,$BT152,($A152-Inputs!$D$1)+15,1,0)))))</f>
        <v xml:space="preserve"> </v>
      </c>
      <c r="R152" s="320" t="str">
        <f>IF($A152="N/A"," ",IF('Pricing Inputs'!$AN$8=2,(K152-$H152),IF('Pricing Inputs'!$AN$3=2,IF((K152-$H152)&gt;0,K152-$H152,0),(_xll.xSPRDOPT(K152,$E152,$BU152,0,$BP152,$BS152,$BT152,($A152-Inputs!$D$1)+15,1,0)))))</f>
        <v xml:space="preserve"> </v>
      </c>
      <c r="S152" s="320" t="str">
        <f>IF($A152="N/A"," ",IF('Pricing Inputs'!$AN$8=2,(L152-$H152),IF('Pricing Inputs'!$AN$3=2,IF((L152-$H152)&gt;0,L152-$H152,0),(_xll.xSPRDOPT(L152,$E152,$BU152,0,$BP152,$BS152,$BT152,($A152-Inputs!$D$1)+15,1,0)))))</f>
        <v xml:space="preserve"> </v>
      </c>
      <c r="T152" s="320" t="str">
        <f>IF($A152="N/A"," ",IF('Pricing Inputs'!$AN$8=2,(M152-$H152),IF('Pricing Inputs'!$AN$3=2,IF((M152-$H152)&gt;0,M152-$H152,0),(_xll.xSPRDOPT(M152,$E152,$BU152,0,$BP152,$BS152,$BT152,($A152-Inputs!$D$1)+15,1,0)))))</f>
        <v xml:space="preserve"> </v>
      </c>
      <c r="U152" s="320" t="str">
        <f>IF($A152="N/A"," ",IF('Pricing Inputs'!$AN$8=2,(N152-$H152),IF('Pricing Inputs'!$AN$3=2,IF((N152-$H152)&gt;0,N152-$H152,0),(_xll.xSPRDOPT(N152,$E152,$BU152,0,$BP152,$BS152,$BT152,($A152-Inputs!$D$1)+15,1,0)))))</f>
        <v xml:space="preserve"> </v>
      </c>
      <c r="V152" s="259" t="str">
        <f>IF($A152="N/A"," ",(IF('Pricing Inputs'!$AN$8=2,(O152-$H152),IF((O152-$H152)&lt;=0,0,(O152-$H152)))))</f>
        <v xml:space="preserve"> </v>
      </c>
      <c r="W152" s="306" t="str">
        <f>IF($A152="N/A"," ",IF(0&lt;&gt;P152,IF('Pricing Inputs'!$AN$3=2,8*VLOOKUP($A152,NumberofDaysTable,2),(_xll.xSPRDOPT(I152,$E152,$BU152,0,$BP152,$BS152,$BT152,$A152-Inputs!$D$1,1,1))*(8*VLOOKUP($A152,NumberofDaysTable,2))),0))</f>
        <v xml:space="preserve"> </v>
      </c>
      <c r="X152" s="306" t="str">
        <f>IF($A152="N/A"," ",IF(Q152&lt;&gt;0,IF('Pricing Inputs'!$AN$3=2,8*VLOOKUP($A152,NumberofDaysTable,2),(_xll.xSPRDOPT(J152,$E152,$BU152,0,$BP152,$BS152,$BT152,$A152-Inputs!$D$1,1,1))*(8*VLOOKUP($A152,NumberofDaysTable,2))),0))</f>
        <v xml:space="preserve"> </v>
      </c>
      <c r="Y152" s="306" t="str">
        <f>IF($A152="N/A"," ",IF(R152&lt;&gt;0,IF('Pricing Inputs'!$AN$3=2,8*VLOOKUP($A152,NumberofDaysTable,3),(_xll.xSPRDOPT(K152,$E152,$BU152,0,$BP152,$BS152,$BT152,$A152-Inputs!$D$1,1,1))*(8*VLOOKUP($A152,NumberofDaysTable,3))),0))</f>
        <v xml:space="preserve"> </v>
      </c>
      <c r="Z152" s="306" t="str">
        <f>IF($A152="N/A"," ",IF(S152&lt;&gt;0,IF('Pricing Inputs'!$AN$3=2,8*VLOOKUP($A152,NumberofDaysTable,3),(_xll.xSPRDOPT(L152,$E152,$BU152,0,$BP152,$BS152,$BT152,$A152-Inputs!$D$1,1,1))*(8*VLOOKUP($A152,NumberofDaysTable,3))),0))</f>
        <v xml:space="preserve"> </v>
      </c>
      <c r="AA152" s="306" t="str">
        <f>IF($A152="N/A"," ",IF(T152&lt;&gt;0,IF('Pricing Inputs'!$AN$3=2,8*VLOOKUP($A152,NumberofDaysTable,4),(_xll.xSPRDOPT(M152,$E152,$BU152,0,$BP152,$BS152,$BT152,$A152-Inputs!$D$1,1,1))*(8*VLOOKUP($A152,NumberofDaysTable,4))),0))</f>
        <v xml:space="preserve"> </v>
      </c>
      <c r="AB152" s="306" t="str">
        <f>IF($A152="N/A"," ",IF(U152&lt;&gt;0,IF('Pricing Inputs'!$AN$3=2,8*VLOOKUP($A152,NumberofDaysTable,4),(_xll.xSPRDOPT(N152,$E152,$BU152,0,$BP152,$BS152,$BT152,$A152-Inputs!$D$1,1,1))*(8*VLOOKUP($A152,NumberofDaysTable,4))),0))</f>
        <v xml:space="preserve"> </v>
      </c>
      <c r="AC152" s="306" t="str">
        <f t="shared" si="233"/>
        <v xml:space="preserve"> </v>
      </c>
      <c r="AD152" s="274" t="str">
        <f t="shared" si="276"/>
        <v xml:space="preserve"> </v>
      </c>
      <c r="AE152" s="275" t="str">
        <f t="shared" si="277"/>
        <v xml:space="preserve"> </v>
      </c>
      <c r="AF152" s="275" t="str">
        <f t="shared" si="278"/>
        <v xml:space="preserve"> </v>
      </c>
      <c r="AG152" s="275" t="str">
        <f t="shared" si="279"/>
        <v xml:space="preserve"> </v>
      </c>
      <c r="AH152" s="275" t="str">
        <f t="shared" si="280"/>
        <v xml:space="preserve"> </v>
      </c>
      <c r="AI152" s="275" t="str">
        <f t="shared" si="281"/>
        <v xml:space="preserve"> </v>
      </c>
      <c r="AJ152" s="276" t="str">
        <f t="shared" si="282"/>
        <v xml:space="preserve"> </v>
      </c>
      <c r="AK152" s="314" t="str">
        <f t="shared" si="259"/>
        <v xml:space="preserve"> </v>
      </c>
      <c r="AL152" s="315" t="str">
        <f t="shared" si="260"/>
        <v xml:space="preserve"> </v>
      </c>
      <c r="AM152" s="315" t="str">
        <f t="shared" si="261"/>
        <v xml:space="preserve"> </v>
      </c>
      <c r="AN152" s="315" t="str">
        <f t="shared" si="262"/>
        <v xml:space="preserve"> </v>
      </c>
      <c r="AO152" s="315" t="str">
        <f t="shared" si="263"/>
        <v xml:space="preserve"> </v>
      </c>
      <c r="AP152" s="315" t="str">
        <f t="shared" si="264"/>
        <v xml:space="preserve"> </v>
      </c>
      <c r="AQ152" s="315" t="str">
        <f t="shared" si="265"/>
        <v xml:space="preserve"> </v>
      </c>
      <c r="AR152" s="276"/>
      <c r="AS152" s="321" t="str">
        <f t="shared" si="269"/>
        <v xml:space="preserve"> </v>
      </c>
      <c r="AT152" s="324" t="str">
        <f t="shared" si="270"/>
        <v xml:space="preserve"> </v>
      </c>
      <c r="AU152" s="324" t="str">
        <f t="shared" si="271"/>
        <v xml:space="preserve"> </v>
      </c>
      <c r="AV152" s="324" t="str">
        <f t="shared" si="272"/>
        <v xml:space="preserve"> </v>
      </c>
      <c r="AW152" s="324" t="str">
        <f t="shared" si="273"/>
        <v xml:space="preserve"> </v>
      </c>
      <c r="AX152" s="324" t="str">
        <f t="shared" si="274"/>
        <v xml:space="preserve"> </v>
      </c>
      <c r="AY152" s="324" t="str">
        <f t="shared" si="275"/>
        <v xml:space="preserve"> </v>
      </c>
      <c r="AZ152" s="276"/>
      <c r="BA152" s="267" t="str">
        <f>IF($A152="N/A"," ",(IF(MONTH(A152)&gt;=4,IF(MONTH(A152)&lt;=10,Inputs!$F$13,Inputs!$F$14),Inputs!$F$14))*$BW152)</f>
        <v xml:space="preserve"> </v>
      </c>
      <c r="BB152" s="268" t="str">
        <f t="shared" si="266"/>
        <v xml:space="preserve"> </v>
      </c>
      <c r="BC152" s="268" t="str">
        <f t="shared" si="267"/>
        <v xml:space="preserve"> </v>
      </c>
      <c r="BD152" s="268" t="str">
        <f t="shared" si="234"/>
        <v xml:space="preserve"> </v>
      </c>
      <c r="BE152" s="268" t="str">
        <f t="shared" si="235"/>
        <v xml:space="preserve"> </v>
      </c>
      <c r="BF152" s="268" t="str">
        <f t="shared" si="236"/>
        <v xml:space="preserve"> </v>
      </c>
      <c r="BG152" s="268" t="str">
        <f t="shared" si="237"/>
        <v xml:space="preserve"> </v>
      </c>
      <c r="BH152" s="268" t="str">
        <f t="shared" si="258"/>
        <v xml:space="preserve"> </v>
      </c>
      <c r="BI152" s="268" t="str">
        <f t="shared" si="238"/>
        <v xml:space="preserve"> </v>
      </c>
      <c r="BJ152" s="296" t="str">
        <f t="shared" si="239"/>
        <v xml:space="preserve"> </v>
      </c>
      <c r="BK152" s="296" t="str">
        <f t="shared" si="240"/>
        <v xml:space="preserve"> </v>
      </c>
      <c r="BL152" s="296" t="str">
        <f t="shared" si="241"/>
        <v xml:space="preserve"> </v>
      </c>
      <c r="BM152" s="296" t="str">
        <f t="shared" si="242"/>
        <v xml:space="preserve"> </v>
      </c>
      <c r="BN152" s="405" t="str">
        <f>IF(A152="N/A"," ",(VLOOKUP(A152,PowerVolTable,(IF('Pricing Inputs'!$AT$3=2,7,IF('Pricing Inputs'!$AT$3=1,6,8))),FALSE)))</f>
        <v xml:space="preserve"> </v>
      </c>
      <c r="BO152" s="405" t="str">
        <f>IF(A152="N/A"," ",(VLOOKUP(A152,IntraPowerVol,(IF('Pricing Inputs'!$AT$3=2,3,IF('Pricing Inputs'!$AT$3=1,2,4))),FALSE)*VLOOKUP(MONTH($A152),Inputs!$A$28:$B$39,2)))</f>
        <v xml:space="preserve"> </v>
      </c>
      <c r="BP152" s="406" t="str">
        <f t="shared" si="227"/>
        <v xml:space="preserve"> </v>
      </c>
      <c r="BQ152" s="405" t="str">
        <f>IF($A152="N/A"," ",(VLOOKUP($A152,GasVolTable,(IF('Pricing Inputs'!$AT$3=2,6,IF('Pricing Inputs'!$AT$3=1,7,5))),FALSE)))</f>
        <v xml:space="preserve"> </v>
      </c>
      <c r="BR152" s="405" t="str">
        <f>IF($A152="N/A"," ",(VLOOKUP($A152,OmicronVol,(IF('Pricing Inputs'!$AT$3=2,3,IF('Pricing Inputs'!$AT$3=1,4,2))),FALSE)))</f>
        <v xml:space="preserve"> </v>
      </c>
      <c r="BS152" s="406" t="str">
        <f>IF($A152="N/A"," ",IF('Pricing Inputs'!$AN$3=1,(IF(DateToday&gt;$A152,$BR152,((($BQ152^2)*((($A152-1)-DateToday)/((EOMONTH($A152,0)+1)-DateToday-15)))+((($BR152)^2)*((15)/((EOMONTH($A152,0)+1)-DateToday-15))))^0.5)),0.0001))</f>
        <v xml:space="preserve"> </v>
      </c>
      <c r="BT152" s="405" t="str">
        <f>IF($A152="N/A"," ",IF('Pricing Inputs'!$AN$3=1,(VLOOKUP($A152,CorrelationTable,2,FALSE)),0))</f>
        <v xml:space="preserve"> </v>
      </c>
      <c r="BU152" s="407" t="str">
        <f>IF($A152="N/A"," ",F152+G152+(D152*(VLOOKUP($A152,'Gas Curves'!$B$17:$P$310,14,FALSE))))</f>
        <v xml:space="preserve"> </v>
      </c>
      <c r="BV152" s="405" t="str">
        <f>IF($A152="N/A"," ",IF('Pricing Inputs'!$AW$3=1,0,(VLOOKUP($A152,InterestRatesTable,2))))</f>
        <v xml:space="preserve"> </v>
      </c>
      <c r="BW152" s="408" t="str">
        <f t="shared" si="228"/>
        <v xml:space="preserve"> </v>
      </c>
    </row>
    <row r="153" spans="1:75">
      <c r="A153" s="248" t="str">
        <f>IF(A152="N/A","N/A",IF(EDATE(A152,1)&gt;Inputs!$K$3,"N/A",EDATE(A152,1)))</f>
        <v>N/A</v>
      </c>
      <c r="B153" s="262" t="str">
        <f t="shared" si="229"/>
        <v xml:space="preserve"> </v>
      </c>
      <c r="C153" s="249" t="str">
        <f t="shared" si="230"/>
        <v xml:space="preserve"> </v>
      </c>
      <c r="D153" s="250" t="str">
        <f>IF(A153="N/A"," ",(VLOOKUP(MONTH($A153),Inputs!$A$14:$B$25,2))/1000)</f>
        <v xml:space="preserve"> </v>
      </c>
      <c r="E153" s="304" t="str">
        <f t="shared" si="231"/>
        <v xml:space="preserve"> </v>
      </c>
      <c r="F153" s="251" t="str">
        <f>IF(A153="N/A"," ",Inputs!$F$6)</f>
        <v xml:space="preserve"> </v>
      </c>
      <c r="G153" s="251" t="str">
        <f>IF(A153="N/A"," ",Inputs!$F$9/IF(AND('Pricing Inputs'!$AQ$3&gt;=4,'Pricing Inputs'!$AQ$3&lt;=6),16,IF(AND('Pricing Inputs'!$AQ$3&gt;=7,'Pricing Inputs'!$AQ$3&lt;=9),8,24))/(BA153/BW153))</f>
        <v xml:space="preserve"> </v>
      </c>
      <c r="H153" s="252" t="str">
        <f t="shared" si="232"/>
        <v xml:space="preserve"> </v>
      </c>
      <c r="I153" s="255" t="str">
        <f>VLOOKUP(A153,ScaledPrice,(IF(AND('Pricing Inputs'!$AQ$3&gt;=1,'Pricing Inputs'!$AQ$3&lt;=6),2,4)))</f>
        <v xml:space="preserve"> </v>
      </c>
      <c r="J153" s="255" t="str">
        <f>IF(A153="N/A"," ",IF(AND('Pricing Inputs'!$AQ$3&gt;=1,'Pricing Inputs'!$AQ$3&lt;=6),I153,(VLOOKUP(A153,ScaledPrice,2))*(2-(VLOOKUP(A153,ScaledPrice,3)))))</f>
        <v xml:space="preserve"> </v>
      </c>
      <c r="K153" s="255" t="str">
        <f>IF(A153="N/A"," ",IF(OR('Pricing Inputs'!$AQ$3=2,'Pricing Inputs'!$AQ$3=3,'Pricing Inputs'!$AQ$3=5,'Pricing Inputs'!$AQ$3=6,'Pricing Inputs'!$AQ$3=8,'Pricing Inputs'!$AQ$3=9),VLOOKUP(A153,ScaledPrice,IF(AND('Pricing Inputs'!$AQ$3&gt;=2,'Pricing Inputs'!$AQ$3&lt;=6),5,6)),0))</f>
        <v xml:space="preserve"> </v>
      </c>
      <c r="L153" s="255" t="str">
        <f>IF(A153="N/A"," ",IF(OR('Pricing Inputs'!$AQ$3=2,'Pricing Inputs'!$AQ$3=3,'Pricing Inputs'!$AQ$3=5,'Pricing Inputs'!$AQ$3=6,'Pricing Inputs'!$AQ$3=8,'Pricing Inputs'!$AQ$3=9),IF(AND('Pricing Inputs'!$AQ$3&gt;=2,'Pricing Inputs'!$AQ$3&lt;=6),K153,(VLOOKUP(A153,ScaledPrice,5))*(2-(VLOOKUP(A153,ScaledPrice,3)))),0))</f>
        <v xml:space="preserve"> </v>
      </c>
      <c r="M153" s="255" t="str">
        <f>IF(A153="N/A"," ",IF(OR('Pricing Inputs'!$AQ$3=3,'Pricing Inputs'!$AQ$3=6,'Pricing Inputs'!$AQ$3=9),(VLOOKUP(A153,ScaledPrice,IF(AND('Pricing Inputs'!$AQ$3&gt;=3,'Pricing Inputs'!$AQ$3&lt;=6),7,8))),0))</f>
        <v xml:space="preserve"> </v>
      </c>
      <c r="N153" s="255" t="str">
        <f>IF(A153="N/A"," ",IF(OR('Pricing Inputs'!$AQ$3=3,'Pricing Inputs'!$AQ$3=6,'Pricing Inputs'!$AQ$3=9),IF(AND('Pricing Inputs'!$AQ$3&gt;=3,'Pricing Inputs'!$AQ$3&lt;=6),M153,(VLOOKUP(A153,ScaledPrice,7))*(2-(VLOOKUP(A153,ScaledPrice,3)))),0))</f>
        <v xml:space="preserve"> </v>
      </c>
      <c r="O153" s="255" t="str">
        <f>IF(A153="N/A"," ",IF(AND('Pricing Inputs'!$AQ$3&gt;=1,'Pricing Inputs'!$AQ$3&lt;=3),VLOOKUP(A153,ScaledPrice,9),0))</f>
        <v xml:space="preserve"> </v>
      </c>
      <c r="P153" s="320" t="str">
        <f>IF($A153="N/A"," ",IF('Pricing Inputs'!$AN$8=2,(I153-H153),IF('Pricing Inputs'!$AN$3=2,IF((I153-$H153)&gt;0,I153-$H153,0),(_xll.xSPRDOPT(I153,$E153,$BU153,0,$BP153,$BS153,$BT153,($A153-Inputs!$D$1)+15,1,0)))))</f>
        <v xml:space="preserve"> </v>
      </c>
      <c r="Q153" s="320" t="str">
        <f>IF($A153="N/A"," ",IF('Pricing Inputs'!$AN$8=2,(J153-$H153),IF('Pricing Inputs'!$AN$3=2,IF((J153-$H153)&gt;0,J153-$H153,0),(_xll.xSPRDOPT(J153,$E153,$BU153,0,$BP153,$BS153,$BT153,($A153-Inputs!$D$1)+15,1,0)))))</f>
        <v xml:space="preserve"> </v>
      </c>
      <c r="R153" s="320" t="str">
        <f>IF($A153="N/A"," ",IF('Pricing Inputs'!$AN$8=2,(K153-$H153),IF('Pricing Inputs'!$AN$3=2,IF((K153-$H153)&gt;0,K153-$H153,0),(_xll.xSPRDOPT(K153,$E153,$BU153,0,$BP153,$BS153,$BT153,($A153-Inputs!$D$1)+15,1,0)))))</f>
        <v xml:space="preserve"> </v>
      </c>
      <c r="S153" s="320" t="str">
        <f>IF($A153="N/A"," ",IF('Pricing Inputs'!$AN$8=2,(L153-$H153),IF('Pricing Inputs'!$AN$3=2,IF((L153-$H153)&gt;0,L153-$H153,0),(_xll.xSPRDOPT(L153,$E153,$BU153,0,$BP153,$BS153,$BT153,($A153-Inputs!$D$1)+15,1,0)))))</f>
        <v xml:space="preserve"> </v>
      </c>
      <c r="T153" s="320" t="str">
        <f>IF($A153="N/A"," ",IF('Pricing Inputs'!$AN$8=2,(M153-$H153),IF('Pricing Inputs'!$AN$3=2,IF((M153-$H153)&gt;0,M153-$H153,0),(_xll.xSPRDOPT(M153,$E153,$BU153,0,$BP153,$BS153,$BT153,($A153-Inputs!$D$1)+15,1,0)))))</f>
        <v xml:space="preserve"> </v>
      </c>
      <c r="U153" s="320" t="str">
        <f>IF($A153="N/A"," ",IF('Pricing Inputs'!$AN$8=2,(N153-$H153),IF('Pricing Inputs'!$AN$3=2,IF((N153-$H153)&gt;0,N153-$H153,0),(_xll.xSPRDOPT(N153,$E153,$BU153,0,$BP153,$BS153,$BT153,($A153-Inputs!$D$1)+15,1,0)))))</f>
        <v xml:space="preserve"> </v>
      </c>
      <c r="V153" s="259" t="str">
        <f>IF($A153="N/A"," ",(IF('Pricing Inputs'!$AN$8=2,(O153-$H153),IF((O153-$H153)&lt;=0,0,(O153-$H153)))))</f>
        <v xml:space="preserve"> </v>
      </c>
      <c r="W153" s="306" t="str">
        <f>IF($A153="N/A"," ",IF(0&lt;&gt;P153,IF('Pricing Inputs'!$AN$3=2,8*VLOOKUP($A153,NumberofDaysTable,2),(_xll.xSPRDOPT(I153,$E153,$BU153,0,$BP153,$BS153,$BT153,$A153-Inputs!$D$1,1,1))*(8*VLOOKUP($A153,NumberofDaysTable,2))),0))</f>
        <v xml:space="preserve"> </v>
      </c>
      <c r="X153" s="306" t="str">
        <f>IF($A153="N/A"," ",IF(Q153&lt;&gt;0,IF('Pricing Inputs'!$AN$3=2,8*VLOOKUP($A153,NumberofDaysTable,2),(_xll.xSPRDOPT(J153,$E153,$BU153,0,$BP153,$BS153,$BT153,$A153-Inputs!$D$1,1,1))*(8*VLOOKUP($A153,NumberofDaysTable,2))),0))</f>
        <v xml:space="preserve"> </v>
      </c>
      <c r="Y153" s="306" t="str">
        <f>IF($A153="N/A"," ",IF(R153&lt;&gt;0,IF('Pricing Inputs'!$AN$3=2,8*VLOOKUP($A153,NumberofDaysTable,3),(_xll.xSPRDOPT(K153,$E153,$BU153,0,$BP153,$BS153,$BT153,$A153-Inputs!$D$1,1,1))*(8*VLOOKUP($A153,NumberofDaysTable,3))),0))</f>
        <v xml:space="preserve"> </v>
      </c>
      <c r="Z153" s="306" t="str">
        <f>IF($A153="N/A"," ",IF(S153&lt;&gt;0,IF('Pricing Inputs'!$AN$3=2,8*VLOOKUP($A153,NumberofDaysTable,3),(_xll.xSPRDOPT(L153,$E153,$BU153,0,$BP153,$BS153,$BT153,$A153-Inputs!$D$1,1,1))*(8*VLOOKUP($A153,NumberofDaysTable,3))),0))</f>
        <v xml:space="preserve"> </v>
      </c>
      <c r="AA153" s="306" t="str">
        <f>IF($A153="N/A"," ",IF(T153&lt;&gt;0,IF('Pricing Inputs'!$AN$3=2,8*VLOOKUP($A153,NumberofDaysTable,4),(_xll.xSPRDOPT(M153,$E153,$BU153,0,$BP153,$BS153,$BT153,$A153-Inputs!$D$1,1,1))*(8*VLOOKUP($A153,NumberofDaysTable,4))),0))</f>
        <v xml:space="preserve"> </v>
      </c>
      <c r="AB153" s="306" t="str">
        <f>IF($A153="N/A"," ",IF(U153&lt;&gt;0,IF('Pricing Inputs'!$AN$3=2,8*VLOOKUP($A153,NumberofDaysTable,4),(_xll.xSPRDOPT(N153,$E153,$BU153,0,$BP153,$BS153,$BT153,$A153-Inputs!$D$1,1,1))*(8*VLOOKUP($A153,NumberofDaysTable,4))),0))</f>
        <v xml:space="preserve"> </v>
      </c>
      <c r="AC153" s="306" t="str">
        <f t="shared" si="233"/>
        <v xml:space="preserve"> </v>
      </c>
      <c r="AD153" s="274" t="str">
        <f t="shared" si="276"/>
        <v xml:space="preserve"> </v>
      </c>
      <c r="AE153" s="275" t="str">
        <f t="shared" si="277"/>
        <v xml:space="preserve"> </v>
      </c>
      <c r="AF153" s="275" t="str">
        <f t="shared" si="278"/>
        <v xml:space="preserve"> </v>
      </c>
      <c r="AG153" s="275" t="str">
        <f t="shared" si="279"/>
        <v xml:space="preserve"> </v>
      </c>
      <c r="AH153" s="275" t="str">
        <f t="shared" si="280"/>
        <v xml:space="preserve"> </v>
      </c>
      <c r="AI153" s="275" t="str">
        <f t="shared" si="281"/>
        <v xml:space="preserve"> </v>
      </c>
      <c r="AJ153" s="276" t="str">
        <f t="shared" si="282"/>
        <v xml:space="preserve"> </v>
      </c>
      <c r="AK153" s="314" t="str">
        <f t="shared" si="259"/>
        <v xml:space="preserve"> </v>
      </c>
      <c r="AL153" s="315" t="str">
        <f t="shared" si="260"/>
        <v xml:space="preserve"> </v>
      </c>
      <c r="AM153" s="315" t="str">
        <f t="shared" si="261"/>
        <v xml:space="preserve"> </v>
      </c>
      <c r="AN153" s="315" t="str">
        <f t="shared" si="262"/>
        <v xml:space="preserve"> </v>
      </c>
      <c r="AO153" s="315" t="str">
        <f t="shared" si="263"/>
        <v xml:space="preserve"> </v>
      </c>
      <c r="AP153" s="315" t="str">
        <f t="shared" si="264"/>
        <v xml:space="preserve"> </v>
      </c>
      <c r="AQ153" s="315" t="str">
        <f t="shared" si="265"/>
        <v xml:space="preserve"> </v>
      </c>
      <c r="AR153" s="276"/>
      <c r="AS153" s="321" t="str">
        <f t="shared" si="269"/>
        <v xml:space="preserve"> </v>
      </c>
      <c r="AT153" s="324" t="str">
        <f t="shared" si="270"/>
        <v xml:space="preserve"> </v>
      </c>
      <c r="AU153" s="324" t="str">
        <f t="shared" si="271"/>
        <v xml:space="preserve"> </v>
      </c>
      <c r="AV153" s="324" t="str">
        <f t="shared" si="272"/>
        <v xml:space="preserve"> </v>
      </c>
      <c r="AW153" s="324" t="str">
        <f t="shared" si="273"/>
        <v xml:space="preserve"> </v>
      </c>
      <c r="AX153" s="324" t="str">
        <f t="shared" si="274"/>
        <v xml:space="preserve"> </v>
      </c>
      <c r="AY153" s="324" t="str">
        <f t="shared" si="275"/>
        <v xml:space="preserve"> </v>
      </c>
      <c r="AZ153" s="276"/>
      <c r="BA153" s="267" t="str">
        <f>IF($A153="N/A"," ",(IF(MONTH(A153)&gt;=4,IF(MONTH(A153)&lt;=10,Inputs!$F$13,Inputs!$F$14),Inputs!$F$14))*$BW153)</f>
        <v xml:space="preserve"> </v>
      </c>
      <c r="BB153" s="268" t="str">
        <f t="shared" si="266"/>
        <v xml:space="preserve"> </v>
      </c>
      <c r="BC153" s="268" t="str">
        <f t="shared" si="267"/>
        <v xml:space="preserve"> </v>
      </c>
      <c r="BD153" s="268" t="str">
        <f t="shared" si="234"/>
        <v xml:space="preserve"> </v>
      </c>
      <c r="BE153" s="268" t="str">
        <f t="shared" si="235"/>
        <v xml:space="preserve"> </v>
      </c>
      <c r="BF153" s="268" t="str">
        <f t="shared" si="236"/>
        <v xml:space="preserve"> </v>
      </c>
      <c r="BG153" s="268" t="str">
        <f t="shared" si="237"/>
        <v xml:space="preserve"> </v>
      </c>
      <c r="BH153" s="268" t="str">
        <f t="shared" si="258"/>
        <v xml:space="preserve"> </v>
      </c>
      <c r="BI153" s="268" t="str">
        <f t="shared" si="238"/>
        <v xml:space="preserve"> </v>
      </c>
      <c r="BJ153" s="296" t="str">
        <f t="shared" si="239"/>
        <v xml:space="preserve"> </v>
      </c>
      <c r="BK153" s="296" t="str">
        <f t="shared" si="240"/>
        <v xml:space="preserve"> </v>
      </c>
      <c r="BL153" s="296" t="str">
        <f t="shared" si="241"/>
        <v xml:space="preserve"> </v>
      </c>
      <c r="BM153" s="296" t="str">
        <f t="shared" si="242"/>
        <v xml:space="preserve"> </v>
      </c>
      <c r="BN153" s="405" t="str">
        <f>IF(A153="N/A"," ",(VLOOKUP(A153,PowerVolTable,(IF('Pricing Inputs'!$AT$3=2,7,IF('Pricing Inputs'!$AT$3=1,6,8))),FALSE)))</f>
        <v xml:space="preserve"> </v>
      </c>
      <c r="BO153" s="405" t="str">
        <f>IF(A153="N/A"," ",(VLOOKUP(A153,IntraPowerVol,(IF('Pricing Inputs'!$AT$3=2,3,IF('Pricing Inputs'!$AT$3=1,2,4))),FALSE)*VLOOKUP(MONTH($A153),Inputs!$A$28:$B$39,2)))</f>
        <v xml:space="preserve"> </v>
      </c>
      <c r="BP153" s="406" t="str">
        <f t="shared" si="227"/>
        <v xml:space="preserve"> </v>
      </c>
      <c r="BQ153" s="405" t="str">
        <f>IF($A153="N/A"," ",(VLOOKUP($A153,GasVolTable,(IF('Pricing Inputs'!$AT$3=2,6,IF('Pricing Inputs'!$AT$3=1,7,5))),FALSE)))</f>
        <v xml:space="preserve"> </v>
      </c>
      <c r="BR153" s="405" t="str">
        <f>IF($A153="N/A"," ",(VLOOKUP($A153,OmicronVol,(IF('Pricing Inputs'!$AT$3=2,3,IF('Pricing Inputs'!$AT$3=1,4,2))),FALSE)))</f>
        <v xml:space="preserve"> </v>
      </c>
      <c r="BS153" s="406" t="str">
        <f>IF($A153="N/A"," ",IF('Pricing Inputs'!$AN$3=1,(IF(DateToday&gt;$A153,$BR153,((($BQ153^2)*((($A153-1)-DateToday)/((EOMONTH($A153,0)+1)-DateToday-15)))+((($BR153)^2)*((15)/((EOMONTH($A153,0)+1)-DateToday-15))))^0.5)),0.0001))</f>
        <v xml:space="preserve"> </v>
      </c>
      <c r="BT153" s="405" t="str">
        <f>IF($A153="N/A"," ",IF('Pricing Inputs'!$AN$3=1,(VLOOKUP($A153,CorrelationTable,2,FALSE)),0))</f>
        <v xml:space="preserve"> </v>
      </c>
      <c r="BU153" s="407" t="str">
        <f>IF($A153="N/A"," ",F153+G153+(D153*(VLOOKUP($A153,'Gas Curves'!$B$17:$P$310,14,FALSE))))</f>
        <v xml:space="preserve"> </v>
      </c>
      <c r="BV153" s="405" t="str">
        <f>IF($A153="N/A"," ",IF('Pricing Inputs'!$AW$3=1,0,(VLOOKUP($A153,InterestRatesTable,2))))</f>
        <v xml:space="preserve"> </v>
      </c>
      <c r="BW153" s="408" t="str">
        <f t="shared" si="228"/>
        <v xml:space="preserve"> </v>
      </c>
    </row>
    <row r="154" spans="1:75">
      <c r="A154" s="248" t="str">
        <f>IF(A153="N/A","N/A",IF(EDATE(A153,1)&gt;Inputs!$K$3,"N/A",EDATE(A153,1)))</f>
        <v>N/A</v>
      </c>
      <c r="B154" s="262" t="str">
        <f t="shared" si="229"/>
        <v xml:space="preserve"> </v>
      </c>
      <c r="C154" s="249" t="str">
        <f t="shared" si="230"/>
        <v xml:space="preserve"> </v>
      </c>
      <c r="D154" s="250" t="str">
        <f>IF(A154="N/A"," ",(VLOOKUP(MONTH($A154),Inputs!$A$14:$B$25,2))/1000)</f>
        <v xml:space="preserve"> </v>
      </c>
      <c r="E154" s="304" t="str">
        <f t="shared" si="231"/>
        <v xml:space="preserve"> </v>
      </c>
      <c r="F154" s="251" t="str">
        <f>IF(A154="N/A"," ",Inputs!$F$6)</f>
        <v xml:space="preserve"> </v>
      </c>
      <c r="G154" s="251" t="str">
        <f>IF(A154="N/A"," ",Inputs!$F$9/IF(AND('Pricing Inputs'!$AQ$3&gt;=4,'Pricing Inputs'!$AQ$3&lt;=6),16,IF(AND('Pricing Inputs'!$AQ$3&gt;=7,'Pricing Inputs'!$AQ$3&lt;=9),8,24))/(BA154/BW154))</f>
        <v xml:space="preserve"> </v>
      </c>
      <c r="H154" s="252" t="str">
        <f t="shared" si="232"/>
        <v xml:space="preserve"> </v>
      </c>
      <c r="I154" s="255" t="str">
        <f>VLOOKUP(A154,ScaledPrice,(IF(AND('Pricing Inputs'!$AQ$3&gt;=1,'Pricing Inputs'!$AQ$3&lt;=6),2,4)))</f>
        <v xml:space="preserve"> </v>
      </c>
      <c r="J154" s="255" t="str">
        <f>IF(A154="N/A"," ",IF(AND('Pricing Inputs'!$AQ$3&gt;=1,'Pricing Inputs'!$AQ$3&lt;=6),I154,(VLOOKUP(A154,ScaledPrice,2))*(2-(VLOOKUP(A154,ScaledPrice,3)))))</f>
        <v xml:space="preserve"> </v>
      </c>
      <c r="K154" s="255" t="str">
        <f>IF(A154="N/A"," ",IF(OR('Pricing Inputs'!$AQ$3=2,'Pricing Inputs'!$AQ$3=3,'Pricing Inputs'!$AQ$3=5,'Pricing Inputs'!$AQ$3=6,'Pricing Inputs'!$AQ$3=8,'Pricing Inputs'!$AQ$3=9),VLOOKUP(A154,ScaledPrice,IF(AND('Pricing Inputs'!$AQ$3&gt;=2,'Pricing Inputs'!$AQ$3&lt;=6),5,6)),0))</f>
        <v xml:space="preserve"> </v>
      </c>
      <c r="L154" s="255" t="str">
        <f>IF(A154="N/A"," ",IF(OR('Pricing Inputs'!$AQ$3=2,'Pricing Inputs'!$AQ$3=3,'Pricing Inputs'!$AQ$3=5,'Pricing Inputs'!$AQ$3=6,'Pricing Inputs'!$AQ$3=8,'Pricing Inputs'!$AQ$3=9),IF(AND('Pricing Inputs'!$AQ$3&gt;=2,'Pricing Inputs'!$AQ$3&lt;=6),K154,(VLOOKUP(A154,ScaledPrice,5))*(2-(VLOOKUP(A154,ScaledPrice,3)))),0))</f>
        <v xml:space="preserve"> </v>
      </c>
      <c r="M154" s="255" t="str">
        <f>IF(A154="N/A"," ",IF(OR('Pricing Inputs'!$AQ$3=3,'Pricing Inputs'!$AQ$3=6,'Pricing Inputs'!$AQ$3=9),(VLOOKUP(A154,ScaledPrice,IF(AND('Pricing Inputs'!$AQ$3&gt;=3,'Pricing Inputs'!$AQ$3&lt;=6),7,8))),0))</f>
        <v xml:space="preserve"> </v>
      </c>
      <c r="N154" s="255" t="str">
        <f>IF(A154="N/A"," ",IF(OR('Pricing Inputs'!$AQ$3=3,'Pricing Inputs'!$AQ$3=6,'Pricing Inputs'!$AQ$3=9),IF(AND('Pricing Inputs'!$AQ$3&gt;=3,'Pricing Inputs'!$AQ$3&lt;=6),M154,(VLOOKUP(A154,ScaledPrice,7))*(2-(VLOOKUP(A154,ScaledPrice,3)))),0))</f>
        <v xml:space="preserve"> </v>
      </c>
      <c r="O154" s="255" t="str">
        <f>IF(A154="N/A"," ",IF(AND('Pricing Inputs'!$AQ$3&gt;=1,'Pricing Inputs'!$AQ$3&lt;=3),VLOOKUP(A154,ScaledPrice,9),0))</f>
        <v xml:space="preserve"> </v>
      </c>
      <c r="P154" s="320" t="str">
        <f>IF($A154="N/A"," ",IF('Pricing Inputs'!$AN$8=2,(I154-H154),IF('Pricing Inputs'!$AN$3=2,IF((I154-$H154)&gt;0,I154-$H154,0),(_xll.xSPRDOPT(I154,$E154,$BU154,0,$BP154,$BS154,$BT154,($A154-Inputs!$D$1)+15,1,0)))))</f>
        <v xml:space="preserve"> </v>
      </c>
      <c r="Q154" s="320" t="str">
        <f>IF($A154="N/A"," ",IF('Pricing Inputs'!$AN$8=2,(J154-$H154),IF('Pricing Inputs'!$AN$3=2,IF((J154-$H154)&gt;0,J154-$H154,0),(_xll.xSPRDOPT(J154,$E154,$BU154,0,$BP154,$BS154,$BT154,($A154-Inputs!$D$1)+15,1,0)))))</f>
        <v xml:space="preserve"> </v>
      </c>
      <c r="R154" s="320" t="str">
        <f>IF($A154="N/A"," ",IF('Pricing Inputs'!$AN$8=2,(K154-$H154),IF('Pricing Inputs'!$AN$3=2,IF((K154-$H154)&gt;0,K154-$H154,0),(_xll.xSPRDOPT(K154,$E154,$BU154,0,$BP154,$BS154,$BT154,($A154-Inputs!$D$1)+15,1,0)))))</f>
        <v xml:space="preserve"> </v>
      </c>
      <c r="S154" s="320" t="str">
        <f>IF($A154="N/A"," ",IF('Pricing Inputs'!$AN$8=2,(L154-$H154),IF('Pricing Inputs'!$AN$3=2,IF((L154-$H154)&gt;0,L154-$H154,0),(_xll.xSPRDOPT(L154,$E154,$BU154,0,$BP154,$BS154,$BT154,($A154-Inputs!$D$1)+15,1,0)))))</f>
        <v xml:space="preserve"> </v>
      </c>
      <c r="T154" s="320" t="str">
        <f>IF($A154="N/A"," ",IF('Pricing Inputs'!$AN$8=2,(M154-$H154),IF('Pricing Inputs'!$AN$3=2,IF((M154-$H154)&gt;0,M154-$H154,0),(_xll.xSPRDOPT(M154,$E154,$BU154,0,$BP154,$BS154,$BT154,($A154-Inputs!$D$1)+15,1,0)))))</f>
        <v xml:space="preserve"> </v>
      </c>
      <c r="U154" s="320" t="str">
        <f>IF($A154="N/A"," ",IF('Pricing Inputs'!$AN$8=2,(N154-$H154),IF('Pricing Inputs'!$AN$3=2,IF((N154-$H154)&gt;0,N154-$H154,0),(_xll.xSPRDOPT(N154,$E154,$BU154,0,$BP154,$BS154,$BT154,($A154-Inputs!$D$1)+15,1,0)))))</f>
        <v xml:space="preserve"> </v>
      </c>
      <c r="V154" s="259" t="str">
        <f>IF($A154="N/A"," ",(IF('Pricing Inputs'!$AN$8=2,(O154-$H154),IF((O154-$H154)&lt;=0,0,(O154-$H154)))))</f>
        <v xml:space="preserve"> </v>
      </c>
      <c r="W154" s="306" t="str">
        <f>IF($A154="N/A"," ",IF(0&lt;&gt;P154,IF('Pricing Inputs'!$AN$3=2,8*VLOOKUP($A154,NumberofDaysTable,2),(_xll.xSPRDOPT(I154,$E154,$BU154,0,$BP154,$BS154,$BT154,$A154-Inputs!$D$1,1,1))*(8*VLOOKUP($A154,NumberofDaysTable,2))),0))</f>
        <v xml:space="preserve"> </v>
      </c>
      <c r="X154" s="306" t="str">
        <f>IF($A154="N/A"," ",IF(Q154&lt;&gt;0,IF('Pricing Inputs'!$AN$3=2,8*VLOOKUP($A154,NumberofDaysTable,2),(_xll.xSPRDOPT(J154,$E154,$BU154,0,$BP154,$BS154,$BT154,$A154-Inputs!$D$1,1,1))*(8*VLOOKUP($A154,NumberofDaysTable,2))),0))</f>
        <v xml:space="preserve"> </v>
      </c>
      <c r="Y154" s="306" t="str">
        <f>IF($A154="N/A"," ",IF(R154&lt;&gt;0,IF('Pricing Inputs'!$AN$3=2,8*VLOOKUP($A154,NumberofDaysTable,3),(_xll.xSPRDOPT(K154,$E154,$BU154,0,$BP154,$BS154,$BT154,$A154-Inputs!$D$1,1,1))*(8*VLOOKUP($A154,NumberofDaysTable,3))),0))</f>
        <v xml:space="preserve"> </v>
      </c>
      <c r="Z154" s="306" t="str">
        <f>IF($A154="N/A"," ",IF(S154&lt;&gt;0,IF('Pricing Inputs'!$AN$3=2,8*VLOOKUP($A154,NumberofDaysTable,3),(_xll.xSPRDOPT(L154,$E154,$BU154,0,$BP154,$BS154,$BT154,$A154-Inputs!$D$1,1,1))*(8*VLOOKUP($A154,NumberofDaysTable,3))),0))</f>
        <v xml:space="preserve"> </v>
      </c>
      <c r="AA154" s="306" t="str">
        <f>IF($A154="N/A"," ",IF(T154&lt;&gt;0,IF('Pricing Inputs'!$AN$3=2,8*VLOOKUP($A154,NumberofDaysTable,4),(_xll.xSPRDOPT(M154,$E154,$BU154,0,$BP154,$BS154,$BT154,$A154-Inputs!$D$1,1,1))*(8*VLOOKUP($A154,NumberofDaysTable,4))),0))</f>
        <v xml:space="preserve"> </v>
      </c>
      <c r="AB154" s="306" t="str">
        <f>IF($A154="N/A"," ",IF(U154&lt;&gt;0,IF('Pricing Inputs'!$AN$3=2,8*VLOOKUP($A154,NumberofDaysTable,4),(_xll.xSPRDOPT(N154,$E154,$BU154,0,$BP154,$BS154,$BT154,$A154-Inputs!$D$1,1,1))*(8*VLOOKUP($A154,NumberofDaysTable,4))),0))</f>
        <v xml:space="preserve"> </v>
      </c>
      <c r="AC154" s="306" t="str">
        <f t="shared" si="233"/>
        <v xml:space="preserve"> </v>
      </c>
      <c r="AD154" s="274" t="str">
        <f t="shared" si="276"/>
        <v xml:space="preserve"> </v>
      </c>
      <c r="AE154" s="275" t="str">
        <f t="shared" si="277"/>
        <v xml:space="preserve"> </v>
      </c>
      <c r="AF154" s="275" t="str">
        <f t="shared" si="278"/>
        <v xml:space="preserve"> </v>
      </c>
      <c r="AG154" s="275" t="str">
        <f t="shared" si="279"/>
        <v xml:space="preserve"> </v>
      </c>
      <c r="AH154" s="275" t="str">
        <f t="shared" si="280"/>
        <v xml:space="preserve"> </v>
      </c>
      <c r="AI154" s="275" t="str">
        <f t="shared" si="281"/>
        <v xml:space="preserve"> </v>
      </c>
      <c r="AJ154" s="276" t="str">
        <f t="shared" si="282"/>
        <v xml:space="preserve"> </v>
      </c>
      <c r="AK154" s="314" t="str">
        <f t="shared" si="259"/>
        <v xml:space="preserve"> </v>
      </c>
      <c r="AL154" s="315" t="str">
        <f t="shared" si="260"/>
        <v xml:space="preserve"> </v>
      </c>
      <c r="AM154" s="315" t="str">
        <f t="shared" si="261"/>
        <v xml:space="preserve"> </v>
      </c>
      <c r="AN154" s="315" t="str">
        <f t="shared" si="262"/>
        <v xml:space="preserve"> </v>
      </c>
      <c r="AO154" s="315" t="str">
        <f t="shared" si="263"/>
        <v xml:space="preserve"> </v>
      </c>
      <c r="AP154" s="315" t="str">
        <f t="shared" si="264"/>
        <v xml:space="preserve"> </v>
      </c>
      <c r="AQ154" s="315" t="str">
        <f t="shared" si="265"/>
        <v xml:space="preserve"> </v>
      </c>
      <c r="AR154" s="276"/>
      <c r="AS154" s="321" t="str">
        <f t="shared" si="269"/>
        <v xml:space="preserve"> </v>
      </c>
      <c r="AT154" s="324" t="str">
        <f t="shared" si="270"/>
        <v xml:space="preserve"> </v>
      </c>
      <c r="AU154" s="324" t="str">
        <f t="shared" si="271"/>
        <v xml:space="preserve"> </v>
      </c>
      <c r="AV154" s="324" t="str">
        <f t="shared" si="272"/>
        <v xml:space="preserve"> </v>
      </c>
      <c r="AW154" s="324" t="str">
        <f t="shared" si="273"/>
        <v xml:space="preserve"> </v>
      </c>
      <c r="AX154" s="324" t="str">
        <f t="shared" si="274"/>
        <v xml:space="preserve"> </v>
      </c>
      <c r="AY154" s="324" t="str">
        <f t="shared" si="275"/>
        <v xml:space="preserve"> </v>
      </c>
      <c r="AZ154" s="276"/>
      <c r="BA154" s="267" t="str">
        <f>IF($A154="N/A"," ",(IF(MONTH(A154)&gt;=4,IF(MONTH(A154)&lt;=10,Inputs!$F$13,Inputs!$F$14),Inputs!$F$14))*$BW154)</f>
        <v xml:space="preserve"> </v>
      </c>
      <c r="BB154" s="268" t="str">
        <f t="shared" si="266"/>
        <v xml:space="preserve"> </v>
      </c>
      <c r="BC154" s="268" t="str">
        <f t="shared" si="267"/>
        <v xml:space="preserve"> </v>
      </c>
      <c r="BD154" s="268" t="str">
        <f t="shared" si="234"/>
        <v xml:space="preserve"> </v>
      </c>
      <c r="BE154" s="268" t="str">
        <f t="shared" si="235"/>
        <v xml:space="preserve"> </v>
      </c>
      <c r="BF154" s="268" t="str">
        <f t="shared" si="236"/>
        <v xml:space="preserve"> </v>
      </c>
      <c r="BG154" s="268" t="str">
        <f t="shared" si="237"/>
        <v xml:space="preserve"> </v>
      </c>
      <c r="BH154" s="268" t="str">
        <f t="shared" si="258"/>
        <v xml:space="preserve"> </v>
      </c>
      <c r="BI154" s="268" t="str">
        <f t="shared" si="238"/>
        <v xml:space="preserve"> </v>
      </c>
      <c r="BJ154" s="296" t="str">
        <f t="shared" si="239"/>
        <v xml:space="preserve"> </v>
      </c>
      <c r="BK154" s="296" t="str">
        <f t="shared" si="240"/>
        <v xml:space="preserve"> </v>
      </c>
      <c r="BL154" s="296" t="str">
        <f t="shared" si="241"/>
        <v xml:space="preserve"> </v>
      </c>
      <c r="BM154" s="296" t="str">
        <f t="shared" si="242"/>
        <v xml:space="preserve"> </v>
      </c>
      <c r="BN154" s="405" t="str">
        <f>IF(A154="N/A"," ",(VLOOKUP(A154,PowerVolTable,(IF('Pricing Inputs'!$AT$3=2,7,IF('Pricing Inputs'!$AT$3=1,6,8))),FALSE)))</f>
        <v xml:space="preserve"> </v>
      </c>
      <c r="BO154" s="405" t="str">
        <f>IF(A154="N/A"," ",(VLOOKUP(A154,IntraPowerVol,(IF('Pricing Inputs'!$AT$3=2,3,IF('Pricing Inputs'!$AT$3=1,2,4))),FALSE)*VLOOKUP(MONTH($A154),Inputs!$A$28:$B$39,2)))</f>
        <v xml:space="preserve"> </v>
      </c>
      <c r="BP154" s="406" t="str">
        <f t="shared" si="227"/>
        <v xml:space="preserve"> </v>
      </c>
      <c r="BQ154" s="405" t="str">
        <f>IF($A154="N/A"," ",(VLOOKUP($A154,GasVolTable,(IF('Pricing Inputs'!$AT$3=2,6,IF('Pricing Inputs'!$AT$3=1,7,5))),FALSE)))</f>
        <v xml:space="preserve"> </v>
      </c>
      <c r="BR154" s="405" t="str">
        <f>IF($A154="N/A"," ",(VLOOKUP($A154,OmicronVol,(IF('Pricing Inputs'!$AT$3=2,3,IF('Pricing Inputs'!$AT$3=1,4,2))),FALSE)))</f>
        <v xml:space="preserve"> </v>
      </c>
      <c r="BS154" s="406" t="str">
        <f>IF($A154="N/A"," ",IF('Pricing Inputs'!$AN$3=1,(IF(DateToday&gt;$A154,$BR154,((($BQ154^2)*((($A154-1)-DateToday)/((EOMONTH($A154,0)+1)-DateToday-15)))+((($BR154)^2)*((15)/((EOMONTH($A154,0)+1)-DateToday-15))))^0.5)),0.0001))</f>
        <v xml:space="preserve"> </v>
      </c>
      <c r="BT154" s="405" t="str">
        <f>IF($A154="N/A"," ",IF('Pricing Inputs'!$AN$3=1,(VLOOKUP($A154,CorrelationTable,2,FALSE)),0))</f>
        <v xml:space="preserve"> </v>
      </c>
      <c r="BU154" s="407" t="str">
        <f>IF($A154="N/A"," ",F154+G154+(D154*(VLOOKUP($A154,'Gas Curves'!$B$17:$P$310,14,FALSE))))</f>
        <v xml:space="preserve"> </v>
      </c>
      <c r="BV154" s="405" t="str">
        <f>IF($A154="N/A"," ",IF('Pricing Inputs'!$AW$3=1,0,(VLOOKUP($A154,InterestRatesTable,2))))</f>
        <v xml:space="preserve"> </v>
      </c>
      <c r="BW154" s="408" t="str">
        <f t="shared" si="228"/>
        <v xml:space="preserve"> </v>
      </c>
    </row>
    <row r="155" spans="1:75">
      <c r="A155" s="248" t="str">
        <f>IF(A154="N/A","N/A",IF(EDATE(A154,1)&gt;Inputs!$K$3,"N/A",EDATE(A154,1)))</f>
        <v>N/A</v>
      </c>
      <c r="B155" s="262" t="str">
        <f t="shared" si="229"/>
        <v xml:space="preserve"> </v>
      </c>
      <c r="C155" s="249" t="str">
        <f t="shared" si="230"/>
        <v xml:space="preserve"> </v>
      </c>
      <c r="D155" s="250" t="str">
        <f>IF(A155="N/A"," ",(VLOOKUP(MONTH($A155),Inputs!$A$14:$B$25,2))/1000)</f>
        <v xml:space="preserve"> </v>
      </c>
      <c r="E155" s="304" t="str">
        <f t="shared" si="231"/>
        <v xml:space="preserve"> </v>
      </c>
      <c r="F155" s="251" t="str">
        <f>IF(A155="N/A"," ",Inputs!$F$6)</f>
        <v xml:space="preserve"> </v>
      </c>
      <c r="G155" s="251" t="str">
        <f>IF(A155="N/A"," ",Inputs!$F$9/IF(AND('Pricing Inputs'!$AQ$3&gt;=4,'Pricing Inputs'!$AQ$3&lt;=6),16,IF(AND('Pricing Inputs'!$AQ$3&gt;=7,'Pricing Inputs'!$AQ$3&lt;=9),8,24))/(BA155/BW155))</f>
        <v xml:space="preserve"> </v>
      </c>
      <c r="H155" s="252" t="str">
        <f t="shared" si="232"/>
        <v xml:space="preserve"> </v>
      </c>
      <c r="I155" s="255" t="str">
        <f>VLOOKUP(A155,ScaledPrice,(IF(AND('Pricing Inputs'!$AQ$3&gt;=1,'Pricing Inputs'!$AQ$3&lt;=6),2,4)))</f>
        <v xml:space="preserve"> </v>
      </c>
      <c r="J155" s="255" t="str">
        <f>IF(A155="N/A"," ",IF(AND('Pricing Inputs'!$AQ$3&gt;=1,'Pricing Inputs'!$AQ$3&lt;=6),I155,(VLOOKUP(A155,ScaledPrice,2))*(2-(VLOOKUP(A155,ScaledPrice,3)))))</f>
        <v xml:space="preserve"> </v>
      </c>
      <c r="K155" s="255" t="str">
        <f>IF(A155="N/A"," ",IF(OR('Pricing Inputs'!$AQ$3=2,'Pricing Inputs'!$AQ$3=3,'Pricing Inputs'!$AQ$3=5,'Pricing Inputs'!$AQ$3=6,'Pricing Inputs'!$AQ$3=8,'Pricing Inputs'!$AQ$3=9),VLOOKUP(A155,ScaledPrice,IF(AND('Pricing Inputs'!$AQ$3&gt;=2,'Pricing Inputs'!$AQ$3&lt;=6),5,6)),0))</f>
        <v xml:space="preserve"> </v>
      </c>
      <c r="L155" s="255" t="str">
        <f>IF(A155="N/A"," ",IF(OR('Pricing Inputs'!$AQ$3=2,'Pricing Inputs'!$AQ$3=3,'Pricing Inputs'!$AQ$3=5,'Pricing Inputs'!$AQ$3=6,'Pricing Inputs'!$AQ$3=8,'Pricing Inputs'!$AQ$3=9),IF(AND('Pricing Inputs'!$AQ$3&gt;=2,'Pricing Inputs'!$AQ$3&lt;=6),K155,(VLOOKUP(A155,ScaledPrice,5))*(2-(VLOOKUP(A155,ScaledPrice,3)))),0))</f>
        <v xml:space="preserve"> </v>
      </c>
      <c r="M155" s="255" t="str">
        <f>IF(A155="N/A"," ",IF(OR('Pricing Inputs'!$AQ$3=3,'Pricing Inputs'!$AQ$3=6,'Pricing Inputs'!$AQ$3=9),(VLOOKUP(A155,ScaledPrice,IF(AND('Pricing Inputs'!$AQ$3&gt;=3,'Pricing Inputs'!$AQ$3&lt;=6),7,8))),0))</f>
        <v xml:space="preserve"> </v>
      </c>
      <c r="N155" s="255" t="str">
        <f>IF(A155="N/A"," ",IF(OR('Pricing Inputs'!$AQ$3=3,'Pricing Inputs'!$AQ$3=6,'Pricing Inputs'!$AQ$3=9),IF(AND('Pricing Inputs'!$AQ$3&gt;=3,'Pricing Inputs'!$AQ$3&lt;=6),M155,(VLOOKUP(A155,ScaledPrice,7))*(2-(VLOOKUP(A155,ScaledPrice,3)))),0))</f>
        <v xml:space="preserve"> </v>
      </c>
      <c r="O155" s="255" t="str">
        <f>IF(A155="N/A"," ",IF(AND('Pricing Inputs'!$AQ$3&gt;=1,'Pricing Inputs'!$AQ$3&lt;=3),VLOOKUP(A155,ScaledPrice,9),0))</f>
        <v xml:space="preserve"> </v>
      </c>
      <c r="P155" s="320" t="str">
        <f>IF($A155="N/A"," ",IF('Pricing Inputs'!$AN$8=2,(I155-H155),IF('Pricing Inputs'!$AN$3=2,IF((I155-$H155)&gt;0,I155-$H155,0),(_xll.xSPRDOPT(I155,$E155,$BU155,0,$BP155,$BS155,$BT155,($A155-Inputs!$D$1)+15,1,0)))))</f>
        <v xml:space="preserve"> </v>
      </c>
      <c r="Q155" s="320" t="str">
        <f>IF($A155="N/A"," ",IF('Pricing Inputs'!$AN$8=2,(J155-$H155),IF('Pricing Inputs'!$AN$3=2,IF((J155-$H155)&gt;0,J155-$H155,0),(_xll.xSPRDOPT(J155,$E155,$BU155,0,$BP155,$BS155,$BT155,($A155-Inputs!$D$1)+15,1,0)))))</f>
        <v xml:space="preserve"> </v>
      </c>
      <c r="R155" s="320" t="str">
        <f>IF($A155="N/A"," ",IF('Pricing Inputs'!$AN$8=2,(K155-$H155),IF('Pricing Inputs'!$AN$3=2,IF((K155-$H155)&gt;0,K155-$H155,0),(_xll.xSPRDOPT(K155,$E155,$BU155,0,$BP155,$BS155,$BT155,($A155-Inputs!$D$1)+15,1,0)))))</f>
        <v xml:space="preserve"> </v>
      </c>
      <c r="S155" s="320" t="str">
        <f>IF($A155="N/A"," ",IF('Pricing Inputs'!$AN$8=2,(L155-$H155),IF('Pricing Inputs'!$AN$3=2,IF((L155-$H155)&gt;0,L155-$H155,0),(_xll.xSPRDOPT(L155,$E155,$BU155,0,$BP155,$BS155,$BT155,($A155-Inputs!$D$1)+15,1,0)))))</f>
        <v xml:space="preserve"> </v>
      </c>
      <c r="T155" s="320" t="str">
        <f>IF($A155="N/A"," ",IF('Pricing Inputs'!$AN$8=2,(M155-$H155),IF('Pricing Inputs'!$AN$3=2,IF((M155-$H155)&gt;0,M155-$H155,0),(_xll.xSPRDOPT(M155,$E155,$BU155,0,$BP155,$BS155,$BT155,($A155-Inputs!$D$1)+15,1,0)))))</f>
        <v xml:space="preserve"> </v>
      </c>
      <c r="U155" s="320" t="str">
        <f>IF($A155="N/A"," ",IF('Pricing Inputs'!$AN$8=2,(N155-$H155),IF('Pricing Inputs'!$AN$3=2,IF((N155-$H155)&gt;0,N155-$H155,0),(_xll.xSPRDOPT(N155,$E155,$BU155,0,$BP155,$BS155,$BT155,($A155-Inputs!$D$1)+15,1,0)))))</f>
        <v xml:space="preserve"> </v>
      </c>
      <c r="V155" s="259" t="str">
        <f>IF($A155="N/A"," ",(IF('Pricing Inputs'!$AN$8=2,(O155-$H155),IF((O155-$H155)&lt;=0,0,(O155-$H155)))))</f>
        <v xml:space="preserve"> </v>
      </c>
      <c r="W155" s="306" t="str">
        <f>IF($A155="N/A"," ",IF(0&lt;&gt;P155,IF('Pricing Inputs'!$AN$3=2,8*VLOOKUP($A155,NumberofDaysTable,2),(_xll.xSPRDOPT(I155,$E155,$BU155,0,$BP155,$BS155,$BT155,$A155-Inputs!$D$1,1,1))*(8*VLOOKUP($A155,NumberofDaysTable,2))),0))</f>
        <v xml:space="preserve"> </v>
      </c>
      <c r="X155" s="306" t="str">
        <f>IF($A155="N/A"," ",IF(Q155&lt;&gt;0,IF('Pricing Inputs'!$AN$3=2,8*VLOOKUP($A155,NumberofDaysTable,2),(_xll.xSPRDOPT(J155,$E155,$BU155,0,$BP155,$BS155,$BT155,$A155-Inputs!$D$1,1,1))*(8*VLOOKUP($A155,NumberofDaysTable,2))),0))</f>
        <v xml:space="preserve"> </v>
      </c>
      <c r="Y155" s="306" t="str">
        <f>IF($A155="N/A"," ",IF(R155&lt;&gt;0,IF('Pricing Inputs'!$AN$3=2,8*VLOOKUP($A155,NumberofDaysTable,3),(_xll.xSPRDOPT(K155,$E155,$BU155,0,$BP155,$BS155,$BT155,$A155-Inputs!$D$1,1,1))*(8*VLOOKUP($A155,NumberofDaysTable,3))),0))</f>
        <v xml:space="preserve"> </v>
      </c>
      <c r="Z155" s="306" t="str">
        <f>IF($A155="N/A"," ",IF(S155&lt;&gt;0,IF('Pricing Inputs'!$AN$3=2,8*VLOOKUP($A155,NumberofDaysTable,3),(_xll.xSPRDOPT(L155,$E155,$BU155,0,$BP155,$BS155,$BT155,$A155-Inputs!$D$1,1,1))*(8*VLOOKUP($A155,NumberofDaysTable,3))),0))</f>
        <v xml:space="preserve"> </v>
      </c>
      <c r="AA155" s="306" t="str">
        <f>IF($A155="N/A"," ",IF(T155&lt;&gt;0,IF('Pricing Inputs'!$AN$3=2,8*VLOOKUP($A155,NumberofDaysTable,4),(_xll.xSPRDOPT(M155,$E155,$BU155,0,$BP155,$BS155,$BT155,$A155-Inputs!$D$1,1,1))*(8*VLOOKUP($A155,NumberofDaysTable,4))),0))</f>
        <v xml:space="preserve"> </v>
      </c>
      <c r="AB155" s="306" t="str">
        <f>IF($A155="N/A"," ",IF(U155&lt;&gt;0,IF('Pricing Inputs'!$AN$3=2,8*VLOOKUP($A155,NumberofDaysTable,4),(_xll.xSPRDOPT(N155,$E155,$BU155,0,$BP155,$BS155,$BT155,$A155-Inputs!$D$1,1,1))*(8*VLOOKUP($A155,NumberofDaysTable,4))),0))</f>
        <v xml:space="preserve"> </v>
      </c>
      <c r="AC155" s="306" t="str">
        <f t="shared" si="233"/>
        <v xml:space="preserve"> </v>
      </c>
      <c r="AD155" s="274" t="str">
        <f t="shared" si="276"/>
        <v xml:space="preserve"> </v>
      </c>
      <c r="AE155" s="275" t="str">
        <f t="shared" si="277"/>
        <v xml:space="preserve"> </v>
      </c>
      <c r="AF155" s="275" t="str">
        <f t="shared" si="278"/>
        <v xml:space="preserve"> </v>
      </c>
      <c r="AG155" s="275" t="str">
        <f t="shared" si="279"/>
        <v xml:space="preserve"> </v>
      </c>
      <c r="AH155" s="275" t="str">
        <f t="shared" si="280"/>
        <v xml:space="preserve"> </v>
      </c>
      <c r="AI155" s="275" t="str">
        <f t="shared" si="281"/>
        <v xml:space="preserve"> </v>
      </c>
      <c r="AJ155" s="276" t="str">
        <f t="shared" si="282"/>
        <v xml:space="preserve"> </v>
      </c>
      <c r="AK155" s="314" t="str">
        <f t="shared" si="259"/>
        <v xml:space="preserve"> </v>
      </c>
      <c r="AL155" s="315" t="str">
        <f t="shared" si="260"/>
        <v xml:space="preserve"> </v>
      </c>
      <c r="AM155" s="315" t="str">
        <f t="shared" si="261"/>
        <v xml:space="preserve"> </v>
      </c>
      <c r="AN155" s="315" t="str">
        <f t="shared" si="262"/>
        <v xml:space="preserve"> </v>
      </c>
      <c r="AO155" s="315" t="str">
        <f t="shared" si="263"/>
        <v xml:space="preserve"> </v>
      </c>
      <c r="AP155" s="315" t="str">
        <f t="shared" si="264"/>
        <v xml:space="preserve"> </v>
      </c>
      <c r="AQ155" s="315" t="str">
        <f t="shared" si="265"/>
        <v xml:space="preserve"> </v>
      </c>
      <c r="AR155" s="276"/>
      <c r="AS155" s="321" t="str">
        <f t="shared" si="269"/>
        <v xml:space="preserve"> </v>
      </c>
      <c r="AT155" s="324" t="str">
        <f t="shared" si="270"/>
        <v xml:space="preserve"> </v>
      </c>
      <c r="AU155" s="324" t="str">
        <f t="shared" si="271"/>
        <v xml:space="preserve"> </v>
      </c>
      <c r="AV155" s="324" t="str">
        <f t="shared" si="272"/>
        <v xml:space="preserve"> </v>
      </c>
      <c r="AW155" s="324" t="str">
        <f t="shared" si="273"/>
        <v xml:space="preserve"> </v>
      </c>
      <c r="AX155" s="324" t="str">
        <f t="shared" si="274"/>
        <v xml:space="preserve"> </v>
      </c>
      <c r="AY155" s="324" t="str">
        <f t="shared" si="275"/>
        <v xml:space="preserve"> </v>
      </c>
      <c r="AZ155" s="276"/>
      <c r="BA155" s="267" t="str">
        <f>IF($A155="N/A"," ",(IF(MONTH(A155)&gt;=4,IF(MONTH(A155)&lt;=10,Inputs!$F$13,Inputs!$F$14),Inputs!$F$14))*$BW155)</f>
        <v xml:space="preserve"> </v>
      </c>
      <c r="BB155" s="268" t="str">
        <f t="shared" si="266"/>
        <v xml:space="preserve"> </v>
      </c>
      <c r="BC155" s="268" t="str">
        <f t="shared" si="267"/>
        <v xml:space="preserve"> </v>
      </c>
      <c r="BD155" s="268" t="str">
        <f t="shared" si="234"/>
        <v xml:space="preserve"> </v>
      </c>
      <c r="BE155" s="268" t="str">
        <f t="shared" si="235"/>
        <v xml:space="preserve"> </v>
      </c>
      <c r="BF155" s="268" t="str">
        <f t="shared" si="236"/>
        <v xml:space="preserve"> </v>
      </c>
      <c r="BG155" s="268" t="str">
        <f t="shared" si="237"/>
        <v xml:space="preserve"> </v>
      </c>
      <c r="BH155" s="268" t="str">
        <f t="shared" si="258"/>
        <v xml:space="preserve"> </v>
      </c>
      <c r="BI155" s="268" t="str">
        <f t="shared" si="238"/>
        <v xml:space="preserve"> </v>
      </c>
      <c r="BJ155" s="296" t="str">
        <f t="shared" si="239"/>
        <v xml:space="preserve"> </v>
      </c>
      <c r="BK155" s="296" t="str">
        <f t="shared" si="240"/>
        <v xml:space="preserve"> </v>
      </c>
      <c r="BL155" s="296" t="str">
        <f t="shared" si="241"/>
        <v xml:space="preserve"> </v>
      </c>
      <c r="BM155" s="296" t="str">
        <f t="shared" si="242"/>
        <v xml:space="preserve"> </v>
      </c>
      <c r="BN155" s="405" t="str">
        <f>IF(A155="N/A"," ",(VLOOKUP(A155,PowerVolTable,(IF('Pricing Inputs'!$AT$3=2,7,IF('Pricing Inputs'!$AT$3=1,6,8))),FALSE)))</f>
        <v xml:space="preserve"> </v>
      </c>
      <c r="BO155" s="405" t="str">
        <f>IF(A155="N/A"," ",(VLOOKUP(A155,IntraPowerVol,(IF('Pricing Inputs'!$AT$3=2,3,IF('Pricing Inputs'!$AT$3=1,2,4))),FALSE)*VLOOKUP(MONTH($A155),Inputs!$A$28:$B$39,2)))</f>
        <v xml:space="preserve"> </v>
      </c>
      <c r="BP155" s="406" t="str">
        <f t="shared" si="227"/>
        <v xml:space="preserve"> </v>
      </c>
      <c r="BQ155" s="405" t="str">
        <f>IF($A155="N/A"," ",(VLOOKUP($A155,GasVolTable,(IF('Pricing Inputs'!$AT$3=2,6,IF('Pricing Inputs'!$AT$3=1,7,5))),FALSE)))</f>
        <v xml:space="preserve"> </v>
      </c>
      <c r="BR155" s="405" t="str">
        <f>IF($A155="N/A"," ",(VLOOKUP($A155,OmicronVol,(IF('Pricing Inputs'!$AT$3=2,3,IF('Pricing Inputs'!$AT$3=1,4,2))),FALSE)))</f>
        <v xml:space="preserve"> </v>
      </c>
      <c r="BS155" s="406" t="str">
        <f>IF($A155="N/A"," ",IF('Pricing Inputs'!$AN$3=1,(IF(DateToday&gt;$A155,$BR155,((($BQ155^2)*((($A155-1)-DateToday)/((EOMONTH($A155,0)+1)-DateToday-15)))+((($BR155)^2)*((15)/((EOMONTH($A155,0)+1)-DateToday-15))))^0.5)),0.0001))</f>
        <v xml:space="preserve"> </v>
      </c>
      <c r="BT155" s="405" t="str">
        <f>IF($A155="N/A"," ",IF('Pricing Inputs'!$AN$3=1,(VLOOKUP($A155,CorrelationTable,2,FALSE)),0))</f>
        <v xml:space="preserve"> </v>
      </c>
      <c r="BU155" s="407" t="str">
        <f>IF($A155="N/A"," ",F155+G155+(D155*(VLOOKUP($A155,'Gas Curves'!$B$17:$P$310,14,FALSE))))</f>
        <v xml:space="preserve"> </v>
      </c>
      <c r="BV155" s="405" t="str">
        <f>IF($A155="N/A"," ",IF('Pricing Inputs'!$AW$3=1,0,(VLOOKUP($A155,InterestRatesTable,2))))</f>
        <v xml:space="preserve"> </v>
      </c>
      <c r="BW155" s="408" t="str">
        <f t="shared" si="228"/>
        <v xml:space="preserve"> </v>
      </c>
    </row>
    <row r="156" spans="1:75">
      <c r="A156" s="248" t="str">
        <f>IF(A155="N/A","N/A",IF(EDATE(A155,1)&gt;Inputs!$K$3,"N/A",EDATE(A155,1)))</f>
        <v>N/A</v>
      </c>
      <c r="B156" s="262" t="str">
        <f t="shared" si="229"/>
        <v xml:space="preserve"> </v>
      </c>
      <c r="C156" s="249" t="str">
        <f t="shared" si="230"/>
        <v xml:space="preserve"> </v>
      </c>
      <c r="D156" s="250" t="str">
        <f>IF(A156="N/A"," ",(VLOOKUP(MONTH($A156),Inputs!$A$14:$B$25,2))/1000)</f>
        <v xml:space="preserve"> </v>
      </c>
      <c r="E156" s="304" t="str">
        <f t="shared" si="231"/>
        <v xml:space="preserve"> </v>
      </c>
      <c r="F156" s="251" t="str">
        <f>IF(A156="N/A"," ",Inputs!$F$6)</f>
        <v xml:space="preserve"> </v>
      </c>
      <c r="G156" s="251" t="str">
        <f>IF(A156="N/A"," ",Inputs!$F$9/IF(AND('Pricing Inputs'!$AQ$3&gt;=4,'Pricing Inputs'!$AQ$3&lt;=6),16,IF(AND('Pricing Inputs'!$AQ$3&gt;=7,'Pricing Inputs'!$AQ$3&lt;=9),8,24))/(BA156/BW156))</f>
        <v xml:space="preserve"> </v>
      </c>
      <c r="H156" s="252" t="str">
        <f t="shared" si="232"/>
        <v xml:space="preserve"> </v>
      </c>
      <c r="I156" s="255" t="str">
        <f>VLOOKUP(A156,ScaledPrice,(IF(AND('Pricing Inputs'!$AQ$3&gt;=1,'Pricing Inputs'!$AQ$3&lt;=6),2,4)))</f>
        <v xml:space="preserve"> </v>
      </c>
      <c r="J156" s="255" t="str">
        <f>IF(A156="N/A"," ",IF(AND('Pricing Inputs'!$AQ$3&gt;=1,'Pricing Inputs'!$AQ$3&lt;=6),I156,(VLOOKUP(A156,ScaledPrice,2))*(2-(VLOOKUP(A156,ScaledPrice,3)))))</f>
        <v xml:space="preserve"> </v>
      </c>
      <c r="K156" s="255" t="str">
        <f>IF(A156="N/A"," ",IF(OR('Pricing Inputs'!$AQ$3=2,'Pricing Inputs'!$AQ$3=3,'Pricing Inputs'!$AQ$3=5,'Pricing Inputs'!$AQ$3=6,'Pricing Inputs'!$AQ$3=8,'Pricing Inputs'!$AQ$3=9),VLOOKUP(A156,ScaledPrice,IF(AND('Pricing Inputs'!$AQ$3&gt;=2,'Pricing Inputs'!$AQ$3&lt;=6),5,6)),0))</f>
        <v xml:space="preserve"> </v>
      </c>
      <c r="L156" s="255" t="str">
        <f>IF(A156="N/A"," ",IF(OR('Pricing Inputs'!$AQ$3=2,'Pricing Inputs'!$AQ$3=3,'Pricing Inputs'!$AQ$3=5,'Pricing Inputs'!$AQ$3=6,'Pricing Inputs'!$AQ$3=8,'Pricing Inputs'!$AQ$3=9),IF(AND('Pricing Inputs'!$AQ$3&gt;=2,'Pricing Inputs'!$AQ$3&lt;=6),K156,(VLOOKUP(A156,ScaledPrice,5))*(2-(VLOOKUP(A156,ScaledPrice,3)))),0))</f>
        <v xml:space="preserve"> </v>
      </c>
      <c r="M156" s="255" t="str">
        <f>IF(A156="N/A"," ",IF(OR('Pricing Inputs'!$AQ$3=3,'Pricing Inputs'!$AQ$3=6,'Pricing Inputs'!$AQ$3=9),(VLOOKUP(A156,ScaledPrice,IF(AND('Pricing Inputs'!$AQ$3&gt;=3,'Pricing Inputs'!$AQ$3&lt;=6),7,8))),0))</f>
        <v xml:space="preserve"> </v>
      </c>
      <c r="N156" s="255" t="str">
        <f>IF(A156="N/A"," ",IF(OR('Pricing Inputs'!$AQ$3=3,'Pricing Inputs'!$AQ$3=6,'Pricing Inputs'!$AQ$3=9),IF(AND('Pricing Inputs'!$AQ$3&gt;=3,'Pricing Inputs'!$AQ$3&lt;=6),M156,(VLOOKUP(A156,ScaledPrice,7))*(2-(VLOOKUP(A156,ScaledPrice,3)))),0))</f>
        <v xml:space="preserve"> </v>
      </c>
      <c r="O156" s="255" t="str">
        <f>IF(A156="N/A"," ",IF(AND('Pricing Inputs'!$AQ$3&gt;=1,'Pricing Inputs'!$AQ$3&lt;=3),VLOOKUP(A156,ScaledPrice,9),0))</f>
        <v xml:space="preserve"> </v>
      </c>
      <c r="P156" s="320" t="str">
        <f>IF($A156="N/A"," ",IF('Pricing Inputs'!$AN$8=2,(I156-H156),IF('Pricing Inputs'!$AN$3=2,IF((I156-$H156)&gt;0,I156-$H156,0),(_xll.xSPRDOPT(I156,$E156,$BU156,0,$BP156,$BS156,$BT156,($A156-Inputs!$D$1)+15,1,0)))))</f>
        <v xml:space="preserve"> </v>
      </c>
      <c r="Q156" s="320" t="str">
        <f>IF($A156="N/A"," ",IF('Pricing Inputs'!$AN$8=2,(J156-$H156),IF('Pricing Inputs'!$AN$3=2,IF((J156-$H156)&gt;0,J156-$H156,0),(_xll.xSPRDOPT(J156,$E156,$BU156,0,$BP156,$BS156,$BT156,($A156-Inputs!$D$1)+15,1,0)))))</f>
        <v xml:space="preserve"> </v>
      </c>
      <c r="R156" s="320" t="str">
        <f>IF($A156="N/A"," ",IF('Pricing Inputs'!$AN$8=2,(K156-$H156),IF('Pricing Inputs'!$AN$3=2,IF((K156-$H156)&gt;0,K156-$H156,0),(_xll.xSPRDOPT(K156,$E156,$BU156,0,$BP156,$BS156,$BT156,($A156-Inputs!$D$1)+15,1,0)))))</f>
        <v xml:space="preserve"> </v>
      </c>
      <c r="S156" s="320" t="str">
        <f>IF($A156="N/A"," ",IF('Pricing Inputs'!$AN$8=2,(L156-$H156),IF('Pricing Inputs'!$AN$3=2,IF((L156-$H156)&gt;0,L156-$H156,0),(_xll.xSPRDOPT(L156,$E156,$BU156,0,$BP156,$BS156,$BT156,($A156-Inputs!$D$1)+15,1,0)))))</f>
        <v xml:space="preserve"> </v>
      </c>
      <c r="T156" s="320" t="str">
        <f>IF($A156="N/A"," ",IF('Pricing Inputs'!$AN$8=2,(M156-$H156),IF('Pricing Inputs'!$AN$3=2,IF((M156-$H156)&gt;0,M156-$H156,0),(_xll.xSPRDOPT(M156,$E156,$BU156,0,$BP156,$BS156,$BT156,($A156-Inputs!$D$1)+15,1,0)))))</f>
        <v xml:space="preserve"> </v>
      </c>
      <c r="U156" s="320" t="str">
        <f>IF($A156="N/A"," ",IF('Pricing Inputs'!$AN$8=2,(N156-$H156),IF('Pricing Inputs'!$AN$3=2,IF((N156-$H156)&gt;0,N156-$H156,0),(_xll.xSPRDOPT(N156,$E156,$BU156,0,$BP156,$BS156,$BT156,($A156-Inputs!$D$1)+15,1,0)))))</f>
        <v xml:space="preserve"> </v>
      </c>
      <c r="V156" s="259" t="str">
        <f>IF($A156="N/A"," ",(IF('Pricing Inputs'!$AN$8=2,(O156-$H156),IF((O156-$H156)&lt;=0,0,(O156-$H156)))))</f>
        <v xml:space="preserve"> </v>
      </c>
      <c r="W156" s="306" t="str">
        <f>IF($A156="N/A"," ",IF(0&lt;&gt;P156,IF('Pricing Inputs'!$AN$3=2,8*VLOOKUP($A156,NumberofDaysTable,2),(_xll.xSPRDOPT(I156,$E156,$BU156,0,$BP156,$BS156,$BT156,$A156-Inputs!$D$1,1,1))*(8*VLOOKUP($A156,NumberofDaysTable,2))),0))</f>
        <v xml:space="preserve"> </v>
      </c>
      <c r="X156" s="306" t="str">
        <f>IF($A156="N/A"," ",IF(Q156&lt;&gt;0,IF('Pricing Inputs'!$AN$3=2,8*VLOOKUP($A156,NumberofDaysTable,2),(_xll.xSPRDOPT(J156,$E156,$BU156,0,$BP156,$BS156,$BT156,$A156-Inputs!$D$1,1,1))*(8*VLOOKUP($A156,NumberofDaysTable,2))),0))</f>
        <v xml:space="preserve"> </v>
      </c>
      <c r="Y156" s="306" t="str">
        <f>IF($A156="N/A"," ",IF(R156&lt;&gt;0,IF('Pricing Inputs'!$AN$3=2,8*VLOOKUP($A156,NumberofDaysTable,3),(_xll.xSPRDOPT(K156,$E156,$BU156,0,$BP156,$BS156,$BT156,$A156-Inputs!$D$1,1,1))*(8*VLOOKUP($A156,NumberofDaysTable,3))),0))</f>
        <v xml:space="preserve"> </v>
      </c>
      <c r="Z156" s="306" t="str">
        <f>IF($A156="N/A"," ",IF(S156&lt;&gt;0,IF('Pricing Inputs'!$AN$3=2,8*VLOOKUP($A156,NumberofDaysTable,3),(_xll.xSPRDOPT(L156,$E156,$BU156,0,$BP156,$BS156,$BT156,$A156-Inputs!$D$1,1,1))*(8*VLOOKUP($A156,NumberofDaysTable,3))),0))</f>
        <v xml:space="preserve"> </v>
      </c>
      <c r="AA156" s="306" t="str">
        <f>IF($A156="N/A"," ",IF(T156&lt;&gt;0,IF('Pricing Inputs'!$AN$3=2,8*VLOOKUP($A156,NumberofDaysTable,4),(_xll.xSPRDOPT(M156,$E156,$BU156,0,$BP156,$BS156,$BT156,$A156-Inputs!$D$1,1,1))*(8*VLOOKUP($A156,NumberofDaysTable,4))),0))</f>
        <v xml:space="preserve"> </v>
      </c>
      <c r="AB156" s="306" t="str">
        <f>IF($A156="N/A"," ",IF(U156&lt;&gt;0,IF('Pricing Inputs'!$AN$3=2,8*VLOOKUP($A156,NumberofDaysTable,4),(_xll.xSPRDOPT(N156,$E156,$BU156,0,$BP156,$BS156,$BT156,$A156-Inputs!$D$1,1,1))*(8*VLOOKUP($A156,NumberofDaysTable,4))),0))</f>
        <v xml:space="preserve"> </v>
      </c>
      <c r="AC156" s="306" t="str">
        <f t="shared" si="233"/>
        <v xml:space="preserve"> </v>
      </c>
      <c r="AD156" s="274" t="str">
        <f t="shared" si="276"/>
        <v xml:space="preserve"> </v>
      </c>
      <c r="AE156" s="275" t="str">
        <f t="shared" si="277"/>
        <v xml:space="preserve"> </v>
      </c>
      <c r="AF156" s="275" t="str">
        <f t="shared" si="278"/>
        <v xml:space="preserve"> </v>
      </c>
      <c r="AG156" s="275" t="str">
        <f t="shared" si="279"/>
        <v xml:space="preserve"> </v>
      </c>
      <c r="AH156" s="275" t="str">
        <f t="shared" si="280"/>
        <v xml:space="preserve"> </v>
      </c>
      <c r="AI156" s="275" t="str">
        <f t="shared" si="281"/>
        <v xml:space="preserve"> </v>
      </c>
      <c r="AJ156" s="276" t="str">
        <f t="shared" si="282"/>
        <v xml:space="preserve"> </v>
      </c>
      <c r="AK156" s="314" t="str">
        <f t="shared" si="259"/>
        <v xml:space="preserve"> </v>
      </c>
      <c r="AL156" s="315" t="str">
        <f t="shared" si="260"/>
        <v xml:space="preserve"> </v>
      </c>
      <c r="AM156" s="315" t="str">
        <f t="shared" si="261"/>
        <v xml:space="preserve"> </v>
      </c>
      <c r="AN156" s="315" t="str">
        <f t="shared" si="262"/>
        <v xml:space="preserve"> </v>
      </c>
      <c r="AO156" s="315" t="str">
        <f t="shared" si="263"/>
        <v xml:space="preserve"> </v>
      </c>
      <c r="AP156" s="315" t="str">
        <f t="shared" si="264"/>
        <v xml:space="preserve"> </v>
      </c>
      <c r="AQ156" s="315" t="str">
        <f t="shared" si="265"/>
        <v xml:space="preserve"> </v>
      </c>
      <c r="AR156" s="276"/>
      <c r="AS156" s="321" t="str">
        <f t="shared" si="269"/>
        <v xml:space="preserve"> </v>
      </c>
      <c r="AT156" s="324" t="str">
        <f t="shared" si="270"/>
        <v xml:space="preserve"> </v>
      </c>
      <c r="AU156" s="324" t="str">
        <f t="shared" si="271"/>
        <v xml:space="preserve"> </v>
      </c>
      <c r="AV156" s="324" t="str">
        <f t="shared" si="272"/>
        <v xml:space="preserve"> </v>
      </c>
      <c r="AW156" s="324" t="str">
        <f t="shared" si="273"/>
        <v xml:space="preserve"> </v>
      </c>
      <c r="AX156" s="324" t="str">
        <f t="shared" si="274"/>
        <v xml:space="preserve"> </v>
      </c>
      <c r="AY156" s="324" t="str">
        <f t="shared" si="275"/>
        <v xml:space="preserve"> </v>
      </c>
      <c r="AZ156" s="276"/>
      <c r="BA156" s="267" t="str">
        <f>IF($A156="N/A"," ",(IF(MONTH(A156)&gt;=4,IF(MONTH(A156)&lt;=10,Inputs!$F$13,Inputs!$F$14),Inputs!$F$14))*$BW156)</f>
        <v xml:space="preserve"> </v>
      </c>
      <c r="BB156" s="268" t="str">
        <f t="shared" si="266"/>
        <v xml:space="preserve"> </v>
      </c>
      <c r="BC156" s="268" t="str">
        <f t="shared" si="267"/>
        <v xml:space="preserve"> </v>
      </c>
      <c r="BD156" s="268" t="str">
        <f t="shared" si="234"/>
        <v xml:space="preserve"> </v>
      </c>
      <c r="BE156" s="268" t="str">
        <f t="shared" si="235"/>
        <v xml:space="preserve"> </v>
      </c>
      <c r="BF156" s="268" t="str">
        <f t="shared" si="236"/>
        <v xml:space="preserve"> </v>
      </c>
      <c r="BG156" s="268" t="str">
        <f t="shared" si="237"/>
        <v xml:space="preserve"> </v>
      </c>
      <c r="BH156" s="268" t="str">
        <f t="shared" si="258"/>
        <v xml:space="preserve"> </v>
      </c>
      <c r="BI156" s="268" t="str">
        <f t="shared" si="238"/>
        <v xml:space="preserve"> </v>
      </c>
      <c r="BJ156" s="296" t="str">
        <f t="shared" si="239"/>
        <v xml:space="preserve"> </v>
      </c>
      <c r="BK156" s="296" t="str">
        <f t="shared" si="240"/>
        <v xml:space="preserve"> </v>
      </c>
      <c r="BL156" s="296" t="str">
        <f t="shared" si="241"/>
        <v xml:space="preserve"> </v>
      </c>
      <c r="BM156" s="296" t="str">
        <f t="shared" si="242"/>
        <v xml:space="preserve"> </v>
      </c>
      <c r="BN156" s="405" t="str">
        <f>IF(A156="N/A"," ",(VLOOKUP(A156,PowerVolTable,(IF('Pricing Inputs'!$AT$3=2,7,IF('Pricing Inputs'!$AT$3=1,6,8))),FALSE)))</f>
        <v xml:space="preserve"> </v>
      </c>
      <c r="BO156" s="405" t="str">
        <f>IF(A156="N/A"," ",(VLOOKUP(A156,IntraPowerVol,(IF('Pricing Inputs'!$AT$3=2,3,IF('Pricing Inputs'!$AT$3=1,2,4))),FALSE)*VLOOKUP(MONTH($A156),Inputs!$A$28:$B$39,2)))</f>
        <v xml:space="preserve"> </v>
      </c>
      <c r="BP156" s="406" t="str">
        <f t="shared" si="227"/>
        <v xml:space="preserve"> </v>
      </c>
      <c r="BQ156" s="405" t="str">
        <f>IF($A156="N/A"," ",(VLOOKUP($A156,GasVolTable,(IF('Pricing Inputs'!$AT$3=2,6,IF('Pricing Inputs'!$AT$3=1,7,5))),FALSE)))</f>
        <v xml:space="preserve"> </v>
      </c>
      <c r="BR156" s="405" t="str">
        <f>IF($A156="N/A"," ",(VLOOKUP($A156,OmicronVol,(IF('Pricing Inputs'!$AT$3=2,3,IF('Pricing Inputs'!$AT$3=1,4,2))),FALSE)))</f>
        <v xml:space="preserve"> </v>
      </c>
      <c r="BS156" s="406" t="str">
        <f>IF($A156="N/A"," ",IF('Pricing Inputs'!$AN$3=1,(IF(DateToday&gt;$A156,$BR156,((($BQ156^2)*((($A156-1)-DateToday)/((EOMONTH($A156,0)+1)-DateToday-15)))+((($BR156)^2)*((15)/((EOMONTH($A156,0)+1)-DateToday-15))))^0.5)),0.0001))</f>
        <v xml:space="preserve"> </v>
      </c>
      <c r="BT156" s="405" t="str">
        <f>IF($A156="N/A"," ",IF('Pricing Inputs'!$AN$3=1,(VLOOKUP($A156,CorrelationTable,2,FALSE)),0))</f>
        <v xml:space="preserve"> </v>
      </c>
      <c r="BU156" s="407" t="str">
        <f>IF($A156="N/A"," ",F156+G156+(D156*(VLOOKUP($A156,'Gas Curves'!$B$17:$P$310,14,FALSE))))</f>
        <v xml:space="preserve"> </v>
      </c>
      <c r="BV156" s="405" t="str">
        <f>IF($A156="N/A"," ",IF('Pricing Inputs'!$AW$3=1,0,(VLOOKUP($A156,InterestRatesTable,2))))</f>
        <v xml:space="preserve"> </v>
      </c>
      <c r="BW156" s="408" t="str">
        <f t="shared" si="228"/>
        <v xml:space="preserve"> </v>
      </c>
    </row>
    <row r="157" spans="1:75">
      <c r="A157" s="248" t="str">
        <f>IF(A156="N/A","N/A",IF(EDATE(A156,1)&gt;Inputs!$K$3,"N/A",EDATE(A156,1)))</f>
        <v>N/A</v>
      </c>
      <c r="B157" s="262" t="str">
        <f t="shared" si="229"/>
        <v xml:space="preserve"> </v>
      </c>
      <c r="C157" s="249" t="str">
        <f t="shared" si="230"/>
        <v xml:space="preserve"> </v>
      </c>
      <c r="D157" s="250" t="str">
        <f>IF(A157="N/A"," ",(VLOOKUP(MONTH($A157),Inputs!$A$14:$B$25,2))/1000)</f>
        <v xml:space="preserve"> </v>
      </c>
      <c r="E157" s="304" t="str">
        <f t="shared" si="231"/>
        <v xml:space="preserve"> </v>
      </c>
      <c r="F157" s="251" t="str">
        <f>IF(A157="N/A"," ",Inputs!$F$6)</f>
        <v xml:space="preserve"> </v>
      </c>
      <c r="G157" s="251" t="str">
        <f>IF(A157="N/A"," ",Inputs!$F$9/IF(AND('Pricing Inputs'!$AQ$3&gt;=4,'Pricing Inputs'!$AQ$3&lt;=6),16,IF(AND('Pricing Inputs'!$AQ$3&gt;=7,'Pricing Inputs'!$AQ$3&lt;=9),8,24))/(BA157/BW157))</f>
        <v xml:space="preserve"> </v>
      </c>
      <c r="H157" s="252" t="str">
        <f t="shared" si="232"/>
        <v xml:space="preserve"> </v>
      </c>
      <c r="I157" s="255" t="str">
        <f>VLOOKUP(A157,ScaledPrice,(IF(AND('Pricing Inputs'!$AQ$3&gt;=1,'Pricing Inputs'!$AQ$3&lt;=6),2,4)))</f>
        <v xml:space="preserve"> </v>
      </c>
      <c r="J157" s="255" t="str">
        <f>IF(A157="N/A"," ",IF(AND('Pricing Inputs'!$AQ$3&gt;=1,'Pricing Inputs'!$AQ$3&lt;=6),I157,(VLOOKUP(A157,ScaledPrice,2))*(2-(VLOOKUP(A157,ScaledPrice,3)))))</f>
        <v xml:space="preserve"> </v>
      </c>
      <c r="K157" s="255" t="str">
        <f>IF(A157="N/A"," ",IF(OR('Pricing Inputs'!$AQ$3=2,'Pricing Inputs'!$AQ$3=3,'Pricing Inputs'!$AQ$3=5,'Pricing Inputs'!$AQ$3=6,'Pricing Inputs'!$AQ$3=8,'Pricing Inputs'!$AQ$3=9),VLOOKUP(A157,ScaledPrice,IF(AND('Pricing Inputs'!$AQ$3&gt;=2,'Pricing Inputs'!$AQ$3&lt;=6),5,6)),0))</f>
        <v xml:space="preserve"> </v>
      </c>
      <c r="L157" s="255" t="str">
        <f>IF(A157="N/A"," ",IF(OR('Pricing Inputs'!$AQ$3=2,'Pricing Inputs'!$AQ$3=3,'Pricing Inputs'!$AQ$3=5,'Pricing Inputs'!$AQ$3=6,'Pricing Inputs'!$AQ$3=8,'Pricing Inputs'!$AQ$3=9),IF(AND('Pricing Inputs'!$AQ$3&gt;=2,'Pricing Inputs'!$AQ$3&lt;=6),K157,(VLOOKUP(A157,ScaledPrice,5))*(2-(VLOOKUP(A157,ScaledPrice,3)))),0))</f>
        <v xml:space="preserve"> </v>
      </c>
      <c r="M157" s="255" t="str">
        <f>IF(A157="N/A"," ",IF(OR('Pricing Inputs'!$AQ$3=3,'Pricing Inputs'!$AQ$3=6,'Pricing Inputs'!$AQ$3=9),(VLOOKUP(A157,ScaledPrice,IF(AND('Pricing Inputs'!$AQ$3&gt;=3,'Pricing Inputs'!$AQ$3&lt;=6),7,8))),0))</f>
        <v xml:space="preserve"> </v>
      </c>
      <c r="N157" s="255" t="str">
        <f>IF(A157="N/A"," ",IF(OR('Pricing Inputs'!$AQ$3=3,'Pricing Inputs'!$AQ$3=6,'Pricing Inputs'!$AQ$3=9),IF(AND('Pricing Inputs'!$AQ$3&gt;=3,'Pricing Inputs'!$AQ$3&lt;=6),M157,(VLOOKUP(A157,ScaledPrice,7))*(2-(VLOOKUP(A157,ScaledPrice,3)))),0))</f>
        <v xml:space="preserve"> </v>
      </c>
      <c r="O157" s="255" t="str">
        <f>IF(A157="N/A"," ",IF(AND('Pricing Inputs'!$AQ$3&gt;=1,'Pricing Inputs'!$AQ$3&lt;=3),VLOOKUP(A157,ScaledPrice,9),0))</f>
        <v xml:space="preserve"> </v>
      </c>
      <c r="P157" s="320" t="str">
        <f>IF($A157="N/A"," ",IF('Pricing Inputs'!$AN$8=2,(I157-H157),IF('Pricing Inputs'!$AN$3=2,IF((I157-$H157)&gt;0,I157-$H157,0),(_xll.xSPRDOPT(I157,$E157,$BU157,0,$BP157,$BS157,$BT157,($A157-Inputs!$D$1)+15,1,0)))))</f>
        <v xml:space="preserve"> </v>
      </c>
      <c r="Q157" s="320" t="str">
        <f>IF($A157="N/A"," ",IF('Pricing Inputs'!$AN$8=2,(J157-$H157),IF('Pricing Inputs'!$AN$3=2,IF((J157-$H157)&gt;0,J157-$H157,0),(_xll.xSPRDOPT(J157,$E157,$BU157,0,$BP157,$BS157,$BT157,($A157-Inputs!$D$1)+15,1,0)))))</f>
        <v xml:space="preserve"> </v>
      </c>
      <c r="R157" s="320" t="str">
        <f>IF($A157="N/A"," ",IF('Pricing Inputs'!$AN$8=2,(K157-$H157),IF('Pricing Inputs'!$AN$3=2,IF((K157-$H157)&gt;0,K157-$H157,0),(_xll.xSPRDOPT(K157,$E157,$BU157,0,$BP157,$BS157,$BT157,($A157-Inputs!$D$1)+15,1,0)))))</f>
        <v xml:space="preserve"> </v>
      </c>
      <c r="S157" s="320" t="str">
        <f>IF($A157="N/A"," ",IF('Pricing Inputs'!$AN$8=2,(L157-$H157),IF('Pricing Inputs'!$AN$3=2,IF((L157-$H157)&gt;0,L157-$H157,0),(_xll.xSPRDOPT(L157,$E157,$BU157,0,$BP157,$BS157,$BT157,($A157-Inputs!$D$1)+15,1,0)))))</f>
        <v xml:space="preserve"> </v>
      </c>
      <c r="T157" s="320" t="str">
        <f>IF($A157="N/A"," ",IF('Pricing Inputs'!$AN$8=2,(M157-$H157),IF('Pricing Inputs'!$AN$3=2,IF((M157-$H157)&gt;0,M157-$H157,0),(_xll.xSPRDOPT(M157,$E157,$BU157,0,$BP157,$BS157,$BT157,($A157-Inputs!$D$1)+15,1,0)))))</f>
        <v xml:space="preserve"> </v>
      </c>
      <c r="U157" s="320" t="str">
        <f>IF($A157="N/A"," ",IF('Pricing Inputs'!$AN$8=2,(N157-$H157),IF('Pricing Inputs'!$AN$3=2,IF((N157-$H157)&gt;0,N157-$H157,0),(_xll.xSPRDOPT(N157,$E157,$BU157,0,$BP157,$BS157,$BT157,($A157-Inputs!$D$1)+15,1,0)))))</f>
        <v xml:space="preserve"> </v>
      </c>
      <c r="V157" s="259" t="str">
        <f>IF($A157="N/A"," ",(IF('Pricing Inputs'!$AN$8=2,(O157-$H157),IF((O157-$H157)&lt;=0,0,(O157-$H157)))))</f>
        <v xml:space="preserve"> </v>
      </c>
      <c r="W157" s="306" t="str">
        <f>IF($A157="N/A"," ",IF(0&lt;&gt;P157,IF('Pricing Inputs'!$AN$3=2,8*VLOOKUP($A157,NumberofDaysTable,2),(_xll.xSPRDOPT(I157,$E157,$BU157,0,$BP157,$BS157,$BT157,$A157-Inputs!$D$1,1,1))*(8*VLOOKUP($A157,NumberofDaysTable,2))),0))</f>
        <v xml:space="preserve"> </v>
      </c>
      <c r="X157" s="306" t="str">
        <f>IF($A157="N/A"," ",IF(Q157&lt;&gt;0,IF('Pricing Inputs'!$AN$3=2,8*VLOOKUP($A157,NumberofDaysTable,2),(_xll.xSPRDOPT(J157,$E157,$BU157,0,$BP157,$BS157,$BT157,$A157-Inputs!$D$1,1,1))*(8*VLOOKUP($A157,NumberofDaysTable,2))),0))</f>
        <v xml:space="preserve"> </v>
      </c>
      <c r="Y157" s="306" t="str">
        <f>IF($A157="N/A"," ",IF(R157&lt;&gt;0,IF('Pricing Inputs'!$AN$3=2,8*VLOOKUP($A157,NumberofDaysTable,3),(_xll.xSPRDOPT(K157,$E157,$BU157,0,$BP157,$BS157,$BT157,$A157-Inputs!$D$1,1,1))*(8*VLOOKUP($A157,NumberofDaysTable,3))),0))</f>
        <v xml:space="preserve"> </v>
      </c>
      <c r="Z157" s="306" t="str">
        <f>IF($A157="N/A"," ",IF(S157&lt;&gt;0,IF('Pricing Inputs'!$AN$3=2,8*VLOOKUP($A157,NumberofDaysTable,3),(_xll.xSPRDOPT(L157,$E157,$BU157,0,$BP157,$BS157,$BT157,$A157-Inputs!$D$1,1,1))*(8*VLOOKUP($A157,NumberofDaysTable,3))),0))</f>
        <v xml:space="preserve"> </v>
      </c>
      <c r="AA157" s="306" t="str">
        <f>IF($A157="N/A"," ",IF(T157&lt;&gt;0,IF('Pricing Inputs'!$AN$3=2,8*VLOOKUP($A157,NumberofDaysTable,4),(_xll.xSPRDOPT(M157,$E157,$BU157,0,$BP157,$BS157,$BT157,$A157-Inputs!$D$1,1,1))*(8*VLOOKUP($A157,NumberofDaysTable,4))),0))</f>
        <v xml:space="preserve"> </v>
      </c>
      <c r="AB157" s="306" t="str">
        <f>IF($A157="N/A"," ",IF(U157&lt;&gt;0,IF('Pricing Inputs'!$AN$3=2,8*VLOOKUP($A157,NumberofDaysTable,4),(_xll.xSPRDOPT(N157,$E157,$BU157,0,$BP157,$BS157,$BT157,$A157-Inputs!$D$1,1,1))*(8*VLOOKUP($A157,NumberofDaysTable,4))),0))</f>
        <v xml:space="preserve"> </v>
      </c>
      <c r="AC157" s="306" t="str">
        <f t="shared" si="233"/>
        <v xml:space="preserve"> </v>
      </c>
      <c r="AD157" s="274" t="str">
        <f t="shared" si="276"/>
        <v xml:space="preserve"> </v>
      </c>
      <c r="AE157" s="275" t="str">
        <f t="shared" si="277"/>
        <v xml:space="preserve"> </v>
      </c>
      <c r="AF157" s="275" t="str">
        <f t="shared" si="278"/>
        <v xml:space="preserve"> </v>
      </c>
      <c r="AG157" s="275" t="str">
        <f t="shared" si="279"/>
        <v xml:space="preserve"> </v>
      </c>
      <c r="AH157" s="275" t="str">
        <f t="shared" si="280"/>
        <v xml:space="preserve"> </v>
      </c>
      <c r="AI157" s="275" t="str">
        <f t="shared" si="281"/>
        <v xml:space="preserve"> </v>
      </c>
      <c r="AJ157" s="276" t="str">
        <f t="shared" si="282"/>
        <v xml:space="preserve"> </v>
      </c>
      <c r="AK157" s="314" t="str">
        <f t="shared" si="259"/>
        <v xml:space="preserve"> </v>
      </c>
      <c r="AL157" s="315" t="str">
        <f t="shared" si="260"/>
        <v xml:space="preserve"> </v>
      </c>
      <c r="AM157" s="315" t="str">
        <f t="shared" si="261"/>
        <v xml:space="preserve"> </v>
      </c>
      <c r="AN157" s="315" t="str">
        <f t="shared" si="262"/>
        <v xml:space="preserve"> </v>
      </c>
      <c r="AO157" s="315" t="str">
        <f t="shared" si="263"/>
        <v xml:space="preserve"> </v>
      </c>
      <c r="AP157" s="315" t="str">
        <f t="shared" si="264"/>
        <v xml:space="preserve"> </v>
      </c>
      <c r="AQ157" s="315" t="str">
        <f t="shared" si="265"/>
        <v xml:space="preserve"> </v>
      </c>
      <c r="AR157" s="284" t="s">
        <v>1292</v>
      </c>
      <c r="AS157" s="321" t="str">
        <f t="shared" si="269"/>
        <v xml:space="preserve"> </v>
      </c>
      <c r="AT157" s="324" t="str">
        <f t="shared" si="270"/>
        <v xml:space="preserve"> </v>
      </c>
      <c r="AU157" s="324" t="str">
        <f t="shared" si="271"/>
        <v xml:space="preserve"> </v>
      </c>
      <c r="AV157" s="324" t="str">
        <f t="shared" si="272"/>
        <v xml:space="preserve"> </v>
      </c>
      <c r="AW157" s="324" t="str">
        <f t="shared" si="273"/>
        <v xml:space="preserve"> </v>
      </c>
      <c r="AX157" s="324" t="str">
        <f t="shared" si="274"/>
        <v xml:space="preserve"> </v>
      </c>
      <c r="AY157" s="324" t="str">
        <f t="shared" si="275"/>
        <v xml:space="preserve"> </v>
      </c>
      <c r="AZ157" s="283" t="s">
        <v>1304</v>
      </c>
      <c r="BA157" s="267" t="str">
        <f>IF($A157="N/A"," ",(IF(MONTH(A157)&gt;=4,IF(MONTH(A157)&lt;=10,Inputs!$F$13,Inputs!$F$14),Inputs!$F$14))*$BW157)</f>
        <v xml:space="preserve"> </v>
      </c>
      <c r="BB157" s="268" t="str">
        <f t="shared" si="266"/>
        <v xml:space="preserve"> </v>
      </c>
      <c r="BC157" s="268" t="str">
        <f t="shared" si="267"/>
        <v xml:space="preserve"> </v>
      </c>
      <c r="BD157" s="268" t="str">
        <f t="shared" si="234"/>
        <v xml:space="preserve"> </v>
      </c>
      <c r="BE157" s="268" t="str">
        <f t="shared" si="235"/>
        <v xml:space="preserve"> </v>
      </c>
      <c r="BF157" s="268" t="str">
        <f t="shared" si="236"/>
        <v xml:space="preserve"> </v>
      </c>
      <c r="BG157" s="268" t="str">
        <f t="shared" si="237"/>
        <v xml:space="preserve"> </v>
      </c>
      <c r="BH157" s="268" t="str">
        <f t="shared" si="258"/>
        <v xml:space="preserve"> </v>
      </c>
      <c r="BI157" s="268" t="str">
        <f t="shared" si="238"/>
        <v xml:space="preserve"> </v>
      </c>
      <c r="BJ157" s="296" t="str">
        <f t="shared" si="239"/>
        <v xml:space="preserve"> </v>
      </c>
      <c r="BK157" s="296" t="str">
        <f t="shared" si="240"/>
        <v xml:space="preserve"> </v>
      </c>
      <c r="BL157" s="296" t="str">
        <f t="shared" si="241"/>
        <v xml:space="preserve"> </v>
      </c>
      <c r="BM157" s="296" t="str">
        <f t="shared" si="242"/>
        <v xml:space="preserve"> </v>
      </c>
      <c r="BN157" s="405" t="str">
        <f>IF(A157="N/A"," ",(VLOOKUP(A157,PowerVolTable,(IF('Pricing Inputs'!$AT$3=2,7,IF('Pricing Inputs'!$AT$3=1,6,8))),FALSE)))</f>
        <v xml:space="preserve"> </v>
      </c>
      <c r="BO157" s="405" t="str">
        <f>IF(A157="N/A"," ",(VLOOKUP(A157,IntraPowerVol,(IF('Pricing Inputs'!$AT$3=2,3,IF('Pricing Inputs'!$AT$3=1,2,4))),FALSE)*VLOOKUP(MONTH($A157),Inputs!$A$28:$B$39,2)))</f>
        <v xml:space="preserve"> </v>
      </c>
      <c r="BP157" s="406" t="str">
        <f t="shared" si="227"/>
        <v xml:space="preserve"> </v>
      </c>
      <c r="BQ157" s="405" t="str">
        <f>IF($A157="N/A"," ",(VLOOKUP($A157,GasVolTable,(IF('Pricing Inputs'!$AT$3=2,6,IF('Pricing Inputs'!$AT$3=1,7,5))),FALSE)))</f>
        <v xml:space="preserve"> </v>
      </c>
      <c r="BR157" s="405" t="str">
        <f>IF($A157="N/A"," ",(VLOOKUP($A157,OmicronVol,(IF('Pricing Inputs'!$AT$3=2,3,IF('Pricing Inputs'!$AT$3=1,4,2))),FALSE)))</f>
        <v xml:space="preserve"> </v>
      </c>
      <c r="BS157" s="406" t="str">
        <f>IF($A157="N/A"," ",IF('Pricing Inputs'!$AN$3=1,(IF(DateToday&gt;$A157,$BR157,((($BQ157^2)*((($A157-1)-DateToday)/((EOMONTH($A157,0)+1)-DateToday-15)))+((($BR157)^2)*((15)/((EOMONTH($A157,0)+1)-DateToday-15))))^0.5)),0.0001))</f>
        <v xml:space="preserve"> </v>
      </c>
      <c r="BT157" s="405" t="str">
        <f>IF($A157="N/A"," ",IF('Pricing Inputs'!$AN$3=1,(VLOOKUP($A157,CorrelationTable,2,FALSE)),0))</f>
        <v xml:space="preserve"> </v>
      </c>
      <c r="BU157" s="407" t="str">
        <f>IF($A157="N/A"," ",F157+G157+(D157*(VLOOKUP($A157,'Gas Curves'!$B$17:$P$310,14,FALSE))))</f>
        <v xml:space="preserve"> </v>
      </c>
      <c r="BV157" s="405" t="str">
        <f>IF($A157="N/A"," ",IF('Pricing Inputs'!$AW$3=1,0,(VLOOKUP($A157,InterestRatesTable,2))))</f>
        <v xml:space="preserve"> </v>
      </c>
      <c r="BW157" s="408" t="str">
        <f t="shared" si="228"/>
        <v xml:space="preserve"> </v>
      </c>
    </row>
    <row r="158" spans="1:75">
      <c r="A158" s="248" t="str">
        <f>IF(A157="N/A","N/A",IF(EDATE(A157,1)&gt;Inputs!$K$3,"N/A",EDATE(A157,1)))</f>
        <v>N/A</v>
      </c>
      <c r="B158" s="262" t="str">
        <f t="shared" si="229"/>
        <v xml:space="preserve"> </v>
      </c>
      <c r="C158" s="249" t="str">
        <f t="shared" si="230"/>
        <v xml:space="preserve"> </v>
      </c>
      <c r="D158" s="250" t="str">
        <f>IF(A158="N/A"," ",(VLOOKUP(MONTH($A158),Inputs!$A$14:$B$25,2))/1000)</f>
        <v xml:space="preserve"> </v>
      </c>
      <c r="E158" s="304" t="str">
        <f t="shared" si="231"/>
        <v xml:space="preserve"> </v>
      </c>
      <c r="F158" s="251" t="str">
        <f>IF(A158="N/A"," ",Inputs!$F$6)</f>
        <v xml:space="preserve"> </v>
      </c>
      <c r="G158" s="251" t="str">
        <f>IF(A158="N/A"," ",Inputs!$F$9/IF(AND('Pricing Inputs'!$AQ$3&gt;=4,'Pricing Inputs'!$AQ$3&lt;=6),16,IF(AND('Pricing Inputs'!$AQ$3&gt;=7,'Pricing Inputs'!$AQ$3&lt;=9),8,24))/(BA158/BW158))</f>
        <v xml:space="preserve"> </v>
      </c>
      <c r="H158" s="252" t="str">
        <f t="shared" si="232"/>
        <v xml:space="preserve"> </v>
      </c>
      <c r="I158" s="255" t="str">
        <f>VLOOKUP(A158,ScaledPrice,(IF(AND('Pricing Inputs'!$AQ$3&gt;=1,'Pricing Inputs'!$AQ$3&lt;=6),2,4)))</f>
        <v xml:space="preserve"> </v>
      </c>
      <c r="J158" s="255" t="str">
        <f>IF(A158="N/A"," ",IF(AND('Pricing Inputs'!$AQ$3&gt;=1,'Pricing Inputs'!$AQ$3&lt;=6),I158,(VLOOKUP(A158,ScaledPrice,2))*(2-(VLOOKUP(A158,ScaledPrice,3)))))</f>
        <v xml:space="preserve"> </v>
      </c>
      <c r="K158" s="255" t="str">
        <f>IF(A158="N/A"," ",IF(OR('Pricing Inputs'!$AQ$3=2,'Pricing Inputs'!$AQ$3=3,'Pricing Inputs'!$AQ$3=5,'Pricing Inputs'!$AQ$3=6,'Pricing Inputs'!$AQ$3=8,'Pricing Inputs'!$AQ$3=9),VLOOKUP(A158,ScaledPrice,IF(AND('Pricing Inputs'!$AQ$3&gt;=2,'Pricing Inputs'!$AQ$3&lt;=6),5,6)),0))</f>
        <v xml:space="preserve"> </v>
      </c>
      <c r="L158" s="255" t="str">
        <f>IF(A158="N/A"," ",IF(OR('Pricing Inputs'!$AQ$3=2,'Pricing Inputs'!$AQ$3=3,'Pricing Inputs'!$AQ$3=5,'Pricing Inputs'!$AQ$3=6,'Pricing Inputs'!$AQ$3=8,'Pricing Inputs'!$AQ$3=9),IF(AND('Pricing Inputs'!$AQ$3&gt;=2,'Pricing Inputs'!$AQ$3&lt;=6),K158,(VLOOKUP(A158,ScaledPrice,5))*(2-(VLOOKUP(A158,ScaledPrice,3)))),0))</f>
        <v xml:space="preserve"> </v>
      </c>
      <c r="M158" s="255" t="str">
        <f>IF(A158="N/A"," ",IF(OR('Pricing Inputs'!$AQ$3=3,'Pricing Inputs'!$AQ$3=6,'Pricing Inputs'!$AQ$3=9),(VLOOKUP(A158,ScaledPrice,IF(AND('Pricing Inputs'!$AQ$3&gt;=3,'Pricing Inputs'!$AQ$3&lt;=6),7,8))),0))</f>
        <v xml:space="preserve"> </v>
      </c>
      <c r="N158" s="255" t="str">
        <f>IF(A158="N/A"," ",IF(OR('Pricing Inputs'!$AQ$3=3,'Pricing Inputs'!$AQ$3=6,'Pricing Inputs'!$AQ$3=9),IF(AND('Pricing Inputs'!$AQ$3&gt;=3,'Pricing Inputs'!$AQ$3&lt;=6),M158,(VLOOKUP(A158,ScaledPrice,7))*(2-(VLOOKUP(A158,ScaledPrice,3)))),0))</f>
        <v xml:space="preserve"> </v>
      </c>
      <c r="O158" s="255" t="str">
        <f>IF(A158="N/A"," ",IF(AND('Pricing Inputs'!$AQ$3&gt;=1,'Pricing Inputs'!$AQ$3&lt;=3),VLOOKUP(A158,ScaledPrice,9),0))</f>
        <v xml:space="preserve"> </v>
      </c>
      <c r="P158" s="320" t="str">
        <f>IF($A158="N/A"," ",IF('Pricing Inputs'!$AN$8=2,(I158-H158),IF('Pricing Inputs'!$AN$3=2,IF((I158-$H158)&gt;0,I158-$H158,0),(_xll.xSPRDOPT(I158,$E158,$BU158,0,$BP158,$BS158,$BT158,($A158-Inputs!$D$1)+15,1,0)))))</f>
        <v xml:space="preserve"> </v>
      </c>
      <c r="Q158" s="320" t="str">
        <f>IF($A158="N/A"," ",IF('Pricing Inputs'!$AN$8=2,(J158-$H158),IF('Pricing Inputs'!$AN$3=2,IF((J158-$H158)&gt;0,J158-$H158,0),(_xll.xSPRDOPT(J158,$E158,$BU158,0,$BP158,$BS158,$BT158,($A158-Inputs!$D$1)+15,1,0)))))</f>
        <v xml:space="preserve"> </v>
      </c>
      <c r="R158" s="320" t="str">
        <f>IF($A158="N/A"," ",IF('Pricing Inputs'!$AN$8=2,(K158-$H158),IF('Pricing Inputs'!$AN$3=2,IF((K158-$H158)&gt;0,K158-$H158,0),(_xll.xSPRDOPT(K158,$E158,$BU158,0,$BP158,$BS158,$BT158,($A158-Inputs!$D$1)+15,1,0)))))</f>
        <v xml:space="preserve"> </v>
      </c>
      <c r="S158" s="320" t="str">
        <f>IF($A158="N/A"," ",IF('Pricing Inputs'!$AN$8=2,(L158-$H158),IF('Pricing Inputs'!$AN$3=2,IF((L158-$H158)&gt;0,L158-$H158,0),(_xll.xSPRDOPT(L158,$E158,$BU158,0,$BP158,$BS158,$BT158,($A158-Inputs!$D$1)+15,1,0)))))</f>
        <v xml:space="preserve"> </v>
      </c>
      <c r="T158" s="320" t="str">
        <f>IF($A158="N/A"," ",IF('Pricing Inputs'!$AN$8=2,(M158-$H158),IF('Pricing Inputs'!$AN$3=2,IF((M158-$H158)&gt;0,M158-$H158,0),(_xll.xSPRDOPT(M158,$E158,$BU158,0,$BP158,$BS158,$BT158,($A158-Inputs!$D$1)+15,1,0)))))</f>
        <v xml:space="preserve"> </v>
      </c>
      <c r="U158" s="320" t="str">
        <f>IF($A158="N/A"," ",IF('Pricing Inputs'!$AN$8=2,(N158-$H158),IF('Pricing Inputs'!$AN$3=2,IF((N158-$H158)&gt;0,N158-$H158,0),(_xll.xSPRDOPT(N158,$E158,$BU158,0,$BP158,$BS158,$BT158,($A158-Inputs!$D$1)+15,1,0)))))</f>
        <v xml:space="preserve"> </v>
      </c>
      <c r="V158" s="259" t="str">
        <f>IF($A158="N/A"," ",(IF('Pricing Inputs'!$AN$8=2,(O158-$H158),IF((O158-$H158)&lt;=0,0,(O158-$H158)))))</f>
        <v xml:space="preserve"> </v>
      </c>
      <c r="W158" s="306" t="str">
        <f>IF($A158="N/A"," ",IF(0&lt;&gt;P158,IF('Pricing Inputs'!$AN$3=2,8*VLOOKUP($A158,NumberofDaysTable,2),(_xll.xSPRDOPT(I158,$E158,$BU158,0,$BP158,$BS158,$BT158,$A158-Inputs!$D$1,1,1))*(8*VLOOKUP($A158,NumberofDaysTable,2))),0))</f>
        <v xml:space="preserve"> </v>
      </c>
      <c r="X158" s="306" t="str">
        <f>IF($A158="N/A"," ",IF(Q158&lt;&gt;0,IF('Pricing Inputs'!$AN$3=2,8*VLOOKUP($A158,NumberofDaysTable,2),(_xll.xSPRDOPT(J158,$E158,$BU158,0,$BP158,$BS158,$BT158,$A158-Inputs!$D$1,1,1))*(8*VLOOKUP($A158,NumberofDaysTable,2))),0))</f>
        <v xml:space="preserve"> </v>
      </c>
      <c r="Y158" s="306" t="str">
        <f>IF($A158="N/A"," ",IF(R158&lt;&gt;0,IF('Pricing Inputs'!$AN$3=2,8*VLOOKUP($A158,NumberofDaysTable,3),(_xll.xSPRDOPT(K158,$E158,$BU158,0,$BP158,$BS158,$BT158,$A158-Inputs!$D$1,1,1))*(8*VLOOKUP($A158,NumberofDaysTable,3))),0))</f>
        <v xml:space="preserve"> </v>
      </c>
      <c r="Z158" s="306" t="str">
        <f>IF($A158="N/A"," ",IF(S158&lt;&gt;0,IF('Pricing Inputs'!$AN$3=2,8*VLOOKUP($A158,NumberofDaysTable,3),(_xll.xSPRDOPT(L158,$E158,$BU158,0,$BP158,$BS158,$BT158,$A158-Inputs!$D$1,1,1))*(8*VLOOKUP($A158,NumberofDaysTable,3))),0))</f>
        <v xml:space="preserve"> </v>
      </c>
      <c r="AA158" s="306" t="str">
        <f>IF($A158="N/A"," ",IF(T158&lt;&gt;0,IF('Pricing Inputs'!$AN$3=2,8*VLOOKUP($A158,NumberofDaysTable,4),(_xll.xSPRDOPT(M158,$E158,$BU158,0,$BP158,$BS158,$BT158,$A158-Inputs!$D$1,1,1))*(8*VLOOKUP($A158,NumberofDaysTable,4))),0))</f>
        <v xml:space="preserve"> </v>
      </c>
      <c r="AB158" s="306" t="str">
        <f>IF($A158="N/A"," ",IF(U158&lt;&gt;0,IF('Pricing Inputs'!$AN$3=2,8*VLOOKUP($A158,NumberofDaysTable,4),(_xll.xSPRDOPT(N158,$E158,$BU158,0,$BP158,$BS158,$BT158,$A158-Inputs!$D$1,1,1))*(8*VLOOKUP($A158,NumberofDaysTable,4))),0))</f>
        <v xml:space="preserve"> </v>
      </c>
      <c r="AC158" s="306" t="str">
        <f t="shared" si="233"/>
        <v xml:space="preserve"> </v>
      </c>
      <c r="AD158" s="274" t="str">
        <f t="shared" si="276"/>
        <v xml:space="preserve"> </v>
      </c>
      <c r="AE158" s="275" t="str">
        <f t="shared" si="277"/>
        <v xml:space="preserve"> </v>
      </c>
      <c r="AF158" s="275" t="str">
        <f t="shared" si="278"/>
        <v xml:space="preserve"> </v>
      </c>
      <c r="AG158" s="275" t="str">
        <f t="shared" si="279"/>
        <v xml:space="preserve"> </v>
      </c>
      <c r="AH158" s="275" t="str">
        <f t="shared" si="280"/>
        <v xml:space="preserve"> </v>
      </c>
      <c r="AI158" s="275" t="str">
        <f t="shared" si="281"/>
        <v xml:space="preserve"> </v>
      </c>
      <c r="AJ158" s="276" t="str">
        <f t="shared" si="282"/>
        <v xml:space="preserve"> </v>
      </c>
      <c r="AK158" s="314" t="str">
        <f t="shared" si="259"/>
        <v xml:space="preserve"> </v>
      </c>
      <c r="AL158" s="315" t="str">
        <f t="shared" si="260"/>
        <v xml:space="preserve"> </v>
      </c>
      <c r="AM158" s="315" t="str">
        <f t="shared" si="261"/>
        <v xml:space="preserve"> </v>
      </c>
      <c r="AN158" s="315" t="str">
        <f t="shared" si="262"/>
        <v xml:space="preserve"> </v>
      </c>
      <c r="AO158" s="315" t="str">
        <f t="shared" si="263"/>
        <v xml:space="preserve"> </v>
      </c>
      <c r="AP158" s="315" t="str">
        <f t="shared" si="264"/>
        <v xml:space="preserve"> </v>
      </c>
      <c r="AQ158" s="315" t="str">
        <f t="shared" si="265"/>
        <v xml:space="preserve"> </v>
      </c>
      <c r="AR158" s="276">
        <f>SUM(AK148:AQ159)</f>
        <v>0</v>
      </c>
      <c r="AS158" s="321" t="str">
        <f t="shared" si="269"/>
        <v xml:space="preserve"> </v>
      </c>
      <c r="AT158" s="324" t="str">
        <f t="shared" si="270"/>
        <v xml:space="preserve"> </v>
      </c>
      <c r="AU158" s="324" t="str">
        <f t="shared" si="271"/>
        <v xml:space="preserve"> </v>
      </c>
      <c r="AV158" s="324" t="str">
        <f t="shared" si="272"/>
        <v xml:space="preserve"> </v>
      </c>
      <c r="AW158" s="324" t="str">
        <f t="shared" si="273"/>
        <v xml:space="preserve"> </v>
      </c>
      <c r="AX158" s="324" t="str">
        <f t="shared" si="274"/>
        <v xml:space="preserve"> </v>
      </c>
      <c r="AY158" s="324" t="str">
        <f t="shared" si="275"/>
        <v xml:space="preserve"> </v>
      </c>
      <c r="AZ158" s="276">
        <f>SUM(AS148:AY159)</f>
        <v>0</v>
      </c>
      <c r="BA158" s="267" t="str">
        <f>IF($A158="N/A"," ",(IF(MONTH(A158)&gt;=4,IF(MONTH(A158)&lt;=10,Inputs!$F$13,Inputs!$F$14),Inputs!$F$14))*$BW158)</f>
        <v xml:space="preserve"> </v>
      </c>
      <c r="BB158" s="268" t="str">
        <f t="shared" si="266"/>
        <v xml:space="preserve"> </v>
      </c>
      <c r="BC158" s="268" t="str">
        <f t="shared" si="267"/>
        <v xml:space="preserve"> </v>
      </c>
      <c r="BD158" s="268" t="str">
        <f t="shared" si="234"/>
        <v xml:space="preserve"> </v>
      </c>
      <c r="BE158" s="268" t="str">
        <f t="shared" si="235"/>
        <v xml:space="preserve"> </v>
      </c>
      <c r="BF158" s="268" t="str">
        <f t="shared" si="236"/>
        <v xml:space="preserve"> </v>
      </c>
      <c r="BG158" s="268" t="str">
        <f t="shared" si="237"/>
        <v xml:space="preserve"> </v>
      </c>
      <c r="BH158" s="268" t="str">
        <f t="shared" si="258"/>
        <v xml:space="preserve"> </v>
      </c>
      <c r="BI158" s="268" t="str">
        <f t="shared" si="238"/>
        <v xml:space="preserve"> </v>
      </c>
      <c r="BJ158" s="296" t="str">
        <f t="shared" si="239"/>
        <v xml:space="preserve"> </v>
      </c>
      <c r="BK158" s="296" t="str">
        <f t="shared" si="240"/>
        <v xml:space="preserve"> </v>
      </c>
      <c r="BL158" s="296" t="str">
        <f t="shared" si="241"/>
        <v xml:space="preserve"> </v>
      </c>
      <c r="BM158" s="296" t="str">
        <f t="shared" si="242"/>
        <v xml:space="preserve"> </v>
      </c>
      <c r="BN158" s="405" t="str">
        <f>IF(A158="N/A"," ",(VLOOKUP(A158,PowerVolTable,(IF('Pricing Inputs'!$AT$3=2,7,IF('Pricing Inputs'!$AT$3=1,6,8))),FALSE)))</f>
        <v xml:space="preserve"> </v>
      </c>
      <c r="BO158" s="405" t="str">
        <f>IF(A158="N/A"," ",(VLOOKUP(A158,IntraPowerVol,(IF('Pricing Inputs'!$AT$3=2,3,IF('Pricing Inputs'!$AT$3=1,2,4))),FALSE)*VLOOKUP(MONTH($A158),Inputs!$A$28:$B$39,2)))</f>
        <v xml:space="preserve"> </v>
      </c>
      <c r="BP158" s="406" t="str">
        <f t="shared" si="227"/>
        <v xml:space="preserve"> </v>
      </c>
      <c r="BQ158" s="405" t="str">
        <f>IF($A158="N/A"," ",(VLOOKUP($A158,GasVolTable,(IF('Pricing Inputs'!$AT$3=2,6,IF('Pricing Inputs'!$AT$3=1,7,5))),FALSE)))</f>
        <v xml:space="preserve"> </v>
      </c>
      <c r="BR158" s="405" t="str">
        <f>IF($A158="N/A"," ",(VLOOKUP($A158,OmicronVol,(IF('Pricing Inputs'!$AT$3=2,3,IF('Pricing Inputs'!$AT$3=1,4,2))),FALSE)))</f>
        <v xml:space="preserve"> </v>
      </c>
      <c r="BS158" s="406" t="str">
        <f>IF($A158="N/A"," ",IF('Pricing Inputs'!$AN$3=1,(IF(DateToday&gt;$A158,$BR158,((($BQ158^2)*((($A158-1)-DateToday)/((EOMONTH($A158,0)+1)-DateToday-15)))+((($BR158)^2)*((15)/((EOMONTH($A158,0)+1)-DateToday-15))))^0.5)),0.0001))</f>
        <v xml:space="preserve"> </v>
      </c>
      <c r="BT158" s="405" t="str">
        <f>IF($A158="N/A"," ",IF('Pricing Inputs'!$AN$3=1,(VLOOKUP($A158,CorrelationTable,2,FALSE)),0))</f>
        <v xml:space="preserve"> </v>
      </c>
      <c r="BU158" s="407" t="str">
        <f>IF($A158="N/A"," ",F158+G158+(D158*(VLOOKUP($A158,'Gas Curves'!$B$17:$P$310,14,FALSE))))</f>
        <v xml:space="preserve"> </v>
      </c>
      <c r="BV158" s="405" t="str">
        <f>IF($A158="N/A"," ",IF('Pricing Inputs'!$AW$3=1,0,(VLOOKUP($A158,InterestRatesTable,2))))</f>
        <v xml:space="preserve"> </v>
      </c>
      <c r="BW158" s="408" t="str">
        <f t="shared" si="228"/>
        <v xml:space="preserve"> </v>
      </c>
    </row>
    <row r="159" spans="1:75">
      <c r="A159" s="248" t="str">
        <f>IF(A158="N/A","N/A",IF(EDATE(A158,1)&gt;Inputs!$K$3,"N/A",EDATE(A158,1)))</f>
        <v>N/A</v>
      </c>
      <c r="B159" s="262" t="str">
        <f t="shared" si="229"/>
        <v xml:space="preserve"> </v>
      </c>
      <c r="C159" s="249" t="str">
        <f t="shared" si="230"/>
        <v xml:space="preserve"> </v>
      </c>
      <c r="D159" s="250" t="str">
        <f>IF(A159="N/A"," ",(VLOOKUP(MONTH($A159),Inputs!$A$14:$B$25,2))/1000)</f>
        <v xml:space="preserve"> </v>
      </c>
      <c r="E159" s="304" t="str">
        <f t="shared" si="231"/>
        <v xml:space="preserve"> </v>
      </c>
      <c r="F159" s="251" t="str">
        <f>IF(A159="N/A"," ",Inputs!$F$6)</f>
        <v xml:space="preserve"> </v>
      </c>
      <c r="G159" s="251" t="str">
        <f>IF(A159="N/A"," ",Inputs!$F$9/IF(AND('Pricing Inputs'!$AQ$3&gt;=4,'Pricing Inputs'!$AQ$3&lt;=6),16,IF(AND('Pricing Inputs'!$AQ$3&gt;=7,'Pricing Inputs'!$AQ$3&lt;=9),8,24))/(BA159/BW159))</f>
        <v xml:space="preserve"> </v>
      </c>
      <c r="H159" s="252" t="str">
        <f t="shared" si="232"/>
        <v xml:space="preserve"> </v>
      </c>
      <c r="I159" s="255" t="str">
        <f>VLOOKUP(A159,ScaledPrice,(IF(AND('Pricing Inputs'!$AQ$3&gt;=1,'Pricing Inputs'!$AQ$3&lt;=6),2,4)))</f>
        <v xml:space="preserve"> </v>
      </c>
      <c r="J159" s="255" t="str">
        <f>IF(A159="N/A"," ",IF(AND('Pricing Inputs'!$AQ$3&gt;=1,'Pricing Inputs'!$AQ$3&lt;=6),I159,(VLOOKUP(A159,ScaledPrice,2))*(2-(VLOOKUP(A159,ScaledPrice,3)))))</f>
        <v xml:space="preserve"> </v>
      </c>
      <c r="K159" s="255" t="str">
        <f>IF(A159="N/A"," ",IF(OR('Pricing Inputs'!$AQ$3=2,'Pricing Inputs'!$AQ$3=3,'Pricing Inputs'!$AQ$3=5,'Pricing Inputs'!$AQ$3=6,'Pricing Inputs'!$AQ$3=8,'Pricing Inputs'!$AQ$3=9),VLOOKUP(A159,ScaledPrice,IF(AND('Pricing Inputs'!$AQ$3&gt;=2,'Pricing Inputs'!$AQ$3&lt;=6),5,6)),0))</f>
        <v xml:space="preserve"> </v>
      </c>
      <c r="L159" s="255" t="str">
        <f>IF(A159="N/A"," ",IF(OR('Pricing Inputs'!$AQ$3=2,'Pricing Inputs'!$AQ$3=3,'Pricing Inputs'!$AQ$3=5,'Pricing Inputs'!$AQ$3=6,'Pricing Inputs'!$AQ$3=8,'Pricing Inputs'!$AQ$3=9),IF(AND('Pricing Inputs'!$AQ$3&gt;=2,'Pricing Inputs'!$AQ$3&lt;=6),K159,(VLOOKUP(A159,ScaledPrice,5))*(2-(VLOOKUP(A159,ScaledPrice,3)))),0))</f>
        <v xml:space="preserve"> </v>
      </c>
      <c r="M159" s="255" t="str">
        <f>IF(A159="N/A"," ",IF(OR('Pricing Inputs'!$AQ$3=3,'Pricing Inputs'!$AQ$3=6,'Pricing Inputs'!$AQ$3=9),(VLOOKUP(A159,ScaledPrice,IF(AND('Pricing Inputs'!$AQ$3&gt;=3,'Pricing Inputs'!$AQ$3&lt;=6),7,8))),0))</f>
        <v xml:space="preserve"> </v>
      </c>
      <c r="N159" s="255" t="str">
        <f>IF(A159="N/A"," ",IF(OR('Pricing Inputs'!$AQ$3=3,'Pricing Inputs'!$AQ$3=6,'Pricing Inputs'!$AQ$3=9),IF(AND('Pricing Inputs'!$AQ$3&gt;=3,'Pricing Inputs'!$AQ$3&lt;=6),M159,(VLOOKUP(A159,ScaledPrice,7))*(2-(VLOOKUP(A159,ScaledPrice,3)))),0))</f>
        <v xml:space="preserve"> </v>
      </c>
      <c r="O159" s="255" t="str">
        <f>IF(A159="N/A"," ",IF(AND('Pricing Inputs'!$AQ$3&gt;=1,'Pricing Inputs'!$AQ$3&lt;=3),VLOOKUP(A159,ScaledPrice,9),0))</f>
        <v xml:space="preserve"> </v>
      </c>
      <c r="P159" s="320" t="str">
        <f>IF($A159="N/A"," ",IF('Pricing Inputs'!$AN$8=2,(I159-H159),IF('Pricing Inputs'!$AN$3=2,IF((I159-$H159)&gt;0,I159-$H159,0),(_xll.xSPRDOPT(I159,$E159,$BU159,0,$BP159,$BS159,$BT159,($A159-Inputs!$D$1)+15,1,0)))))</f>
        <v xml:space="preserve"> </v>
      </c>
      <c r="Q159" s="320" t="str">
        <f>IF($A159="N/A"," ",IF('Pricing Inputs'!$AN$8=2,(J159-$H159),IF('Pricing Inputs'!$AN$3=2,IF((J159-$H159)&gt;0,J159-$H159,0),(_xll.xSPRDOPT(J159,$E159,$BU159,0,$BP159,$BS159,$BT159,($A159-Inputs!$D$1)+15,1,0)))))</f>
        <v xml:space="preserve"> </v>
      </c>
      <c r="R159" s="320" t="str">
        <f>IF($A159="N/A"," ",IF('Pricing Inputs'!$AN$8=2,(K159-$H159),IF('Pricing Inputs'!$AN$3=2,IF((K159-$H159)&gt;0,K159-$H159,0),(_xll.xSPRDOPT(K159,$E159,$BU159,0,$BP159,$BS159,$BT159,($A159-Inputs!$D$1)+15,1,0)))))</f>
        <v xml:space="preserve"> </v>
      </c>
      <c r="S159" s="320" t="str">
        <f>IF($A159="N/A"," ",IF('Pricing Inputs'!$AN$8=2,(L159-$H159),IF('Pricing Inputs'!$AN$3=2,IF((L159-$H159)&gt;0,L159-$H159,0),(_xll.xSPRDOPT(L159,$E159,$BU159,0,$BP159,$BS159,$BT159,($A159-Inputs!$D$1)+15,1,0)))))</f>
        <v xml:space="preserve"> </v>
      </c>
      <c r="T159" s="320" t="str">
        <f>IF($A159="N/A"," ",IF('Pricing Inputs'!$AN$8=2,(M159-$H159),IF('Pricing Inputs'!$AN$3=2,IF((M159-$H159)&gt;0,M159-$H159,0),(_xll.xSPRDOPT(M159,$E159,$BU159,0,$BP159,$BS159,$BT159,($A159-Inputs!$D$1)+15,1,0)))))</f>
        <v xml:space="preserve"> </v>
      </c>
      <c r="U159" s="320" t="str">
        <f>IF($A159="N/A"," ",IF('Pricing Inputs'!$AN$8=2,(N159-$H159),IF('Pricing Inputs'!$AN$3=2,IF((N159-$H159)&gt;0,N159-$H159,0),(_xll.xSPRDOPT(N159,$E159,$BU159,0,$BP159,$BS159,$BT159,($A159-Inputs!$D$1)+15,1,0)))))</f>
        <v xml:space="preserve"> </v>
      </c>
      <c r="V159" s="259" t="str">
        <f>IF($A159="N/A"," ",(IF('Pricing Inputs'!$AN$8=2,(O159-$H159),IF((O159-$H159)&lt;=0,0,(O159-$H159)))))</f>
        <v xml:space="preserve"> </v>
      </c>
      <c r="W159" s="306" t="str">
        <f>IF($A159="N/A"," ",IF(0&lt;&gt;P159,IF('Pricing Inputs'!$AN$3=2,8*VLOOKUP($A159,NumberofDaysTable,2),(_xll.xSPRDOPT(I159,$E159,$BU159,0,$BP159,$BS159,$BT159,$A159-Inputs!$D$1,1,1))*(8*VLOOKUP($A159,NumberofDaysTable,2))),0))</f>
        <v xml:space="preserve"> </v>
      </c>
      <c r="X159" s="306" t="str">
        <f>IF($A159="N/A"," ",IF(Q159&lt;&gt;0,IF('Pricing Inputs'!$AN$3=2,8*VLOOKUP($A159,NumberofDaysTable,2),(_xll.xSPRDOPT(J159,$E159,$BU159,0,$BP159,$BS159,$BT159,$A159-Inputs!$D$1,1,1))*(8*VLOOKUP($A159,NumberofDaysTable,2))),0))</f>
        <v xml:space="preserve"> </v>
      </c>
      <c r="Y159" s="306" t="str">
        <f>IF($A159="N/A"," ",IF(R159&lt;&gt;0,IF('Pricing Inputs'!$AN$3=2,8*VLOOKUP($A159,NumberofDaysTable,3),(_xll.xSPRDOPT(K159,$E159,$BU159,0,$BP159,$BS159,$BT159,$A159-Inputs!$D$1,1,1))*(8*VLOOKUP($A159,NumberofDaysTable,3))),0))</f>
        <v xml:space="preserve"> </v>
      </c>
      <c r="Z159" s="306" t="str">
        <f>IF($A159="N/A"," ",IF(S159&lt;&gt;0,IF('Pricing Inputs'!$AN$3=2,8*VLOOKUP($A159,NumberofDaysTable,3),(_xll.xSPRDOPT(L159,$E159,$BU159,0,$BP159,$BS159,$BT159,$A159-Inputs!$D$1,1,1))*(8*VLOOKUP($A159,NumberofDaysTable,3))),0))</f>
        <v xml:space="preserve"> </v>
      </c>
      <c r="AA159" s="306" t="str">
        <f>IF($A159="N/A"," ",IF(T159&lt;&gt;0,IF('Pricing Inputs'!$AN$3=2,8*VLOOKUP($A159,NumberofDaysTable,4),(_xll.xSPRDOPT(M159,$E159,$BU159,0,$BP159,$BS159,$BT159,$A159-Inputs!$D$1,1,1))*(8*VLOOKUP($A159,NumberofDaysTable,4))),0))</f>
        <v xml:space="preserve"> </v>
      </c>
      <c r="AB159" s="306" t="str">
        <f>IF($A159="N/A"," ",IF(U159&lt;&gt;0,IF('Pricing Inputs'!$AN$3=2,8*VLOOKUP($A159,NumberofDaysTable,4),(_xll.xSPRDOPT(N159,$E159,$BU159,0,$BP159,$BS159,$BT159,$A159-Inputs!$D$1,1,1))*(8*VLOOKUP($A159,NumberofDaysTable,4))),0))</f>
        <v xml:space="preserve"> </v>
      </c>
      <c r="AC159" s="306" t="str">
        <f t="shared" si="233"/>
        <v xml:space="preserve"> </v>
      </c>
      <c r="AD159" s="277" t="str">
        <f t="shared" si="276"/>
        <v xml:space="preserve"> </v>
      </c>
      <c r="AE159" s="278" t="str">
        <f t="shared" si="277"/>
        <v xml:space="preserve"> </v>
      </c>
      <c r="AF159" s="278" t="str">
        <f t="shared" si="278"/>
        <v xml:space="preserve"> </v>
      </c>
      <c r="AG159" s="278" t="str">
        <f t="shared" si="279"/>
        <v xml:space="preserve"> </v>
      </c>
      <c r="AH159" s="278" t="str">
        <f t="shared" si="280"/>
        <v xml:space="preserve"> </v>
      </c>
      <c r="AI159" s="278" t="str">
        <f t="shared" si="281"/>
        <v xml:space="preserve"> </v>
      </c>
      <c r="AJ159" s="279" t="str">
        <f t="shared" si="282"/>
        <v xml:space="preserve"> </v>
      </c>
      <c r="AK159" s="316" t="str">
        <f t="shared" si="259"/>
        <v xml:space="preserve"> </v>
      </c>
      <c r="AL159" s="317" t="str">
        <f t="shared" si="260"/>
        <v xml:space="preserve"> </v>
      </c>
      <c r="AM159" s="317" t="str">
        <f t="shared" si="261"/>
        <v xml:space="preserve"> </v>
      </c>
      <c r="AN159" s="317" t="str">
        <f t="shared" si="262"/>
        <v xml:space="preserve"> </v>
      </c>
      <c r="AO159" s="317" t="str">
        <f t="shared" si="263"/>
        <v xml:space="preserve"> </v>
      </c>
      <c r="AP159" s="317" t="str">
        <f t="shared" si="264"/>
        <v xml:space="preserve"> </v>
      </c>
      <c r="AQ159" s="317" t="str">
        <f t="shared" si="265"/>
        <v xml:space="preserve"> </v>
      </c>
      <c r="AR159" s="279">
        <f>IF(($AP$2-AR158)&gt;=0,$AP$2-AR158,0)</f>
        <v>1400</v>
      </c>
      <c r="AS159" s="325" t="str">
        <f t="shared" si="269"/>
        <v xml:space="preserve"> </v>
      </c>
      <c r="AT159" s="326" t="str">
        <f t="shared" si="270"/>
        <v xml:space="preserve"> </v>
      </c>
      <c r="AU159" s="326" t="str">
        <f t="shared" si="271"/>
        <v xml:space="preserve"> </v>
      </c>
      <c r="AV159" s="326" t="str">
        <f t="shared" si="272"/>
        <v xml:space="preserve"> </v>
      </c>
      <c r="AW159" s="326" t="str">
        <f t="shared" si="273"/>
        <v xml:space="preserve"> </v>
      </c>
      <c r="AX159" s="326" t="str">
        <f t="shared" si="274"/>
        <v xml:space="preserve"> </v>
      </c>
      <c r="AY159" s="326" t="str">
        <f t="shared" si="275"/>
        <v xml:space="preserve"> </v>
      </c>
      <c r="AZ159" s="285">
        <f>AR158+AZ158</f>
        <v>0</v>
      </c>
      <c r="BA159" s="267" t="str">
        <f>IF($A159="N/A"," ",(IF(MONTH(A159)&gt;=4,IF(MONTH(A159)&lt;=10,Inputs!$F$13,Inputs!$F$14),Inputs!$F$14))*$BW159)</f>
        <v xml:space="preserve"> </v>
      </c>
      <c r="BB159" s="268" t="str">
        <f t="shared" si="266"/>
        <v xml:space="preserve"> </v>
      </c>
      <c r="BC159" s="268" t="str">
        <f t="shared" si="267"/>
        <v xml:space="preserve"> </v>
      </c>
      <c r="BD159" s="268" t="str">
        <f t="shared" si="234"/>
        <v xml:space="preserve"> </v>
      </c>
      <c r="BE159" s="268" t="str">
        <f t="shared" si="235"/>
        <v xml:space="preserve"> </v>
      </c>
      <c r="BF159" s="268" t="str">
        <f t="shared" si="236"/>
        <v xml:space="preserve"> </v>
      </c>
      <c r="BG159" s="268" t="str">
        <f t="shared" si="237"/>
        <v xml:space="preserve"> </v>
      </c>
      <c r="BH159" s="268" t="str">
        <f t="shared" si="258"/>
        <v xml:space="preserve"> </v>
      </c>
      <c r="BI159" s="268" t="str">
        <f t="shared" si="238"/>
        <v xml:space="preserve"> </v>
      </c>
      <c r="BJ159" s="296" t="str">
        <f t="shared" si="239"/>
        <v xml:space="preserve"> </v>
      </c>
      <c r="BK159" s="296" t="str">
        <f t="shared" si="240"/>
        <v xml:space="preserve"> </v>
      </c>
      <c r="BL159" s="296" t="str">
        <f t="shared" si="241"/>
        <v xml:space="preserve"> </v>
      </c>
      <c r="BM159" s="296" t="str">
        <f t="shared" si="242"/>
        <v xml:space="preserve"> </v>
      </c>
      <c r="BN159" s="405" t="str">
        <f>IF(A159="N/A"," ",(VLOOKUP(A159,PowerVolTable,(IF('Pricing Inputs'!$AT$3=2,7,IF('Pricing Inputs'!$AT$3=1,6,8))),FALSE)))</f>
        <v xml:space="preserve"> </v>
      </c>
      <c r="BO159" s="405" t="str">
        <f>IF(A159="N/A"," ",(VLOOKUP(A159,IntraPowerVol,(IF('Pricing Inputs'!$AT$3=2,3,IF('Pricing Inputs'!$AT$3=1,2,4))),FALSE)*VLOOKUP(MONTH($A159),Inputs!$A$28:$B$39,2)))</f>
        <v xml:space="preserve"> </v>
      </c>
      <c r="BP159" s="406" t="str">
        <f t="shared" si="227"/>
        <v xml:space="preserve"> </v>
      </c>
      <c r="BQ159" s="405" t="str">
        <f>IF($A159="N/A"," ",(VLOOKUP($A159,GasVolTable,(IF('Pricing Inputs'!$AT$3=2,6,IF('Pricing Inputs'!$AT$3=1,7,5))),FALSE)))</f>
        <v xml:space="preserve"> </v>
      </c>
      <c r="BR159" s="405" t="str">
        <f>IF($A159="N/A"," ",(VLOOKUP($A159,OmicronVol,(IF('Pricing Inputs'!$AT$3=2,3,IF('Pricing Inputs'!$AT$3=1,4,2))),FALSE)))</f>
        <v xml:space="preserve"> </v>
      </c>
      <c r="BS159" s="406" t="str">
        <f>IF($A159="N/A"," ",IF('Pricing Inputs'!$AN$3=1,(IF(DateToday&gt;$A159,$BR159,((($BQ159^2)*((($A159-1)-DateToday)/((EOMONTH($A159,0)+1)-DateToday-15)))+((($BR159)^2)*((15)/((EOMONTH($A159,0)+1)-DateToday-15))))^0.5)),0.0001))</f>
        <v xml:space="preserve"> </v>
      </c>
      <c r="BT159" s="405" t="str">
        <f>IF($A159="N/A"," ",IF('Pricing Inputs'!$AN$3=1,(VLOOKUP($A159,CorrelationTable,2,FALSE)),0))</f>
        <v xml:space="preserve"> </v>
      </c>
      <c r="BU159" s="407" t="str">
        <f>IF($A159="N/A"," ",F159+G159+(D159*(VLOOKUP($A159,'Gas Curves'!$B$17:$P$310,14,FALSE))))</f>
        <v xml:space="preserve"> </v>
      </c>
      <c r="BV159" s="405" t="str">
        <f>IF($A159="N/A"," ",IF('Pricing Inputs'!$AW$3=1,0,(VLOOKUP($A159,InterestRatesTable,2))))</f>
        <v xml:space="preserve"> </v>
      </c>
      <c r="BW159" s="408" t="str">
        <f t="shared" si="228"/>
        <v xml:space="preserve"> </v>
      </c>
    </row>
    <row r="160" spans="1:75">
      <c r="A160" s="248" t="str">
        <f>IF(A159="N/A","N/A",IF(EDATE(A159,1)&gt;Inputs!$K$3,"N/A",EDATE(A159,1)))</f>
        <v>N/A</v>
      </c>
      <c r="B160" s="262" t="str">
        <f t="shared" si="229"/>
        <v xml:space="preserve"> </v>
      </c>
      <c r="C160" s="249" t="str">
        <f t="shared" si="230"/>
        <v xml:space="preserve"> </v>
      </c>
      <c r="D160" s="250" t="str">
        <f>IF(A160="N/A"," ",(VLOOKUP(MONTH($A160),Inputs!$A$14:$B$25,2))/1000)</f>
        <v xml:space="preserve"> </v>
      </c>
      <c r="E160" s="304" t="str">
        <f t="shared" si="231"/>
        <v xml:space="preserve"> </v>
      </c>
      <c r="F160" s="251" t="str">
        <f>IF(A160="N/A"," ",Inputs!$F$6)</f>
        <v xml:space="preserve"> </v>
      </c>
      <c r="G160" s="251" t="str">
        <f>IF(A160="N/A"," ",Inputs!$F$9/IF(AND('Pricing Inputs'!$AQ$3&gt;=4,'Pricing Inputs'!$AQ$3&lt;=6),16,IF(AND('Pricing Inputs'!$AQ$3&gt;=7,'Pricing Inputs'!$AQ$3&lt;=9),8,24))/(BA160/BW160))</f>
        <v xml:space="preserve"> </v>
      </c>
      <c r="H160" s="252" t="str">
        <f t="shared" si="232"/>
        <v xml:space="preserve"> </v>
      </c>
      <c r="I160" s="255" t="str">
        <f>VLOOKUP(A160,ScaledPrice,(IF(AND('Pricing Inputs'!$AQ$3&gt;=1,'Pricing Inputs'!$AQ$3&lt;=6),2,4)))</f>
        <v xml:space="preserve"> </v>
      </c>
      <c r="J160" s="255" t="str">
        <f>IF(A160="N/A"," ",IF(AND('Pricing Inputs'!$AQ$3&gt;=1,'Pricing Inputs'!$AQ$3&lt;=6),I160,(VLOOKUP(A160,ScaledPrice,2))*(2-(VLOOKUP(A160,ScaledPrice,3)))))</f>
        <v xml:space="preserve"> </v>
      </c>
      <c r="K160" s="255" t="str">
        <f>IF(A160="N/A"," ",IF(OR('Pricing Inputs'!$AQ$3=2,'Pricing Inputs'!$AQ$3=3,'Pricing Inputs'!$AQ$3=5,'Pricing Inputs'!$AQ$3=6,'Pricing Inputs'!$AQ$3=8,'Pricing Inputs'!$AQ$3=9),VLOOKUP(A160,ScaledPrice,IF(AND('Pricing Inputs'!$AQ$3&gt;=2,'Pricing Inputs'!$AQ$3&lt;=6),5,6)),0))</f>
        <v xml:space="preserve"> </v>
      </c>
      <c r="L160" s="255" t="str">
        <f>IF(A160="N/A"," ",IF(OR('Pricing Inputs'!$AQ$3=2,'Pricing Inputs'!$AQ$3=3,'Pricing Inputs'!$AQ$3=5,'Pricing Inputs'!$AQ$3=6,'Pricing Inputs'!$AQ$3=8,'Pricing Inputs'!$AQ$3=9),IF(AND('Pricing Inputs'!$AQ$3&gt;=2,'Pricing Inputs'!$AQ$3&lt;=6),K160,(VLOOKUP(A160,ScaledPrice,5))*(2-(VLOOKUP(A160,ScaledPrice,3)))),0))</f>
        <v xml:space="preserve"> </v>
      </c>
      <c r="M160" s="255" t="str">
        <f>IF(A160="N/A"," ",IF(OR('Pricing Inputs'!$AQ$3=3,'Pricing Inputs'!$AQ$3=6,'Pricing Inputs'!$AQ$3=9),(VLOOKUP(A160,ScaledPrice,IF(AND('Pricing Inputs'!$AQ$3&gt;=3,'Pricing Inputs'!$AQ$3&lt;=6),7,8))),0))</f>
        <v xml:space="preserve"> </v>
      </c>
      <c r="N160" s="255" t="str">
        <f>IF(A160="N/A"," ",IF(OR('Pricing Inputs'!$AQ$3=3,'Pricing Inputs'!$AQ$3=6,'Pricing Inputs'!$AQ$3=9),IF(AND('Pricing Inputs'!$AQ$3&gt;=3,'Pricing Inputs'!$AQ$3&lt;=6),M160,(VLOOKUP(A160,ScaledPrice,7))*(2-(VLOOKUP(A160,ScaledPrice,3)))),0))</f>
        <v xml:space="preserve"> </v>
      </c>
      <c r="O160" s="255" t="str">
        <f>IF(A160="N/A"," ",IF(AND('Pricing Inputs'!$AQ$3&gt;=1,'Pricing Inputs'!$AQ$3&lt;=3),VLOOKUP(A160,ScaledPrice,9),0))</f>
        <v xml:space="preserve"> </v>
      </c>
      <c r="P160" s="320" t="str">
        <f>IF($A160="N/A"," ",IF('Pricing Inputs'!$AN$8=2,(I160-H160),IF('Pricing Inputs'!$AN$3=2,IF((I160-$H160)&gt;0,I160-$H160,0),(_xll.xSPRDOPT(I160,$E160,$BU160,0,$BP160,$BS160,$BT160,($A160-Inputs!$D$1)+15,1,0)))))</f>
        <v xml:space="preserve"> </v>
      </c>
      <c r="Q160" s="320" t="str">
        <f>IF($A160="N/A"," ",IF('Pricing Inputs'!$AN$8=2,(J160-$H160),IF('Pricing Inputs'!$AN$3=2,IF((J160-$H160)&gt;0,J160-$H160,0),(_xll.xSPRDOPT(J160,$E160,$BU160,0,$BP160,$BS160,$BT160,($A160-Inputs!$D$1)+15,1,0)))))</f>
        <v xml:space="preserve"> </v>
      </c>
      <c r="R160" s="320" t="str">
        <f>IF($A160="N/A"," ",IF('Pricing Inputs'!$AN$8=2,(K160-$H160),IF('Pricing Inputs'!$AN$3=2,IF((K160-$H160)&gt;0,K160-$H160,0),(_xll.xSPRDOPT(K160,$E160,$BU160,0,$BP160,$BS160,$BT160,($A160-Inputs!$D$1)+15,1,0)))))</f>
        <v xml:space="preserve"> </v>
      </c>
      <c r="S160" s="320" t="str">
        <f>IF($A160="N/A"," ",IF('Pricing Inputs'!$AN$8=2,(L160-$H160),IF('Pricing Inputs'!$AN$3=2,IF((L160-$H160)&gt;0,L160-$H160,0),(_xll.xSPRDOPT(L160,$E160,$BU160,0,$BP160,$BS160,$BT160,($A160-Inputs!$D$1)+15,1,0)))))</f>
        <v xml:space="preserve"> </v>
      </c>
      <c r="T160" s="320" t="str">
        <f>IF($A160="N/A"," ",IF('Pricing Inputs'!$AN$8=2,(M160-$H160),IF('Pricing Inputs'!$AN$3=2,IF((M160-$H160)&gt;0,M160-$H160,0),(_xll.xSPRDOPT(M160,$E160,$BU160,0,$BP160,$BS160,$BT160,($A160-Inputs!$D$1)+15,1,0)))))</f>
        <v xml:space="preserve"> </v>
      </c>
      <c r="U160" s="320" t="str">
        <f>IF($A160="N/A"," ",IF('Pricing Inputs'!$AN$8=2,(N160-$H160),IF('Pricing Inputs'!$AN$3=2,IF((N160-$H160)&gt;0,N160-$H160,0),(_xll.xSPRDOPT(N160,$E160,$BU160,0,$BP160,$BS160,$BT160,($A160-Inputs!$D$1)+15,1,0)))))</f>
        <v xml:space="preserve"> </v>
      </c>
      <c r="V160" s="259" t="str">
        <f>IF($A160="N/A"," ",(IF('Pricing Inputs'!$AN$8=2,(O160-$H160),IF((O160-$H160)&lt;=0,0,(O160-$H160)))))</f>
        <v xml:space="preserve"> </v>
      </c>
      <c r="W160" s="306" t="str">
        <f>IF($A160="N/A"," ",IF(0&lt;&gt;P160,IF('Pricing Inputs'!$AN$3=2,8*VLOOKUP($A160,NumberofDaysTable,2),(_xll.xSPRDOPT(I160,$E160,$BU160,0,$BP160,$BS160,$BT160,$A160-Inputs!$D$1,1,1))*(8*VLOOKUP($A160,NumberofDaysTable,2))),0))</f>
        <v xml:space="preserve"> </v>
      </c>
      <c r="X160" s="306" t="str">
        <f>IF($A160="N/A"," ",IF(Q160&lt;&gt;0,IF('Pricing Inputs'!$AN$3=2,8*VLOOKUP($A160,NumberofDaysTable,2),(_xll.xSPRDOPT(J160,$E160,$BU160,0,$BP160,$BS160,$BT160,$A160-Inputs!$D$1,1,1))*(8*VLOOKUP($A160,NumberofDaysTable,2))),0))</f>
        <v xml:space="preserve"> </v>
      </c>
      <c r="Y160" s="306" t="str">
        <f>IF($A160="N/A"," ",IF(R160&lt;&gt;0,IF('Pricing Inputs'!$AN$3=2,8*VLOOKUP($A160,NumberofDaysTable,3),(_xll.xSPRDOPT(K160,$E160,$BU160,0,$BP160,$BS160,$BT160,$A160-Inputs!$D$1,1,1))*(8*VLOOKUP($A160,NumberofDaysTable,3))),0))</f>
        <v xml:space="preserve"> </v>
      </c>
      <c r="Z160" s="306" t="str">
        <f>IF($A160="N/A"," ",IF(S160&lt;&gt;0,IF('Pricing Inputs'!$AN$3=2,8*VLOOKUP($A160,NumberofDaysTable,3),(_xll.xSPRDOPT(L160,$E160,$BU160,0,$BP160,$BS160,$BT160,$A160-Inputs!$D$1,1,1))*(8*VLOOKUP($A160,NumberofDaysTable,3))),0))</f>
        <v xml:space="preserve"> </v>
      </c>
      <c r="AA160" s="306" t="str">
        <f>IF($A160="N/A"," ",IF(T160&lt;&gt;0,IF('Pricing Inputs'!$AN$3=2,8*VLOOKUP($A160,NumberofDaysTable,4),(_xll.xSPRDOPT(M160,$E160,$BU160,0,$BP160,$BS160,$BT160,$A160-Inputs!$D$1,1,1))*(8*VLOOKUP($A160,NumberofDaysTable,4))),0))</f>
        <v xml:space="preserve"> </v>
      </c>
      <c r="AB160" s="306" t="str">
        <f>IF($A160="N/A"," ",IF(U160&lt;&gt;0,IF('Pricing Inputs'!$AN$3=2,8*VLOOKUP($A160,NumberofDaysTable,4),(_xll.xSPRDOPT(N160,$E160,$BU160,0,$BP160,$BS160,$BT160,$A160-Inputs!$D$1,1,1))*(8*VLOOKUP($A160,NumberofDaysTable,4))),0))</f>
        <v xml:space="preserve"> </v>
      </c>
      <c r="AC160" s="306" t="str">
        <f t="shared" si="233"/>
        <v xml:space="preserve"> </v>
      </c>
      <c r="AD160" s="271" t="str">
        <f t="shared" ref="AD160:AJ160" si="283">IF($A160="N/A"," ",RANK(P160,$P$160:$V$171))</f>
        <v xml:space="preserve"> </v>
      </c>
      <c r="AE160" s="272" t="str">
        <f t="shared" si="283"/>
        <v xml:space="preserve"> </v>
      </c>
      <c r="AF160" s="272" t="str">
        <f t="shared" si="283"/>
        <v xml:space="preserve"> </v>
      </c>
      <c r="AG160" s="272" t="str">
        <f t="shared" si="283"/>
        <v xml:space="preserve"> </v>
      </c>
      <c r="AH160" s="272" t="str">
        <f t="shared" si="283"/>
        <v xml:space="preserve"> </v>
      </c>
      <c r="AI160" s="272" t="str">
        <f t="shared" si="283"/>
        <v xml:space="preserve"> </v>
      </c>
      <c r="AJ160" s="273" t="str">
        <f t="shared" si="283"/>
        <v xml:space="preserve"> </v>
      </c>
      <c r="AK160" s="312" t="str">
        <f t="shared" si="259"/>
        <v xml:space="preserve"> </v>
      </c>
      <c r="AL160" s="313" t="str">
        <f t="shared" si="260"/>
        <v xml:space="preserve"> </v>
      </c>
      <c r="AM160" s="313" t="str">
        <f t="shared" si="261"/>
        <v xml:space="preserve"> </v>
      </c>
      <c r="AN160" s="313" t="str">
        <f t="shared" si="262"/>
        <v xml:space="preserve"> </v>
      </c>
      <c r="AO160" s="313" t="str">
        <f t="shared" si="263"/>
        <v xml:space="preserve"> </v>
      </c>
      <c r="AP160" s="313" t="str">
        <f t="shared" si="264"/>
        <v xml:space="preserve"> </v>
      </c>
      <c r="AQ160" s="313" t="str">
        <f t="shared" si="265"/>
        <v xml:space="preserve"> </v>
      </c>
      <c r="AR160" s="273"/>
      <c r="AS160" s="327" t="str">
        <f t="shared" ref="AS160:AS171" si="284">IF($A160="N/A"," ",IF(AND(AD160=$AJ$2+1,AK160=0),MIN($AR$171,W160),0))</f>
        <v xml:space="preserve"> </v>
      </c>
      <c r="AT160" s="322" t="str">
        <f t="shared" ref="AT160:AT171" si="285">IF($A160="N/A"," ",IF(AND(AE160=$AJ$2+1,AL160=0),MIN($AR$171,X160),0))</f>
        <v xml:space="preserve"> </v>
      </c>
      <c r="AU160" s="322" t="str">
        <f t="shared" ref="AU160:AU171" si="286">IF($A160="N/A"," ",IF(AND(AF160=$AJ$2+1,AM160=0),MIN($AR$171,Y160),0))</f>
        <v xml:space="preserve"> </v>
      </c>
      <c r="AV160" s="322" t="str">
        <f t="shared" ref="AV160:AV171" si="287">IF($A160="N/A"," ",IF(AND(AG160=$AJ$2+1,AN160=0),MIN($AR$171,Z160),0))</f>
        <v xml:space="preserve"> </v>
      </c>
      <c r="AW160" s="322" t="str">
        <f t="shared" ref="AW160:AW171" si="288">IF($A160="N/A"," ",IF(AND(AH160=$AJ$2+1,AO160=0),MIN($AR$171,AA160),0))</f>
        <v xml:space="preserve"> </v>
      </c>
      <c r="AX160" s="322" t="str">
        <f t="shared" ref="AX160:AX171" si="289">IF($A160="N/A"," ",IF(AND(AI160=$AJ$2+1,AP160=0),MIN($AR$171,AB160),0))</f>
        <v xml:space="preserve"> </v>
      </c>
      <c r="AY160" s="322" t="str">
        <f t="shared" ref="AY160:AY171" si="290">IF($A160="N/A"," ",IF(AND(AJ160=$AJ$2+1,AQ160=0),MIN($AR$171,AC160),0))</f>
        <v xml:space="preserve"> </v>
      </c>
      <c r="AZ160" s="273"/>
      <c r="BA160" s="267" t="str">
        <f>IF($A160="N/A"," ",(IF(MONTH(A160)&gt;=4,IF(MONTH(A160)&lt;=10,Inputs!$F$13,Inputs!$F$14),Inputs!$F$14))*$BW160)</f>
        <v xml:space="preserve"> </v>
      </c>
      <c r="BB160" s="268" t="str">
        <f t="shared" si="266"/>
        <v xml:space="preserve"> </v>
      </c>
      <c r="BC160" s="268" t="str">
        <f t="shared" si="267"/>
        <v xml:space="preserve"> </v>
      </c>
      <c r="BD160" s="268" t="str">
        <f t="shared" si="234"/>
        <v xml:space="preserve"> </v>
      </c>
      <c r="BE160" s="268" t="str">
        <f t="shared" si="235"/>
        <v xml:space="preserve"> </v>
      </c>
      <c r="BF160" s="268" t="str">
        <f t="shared" si="236"/>
        <v xml:space="preserve"> </v>
      </c>
      <c r="BG160" s="268" t="str">
        <f t="shared" si="237"/>
        <v xml:space="preserve"> </v>
      </c>
      <c r="BH160" s="268" t="str">
        <f t="shared" si="258"/>
        <v xml:space="preserve"> </v>
      </c>
      <c r="BI160" s="268" t="str">
        <f t="shared" si="238"/>
        <v xml:space="preserve"> </v>
      </c>
      <c r="BJ160" s="296" t="str">
        <f t="shared" si="239"/>
        <v xml:space="preserve"> </v>
      </c>
      <c r="BK160" s="296" t="str">
        <f t="shared" si="240"/>
        <v xml:space="preserve"> </v>
      </c>
      <c r="BL160" s="296" t="str">
        <f t="shared" si="241"/>
        <v xml:space="preserve"> </v>
      </c>
      <c r="BM160" s="296" t="str">
        <f t="shared" si="242"/>
        <v xml:space="preserve"> </v>
      </c>
      <c r="BN160" s="405" t="str">
        <f>IF(A160="N/A"," ",(VLOOKUP(A160,PowerVolTable,(IF('Pricing Inputs'!$AT$3=2,7,IF('Pricing Inputs'!$AT$3=1,6,8))),FALSE)))</f>
        <v xml:space="preserve"> </v>
      </c>
      <c r="BO160" s="405" t="str">
        <f>IF(A160="N/A"," ",(VLOOKUP(A160,IntraPowerVol,(IF('Pricing Inputs'!$AT$3=2,3,IF('Pricing Inputs'!$AT$3=1,2,4))),FALSE)*VLOOKUP(MONTH($A160),Inputs!$A$28:$B$39,2)))</f>
        <v xml:space="preserve"> </v>
      </c>
      <c r="BP160" s="406" t="str">
        <f t="shared" si="227"/>
        <v xml:space="preserve"> </v>
      </c>
      <c r="BQ160" s="405" t="str">
        <f>IF($A160="N/A"," ",(VLOOKUP($A160,GasVolTable,(IF('Pricing Inputs'!$AT$3=2,6,IF('Pricing Inputs'!$AT$3=1,7,5))),FALSE)))</f>
        <v xml:space="preserve"> </v>
      </c>
      <c r="BR160" s="405" t="str">
        <f>IF($A160="N/A"," ",(VLOOKUP($A160,OmicronVol,(IF('Pricing Inputs'!$AT$3=2,3,IF('Pricing Inputs'!$AT$3=1,4,2))),FALSE)))</f>
        <v xml:space="preserve"> </v>
      </c>
      <c r="BS160" s="406" t="str">
        <f>IF($A160="N/A"," ",IF('Pricing Inputs'!$AN$3=1,(IF(DateToday&gt;$A160,$BR160,((($BQ160^2)*((($A160-1)-DateToday)/((EOMONTH($A160,0)+1)-DateToday-15)))+((($BR160)^2)*((15)/((EOMONTH($A160,0)+1)-DateToday-15))))^0.5)),0.0001))</f>
        <v xml:space="preserve"> </v>
      </c>
      <c r="BT160" s="405" t="str">
        <f>IF($A160="N/A"," ",IF('Pricing Inputs'!$AN$3=1,(VLOOKUP($A160,CorrelationTable,2,FALSE)),0))</f>
        <v xml:space="preserve"> </v>
      </c>
      <c r="BU160" s="407" t="str">
        <f>IF($A160="N/A"," ",F160+G160+(D160*(VLOOKUP($A160,'Gas Curves'!$B$17:$P$310,14,FALSE))))</f>
        <v xml:space="preserve"> </v>
      </c>
      <c r="BV160" s="405" t="str">
        <f>IF($A160="N/A"," ",IF('Pricing Inputs'!$AW$3=1,0,(VLOOKUP($A160,InterestRatesTable,2))))</f>
        <v xml:space="preserve"> </v>
      </c>
      <c r="BW160" s="408" t="str">
        <f t="shared" si="228"/>
        <v xml:space="preserve"> </v>
      </c>
    </row>
    <row r="161" spans="1:75">
      <c r="A161" s="248" t="str">
        <f>IF(A160="N/A","N/A",IF(EDATE(A160,1)&gt;Inputs!$K$3,"N/A",EDATE(A160,1)))</f>
        <v>N/A</v>
      </c>
      <c r="B161" s="262" t="str">
        <f t="shared" si="229"/>
        <v xml:space="preserve"> </v>
      </c>
      <c r="C161" s="249" t="str">
        <f t="shared" si="230"/>
        <v xml:space="preserve"> </v>
      </c>
      <c r="D161" s="250" t="str">
        <f>IF(A161="N/A"," ",(VLOOKUP(MONTH($A161),Inputs!$A$14:$B$25,2))/1000)</f>
        <v xml:space="preserve"> </v>
      </c>
      <c r="E161" s="304" t="str">
        <f t="shared" si="231"/>
        <v xml:space="preserve"> </v>
      </c>
      <c r="F161" s="251" t="str">
        <f>IF(A161="N/A"," ",Inputs!$F$6)</f>
        <v xml:space="preserve"> </v>
      </c>
      <c r="G161" s="251" t="str">
        <f>IF(A161="N/A"," ",Inputs!$F$9/IF(AND('Pricing Inputs'!$AQ$3&gt;=4,'Pricing Inputs'!$AQ$3&lt;=6),16,IF(AND('Pricing Inputs'!$AQ$3&gt;=7,'Pricing Inputs'!$AQ$3&lt;=9),8,24))/(BA161/BW161))</f>
        <v xml:space="preserve"> </v>
      </c>
      <c r="H161" s="252" t="str">
        <f t="shared" si="232"/>
        <v xml:space="preserve"> </v>
      </c>
      <c r="I161" s="255" t="str">
        <f>VLOOKUP(A161,ScaledPrice,(IF(AND('Pricing Inputs'!$AQ$3&gt;=1,'Pricing Inputs'!$AQ$3&lt;=6),2,4)))</f>
        <v xml:space="preserve"> </v>
      </c>
      <c r="J161" s="255" t="str">
        <f>IF(A161="N/A"," ",IF(AND('Pricing Inputs'!$AQ$3&gt;=1,'Pricing Inputs'!$AQ$3&lt;=6),I161,(VLOOKUP(A161,ScaledPrice,2))*(2-(VLOOKUP(A161,ScaledPrice,3)))))</f>
        <v xml:space="preserve"> </v>
      </c>
      <c r="K161" s="255" t="str">
        <f>IF(A161="N/A"," ",IF(OR('Pricing Inputs'!$AQ$3=2,'Pricing Inputs'!$AQ$3=3,'Pricing Inputs'!$AQ$3=5,'Pricing Inputs'!$AQ$3=6,'Pricing Inputs'!$AQ$3=8,'Pricing Inputs'!$AQ$3=9),VLOOKUP(A161,ScaledPrice,IF(AND('Pricing Inputs'!$AQ$3&gt;=2,'Pricing Inputs'!$AQ$3&lt;=6),5,6)),0))</f>
        <v xml:space="preserve"> </v>
      </c>
      <c r="L161" s="255" t="str">
        <f>IF(A161="N/A"," ",IF(OR('Pricing Inputs'!$AQ$3=2,'Pricing Inputs'!$AQ$3=3,'Pricing Inputs'!$AQ$3=5,'Pricing Inputs'!$AQ$3=6,'Pricing Inputs'!$AQ$3=8,'Pricing Inputs'!$AQ$3=9),IF(AND('Pricing Inputs'!$AQ$3&gt;=2,'Pricing Inputs'!$AQ$3&lt;=6),K161,(VLOOKUP(A161,ScaledPrice,5))*(2-(VLOOKUP(A161,ScaledPrice,3)))),0))</f>
        <v xml:space="preserve"> </v>
      </c>
      <c r="M161" s="255" t="str">
        <f>IF(A161="N/A"," ",IF(OR('Pricing Inputs'!$AQ$3=3,'Pricing Inputs'!$AQ$3=6,'Pricing Inputs'!$AQ$3=9),(VLOOKUP(A161,ScaledPrice,IF(AND('Pricing Inputs'!$AQ$3&gt;=3,'Pricing Inputs'!$AQ$3&lt;=6),7,8))),0))</f>
        <v xml:space="preserve"> </v>
      </c>
      <c r="N161" s="255" t="str">
        <f>IF(A161="N/A"," ",IF(OR('Pricing Inputs'!$AQ$3=3,'Pricing Inputs'!$AQ$3=6,'Pricing Inputs'!$AQ$3=9),IF(AND('Pricing Inputs'!$AQ$3&gt;=3,'Pricing Inputs'!$AQ$3&lt;=6),M161,(VLOOKUP(A161,ScaledPrice,7))*(2-(VLOOKUP(A161,ScaledPrice,3)))),0))</f>
        <v xml:space="preserve"> </v>
      </c>
      <c r="O161" s="255" t="str">
        <f>IF(A161="N/A"," ",IF(AND('Pricing Inputs'!$AQ$3&gt;=1,'Pricing Inputs'!$AQ$3&lt;=3),VLOOKUP(A161,ScaledPrice,9),0))</f>
        <v xml:space="preserve"> </v>
      </c>
      <c r="P161" s="320" t="str">
        <f>IF($A161="N/A"," ",IF('Pricing Inputs'!$AN$8=2,(I161-H161),IF('Pricing Inputs'!$AN$3=2,IF((I161-$H161)&gt;0,I161-$H161,0),(_xll.xSPRDOPT(I161,$E161,$BU161,0,$BP161,$BS161,$BT161,($A161-Inputs!$D$1)+15,1,0)))))</f>
        <v xml:space="preserve"> </v>
      </c>
      <c r="Q161" s="320" t="str">
        <f>IF($A161="N/A"," ",IF('Pricing Inputs'!$AN$8=2,(J161-$H161),IF('Pricing Inputs'!$AN$3=2,IF((J161-$H161)&gt;0,J161-$H161,0),(_xll.xSPRDOPT(J161,$E161,$BU161,0,$BP161,$BS161,$BT161,($A161-Inputs!$D$1)+15,1,0)))))</f>
        <v xml:space="preserve"> </v>
      </c>
      <c r="R161" s="320" t="str">
        <f>IF($A161="N/A"," ",IF('Pricing Inputs'!$AN$8=2,(K161-$H161),IF('Pricing Inputs'!$AN$3=2,IF((K161-$H161)&gt;0,K161-$H161,0),(_xll.xSPRDOPT(K161,$E161,$BU161,0,$BP161,$BS161,$BT161,($A161-Inputs!$D$1)+15,1,0)))))</f>
        <v xml:space="preserve"> </v>
      </c>
      <c r="S161" s="320" t="str">
        <f>IF($A161="N/A"," ",IF('Pricing Inputs'!$AN$8=2,(L161-$H161),IF('Pricing Inputs'!$AN$3=2,IF((L161-$H161)&gt;0,L161-$H161,0),(_xll.xSPRDOPT(L161,$E161,$BU161,0,$BP161,$BS161,$BT161,($A161-Inputs!$D$1)+15,1,0)))))</f>
        <v xml:space="preserve"> </v>
      </c>
      <c r="T161" s="320" t="str">
        <f>IF($A161="N/A"," ",IF('Pricing Inputs'!$AN$8=2,(M161-$H161),IF('Pricing Inputs'!$AN$3=2,IF((M161-$H161)&gt;0,M161-$H161,0),(_xll.xSPRDOPT(M161,$E161,$BU161,0,$BP161,$BS161,$BT161,($A161-Inputs!$D$1)+15,1,0)))))</f>
        <v xml:space="preserve"> </v>
      </c>
      <c r="U161" s="320" t="str">
        <f>IF($A161="N/A"," ",IF('Pricing Inputs'!$AN$8=2,(N161-$H161),IF('Pricing Inputs'!$AN$3=2,IF((N161-$H161)&gt;0,N161-$H161,0),(_xll.xSPRDOPT(N161,$E161,$BU161,0,$BP161,$BS161,$BT161,($A161-Inputs!$D$1)+15,1,0)))))</f>
        <v xml:space="preserve"> </v>
      </c>
      <c r="V161" s="259" t="str">
        <f>IF($A161="N/A"," ",(IF('Pricing Inputs'!$AN$8=2,(O161-$H161),IF((O161-$H161)&lt;=0,0,(O161-$H161)))))</f>
        <v xml:space="preserve"> </v>
      </c>
      <c r="W161" s="306" t="str">
        <f>IF($A161="N/A"," ",IF(0&lt;&gt;P161,IF('Pricing Inputs'!$AN$3=2,8*VLOOKUP($A161,NumberofDaysTable,2),(_xll.xSPRDOPT(I161,$E161,$BU161,0,$BP161,$BS161,$BT161,$A161-Inputs!$D$1,1,1))*(8*VLOOKUP($A161,NumberofDaysTable,2))),0))</f>
        <v xml:space="preserve"> </v>
      </c>
      <c r="X161" s="306" t="str">
        <f>IF($A161="N/A"," ",IF(Q161&lt;&gt;0,IF('Pricing Inputs'!$AN$3=2,8*VLOOKUP($A161,NumberofDaysTable,2),(_xll.xSPRDOPT(J161,$E161,$BU161,0,$BP161,$BS161,$BT161,$A161-Inputs!$D$1,1,1))*(8*VLOOKUP($A161,NumberofDaysTable,2))),0))</f>
        <v xml:space="preserve"> </v>
      </c>
      <c r="Y161" s="306" t="str">
        <f>IF($A161="N/A"," ",IF(R161&lt;&gt;0,IF('Pricing Inputs'!$AN$3=2,8*VLOOKUP($A161,NumberofDaysTable,3),(_xll.xSPRDOPT(K161,$E161,$BU161,0,$BP161,$BS161,$BT161,$A161-Inputs!$D$1,1,1))*(8*VLOOKUP($A161,NumberofDaysTable,3))),0))</f>
        <v xml:space="preserve"> </v>
      </c>
      <c r="Z161" s="306" t="str">
        <f>IF($A161="N/A"," ",IF(S161&lt;&gt;0,IF('Pricing Inputs'!$AN$3=2,8*VLOOKUP($A161,NumberofDaysTable,3),(_xll.xSPRDOPT(L161,$E161,$BU161,0,$BP161,$BS161,$BT161,$A161-Inputs!$D$1,1,1))*(8*VLOOKUP($A161,NumberofDaysTable,3))),0))</f>
        <v xml:space="preserve"> </v>
      </c>
      <c r="AA161" s="306" t="str">
        <f>IF($A161="N/A"," ",IF(T161&lt;&gt;0,IF('Pricing Inputs'!$AN$3=2,8*VLOOKUP($A161,NumberofDaysTable,4),(_xll.xSPRDOPT(M161,$E161,$BU161,0,$BP161,$BS161,$BT161,$A161-Inputs!$D$1,1,1))*(8*VLOOKUP($A161,NumberofDaysTable,4))),0))</f>
        <v xml:space="preserve"> </v>
      </c>
      <c r="AB161" s="306" t="str">
        <f>IF($A161="N/A"," ",IF(U161&lt;&gt;0,IF('Pricing Inputs'!$AN$3=2,8*VLOOKUP($A161,NumberofDaysTable,4),(_xll.xSPRDOPT(N161,$E161,$BU161,0,$BP161,$BS161,$BT161,$A161-Inputs!$D$1,1,1))*(8*VLOOKUP($A161,NumberofDaysTable,4))),0))</f>
        <v xml:space="preserve"> </v>
      </c>
      <c r="AC161" s="306" t="str">
        <f t="shared" si="233"/>
        <v xml:space="preserve"> </v>
      </c>
      <c r="AD161" s="274" t="str">
        <f t="shared" ref="AD161:AD171" si="291">IF($A161="N/A"," ",RANK(P161,$P$160:$V$171))</f>
        <v xml:space="preserve"> </v>
      </c>
      <c r="AE161" s="275" t="str">
        <f t="shared" ref="AE161:AE171" si="292">IF($A161="N/A"," ",RANK(Q161,$P$160:$V$171))</f>
        <v xml:space="preserve"> </v>
      </c>
      <c r="AF161" s="275" t="str">
        <f t="shared" ref="AF161:AF171" si="293">IF($A161="N/A"," ",RANK(R161,$P$160:$V$171))</f>
        <v xml:space="preserve"> </v>
      </c>
      <c r="AG161" s="275" t="str">
        <f t="shared" ref="AG161:AG171" si="294">IF($A161="N/A"," ",RANK(S161,$P$160:$V$171))</f>
        <v xml:space="preserve"> </v>
      </c>
      <c r="AH161" s="275" t="str">
        <f t="shared" ref="AH161:AH171" si="295">IF($A161="N/A"," ",RANK(T161,$P$160:$V$171))</f>
        <v xml:space="preserve"> </v>
      </c>
      <c r="AI161" s="275" t="str">
        <f t="shared" ref="AI161:AI171" si="296">IF($A161="N/A"," ",RANK(U161,$P$160:$V$171))</f>
        <v xml:space="preserve"> </v>
      </c>
      <c r="AJ161" s="276" t="str">
        <f t="shared" ref="AJ161:AJ171" si="297">IF($A161="N/A"," ",RANK(V161,$P$160:$V$171))</f>
        <v xml:space="preserve"> </v>
      </c>
      <c r="AK161" s="314" t="str">
        <f t="shared" si="259"/>
        <v xml:space="preserve"> </v>
      </c>
      <c r="AL161" s="315" t="str">
        <f t="shared" si="260"/>
        <v xml:space="preserve"> </v>
      </c>
      <c r="AM161" s="315" t="str">
        <f t="shared" si="261"/>
        <v xml:space="preserve"> </v>
      </c>
      <c r="AN161" s="315" t="str">
        <f t="shared" si="262"/>
        <v xml:space="preserve"> </v>
      </c>
      <c r="AO161" s="315" t="str">
        <f t="shared" si="263"/>
        <v xml:space="preserve"> </v>
      </c>
      <c r="AP161" s="315" t="str">
        <f t="shared" si="264"/>
        <v xml:space="preserve"> </v>
      </c>
      <c r="AQ161" s="315" t="str">
        <f t="shared" si="265"/>
        <v xml:space="preserve"> </v>
      </c>
      <c r="AR161" s="276"/>
      <c r="AS161" s="321" t="str">
        <f t="shared" si="284"/>
        <v xml:space="preserve"> </v>
      </c>
      <c r="AT161" s="324" t="str">
        <f t="shared" si="285"/>
        <v xml:space="preserve"> </v>
      </c>
      <c r="AU161" s="324" t="str">
        <f t="shared" si="286"/>
        <v xml:space="preserve"> </v>
      </c>
      <c r="AV161" s="324" t="str">
        <f t="shared" si="287"/>
        <v xml:space="preserve"> </v>
      </c>
      <c r="AW161" s="324" t="str">
        <f t="shared" si="288"/>
        <v xml:space="preserve"> </v>
      </c>
      <c r="AX161" s="324" t="str">
        <f t="shared" si="289"/>
        <v xml:space="preserve"> </v>
      </c>
      <c r="AY161" s="324" t="str">
        <f t="shared" si="290"/>
        <v xml:space="preserve"> </v>
      </c>
      <c r="AZ161" s="276"/>
      <c r="BA161" s="267" t="str">
        <f>IF($A161="N/A"," ",(IF(MONTH(A161)&gt;=4,IF(MONTH(A161)&lt;=10,Inputs!$F$13,Inputs!$F$14),Inputs!$F$14))*$BW161)</f>
        <v xml:space="preserve"> </v>
      </c>
      <c r="BB161" s="268" t="str">
        <f t="shared" si="266"/>
        <v xml:space="preserve"> </v>
      </c>
      <c r="BC161" s="268" t="str">
        <f t="shared" si="267"/>
        <v xml:space="preserve"> </v>
      </c>
      <c r="BD161" s="268" t="str">
        <f t="shared" si="234"/>
        <v xml:space="preserve"> </v>
      </c>
      <c r="BE161" s="268" t="str">
        <f t="shared" si="235"/>
        <v xml:space="preserve"> </v>
      </c>
      <c r="BF161" s="268" t="str">
        <f t="shared" si="236"/>
        <v xml:space="preserve"> </v>
      </c>
      <c r="BG161" s="268" t="str">
        <f t="shared" si="237"/>
        <v xml:space="preserve"> </v>
      </c>
      <c r="BH161" s="268" t="str">
        <f t="shared" si="258"/>
        <v xml:space="preserve"> </v>
      </c>
      <c r="BI161" s="268" t="str">
        <f t="shared" si="238"/>
        <v xml:space="preserve"> </v>
      </c>
      <c r="BJ161" s="296" t="str">
        <f t="shared" si="239"/>
        <v xml:space="preserve"> </v>
      </c>
      <c r="BK161" s="296" t="str">
        <f t="shared" si="240"/>
        <v xml:space="preserve"> </v>
      </c>
      <c r="BL161" s="296" t="str">
        <f t="shared" si="241"/>
        <v xml:space="preserve"> </v>
      </c>
      <c r="BM161" s="296" t="str">
        <f t="shared" si="242"/>
        <v xml:space="preserve"> </v>
      </c>
      <c r="BN161" s="405" t="str">
        <f>IF(A161="N/A"," ",(VLOOKUP(A161,PowerVolTable,(IF('Pricing Inputs'!$AT$3=2,7,IF('Pricing Inputs'!$AT$3=1,6,8))),FALSE)))</f>
        <v xml:space="preserve"> </v>
      </c>
      <c r="BO161" s="405" t="str">
        <f>IF(A161="N/A"," ",(VLOOKUP(A161,IntraPowerVol,(IF('Pricing Inputs'!$AT$3=2,3,IF('Pricing Inputs'!$AT$3=1,2,4))),FALSE)*VLOOKUP(MONTH($A161),Inputs!$A$28:$B$39,2)))</f>
        <v xml:space="preserve"> </v>
      </c>
      <c r="BP161" s="406" t="str">
        <f t="shared" si="227"/>
        <v xml:space="preserve"> </v>
      </c>
      <c r="BQ161" s="405" t="str">
        <f>IF($A161="N/A"," ",(VLOOKUP($A161,GasVolTable,(IF('Pricing Inputs'!$AT$3=2,6,IF('Pricing Inputs'!$AT$3=1,7,5))),FALSE)))</f>
        <v xml:space="preserve"> </v>
      </c>
      <c r="BR161" s="405" t="str">
        <f>IF($A161="N/A"," ",(VLOOKUP($A161,OmicronVol,(IF('Pricing Inputs'!$AT$3=2,3,IF('Pricing Inputs'!$AT$3=1,4,2))),FALSE)))</f>
        <v xml:space="preserve"> </v>
      </c>
      <c r="BS161" s="406" t="str">
        <f>IF($A161="N/A"," ",IF('Pricing Inputs'!$AN$3=1,(IF(DateToday&gt;$A161,$BR161,((($BQ161^2)*((($A161-1)-DateToday)/((EOMONTH($A161,0)+1)-DateToday-15)))+((($BR161)^2)*((15)/((EOMONTH($A161,0)+1)-DateToday-15))))^0.5)),0.0001))</f>
        <v xml:space="preserve"> </v>
      </c>
      <c r="BT161" s="405" t="str">
        <f>IF($A161="N/A"," ",IF('Pricing Inputs'!$AN$3=1,(VLOOKUP($A161,CorrelationTable,2,FALSE)),0))</f>
        <v xml:space="preserve"> </v>
      </c>
      <c r="BU161" s="407" t="str">
        <f>IF($A161="N/A"," ",F161+G161+(D161*(VLOOKUP($A161,'Gas Curves'!$B$17:$P$310,14,FALSE))))</f>
        <v xml:space="preserve"> </v>
      </c>
      <c r="BV161" s="405" t="str">
        <f>IF($A161="N/A"," ",IF('Pricing Inputs'!$AW$3=1,0,(VLOOKUP($A161,InterestRatesTable,2))))</f>
        <v xml:space="preserve"> </v>
      </c>
      <c r="BW161" s="408" t="str">
        <f t="shared" si="228"/>
        <v xml:space="preserve"> </v>
      </c>
    </row>
    <row r="162" spans="1:75">
      <c r="A162" s="248" t="str">
        <f>IF(A161="N/A","N/A",IF(EDATE(A161,1)&gt;Inputs!$K$3,"N/A",EDATE(A161,1)))</f>
        <v>N/A</v>
      </c>
      <c r="B162" s="262" t="str">
        <f t="shared" si="229"/>
        <v xml:space="preserve"> </v>
      </c>
      <c r="C162" s="249" t="str">
        <f t="shared" si="230"/>
        <v xml:space="preserve"> </v>
      </c>
      <c r="D162" s="250" t="str">
        <f>IF(A162="N/A"," ",(VLOOKUP(MONTH($A162),Inputs!$A$14:$B$25,2))/1000)</f>
        <v xml:space="preserve"> </v>
      </c>
      <c r="E162" s="304" t="str">
        <f t="shared" si="231"/>
        <v xml:space="preserve"> </v>
      </c>
      <c r="F162" s="251" t="str">
        <f>IF(A162="N/A"," ",Inputs!$F$6)</f>
        <v xml:space="preserve"> </v>
      </c>
      <c r="G162" s="251" t="str">
        <f>IF(A162="N/A"," ",Inputs!$F$9/IF(AND('Pricing Inputs'!$AQ$3&gt;=4,'Pricing Inputs'!$AQ$3&lt;=6),16,IF(AND('Pricing Inputs'!$AQ$3&gt;=7,'Pricing Inputs'!$AQ$3&lt;=9),8,24))/(BA162/BW162))</f>
        <v xml:space="preserve"> </v>
      </c>
      <c r="H162" s="252" t="str">
        <f t="shared" si="232"/>
        <v xml:space="preserve"> </v>
      </c>
      <c r="I162" s="255" t="str">
        <f>VLOOKUP(A162,ScaledPrice,(IF(AND('Pricing Inputs'!$AQ$3&gt;=1,'Pricing Inputs'!$AQ$3&lt;=6),2,4)))</f>
        <v xml:space="preserve"> </v>
      </c>
      <c r="J162" s="255" t="str">
        <f>IF(A162="N/A"," ",IF(AND('Pricing Inputs'!$AQ$3&gt;=1,'Pricing Inputs'!$AQ$3&lt;=6),I162,(VLOOKUP(A162,ScaledPrice,2))*(2-(VLOOKUP(A162,ScaledPrice,3)))))</f>
        <v xml:space="preserve"> </v>
      </c>
      <c r="K162" s="255" t="str">
        <f>IF(A162="N/A"," ",IF(OR('Pricing Inputs'!$AQ$3=2,'Pricing Inputs'!$AQ$3=3,'Pricing Inputs'!$AQ$3=5,'Pricing Inputs'!$AQ$3=6,'Pricing Inputs'!$AQ$3=8,'Pricing Inputs'!$AQ$3=9),VLOOKUP(A162,ScaledPrice,IF(AND('Pricing Inputs'!$AQ$3&gt;=2,'Pricing Inputs'!$AQ$3&lt;=6),5,6)),0))</f>
        <v xml:space="preserve"> </v>
      </c>
      <c r="L162" s="255" t="str">
        <f>IF(A162="N/A"," ",IF(OR('Pricing Inputs'!$AQ$3=2,'Pricing Inputs'!$AQ$3=3,'Pricing Inputs'!$AQ$3=5,'Pricing Inputs'!$AQ$3=6,'Pricing Inputs'!$AQ$3=8,'Pricing Inputs'!$AQ$3=9),IF(AND('Pricing Inputs'!$AQ$3&gt;=2,'Pricing Inputs'!$AQ$3&lt;=6),K162,(VLOOKUP(A162,ScaledPrice,5))*(2-(VLOOKUP(A162,ScaledPrice,3)))),0))</f>
        <v xml:space="preserve"> </v>
      </c>
      <c r="M162" s="255" t="str">
        <f>IF(A162="N/A"," ",IF(OR('Pricing Inputs'!$AQ$3=3,'Pricing Inputs'!$AQ$3=6,'Pricing Inputs'!$AQ$3=9),(VLOOKUP(A162,ScaledPrice,IF(AND('Pricing Inputs'!$AQ$3&gt;=3,'Pricing Inputs'!$AQ$3&lt;=6),7,8))),0))</f>
        <v xml:space="preserve"> </v>
      </c>
      <c r="N162" s="255" t="str">
        <f>IF(A162="N/A"," ",IF(OR('Pricing Inputs'!$AQ$3=3,'Pricing Inputs'!$AQ$3=6,'Pricing Inputs'!$AQ$3=9),IF(AND('Pricing Inputs'!$AQ$3&gt;=3,'Pricing Inputs'!$AQ$3&lt;=6),M162,(VLOOKUP(A162,ScaledPrice,7))*(2-(VLOOKUP(A162,ScaledPrice,3)))),0))</f>
        <v xml:space="preserve"> </v>
      </c>
      <c r="O162" s="255" t="str">
        <f>IF(A162="N/A"," ",IF(AND('Pricing Inputs'!$AQ$3&gt;=1,'Pricing Inputs'!$AQ$3&lt;=3),VLOOKUP(A162,ScaledPrice,9),0))</f>
        <v xml:space="preserve"> </v>
      </c>
      <c r="P162" s="320" t="str">
        <f>IF($A162="N/A"," ",IF('Pricing Inputs'!$AN$8=2,(I162-H162),IF('Pricing Inputs'!$AN$3=2,IF((I162-$H162)&gt;0,I162-$H162,0),(_xll.xSPRDOPT(I162,$E162,$BU162,0,$BP162,$BS162,$BT162,($A162-Inputs!$D$1)+15,1,0)))))</f>
        <v xml:space="preserve"> </v>
      </c>
      <c r="Q162" s="320" t="str">
        <f>IF($A162="N/A"," ",IF('Pricing Inputs'!$AN$8=2,(J162-$H162),IF('Pricing Inputs'!$AN$3=2,IF((J162-$H162)&gt;0,J162-$H162,0),(_xll.xSPRDOPT(J162,$E162,$BU162,0,$BP162,$BS162,$BT162,($A162-Inputs!$D$1)+15,1,0)))))</f>
        <v xml:space="preserve"> </v>
      </c>
      <c r="R162" s="320" t="str">
        <f>IF($A162="N/A"," ",IF('Pricing Inputs'!$AN$8=2,(K162-$H162),IF('Pricing Inputs'!$AN$3=2,IF((K162-$H162)&gt;0,K162-$H162,0),(_xll.xSPRDOPT(K162,$E162,$BU162,0,$BP162,$BS162,$BT162,($A162-Inputs!$D$1)+15,1,0)))))</f>
        <v xml:space="preserve"> </v>
      </c>
      <c r="S162" s="320" t="str">
        <f>IF($A162="N/A"," ",IF('Pricing Inputs'!$AN$8=2,(L162-$H162),IF('Pricing Inputs'!$AN$3=2,IF((L162-$H162)&gt;0,L162-$H162,0),(_xll.xSPRDOPT(L162,$E162,$BU162,0,$BP162,$BS162,$BT162,($A162-Inputs!$D$1)+15,1,0)))))</f>
        <v xml:space="preserve"> </v>
      </c>
      <c r="T162" s="320" t="str">
        <f>IF($A162="N/A"," ",IF('Pricing Inputs'!$AN$8=2,(M162-$H162),IF('Pricing Inputs'!$AN$3=2,IF((M162-$H162)&gt;0,M162-$H162,0),(_xll.xSPRDOPT(M162,$E162,$BU162,0,$BP162,$BS162,$BT162,($A162-Inputs!$D$1)+15,1,0)))))</f>
        <v xml:space="preserve"> </v>
      </c>
      <c r="U162" s="320" t="str">
        <f>IF($A162="N/A"," ",IF('Pricing Inputs'!$AN$8=2,(N162-$H162),IF('Pricing Inputs'!$AN$3=2,IF((N162-$H162)&gt;0,N162-$H162,0),(_xll.xSPRDOPT(N162,$E162,$BU162,0,$BP162,$BS162,$BT162,($A162-Inputs!$D$1)+15,1,0)))))</f>
        <v xml:space="preserve"> </v>
      </c>
      <c r="V162" s="259" t="str">
        <f>IF($A162="N/A"," ",(IF('Pricing Inputs'!$AN$8=2,(O162-$H162),IF((O162-$H162)&lt;=0,0,(O162-$H162)))))</f>
        <v xml:space="preserve"> </v>
      </c>
      <c r="W162" s="306" t="str">
        <f>IF($A162="N/A"," ",IF(0&lt;&gt;P162,IF('Pricing Inputs'!$AN$3=2,8*VLOOKUP($A162,NumberofDaysTable,2),(_xll.xSPRDOPT(I162,$E162,$BU162,0,$BP162,$BS162,$BT162,$A162-Inputs!$D$1,1,1))*(8*VLOOKUP($A162,NumberofDaysTable,2))),0))</f>
        <v xml:space="preserve"> </v>
      </c>
      <c r="X162" s="306" t="str">
        <f>IF($A162="N/A"," ",IF(Q162&lt;&gt;0,IF('Pricing Inputs'!$AN$3=2,8*VLOOKUP($A162,NumberofDaysTable,2),(_xll.xSPRDOPT(J162,$E162,$BU162,0,$BP162,$BS162,$BT162,$A162-Inputs!$D$1,1,1))*(8*VLOOKUP($A162,NumberofDaysTable,2))),0))</f>
        <v xml:space="preserve"> </v>
      </c>
      <c r="Y162" s="306" t="str">
        <f>IF($A162="N/A"," ",IF(R162&lt;&gt;0,IF('Pricing Inputs'!$AN$3=2,8*VLOOKUP($A162,NumberofDaysTable,3),(_xll.xSPRDOPT(K162,$E162,$BU162,0,$BP162,$BS162,$BT162,$A162-Inputs!$D$1,1,1))*(8*VLOOKUP($A162,NumberofDaysTable,3))),0))</f>
        <v xml:space="preserve"> </v>
      </c>
      <c r="Z162" s="306" t="str">
        <f>IF($A162="N/A"," ",IF(S162&lt;&gt;0,IF('Pricing Inputs'!$AN$3=2,8*VLOOKUP($A162,NumberofDaysTable,3),(_xll.xSPRDOPT(L162,$E162,$BU162,0,$BP162,$BS162,$BT162,$A162-Inputs!$D$1,1,1))*(8*VLOOKUP($A162,NumberofDaysTable,3))),0))</f>
        <v xml:space="preserve"> </v>
      </c>
      <c r="AA162" s="306" t="str">
        <f>IF($A162="N/A"," ",IF(T162&lt;&gt;0,IF('Pricing Inputs'!$AN$3=2,8*VLOOKUP($A162,NumberofDaysTable,4),(_xll.xSPRDOPT(M162,$E162,$BU162,0,$BP162,$BS162,$BT162,$A162-Inputs!$D$1,1,1))*(8*VLOOKUP($A162,NumberofDaysTable,4))),0))</f>
        <v xml:space="preserve"> </v>
      </c>
      <c r="AB162" s="306" t="str">
        <f>IF($A162="N/A"," ",IF(U162&lt;&gt;0,IF('Pricing Inputs'!$AN$3=2,8*VLOOKUP($A162,NumberofDaysTable,4),(_xll.xSPRDOPT(N162,$E162,$BU162,0,$BP162,$BS162,$BT162,$A162-Inputs!$D$1,1,1))*(8*VLOOKUP($A162,NumberofDaysTable,4))),0))</f>
        <v xml:space="preserve"> </v>
      </c>
      <c r="AC162" s="306" t="str">
        <f t="shared" si="233"/>
        <v xml:space="preserve"> </v>
      </c>
      <c r="AD162" s="274" t="str">
        <f t="shared" si="291"/>
        <v xml:space="preserve"> </v>
      </c>
      <c r="AE162" s="275" t="str">
        <f t="shared" si="292"/>
        <v xml:space="preserve"> </v>
      </c>
      <c r="AF162" s="275" t="str">
        <f t="shared" si="293"/>
        <v xml:space="preserve"> </v>
      </c>
      <c r="AG162" s="275" t="str">
        <f t="shared" si="294"/>
        <v xml:space="preserve"> </v>
      </c>
      <c r="AH162" s="275" t="str">
        <f t="shared" si="295"/>
        <v xml:space="preserve"> </v>
      </c>
      <c r="AI162" s="275" t="str">
        <f t="shared" si="296"/>
        <v xml:space="preserve"> </v>
      </c>
      <c r="AJ162" s="276" t="str">
        <f t="shared" si="297"/>
        <v xml:space="preserve"> </v>
      </c>
      <c r="AK162" s="314" t="str">
        <f t="shared" si="259"/>
        <v xml:space="preserve"> </v>
      </c>
      <c r="AL162" s="315" t="str">
        <f t="shared" si="260"/>
        <v xml:space="preserve"> </v>
      </c>
      <c r="AM162" s="315" t="str">
        <f t="shared" si="261"/>
        <v xml:space="preserve"> </v>
      </c>
      <c r="AN162" s="315" t="str">
        <f t="shared" si="262"/>
        <v xml:space="preserve"> </v>
      </c>
      <c r="AO162" s="315" t="str">
        <f t="shared" si="263"/>
        <v xml:space="preserve"> </v>
      </c>
      <c r="AP162" s="315" t="str">
        <f t="shared" si="264"/>
        <v xml:space="preserve"> </v>
      </c>
      <c r="AQ162" s="315" t="str">
        <f t="shared" si="265"/>
        <v xml:space="preserve"> </v>
      </c>
      <c r="AR162" s="276"/>
      <c r="AS162" s="321" t="str">
        <f t="shared" si="284"/>
        <v xml:space="preserve"> </v>
      </c>
      <c r="AT162" s="324" t="str">
        <f t="shared" si="285"/>
        <v xml:space="preserve"> </v>
      </c>
      <c r="AU162" s="324" t="str">
        <f t="shared" si="286"/>
        <v xml:space="preserve"> </v>
      </c>
      <c r="AV162" s="324" t="str">
        <f t="shared" si="287"/>
        <v xml:space="preserve"> </v>
      </c>
      <c r="AW162" s="324" t="str">
        <f t="shared" si="288"/>
        <v xml:space="preserve"> </v>
      </c>
      <c r="AX162" s="324" t="str">
        <f t="shared" si="289"/>
        <v xml:space="preserve"> </v>
      </c>
      <c r="AY162" s="324" t="str">
        <f t="shared" si="290"/>
        <v xml:space="preserve"> </v>
      </c>
      <c r="AZ162" s="276"/>
      <c r="BA162" s="267" t="str">
        <f>IF($A162="N/A"," ",(IF(MONTH(A162)&gt;=4,IF(MONTH(A162)&lt;=10,Inputs!$F$13,Inputs!$F$14),Inputs!$F$14))*$BW162)</f>
        <v xml:space="preserve"> </v>
      </c>
      <c r="BB162" s="268" t="str">
        <f t="shared" si="266"/>
        <v xml:space="preserve"> </v>
      </c>
      <c r="BC162" s="268" t="str">
        <f t="shared" si="267"/>
        <v xml:space="preserve"> </v>
      </c>
      <c r="BD162" s="268" t="str">
        <f t="shared" si="234"/>
        <v xml:space="preserve"> </v>
      </c>
      <c r="BE162" s="268" t="str">
        <f t="shared" si="235"/>
        <v xml:space="preserve"> </v>
      </c>
      <c r="BF162" s="268" t="str">
        <f t="shared" si="236"/>
        <v xml:space="preserve"> </v>
      </c>
      <c r="BG162" s="268" t="str">
        <f t="shared" si="237"/>
        <v xml:space="preserve"> </v>
      </c>
      <c r="BH162" s="268" t="str">
        <f t="shared" si="258"/>
        <v xml:space="preserve"> </v>
      </c>
      <c r="BI162" s="268" t="str">
        <f t="shared" si="238"/>
        <v xml:space="preserve"> </v>
      </c>
      <c r="BJ162" s="296" t="str">
        <f t="shared" si="239"/>
        <v xml:space="preserve"> </v>
      </c>
      <c r="BK162" s="296" t="str">
        <f t="shared" si="240"/>
        <v xml:space="preserve"> </v>
      </c>
      <c r="BL162" s="296" t="str">
        <f t="shared" si="241"/>
        <v xml:space="preserve"> </v>
      </c>
      <c r="BM162" s="296" t="str">
        <f t="shared" si="242"/>
        <v xml:space="preserve"> </v>
      </c>
      <c r="BN162" s="405" t="str">
        <f>IF(A162="N/A"," ",(VLOOKUP(A162,PowerVolTable,(IF('Pricing Inputs'!$AT$3=2,7,IF('Pricing Inputs'!$AT$3=1,6,8))),FALSE)))</f>
        <v xml:space="preserve"> </v>
      </c>
      <c r="BO162" s="405" t="str">
        <f>IF(A162="N/A"," ",(VLOOKUP(A162,IntraPowerVol,(IF('Pricing Inputs'!$AT$3=2,3,IF('Pricing Inputs'!$AT$3=1,2,4))),FALSE)*VLOOKUP(MONTH($A162),Inputs!$A$28:$B$39,2)))</f>
        <v xml:space="preserve"> </v>
      </c>
      <c r="BP162" s="406" t="str">
        <f t="shared" si="227"/>
        <v xml:space="preserve"> </v>
      </c>
      <c r="BQ162" s="405" t="str">
        <f>IF($A162="N/A"," ",(VLOOKUP($A162,GasVolTable,(IF('Pricing Inputs'!$AT$3=2,6,IF('Pricing Inputs'!$AT$3=1,7,5))),FALSE)))</f>
        <v xml:space="preserve"> </v>
      </c>
      <c r="BR162" s="405" t="str">
        <f>IF($A162="N/A"," ",(VLOOKUP($A162,OmicronVol,(IF('Pricing Inputs'!$AT$3=2,3,IF('Pricing Inputs'!$AT$3=1,4,2))),FALSE)))</f>
        <v xml:space="preserve"> </v>
      </c>
      <c r="BS162" s="406" t="str">
        <f>IF($A162="N/A"," ",IF('Pricing Inputs'!$AN$3=1,(IF(DateToday&gt;$A162,$BR162,((($BQ162^2)*((($A162-1)-DateToday)/((EOMONTH($A162,0)+1)-DateToday-15)))+((($BR162)^2)*((15)/((EOMONTH($A162,0)+1)-DateToday-15))))^0.5)),0.0001))</f>
        <v xml:space="preserve"> </v>
      </c>
      <c r="BT162" s="405" t="str">
        <f>IF($A162="N/A"," ",IF('Pricing Inputs'!$AN$3=1,(VLOOKUP($A162,CorrelationTable,2,FALSE)),0))</f>
        <v xml:space="preserve"> </v>
      </c>
      <c r="BU162" s="407" t="str">
        <f>IF($A162="N/A"," ",F162+G162+(D162*(VLOOKUP($A162,'Gas Curves'!$B$17:$P$310,14,FALSE))))</f>
        <v xml:space="preserve"> </v>
      </c>
      <c r="BV162" s="405" t="str">
        <f>IF($A162="N/A"," ",IF('Pricing Inputs'!$AW$3=1,0,(VLOOKUP($A162,InterestRatesTable,2))))</f>
        <v xml:space="preserve"> </v>
      </c>
      <c r="BW162" s="408" t="str">
        <f t="shared" si="228"/>
        <v xml:space="preserve"> </v>
      </c>
    </row>
    <row r="163" spans="1:75">
      <c r="A163" s="248" t="str">
        <f>IF(A162="N/A","N/A",IF(EDATE(A162,1)&gt;Inputs!$K$3,"N/A",EDATE(A162,1)))</f>
        <v>N/A</v>
      </c>
      <c r="B163" s="262" t="str">
        <f t="shared" si="229"/>
        <v xml:space="preserve"> </v>
      </c>
      <c r="C163" s="249" t="str">
        <f t="shared" si="230"/>
        <v xml:space="preserve"> </v>
      </c>
      <c r="D163" s="250" t="str">
        <f>IF(A163="N/A"," ",(VLOOKUP(MONTH($A163),Inputs!$A$14:$B$25,2))/1000)</f>
        <v xml:space="preserve"> </v>
      </c>
      <c r="E163" s="304" t="str">
        <f t="shared" si="231"/>
        <v xml:space="preserve"> </v>
      </c>
      <c r="F163" s="251" t="str">
        <f>IF(A163="N/A"," ",Inputs!$F$6)</f>
        <v xml:space="preserve"> </v>
      </c>
      <c r="G163" s="251" t="str">
        <f>IF(A163="N/A"," ",Inputs!$F$9/IF(AND('Pricing Inputs'!$AQ$3&gt;=4,'Pricing Inputs'!$AQ$3&lt;=6),16,IF(AND('Pricing Inputs'!$AQ$3&gt;=7,'Pricing Inputs'!$AQ$3&lt;=9),8,24))/(BA163/BW163))</f>
        <v xml:space="preserve"> </v>
      </c>
      <c r="H163" s="252" t="str">
        <f t="shared" si="232"/>
        <v xml:space="preserve"> </v>
      </c>
      <c r="I163" s="255" t="str">
        <f>VLOOKUP(A163,ScaledPrice,(IF(AND('Pricing Inputs'!$AQ$3&gt;=1,'Pricing Inputs'!$AQ$3&lt;=6),2,4)))</f>
        <v xml:space="preserve"> </v>
      </c>
      <c r="J163" s="255" t="str">
        <f>IF(A163="N/A"," ",IF(AND('Pricing Inputs'!$AQ$3&gt;=1,'Pricing Inputs'!$AQ$3&lt;=6),I163,(VLOOKUP(A163,ScaledPrice,2))*(2-(VLOOKUP(A163,ScaledPrice,3)))))</f>
        <v xml:space="preserve"> </v>
      </c>
      <c r="K163" s="255" t="str">
        <f>IF(A163="N/A"," ",IF(OR('Pricing Inputs'!$AQ$3=2,'Pricing Inputs'!$AQ$3=3,'Pricing Inputs'!$AQ$3=5,'Pricing Inputs'!$AQ$3=6,'Pricing Inputs'!$AQ$3=8,'Pricing Inputs'!$AQ$3=9),VLOOKUP(A163,ScaledPrice,IF(AND('Pricing Inputs'!$AQ$3&gt;=2,'Pricing Inputs'!$AQ$3&lt;=6),5,6)),0))</f>
        <v xml:space="preserve"> </v>
      </c>
      <c r="L163" s="255" t="str">
        <f>IF(A163="N/A"," ",IF(OR('Pricing Inputs'!$AQ$3=2,'Pricing Inputs'!$AQ$3=3,'Pricing Inputs'!$AQ$3=5,'Pricing Inputs'!$AQ$3=6,'Pricing Inputs'!$AQ$3=8,'Pricing Inputs'!$AQ$3=9),IF(AND('Pricing Inputs'!$AQ$3&gt;=2,'Pricing Inputs'!$AQ$3&lt;=6),K163,(VLOOKUP(A163,ScaledPrice,5))*(2-(VLOOKUP(A163,ScaledPrice,3)))),0))</f>
        <v xml:space="preserve"> </v>
      </c>
      <c r="M163" s="255" t="str">
        <f>IF(A163="N/A"," ",IF(OR('Pricing Inputs'!$AQ$3=3,'Pricing Inputs'!$AQ$3=6,'Pricing Inputs'!$AQ$3=9),(VLOOKUP(A163,ScaledPrice,IF(AND('Pricing Inputs'!$AQ$3&gt;=3,'Pricing Inputs'!$AQ$3&lt;=6),7,8))),0))</f>
        <v xml:space="preserve"> </v>
      </c>
      <c r="N163" s="255" t="str">
        <f>IF(A163="N/A"," ",IF(OR('Pricing Inputs'!$AQ$3=3,'Pricing Inputs'!$AQ$3=6,'Pricing Inputs'!$AQ$3=9),IF(AND('Pricing Inputs'!$AQ$3&gt;=3,'Pricing Inputs'!$AQ$3&lt;=6),M163,(VLOOKUP(A163,ScaledPrice,7))*(2-(VLOOKUP(A163,ScaledPrice,3)))),0))</f>
        <v xml:space="preserve"> </v>
      </c>
      <c r="O163" s="255" t="str">
        <f>IF(A163="N/A"," ",IF(AND('Pricing Inputs'!$AQ$3&gt;=1,'Pricing Inputs'!$AQ$3&lt;=3),VLOOKUP(A163,ScaledPrice,9),0))</f>
        <v xml:space="preserve"> </v>
      </c>
      <c r="P163" s="320" t="str">
        <f>IF($A163="N/A"," ",IF('Pricing Inputs'!$AN$8=2,(I163-H163),IF('Pricing Inputs'!$AN$3=2,IF((I163-$H163)&gt;0,I163-$H163,0),(_xll.xSPRDOPT(I163,$E163,$BU163,0,$BP163,$BS163,$BT163,($A163-Inputs!$D$1)+15,1,0)))))</f>
        <v xml:space="preserve"> </v>
      </c>
      <c r="Q163" s="320" t="str">
        <f>IF($A163="N/A"," ",IF('Pricing Inputs'!$AN$8=2,(J163-$H163),IF('Pricing Inputs'!$AN$3=2,IF((J163-$H163)&gt;0,J163-$H163,0),(_xll.xSPRDOPT(J163,$E163,$BU163,0,$BP163,$BS163,$BT163,($A163-Inputs!$D$1)+15,1,0)))))</f>
        <v xml:space="preserve"> </v>
      </c>
      <c r="R163" s="320" t="str">
        <f>IF($A163="N/A"," ",IF('Pricing Inputs'!$AN$8=2,(K163-$H163),IF('Pricing Inputs'!$AN$3=2,IF((K163-$H163)&gt;0,K163-$H163,0),(_xll.xSPRDOPT(K163,$E163,$BU163,0,$BP163,$BS163,$BT163,($A163-Inputs!$D$1)+15,1,0)))))</f>
        <v xml:space="preserve"> </v>
      </c>
      <c r="S163" s="320" t="str">
        <f>IF($A163="N/A"," ",IF('Pricing Inputs'!$AN$8=2,(L163-$H163),IF('Pricing Inputs'!$AN$3=2,IF((L163-$H163)&gt;0,L163-$H163,0),(_xll.xSPRDOPT(L163,$E163,$BU163,0,$BP163,$BS163,$BT163,($A163-Inputs!$D$1)+15,1,0)))))</f>
        <v xml:space="preserve"> </v>
      </c>
      <c r="T163" s="320" t="str">
        <f>IF($A163="N/A"," ",IF('Pricing Inputs'!$AN$8=2,(M163-$H163),IF('Pricing Inputs'!$AN$3=2,IF((M163-$H163)&gt;0,M163-$H163,0),(_xll.xSPRDOPT(M163,$E163,$BU163,0,$BP163,$BS163,$BT163,($A163-Inputs!$D$1)+15,1,0)))))</f>
        <v xml:space="preserve"> </v>
      </c>
      <c r="U163" s="320" t="str">
        <f>IF($A163="N/A"," ",IF('Pricing Inputs'!$AN$8=2,(N163-$H163),IF('Pricing Inputs'!$AN$3=2,IF((N163-$H163)&gt;0,N163-$H163,0),(_xll.xSPRDOPT(N163,$E163,$BU163,0,$BP163,$BS163,$BT163,($A163-Inputs!$D$1)+15,1,0)))))</f>
        <v xml:space="preserve"> </v>
      </c>
      <c r="V163" s="259" t="str">
        <f>IF($A163="N/A"," ",(IF('Pricing Inputs'!$AN$8=2,(O163-$H163),IF((O163-$H163)&lt;=0,0,(O163-$H163)))))</f>
        <v xml:space="preserve"> </v>
      </c>
      <c r="W163" s="306" t="str">
        <f>IF($A163="N/A"," ",IF(0&lt;&gt;P163,IF('Pricing Inputs'!$AN$3=2,8*VLOOKUP($A163,NumberofDaysTable,2),(_xll.xSPRDOPT(I163,$E163,$BU163,0,$BP163,$BS163,$BT163,$A163-Inputs!$D$1,1,1))*(8*VLOOKUP($A163,NumberofDaysTable,2))),0))</f>
        <v xml:space="preserve"> </v>
      </c>
      <c r="X163" s="306" t="str">
        <f>IF($A163="N/A"," ",IF(Q163&lt;&gt;0,IF('Pricing Inputs'!$AN$3=2,8*VLOOKUP($A163,NumberofDaysTable,2),(_xll.xSPRDOPT(J163,$E163,$BU163,0,$BP163,$BS163,$BT163,$A163-Inputs!$D$1,1,1))*(8*VLOOKUP($A163,NumberofDaysTable,2))),0))</f>
        <v xml:space="preserve"> </v>
      </c>
      <c r="Y163" s="306" t="str">
        <f>IF($A163="N/A"," ",IF(R163&lt;&gt;0,IF('Pricing Inputs'!$AN$3=2,8*VLOOKUP($A163,NumberofDaysTable,3),(_xll.xSPRDOPT(K163,$E163,$BU163,0,$BP163,$BS163,$BT163,$A163-Inputs!$D$1,1,1))*(8*VLOOKUP($A163,NumberofDaysTable,3))),0))</f>
        <v xml:space="preserve"> </v>
      </c>
      <c r="Z163" s="306" t="str">
        <f>IF($A163="N/A"," ",IF(S163&lt;&gt;0,IF('Pricing Inputs'!$AN$3=2,8*VLOOKUP($A163,NumberofDaysTable,3),(_xll.xSPRDOPT(L163,$E163,$BU163,0,$BP163,$BS163,$BT163,$A163-Inputs!$D$1,1,1))*(8*VLOOKUP($A163,NumberofDaysTable,3))),0))</f>
        <v xml:space="preserve"> </v>
      </c>
      <c r="AA163" s="306" t="str">
        <f>IF($A163="N/A"," ",IF(T163&lt;&gt;0,IF('Pricing Inputs'!$AN$3=2,8*VLOOKUP($A163,NumberofDaysTable,4),(_xll.xSPRDOPT(M163,$E163,$BU163,0,$BP163,$BS163,$BT163,$A163-Inputs!$D$1,1,1))*(8*VLOOKUP($A163,NumberofDaysTable,4))),0))</f>
        <v xml:space="preserve"> </v>
      </c>
      <c r="AB163" s="306" t="str">
        <f>IF($A163="N/A"," ",IF(U163&lt;&gt;0,IF('Pricing Inputs'!$AN$3=2,8*VLOOKUP($A163,NumberofDaysTable,4),(_xll.xSPRDOPT(N163,$E163,$BU163,0,$BP163,$BS163,$BT163,$A163-Inputs!$D$1,1,1))*(8*VLOOKUP($A163,NumberofDaysTable,4))),0))</f>
        <v xml:space="preserve"> </v>
      </c>
      <c r="AC163" s="306" t="str">
        <f t="shared" si="233"/>
        <v xml:space="preserve"> </v>
      </c>
      <c r="AD163" s="274" t="str">
        <f t="shared" si="291"/>
        <v xml:space="preserve"> </v>
      </c>
      <c r="AE163" s="275" t="str">
        <f t="shared" si="292"/>
        <v xml:space="preserve"> </v>
      </c>
      <c r="AF163" s="275" t="str">
        <f t="shared" si="293"/>
        <v xml:space="preserve"> </v>
      </c>
      <c r="AG163" s="275" t="str">
        <f t="shared" si="294"/>
        <v xml:space="preserve"> </v>
      </c>
      <c r="AH163" s="275" t="str">
        <f t="shared" si="295"/>
        <v xml:space="preserve"> </v>
      </c>
      <c r="AI163" s="275" t="str">
        <f t="shared" si="296"/>
        <v xml:space="preserve"> </v>
      </c>
      <c r="AJ163" s="276" t="str">
        <f t="shared" si="297"/>
        <v xml:space="preserve"> </v>
      </c>
      <c r="AK163" s="314" t="str">
        <f t="shared" si="259"/>
        <v xml:space="preserve"> </v>
      </c>
      <c r="AL163" s="315" t="str">
        <f t="shared" si="260"/>
        <v xml:space="preserve"> </v>
      </c>
      <c r="AM163" s="315" t="str">
        <f t="shared" si="261"/>
        <v xml:space="preserve"> </v>
      </c>
      <c r="AN163" s="315" t="str">
        <f t="shared" si="262"/>
        <v xml:space="preserve"> </v>
      </c>
      <c r="AO163" s="315" t="str">
        <f t="shared" si="263"/>
        <v xml:space="preserve"> </v>
      </c>
      <c r="AP163" s="315" t="str">
        <f t="shared" si="264"/>
        <v xml:space="preserve"> </v>
      </c>
      <c r="AQ163" s="315" t="str">
        <f t="shared" si="265"/>
        <v xml:space="preserve"> </v>
      </c>
      <c r="AR163" s="276"/>
      <c r="AS163" s="321" t="str">
        <f t="shared" si="284"/>
        <v xml:space="preserve"> </v>
      </c>
      <c r="AT163" s="324" t="str">
        <f t="shared" si="285"/>
        <v xml:space="preserve"> </v>
      </c>
      <c r="AU163" s="324" t="str">
        <f t="shared" si="286"/>
        <v xml:space="preserve"> </v>
      </c>
      <c r="AV163" s="324" t="str">
        <f t="shared" si="287"/>
        <v xml:space="preserve"> </v>
      </c>
      <c r="AW163" s="324" t="str">
        <f t="shared" si="288"/>
        <v xml:space="preserve"> </v>
      </c>
      <c r="AX163" s="324" t="str">
        <f t="shared" si="289"/>
        <v xml:space="preserve"> </v>
      </c>
      <c r="AY163" s="324" t="str">
        <f t="shared" si="290"/>
        <v xml:space="preserve"> </v>
      </c>
      <c r="AZ163" s="276"/>
      <c r="BA163" s="267" t="str">
        <f>IF($A163="N/A"," ",(IF(MONTH(A163)&gt;=4,IF(MONTH(A163)&lt;=10,Inputs!$F$13,Inputs!$F$14),Inputs!$F$14))*$BW163)</f>
        <v xml:space="preserve"> </v>
      </c>
      <c r="BB163" s="268" t="str">
        <f t="shared" si="266"/>
        <v xml:space="preserve"> </v>
      </c>
      <c r="BC163" s="268" t="str">
        <f t="shared" si="267"/>
        <v xml:space="preserve"> </v>
      </c>
      <c r="BD163" s="268" t="str">
        <f t="shared" si="234"/>
        <v xml:space="preserve"> </v>
      </c>
      <c r="BE163" s="268" t="str">
        <f t="shared" si="235"/>
        <v xml:space="preserve"> </v>
      </c>
      <c r="BF163" s="268" t="str">
        <f t="shared" si="236"/>
        <v xml:space="preserve"> </v>
      </c>
      <c r="BG163" s="268" t="str">
        <f t="shared" si="237"/>
        <v xml:space="preserve"> </v>
      </c>
      <c r="BH163" s="268" t="str">
        <f t="shared" si="258"/>
        <v xml:space="preserve"> </v>
      </c>
      <c r="BI163" s="268" t="str">
        <f t="shared" si="238"/>
        <v xml:space="preserve"> </v>
      </c>
      <c r="BJ163" s="296" t="str">
        <f t="shared" si="239"/>
        <v xml:space="preserve"> </v>
      </c>
      <c r="BK163" s="296" t="str">
        <f t="shared" si="240"/>
        <v xml:space="preserve"> </v>
      </c>
      <c r="BL163" s="296" t="str">
        <f t="shared" si="241"/>
        <v xml:space="preserve"> </v>
      </c>
      <c r="BM163" s="296" t="str">
        <f t="shared" si="242"/>
        <v xml:space="preserve"> </v>
      </c>
      <c r="BN163" s="405" t="str">
        <f>IF(A163="N/A"," ",(VLOOKUP(A163,PowerVolTable,(IF('Pricing Inputs'!$AT$3=2,7,IF('Pricing Inputs'!$AT$3=1,6,8))),FALSE)))</f>
        <v xml:space="preserve"> </v>
      </c>
      <c r="BO163" s="405" t="str">
        <f>IF(A163="N/A"," ",(VLOOKUP(A163,IntraPowerVol,(IF('Pricing Inputs'!$AT$3=2,3,IF('Pricing Inputs'!$AT$3=1,2,4))),FALSE)*VLOOKUP(MONTH($A163),Inputs!$A$28:$B$39,2)))</f>
        <v xml:space="preserve"> </v>
      </c>
      <c r="BP163" s="406" t="str">
        <f t="shared" si="227"/>
        <v xml:space="preserve"> </v>
      </c>
      <c r="BQ163" s="405" t="str">
        <f>IF($A163="N/A"," ",(VLOOKUP($A163,GasVolTable,(IF('Pricing Inputs'!$AT$3=2,6,IF('Pricing Inputs'!$AT$3=1,7,5))),FALSE)))</f>
        <v xml:space="preserve"> </v>
      </c>
      <c r="BR163" s="405" t="str">
        <f>IF($A163="N/A"," ",(VLOOKUP($A163,OmicronVol,(IF('Pricing Inputs'!$AT$3=2,3,IF('Pricing Inputs'!$AT$3=1,4,2))),FALSE)))</f>
        <v xml:space="preserve"> </v>
      </c>
      <c r="BS163" s="406" t="str">
        <f>IF($A163="N/A"," ",IF('Pricing Inputs'!$AN$3=1,(IF(DateToday&gt;$A163,$BR163,((($BQ163^2)*((($A163-1)-DateToday)/((EOMONTH($A163,0)+1)-DateToday-15)))+((($BR163)^2)*((15)/((EOMONTH($A163,0)+1)-DateToday-15))))^0.5)),0.0001))</f>
        <v xml:space="preserve"> </v>
      </c>
      <c r="BT163" s="405" t="str">
        <f>IF($A163="N/A"," ",IF('Pricing Inputs'!$AN$3=1,(VLOOKUP($A163,CorrelationTable,2,FALSE)),0))</f>
        <v xml:space="preserve"> </v>
      </c>
      <c r="BU163" s="407" t="str">
        <f>IF($A163="N/A"," ",F163+G163+(D163*(VLOOKUP($A163,'Gas Curves'!$B$17:$P$310,14,FALSE))))</f>
        <v xml:space="preserve"> </v>
      </c>
      <c r="BV163" s="405" t="str">
        <f>IF($A163="N/A"," ",IF('Pricing Inputs'!$AW$3=1,0,(VLOOKUP($A163,InterestRatesTable,2))))</f>
        <v xml:space="preserve"> </v>
      </c>
      <c r="BW163" s="408" t="str">
        <f t="shared" si="228"/>
        <v xml:space="preserve"> </v>
      </c>
    </row>
    <row r="164" spans="1:75">
      <c r="A164" s="248" t="str">
        <f>IF(A163="N/A","N/A",IF(EDATE(A163,1)&gt;Inputs!$K$3,"N/A",EDATE(A163,1)))</f>
        <v>N/A</v>
      </c>
      <c r="B164" s="262" t="str">
        <f t="shared" si="229"/>
        <v xml:space="preserve"> </v>
      </c>
      <c r="C164" s="249" t="str">
        <f t="shared" si="230"/>
        <v xml:space="preserve"> </v>
      </c>
      <c r="D164" s="250" t="str">
        <f>IF(A164="N/A"," ",(VLOOKUP(MONTH($A164),Inputs!$A$14:$B$25,2))/1000)</f>
        <v xml:space="preserve"> </v>
      </c>
      <c r="E164" s="304" t="str">
        <f t="shared" si="231"/>
        <v xml:space="preserve"> </v>
      </c>
      <c r="F164" s="251" t="str">
        <f>IF(A164="N/A"," ",Inputs!$F$6)</f>
        <v xml:space="preserve"> </v>
      </c>
      <c r="G164" s="251" t="str">
        <f>IF(A164="N/A"," ",Inputs!$F$9/IF(AND('Pricing Inputs'!$AQ$3&gt;=4,'Pricing Inputs'!$AQ$3&lt;=6),16,IF(AND('Pricing Inputs'!$AQ$3&gt;=7,'Pricing Inputs'!$AQ$3&lt;=9),8,24))/(BA164/BW164))</f>
        <v xml:space="preserve"> </v>
      </c>
      <c r="H164" s="252" t="str">
        <f t="shared" si="232"/>
        <v xml:space="preserve"> </v>
      </c>
      <c r="I164" s="255" t="str">
        <f>VLOOKUP(A164,ScaledPrice,(IF(AND('Pricing Inputs'!$AQ$3&gt;=1,'Pricing Inputs'!$AQ$3&lt;=6),2,4)))</f>
        <v xml:space="preserve"> </v>
      </c>
      <c r="J164" s="255" t="str">
        <f>IF(A164="N/A"," ",IF(AND('Pricing Inputs'!$AQ$3&gt;=1,'Pricing Inputs'!$AQ$3&lt;=6),I164,(VLOOKUP(A164,ScaledPrice,2))*(2-(VLOOKUP(A164,ScaledPrice,3)))))</f>
        <v xml:space="preserve"> </v>
      </c>
      <c r="K164" s="255" t="str">
        <f>IF(A164="N/A"," ",IF(OR('Pricing Inputs'!$AQ$3=2,'Pricing Inputs'!$AQ$3=3,'Pricing Inputs'!$AQ$3=5,'Pricing Inputs'!$AQ$3=6,'Pricing Inputs'!$AQ$3=8,'Pricing Inputs'!$AQ$3=9),VLOOKUP(A164,ScaledPrice,IF(AND('Pricing Inputs'!$AQ$3&gt;=2,'Pricing Inputs'!$AQ$3&lt;=6),5,6)),0))</f>
        <v xml:space="preserve"> </v>
      </c>
      <c r="L164" s="255" t="str">
        <f>IF(A164="N/A"," ",IF(OR('Pricing Inputs'!$AQ$3=2,'Pricing Inputs'!$AQ$3=3,'Pricing Inputs'!$AQ$3=5,'Pricing Inputs'!$AQ$3=6,'Pricing Inputs'!$AQ$3=8,'Pricing Inputs'!$AQ$3=9),IF(AND('Pricing Inputs'!$AQ$3&gt;=2,'Pricing Inputs'!$AQ$3&lt;=6),K164,(VLOOKUP(A164,ScaledPrice,5))*(2-(VLOOKUP(A164,ScaledPrice,3)))),0))</f>
        <v xml:space="preserve"> </v>
      </c>
      <c r="M164" s="255" t="str">
        <f>IF(A164="N/A"," ",IF(OR('Pricing Inputs'!$AQ$3=3,'Pricing Inputs'!$AQ$3=6,'Pricing Inputs'!$AQ$3=9),(VLOOKUP(A164,ScaledPrice,IF(AND('Pricing Inputs'!$AQ$3&gt;=3,'Pricing Inputs'!$AQ$3&lt;=6),7,8))),0))</f>
        <v xml:space="preserve"> </v>
      </c>
      <c r="N164" s="255" t="str">
        <f>IF(A164="N/A"," ",IF(OR('Pricing Inputs'!$AQ$3=3,'Pricing Inputs'!$AQ$3=6,'Pricing Inputs'!$AQ$3=9),IF(AND('Pricing Inputs'!$AQ$3&gt;=3,'Pricing Inputs'!$AQ$3&lt;=6),M164,(VLOOKUP(A164,ScaledPrice,7))*(2-(VLOOKUP(A164,ScaledPrice,3)))),0))</f>
        <v xml:space="preserve"> </v>
      </c>
      <c r="O164" s="255" t="str">
        <f>IF(A164="N/A"," ",IF(AND('Pricing Inputs'!$AQ$3&gt;=1,'Pricing Inputs'!$AQ$3&lt;=3),VLOOKUP(A164,ScaledPrice,9),0))</f>
        <v xml:space="preserve"> </v>
      </c>
      <c r="P164" s="320" t="str">
        <f>IF($A164="N/A"," ",IF('Pricing Inputs'!$AN$8=2,(I164-H164),IF('Pricing Inputs'!$AN$3=2,IF((I164-$H164)&gt;0,I164-$H164,0),(_xll.xSPRDOPT(I164,$E164,$BU164,0,$BP164,$BS164,$BT164,($A164-Inputs!$D$1)+15,1,0)))))</f>
        <v xml:space="preserve"> </v>
      </c>
      <c r="Q164" s="320" t="str">
        <f>IF($A164="N/A"," ",IF('Pricing Inputs'!$AN$8=2,(J164-$H164),IF('Pricing Inputs'!$AN$3=2,IF((J164-$H164)&gt;0,J164-$H164,0),(_xll.xSPRDOPT(J164,$E164,$BU164,0,$BP164,$BS164,$BT164,($A164-Inputs!$D$1)+15,1,0)))))</f>
        <v xml:space="preserve"> </v>
      </c>
      <c r="R164" s="320" t="str">
        <f>IF($A164="N/A"," ",IF('Pricing Inputs'!$AN$8=2,(K164-$H164),IF('Pricing Inputs'!$AN$3=2,IF((K164-$H164)&gt;0,K164-$H164,0),(_xll.xSPRDOPT(K164,$E164,$BU164,0,$BP164,$BS164,$BT164,($A164-Inputs!$D$1)+15,1,0)))))</f>
        <v xml:space="preserve"> </v>
      </c>
      <c r="S164" s="320" t="str">
        <f>IF($A164="N/A"," ",IF('Pricing Inputs'!$AN$8=2,(L164-$H164),IF('Pricing Inputs'!$AN$3=2,IF((L164-$H164)&gt;0,L164-$H164,0),(_xll.xSPRDOPT(L164,$E164,$BU164,0,$BP164,$BS164,$BT164,($A164-Inputs!$D$1)+15,1,0)))))</f>
        <v xml:space="preserve"> </v>
      </c>
      <c r="T164" s="320" t="str">
        <f>IF($A164="N/A"," ",IF('Pricing Inputs'!$AN$8=2,(M164-$H164),IF('Pricing Inputs'!$AN$3=2,IF((M164-$H164)&gt;0,M164-$H164,0),(_xll.xSPRDOPT(M164,$E164,$BU164,0,$BP164,$BS164,$BT164,($A164-Inputs!$D$1)+15,1,0)))))</f>
        <v xml:space="preserve"> </v>
      </c>
      <c r="U164" s="320" t="str">
        <f>IF($A164="N/A"," ",IF('Pricing Inputs'!$AN$8=2,(N164-$H164),IF('Pricing Inputs'!$AN$3=2,IF((N164-$H164)&gt;0,N164-$H164,0),(_xll.xSPRDOPT(N164,$E164,$BU164,0,$BP164,$BS164,$BT164,($A164-Inputs!$D$1)+15,1,0)))))</f>
        <v xml:space="preserve"> </v>
      </c>
      <c r="V164" s="259" t="str">
        <f>IF($A164="N/A"," ",(IF('Pricing Inputs'!$AN$8=2,(O164-$H164),IF((O164-$H164)&lt;=0,0,(O164-$H164)))))</f>
        <v xml:space="preserve"> </v>
      </c>
      <c r="W164" s="306" t="str">
        <f>IF($A164="N/A"," ",IF(0&lt;&gt;P164,IF('Pricing Inputs'!$AN$3=2,8*VLOOKUP($A164,NumberofDaysTable,2),(_xll.xSPRDOPT(I164,$E164,$BU164,0,$BP164,$BS164,$BT164,$A164-Inputs!$D$1,1,1))*(8*VLOOKUP($A164,NumberofDaysTable,2))),0))</f>
        <v xml:space="preserve"> </v>
      </c>
      <c r="X164" s="306" t="str">
        <f>IF($A164="N/A"," ",IF(Q164&lt;&gt;0,IF('Pricing Inputs'!$AN$3=2,8*VLOOKUP($A164,NumberofDaysTable,2),(_xll.xSPRDOPT(J164,$E164,$BU164,0,$BP164,$BS164,$BT164,$A164-Inputs!$D$1,1,1))*(8*VLOOKUP($A164,NumberofDaysTable,2))),0))</f>
        <v xml:space="preserve"> </v>
      </c>
      <c r="Y164" s="306" t="str">
        <f>IF($A164="N/A"," ",IF(R164&lt;&gt;0,IF('Pricing Inputs'!$AN$3=2,8*VLOOKUP($A164,NumberofDaysTable,3),(_xll.xSPRDOPT(K164,$E164,$BU164,0,$BP164,$BS164,$BT164,$A164-Inputs!$D$1,1,1))*(8*VLOOKUP($A164,NumberofDaysTable,3))),0))</f>
        <v xml:space="preserve"> </v>
      </c>
      <c r="Z164" s="306" t="str">
        <f>IF($A164="N/A"," ",IF(S164&lt;&gt;0,IF('Pricing Inputs'!$AN$3=2,8*VLOOKUP($A164,NumberofDaysTable,3),(_xll.xSPRDOPT(L164,$E164,$BU164,0,$BP164,$BS164,$BT164,$A164-Inputs!$D$1,1,1))*(8*VLOOKUP($A164,NumberofDaysTable,3))),0))</f>
        <v xml:space="preserve"> </v>
      </c>
      <c r="AA164" s="306" t="str">
        <f>IF($A164="N/A"," ",IF(T164&lt;&gt;0,IF('Pricing Inputs'!$AN$3=2,8*VLOOKUP($A164,NumberofDaysTable,4),(_xll.xSPRDOPT(M164,$E164,$BU164,0,$BP164,$BS164,$BT164,$A164-Inputs!$D$1,1,1))*(8*VLOOKUP($A164,NumberofDaysTable,4))),0))</f>
        <v xml:space="preserve"> </v>
      </c>
      <c r="AB164" s="306" t="str">
        <f>IF($A164="N/A"," ",IF(U164&lt;&gt;0,IF('Pricing Inputs'!$AN$3=2,8*VLOOKUP($A164,NumberofDaysTable,4),(_xll.xSPRDOPT(N164,$E164,$BU164,0,$BP164,$BS164,$BT164,$A164-Inputs!$D$1,1,1))*(8*VLOOKUP($A164,NumberofDaysTable,4))),0))</f>
        <v xml:space="preserve"> </v>
      </c>
      <c r="AC164" s="306" t="str">
        <f t="shared" si="233"/>
        <v xml:space="preserve"> </v>
      </c>
      <c r="AD164" s="274" t="str">
        <f t="shared" si="291"/>
        <v xml:space="preserve"> </v>
      </c>
      <c r="AE164" s="275" t="str">
        <f t="shared" si="292"/>
        <v xml:space="preserve"> </v>
      </c>
      <c r="AF164" s="275" t="str">
        <f t="shared" si="293"/>
        <v xml:space="preserve"> </v>
      </c>
      <c r="AG164" s="275" t="str">
        <f t="shared" si="294"/>
        <v xml:space="preserve"> </v>
      </c>
      <c r="AH164" s="275" t="str">
        <f t="shared" si="295"/>
        <v xml:space="preserve"> </v>
      </c>
      <c r="AI164" s="275" t="str">
        <f t="shared" si="296"/>
        <v xml:space="preserve"> </v>
      </c>
      <c r="AJ164" s="276" t="str">
        <f t="shared" si="297"/>
        <v xml:space="preserve"> </v>
      </c>
      <c r="AK164" s="314" t="str">
        <f t="shared" si="259"/>
        <v xml:space="preserve"> </v>
      </c>
      <c r="AL164" s="315" t="str">
        <f t="shared" si="260"/>
        <v xml:space="preserve"> </v>
      </c>
      <c r="AM164" s="315" t="str">
        <f t="shared" si="261"/>
        <v xml:space="preserve"> </v>
      </c>
      <c r="AN164" s="315" t="str">
        <f t="shared" si="262"/>
        <v xml:space="preserve"> </v>
      </c>
      <c r="AO164" s="315" t="str">
        <f t="shared" si="263"/>
        <v xml:space="preserve"> </v>
      </c>
      <c r="AP164" s="315" t="str">
        <f t="shared" si="264"/>
        <v xml:space="preserve"> </v>
      </c>
      <c r="AQ164" s="315" t="str">
        <f t="shared" si="265"/>
        <v xml:space="preserve"> </v>
      </c>
      <c r="AR164" s="276"/>
      <c r="AS164" s="321" t="str">
        <f t="shared" si="284"/>
        <v xml:space="preserve"> </v>
      </c>
      <c r="AT164" s="324" t="str">
        <f t="shared" si="285"/>
        <v xml:space="preserve"> </v>
      </c>
      <c r="AU164" s="324" t="str">
        <f t="shared" si="286"/>
        <v xml:space="preserve"> </v>
      </c>
      <c r="AV164" s="324" t="str">
        <f t="shared" si="287"/>
        <v xml:space="preserve"> </v>
      </c>
      <c r="AW164" s="324" t="str">
        <f t="shared" si="288"/>
        <v xml:space="preserve"> </v>
      </c>
      <c r="AX164" s="324" t="str">
        <f t="shared" si="289"/>
        <v xml:space="preserve"> </v>
      </c>
      <c r="AY164" s="324" t="str">
        <f t="shared" si="290"/>
        <v xml:space="preserve"> </v>
      </c>
      <c r="AZ164" s="276"/>
      <c r="BA164" s="267" t="str">
        <f>IF($A164="N/A"," ",(IF(MONTH(A164)&gt;=4,IF(MONTH(A164)&lt;=10,Inputs!$F$13,Inputs!$F$14),Inputs!$F$14))*$BW164)</f>
        <v xml:space="preserve"> </v>
      </c>
      <c r="BB164" s="268" t="str">
        <f t="shared" si="266"/>
        <v xml:space="preserve"> </v>
      </c>
      <c r="BC164" s="268" t="str">
        <f t="shared" si="267"/>
        <v xml:space="preserve"> </v>
      </c>
      <c r="BD164" s="268" t="str">
        <f t="shared" si="234"/>
        <v xml:space="preserve"> </v>
      </c>
      <c r="BE164" s="268" t="str">
        <f t="shared" si="235"/>
        <v xml:space="preserve"> </v>
      </c>
      <c r="BF164" s="268" t="str">
        <f t="shared" si="236"/>
        <v xml:space="preserve"> </v>
      </c>
      <c r="BG164" s="268" t="str">
        <f t="shared" si="237"/>
        <v xml:space="preserve"> </v>
      </c>
      <c r="BH164" s="268" t="str">
        <f t="shared" si="258"/>
        <v xml:space="preserve"> </v>
      </c>
      <c r="BI164" s="268" t="str">
        <f t="shared" si="238"/>
        <v xml:space="preserve"> </v>
      </c>
      <c r="BJ164" s="296" t="str">
        <f t="shared" si="239"/>
        <v xml:space="preserve"> </v>
      </c>
      <c r="BK164" s="296" t="str">
        <f t="shared" si="240"/>
        <v xml:space="preserve"> </v>
      </c>
      <c r="BL164" s="296" t="str">
        <f t="shared" si="241"/>
        <v xml:space="preserve"> </v>
      </c>
      <c r="BM164" s="296" t="str">
        <f t="shared" si="242"/>
        <v xml:space="preserve"> </v>
      </c>
      <c r="BN164" s="405" t="str">
        <f>IF(A164="N/A"," ",(VLOOKUP(A164,PowerVolTable,(IF('Pricing Inputs'!$AT$3=2,7,IF('Pricing Inputs'!$AT$3=1,6,8))),FALSE)))</f>
        <v xml:space="preserve"> </v>
      </c>
      <c r="BO164" s="405" t="str">
        <f>IF(A164="N/A"," ",(VLOOKUP(A164,IntraPowerVol,(IF('Pricing Inputs'!$AT$3=2,3,IF('Pricing Inputs'!$AT$3=1,2,4))),FALSE)*VLOOKUP(MONTH($A164),Inputs!$A$28:$B$39,2)))</f>
        <v xml:space="preserve"> </v>
      </c>
      <c r="BP164" s="406" t="str">
        <f t="shared" si="227"/>
        <v xml:space="preserve"> </v>
      </c>
      <c r="BQ164" s="405" t="str">
        <f>IF($A164="N/A"," ",(VLOOKUP($A164,GasVolTable,(IF('Pricing Inputs'!$AT$3=2,6,IF('Pricing Inputs'!$AT$3=1,7,5))),FALSE)))</f>
        <v xml:space="preserve"> </v>
      </c>
      <c r="BR164" s="405" t="str">
        <f>IF($A164="N/A"," ",(VLOOKUP($A164,OmicronVol,(IF('Pricing Inputs'!$AT$3=2,3,IF('Pricing Inputs'!$AT$3=1,4,2))),FALSE)))</f>
        <v xml:space="preserve"> </v>
      </c>
      <c r="BS164" s="406" t="str">
        <f>IF($A164="N/A"," ",IF('Pricing Inputs'!$AN$3=1,(IF(DateToday&gt;$A164,$BR164,((($BQ164^2)*((($A164-1)-DateToday)/((EOMONTH($A164,0)+1)-DateToday-15)))+((($BR164)^2)*((15)/((EOMONTH($A164,0)+1)-DateToday-15))))^0.5)),0.0001))</f>
        <v xml:space="preserve"> </v>
      </c>
      <c r="BT164" s="405" t="str">
        <f>IF($A164="N/A"," ",IF('Pricing Inputs'!$AN$3=1,(VLOOKUP($A164,CorrelationTable,2,FALSE)),0))</f>
        <v xml:space="preserve"> </v>
      </c>
      <c r="BU164" s="407" t="str">
        <f>IF($A164="N/A"," ",F164+G164+(D164*(VLOOKUP($A164,'Gas Curves'!$B$17:$P$310,14,FALSE))))</f>
        <v xml:space="preserve"> </v>
      </c>
      <c r="BV164" s="405" t="str">
        <f>IF($A164="N/A"," ",IF('Pricing Inputs'!$AW$3=1,0,(VLOOKUP($A164,InterestRatesTable,2))))</f>
        <v xml:space="preserve"> </v>
      </c>
      <c r="BW164" s="408" t="str">
        <f t="shared" si="228"/>
        <v xml:space="preserve"> </v>
      </c>
    </row>
    <row r="165" spans="1:75">
      <c r="A165" s="248" t="str">
        <f>IF(A164="N/A","N/A",IF(EDATE(A164,1)&gt;Inputs!$K$3,"N/A",EDATE(A164,1)))</f>
        <v>N/A</v>
      </c>
      <c r="B165" s="262" t="str">
        <f t="shared" si="229"/>
        <v xml:space="preserve"> </v>
      </c>
      <c r="C165" s="249" t="str">
        <f t="shared" si="230"/>
        <v xml:space="preserve"> </v>
      </c>
      <c r="D165" s="250" t="str">
        <f>IF(A165="N/A"," ",(VLOOKUP(MONTH($A165),Inputs!$A$14:$B$25,2))/1000)</f>
        <v xml:space="preserve"> </v>
      </c>
      <c r="E165" s="304" t="str">
        <f t="shared" si="231"/>
        <v xml:space="preserve"> </v>
      </c>
      <c r="F165" s="251" t="str">
        <f>IF(A165="N/A"," ",Inputs!$F$6)</f>
        <v xml:space="preserve"> </v>
      </c>
      <c r="G165" s="251" t="str">
        <f>IF(A165="N/A"," ",Inputs!$F$9/IF(AND('Pricing Inputs'!$AQ$3&gt;=4,'Pricing Inputs'!$AQ$3&lt;=6),16,IF(AND('Pricing Inputs'!$AQ$3&gt;=7,'Pricing Inputs'!$AQ$3&lt;=9),8,24))/(BA165/BW165))</f>
        <v xml:space="preserve"> </v>
      </c>
      <c r="H165" s="252" t="str">
        <f t="shared" si="232"/>
        <v xml:space="preserve"> </v>
      </c>
      <c r="I165" s="255" t="str">
        <f>VLOOKUP(A165,ScaledPrice,(IF(AND('Pricing Inputs'!$AQ$3&gt;=1,'Pricing Inputs'!$AQ$3&lt;=6),2,4)))</f>
        <v xml:space="preserve"> </v>
      </c>
      <c r="J165" s="255" t="str">
        <f>IF(A165="N/A"," ",IF(AND('Pricing Inputs'!$AQ$3&gt;=1,'Pricing Inputs'!$AQ$3&lt;=6),I165,(VLOOKUP(A165,ScaledPrice,2))*(2-(VLOOKUP(A165,ScaledPrice,3)))))</f>
        <v xml:space="preserve"> </v>
      </c>
      <c r="K165" s="255" t="str">
        <f>IF(A165="N/A"," ",IF(OR('Pricing Inputs'!$AQ$3=2,'Pricing Inputs'!$AQ$3=3,'Pricing Inputs'!$AQ$3=5,'Pricing Inputs'!$AQ$3=6,'Pricing Inputs'!$AQ$3=8,'Pricing Inputs'!$AQ$3=9),VLOOKUP(A165,ScaledPrice,IF(AND('Pricing Inputs'!$AQ$3&gt;=2,'Pricing Inputs'!$AQ$3&lt;=6),5,6)),0))</f>
        <v xml:space="preserve"> </v>
      </c>
      <c r="L165" s="255" t="str">
        <f>IF(A165="N/A"," ",IF(OR('Pricing Inputs'!$AQ$3=2,'Pricing Inputs'!$AQ$3=3,'Pricing Inputs'!$AQ$3=5,'Pricing Inputs'!$AQ$3=6,'Pricing Inputs'!$AQ$3=8,'Pricing Inputs'!$AQ$3=9),IF(AND('Pricing Inputs'!$AQ$3&gt;=2,'Pricing Inputs'!$AQ$3&lt;=6),K165,(VLOOKUP(A165,ScaledPrice,5))*(2-(VLOOKUP(A165,ScaledPrice,3)))),0))</f>
        <v xml:space="preserve"> </v>
      </c>
      <c r="M165" s="255" t="str">
        <f>IF(A165="N/A"," ",IF(OR('Pricing Inputs'!$AQ$3=3,'Pricing Inputs'!$AQ$3=6,'Pricing Inputs'!$AQ$3=9),(VLOOKUP(A165,ScaledPrice,IF(AND('Pricing Inputs'!$AQ$3&gt;=3,'Pricing Inputs'!$AQ$3&lt;=6),7,8))),0))</f>
        <v xml:space="preserve"> </v>
      </c>
      <c r="N165" s="255" t="str">
        <f>IF(A165="N/A"," ",IF(OR('Pricing Inputs'!$AQ$3=3,'Pricing Inputs'!$AQ$3=6,'Pricing Inputs'!$AQ$3=9),IF(AND('Pricing Inputs'!$AQ$3&gt;=3,'Pricing Inputs'!$AQ$3&lt;=6),M165,(VLOOKUP(A165,ScaledPrice,7))*(2-(VLOOKUP(A165,ScaledPrice,3)))),0))</f>
        <v xml:space="preserve"> </v>
      </c>
      <c r="O165" s="255" t="str">
        <f>IF(A165="N/A"," ",IF(AND('Pricing Inputs'!$AQ$3&gt;=1,'Pricing Inputs'!$AQ$3&lt;=3),VLOOKUP(A165,ScaledPrice,9),0))</f>
        <v xml:space="preserve"> </v>
      </c>
      <c r="P165" s="320" t="str">
        <f>IF($A165="N/A"," ",IF('Pricing Inputs'!$AN$8=2,(I165-H165),IF('Pricing Inputs'!$AN$3=2,IF((I165-$H165)&gt;0,I165-$H165,0),(_xll.xSPRDOPT(I165,$E165,$BU165,0,$BP165,$BS165,$BT165,($A165-Inputs!$D$1)+15,1,0)))))</f>
        <v xml:space="preserve"> </v>
      </c>
      <c r="Q165" s="320" t="str">
        <f>IF($A165="N/A"," ",IF('Pricing Inputs'!$AN$8=2,(J165-$H165),IF('Pricing Inputs'!$AN$3=2,IF((J165-$H165)&gt;0,J165-$H165,0),(_xll.xSPRDOPT(J165,$E165,$BU165,0,$BP165,$BS165,$BT165,($A165-Inputs!$D$1)+15,1,0)))))</f>
        <v xml:space="preserve"> </v>
      </c>
      <c r="R165" s="320" t="str">
        <f>IF($A165="N/A"," ",IF('Pricing Inputs'!$AN$8=2,(K165-$H165),IF('Pricing Inputs'!$AN$3=2,IF((K165-$H165)&gt;0,K165-$H165,0),(_xll.xSPRDOPT(K165,$E165,$BU165,0,$BP165,$BS165,$BT165,($A165-Inputs!$D$1)+15,1,0)))))</f>
        <v xml:space="preserve"> </v>
      </c>
      <c r="S165" s="320" t="str">
        <f>IF($A165="N/A"," ",IF('Pricing Inputs'!$AN$8=2,(L165-$H165),IF('Pricing Inputs'!$AN$3=2,IF((L165-$H165)&gt;0,L165-$H165,0),(_xll.xSPRDOPT(L165,$E165,$BU165,0,$BP165,$BS165,$BT165,($A165-Inputs!$D$1)+15,1,0)))))</f>
        <v xml:space="preserve"> </v>
      </c>
      <c r="T165" s="320" t="str">
        <f>IF($A165="N/A"," ",IF('Pricing Inputs'!$AN$8=2,(M165-$H165),IF('Pricing Inputs'!$AN$3=2,IF((M165-$H165)&gt;0,M165-$H165,0),(_xll.xSPRDOPT(M165,$E165,$BU165,0,$BP165,$BS165,$BT165,($A165-Inputs!$D$1)+15,1,0)))))</f>
        <v xml:space="preserve"> </v>
      </c>
      <c r="U165" s="320" t="str">
        <f>IF($A165="N/A"," ",IF('Pricing Inputs'!$AN$8=2,(N165-$H165),IF('Pricing Inputs'!$AN$3=2,IF((N165-$H165)&gt;0,N165-$H165,0),(_xll.xSPRDOPT(N165,$E165,$BU165,0,$BP165,$BS165,$BT165,($A165-Inputs!$D$1)+15,1,0)))))</f>
        <v xml:space="preserve"> </v>
      </c>
      <c r="V165" s="259" t="str">
        <f>IF($A165="N/A"," ",(IF('Pricing Inputs'!$AN$8=2,(O165-$H165),IF((O165-$H165)&lt;=0,0,(O165-$H165)))))</f>
        <v xml:space="preserve"> </v>
      </c>
      <c r="W165" s="306" t="str">
        <f>IF($A165="N/A"," ",IF(0&lt;&gt;P165,IF('Pricing Inputs'!$AN$3=2,8*VLOOKUP($A165,NumberofDaysTable,2),(_xll.xSPRDOPT(I165,$E165,$BU165,0,$BP165,$BS165,$BT165,$A165-Inputs!$D$1,1,1))*(8*VLOOKUP($A165,NumberofDaysTable,2))),0))</f>
        <v xml:space="preserve"> </v>
      </c>
      <c r="X165" s="306" t="str">
        <f>IF($A165="N/A"," ",IF(Q165&lt;&gt;0,IF('Pricing Inputs'!$AN$3=2,8*VLOOKUP($A165,NumberofDaysTable,2),(_xll.xSPRDOPT(J165,$E165,$BU165,0,$BP165,$BS165,$BT165,$A165-Inputs!$D$1,1,1))*(8*VLOOKUP($A165,NumberofDaysTable,2))),0))</f>
        <v xml:space="preserve"> </v>
      </c>
      <c r="Y165" s="306" t="str">
        <f>IF($A165="N/A"," ",IF(R165&lt;&gt;0,IF('Pricing Inputs'!$AN$3=2,8*VLOOKUP($A165,NumberofDaysTable,3),(_xll.xSPRDOPT(K165,$E165,$BU165,0,$BP165,$BS165,$BT165,$A165-Inputs!$D$1,1,1))*(8*VLOOKUP($A165,NumberofDaysTable,3))),0))</f>
        <v xml:space="preserve"> </v>
      </c>
      <c r="Z165" s="306" t="str">
        <f>IF($A165="N/A"," ",IF(S165&lt;&gt;0,IF('Pricing Inputs'!$AN$3=2,8*VLOOKUP($A165,NumberofDaysTable,3),(_xll.xSPRDOPT(L165,$E165,$BU165,0,$BP165,$BS165,$BT165,$A165-Inputs!$D$1,1,1))*(8*VLOOKUP($A165,NumberofDaysTable,3))),0))</f>
        <v xml:space="preserve"> </v>
      </c>
      <c r="AA165" s="306" t="str">
        <f>IF($A165="N/A"," ",IF(T165&lt;&gt;0,IF('Pricing Inputs'!$AN$3=2,8*VLOOKUP($A165,NumberofDaysTable,4),(_xll.xSPRDOPT(M165,$E165,$BU165,0,$BP165,$BS165,$BT165,$A165-Inputs!$D$1,1,1))*(8*VLOOKUP($A165,NumberofDaysTable,4))),0))</f>
        <v xml:space="preserve"> </v>
      </c>
      <c r="AB165" s="306" t="str">
        <f>IF($A165="N/A"," ",IF(U165&lt;&gt;0,IF('Pricing Inputs'!$AN$3=2,8*VLOOKUP($A165,NumberofDaysTable,4),(_xll.xSPRDOPT(N165,$E165,$BU165,0,$BP165,$BS165,$BT165,$A165-Inputs!$D$1,1,1))*(8*VLOOKUP($A165,NumberofDaysTable,4))),0))</f>
        <v xml:space="preserve"> </v>
      </c>
      <c r="AC165" s="306" t="str">
        <f t="shared" si="233"/>
        <v xml:space="preserve"> </v>
      </c>
      <c r="AD165" s="274" t="str">
        <f t="shared" si="291"/>
        <v xml:space="preserve"> </v>
      </c>
      <c r="AE165" s="275" t="str">
        <f t="shared" si="292"/>
        <v xml:space="preserve"> </v>
      </c>
      <c r="AF165" s="275" t="str">
        <f t="shared" si="293"/>
        <v xml:space="preserve"> </v>
      </c>
      <c r="AG165" s="275" t="str">
        <f t="shared" si="294"/>
        <v xml:space="preserve"> </v>
      </c>
      <c r="AH165" s="275" t="str">
        <f t="shared" si="295"/>
        <v xml:space="preserve"> </v>
      </c>
      <c r="AI165" s="275" t="str">
        <f t="shared" si="296"/>
        <v xml:space="preserve"> </v>
      </c>
      <c r="AJ165" s="276" t="str">
        <f t="shared" si="297"/>
        <v xml:space="preserve"> </v>
      </c>
      <c r="AK165" s="314" t="str">
        <f t="shared" si="259"/>
        <v xml:space="preserve"> </v>
      </c>
      <c r="AL165" s="315" t="str">
        <f t="shared" si="260"/>
        <v xml:space="preserve"> </v>
      </c>
      <c r="AM165" s="315" t="str">
        <f t="shared" si="261"/>
        <v xml:space="preserve"> </v>
      </c>
      <c r="AN165" s="315" t="str">
        <f t="shared" si="262"/>
        <v xml:space="preserve"> </v>
      </c>
      <c r="AO165" s="315" t="str">
        <f t="shared" si="263"/>
        <v xml:space="preserve"> </v>
      </c>
      <c r="AP165" s="315" t="str">
        <f t="shared" si="264"/>
        <v xml:space="preserve"> </v>
      </c>
      <c r="AQ165" s="315" t="str">
        <f t="shared" si="265"/>
        <v xml:space="preserve"> </v>
      </c>
      <c r="AR165" s="276"/>
      <c r="AS165" s="321" t="str">
        <f t="shared" si="284"/>
        <v xml:space="preserve"> </v>
      </c>
      <c r="AT165" s="324" t="str">
        <f t="shared" si="285"/>
        <v xml:space="preserve"> </v>
      </c>
      <c r="AU165" s="324" t="str">
        <f t="shared" si="286"/>
        <v xml:space="preserve"> </v>
      </c>
      <c r="AV165" s="324" t="str">
        <f t="shared" si="287"/>
        <v xml:space="preserve"> </v>
      </c>
      <c r="AW165" s="324" t="str">
        <f t="shared" si="288"/>
        <v xml:space="preserve"> </v>
      </c>
      <c r="AX165" s="324" t="str">
        <f t="shared" si="289"/>
        <v xml:space="preserve"> </v>
      </c>
      <c r="AY165" s="324" t="str">
        <f t="shared" si="290"/>
        <v xml:space="preserve"> </v>
      </c>
      <c r="AZ165" s="276"/>
      <c r="BA165" s="267" t="str">
        <f>IF($A165="N/A"," ",(IF(MONTH(A165)&gt;=4,IF(MONTH(A165)&lt;=10,Inputs!$F$13,Inputs!$F$14),Inputs!$F$14))*$BW165)</f>
        <v xml:space="preserve"> </v>
      </c>
      <c r="BB165" s="268" t="str">
        <f t="shared" si="266"/>
        <v xml:space="preserve"> </v>
      </c>
      <c r="BC165" s="268" t="str">
        <f t="shared" si="267"/>
        <v xml:space="preserve"> </v>
      </c>
      <c r="BD165" s="268" t="str">
        <f t="shared" si="234"/>
        <v xml:space="preserve"> </v>
      </c>
      <c r="BE165" s="268" t="str">
        <f t="shared" si="235"/>
        <v xml:space="preserve"> </v>
      </c>
      <c r="BF165" s="268" t="str">
        <f t="shared" si="236"/>
        <v xml:space="preserve"> </v>
      </c>
      <c r="BG165" s="268" t="str">
        <f t="shared" si="237"/>
        <v xml:space="preserve"> </v>
      </c>
      <c r="BH165" s="268" t="str">
        <f t="shared" si="258"/>
        <v xml:space="preserve"> </v>
      </c>
      <c r="BI165" s="268" t="str">
        <f t="shared" si="238"/>
        <v xml:space="preserve"> </v>
      </c>
      <c r="BJ165" s="296" t="str">
        <f t="shared" si="239"/>
        <v xml:space="preserve"> </v>
      </c>
      <c r="BK165" s="296" t="str">
        <f t="shared" si="240"/>
        <v xml:space="preserve"> </v>
      </c>
      <c r="BL165" s="296" t="str">
        <f t="shared" si="241"/>
        <v xml:space="preserve"> </v>
      </c>
      <c r="BM165" s="296" t="str">
        <f t="shared" si="242"/>
        <v xml:space="preserve"> </v>
      </c>
      <c r="BN165" s="405" t="str">
        <f>IF(A165="N/A"," ",(VLOOKUP(A165,PowerVolTable,(IF('Pricing Inputs'!$AT$3=2,7,IF('Pricing Inputs'!$AT$3=1,6,8))),FALSE)))</f>
        <v xml:space="preserve"> </v>
      </c>
      <c r="BO165" s="405" t="str">
        <f>IF(A165="N/A"," ",(VLOOKUP(A165,IntraPowerVol,(IF('Pricing Inputs'!$AT$3=2,3,IF('Pricing Inputs'!$AT$3=1,2,4))),FALSE)*VLOOKUP(MONTH($A165),Inputs!$A$28:$B$39,2)))</f>
        <v xml:space="preserve"> </v>
      </c>
      <c r="BP165" s="406" t="str">
        <f t="shared" si="227"/>
        <v xml:space="preserve"> </v>
      </c>
      <c r="BQ165" s="405" t="str">
        <f>IF($A165="N/A"," ",(VLOOKUP($A165,GasVolTable,(IF('Pricing Inputs'!$AT$3=2,6,IF('Pricing Inputs'!$AT$3=1,7,5))),FALSE)))</f>
        <v xml:space="preserve"> </v>
      </c>
      <c r="BR165" s="405" t="str">
        <f>IF($A165="N/A"," ",(VLOOKUP($A165,OmicronVol,(IF('Pricing Inputs'!$AT$3=2,3,IF('Pricing Inputs'!$AT$3=1,4,2))),FALSE)))</f>
        <v xml:space="preserve"> </v>
      </c>
      <c r="BS165" s="406" t="str">
        <f>IF($A165="N/A"," ",IF('Pricing Inputs'!$AN$3=1,(IF(DateToday&gt;$A165,$BR165,((($BQ165^2)*((($A165-1)-DateToday)/((EOMONTH($A165,0)+1)-DateToday-15)))+((($BR165)^2)*((15)/((EOMONTH($A165,0)+1)-DateToday-15))))^0.5)),0.0001))</f>
        <v xml:space="preserve"> </v>
      </c>
      <c r="BT165" s="405" t="str">
        <f>IF($A165="N/A"," ",IF('Pricing Inputs'!$AN$3=1,(VLOOKUP($A165,CorrelationTable,2,FALSE)),0))</f>
        <v xml:space="preserve"> </v>
      </c>
      <c r="BU165" s="407" t="str">
        <f>IF($A165="N/A"," ",F165+G165+(D165*(VLOOKUP($A165,'Gas Curves'!$B$17:$P$310,14,FALSE))))</f>
        <v xml:space="preserve"> </v>
      </c>
      <c r="BV165" s="405" t="str">
        <f>IF($A165="N/A"," ",IF('Pricing Inputs'!$AW$3=1,0,(VLOOKUP($A165,InterestRatesTable,2))))</f>
        <v xml:space="preserve"> </v>
      </c>
      <c r="BW165" s="408" t="str">
        <f t="shared" si="228"/>
        <v xml:space="preserve"> </v>
      </c>
    </row>
    <row r="166" spans="1:75">
      <c r="A166" s="248" t="str">
        <f>IF(A165="N/A","N/A",IF(EDATE(A165,1)&gt;Inputs!$K$3,"N/A",EDATE(A165,1)))</f>
        <v>N/A</v>
      </c>
      <c r="B166" s="262" t="str">
        <f t="shared" si="229"/>
        <v xml:space="preserve"> </v>
      </c>
      <c r="C166" s="249" t="str">
        <f t="shared" si="230"/>
        <v xml:space="preserve"> </v>
      </c>
      <c r="D166" s="250" t="str">
        <f>IF(A166="N/A"," ",(VLOOKUP(MONTH($A166),Inputs!$A$14:$B$25,2))/1000)</f>
        <v xml:space="preserve"> </v>
      </c>
      <c r="E166" s="304" t="str">
        <f t="shared" si="231"/>
        <v xml:space="preserve"> </v>
      </c>
      <c r="F166" s="251" t="str">
        <f>IF(A166="N/A"," ",Inputs!$F$6)</f>
        <v xml:space="preserve"> </v>
      </c>
      <c r="G166" s="251" t="str">
        <f>IF(A166="N/A"," ",Inputs!$F$9/IF(AND('Pricing Inputs'!$AQ$3&gt;=4,'Pricing Inputs'!$AQ$3&lt;=6),16,IF(AND('Pricing Inputs'!$AQ$3&gt;=7,'Pricing Inputs'!$AQ$3&lt;=9),8,24))/(BA166/BW166))</f>
        <v xml:space="preserve"> </v>
      </c>
      <c r="H166" s="252" t="str">
        <f t="shared" si="232"/>
        <v xml:space="preserve"> </v>
      </c>
      <c r="I166" s="255" t="str">
        <f>VLOOKUP(A166,ScaledPrice,(IF(AND('Pricing Inputs'!$AQ$3&gt;=1,'Pricing Inputs'!$AQ$3&lt;=6),2,4)))</f>
        <v xml:space="preserve"> </v>
      </c>
      <c r="J166" s="255" t="str">
        <f>IF(A166="N/A"," ",IF(AND('Pricing Inputs'!$AQ$3&gt;=1,'Pricing Inputs'!$AQ$3&lt;=6),I166,(VLOOKUP(A166,ScaledPrice,2))*(2-(VLOOKUP(A166,ScaledPrice,3)))))</f>
        <v xml:space="preserve"> </v>
      </c>
      <c r="K166" s="255" t="str">
        <f>IF(A166="N/A"," ",IF(OR('Pricing Inputs'!$AQ$3=2,'Pricing Inputs'!$AQ$3=3,'Pricing Inputs'!$AQ$3=5,'Pricing Inputs'!$AQ$3=6,'Pricing Inputs'!$AQ$3=8,'Pricing Inputs'!$AQ$3=9),VLOOKUP(A166,ScaledPrice,IF(AND('Pricing Inputs'!$AQ$3&gt;=2,'Pricing Inputs'!$AQ$3&lt;=6),5,6)),0))</f>
        <v xml:space="preserve"> </v>
      </c>
      <c r="L166" s="255" t="str">
        <f>IF(A166="N/A"," ",IF(OR('Pricing Inputs'!$AQ$3=2,'Pricing Inputs'!$AQ$3=3,'Pricing Inputs'!$AQ$3=5,'Pricing Inputs'!$AQ$3=6,'Pricing Inputs'!$AQ$3=8,'Pricing Inputs'!$AQ$3=9),IF(AND('Pricing Inputs'!$AQ$3&gt;=2,'Pricing Inputs'!$AQ$3&lt;=6),K166,(VLOOKUP(A166,ScaledPrice,5))*(2-(VLOOKUP(A166,ScaledPrice,3)))),0))</f>
        <v xml:space="preserve"> </v>
      </c>
      <c r="M166" s="255" t="str">
        <f>IF(A166="N/A"," ",IF(OR('Pricing Inputs'!$AQ$3=3,'Pricing Inputs'!$AQ$3=6,'Pricing Inputs'!$AQ$3=9),(VLOOKUP(A166,ScaledPrice,IF(AND('Pricing Inputs'!$AQ$3&gt;=3,'Pricing Inputs'!$AQ$3&lt;=6),7,8))),0))</f>
        <v xml:space="preserve"> </v>
      </c>
      <c r="N166" s="255" t="str">
        <f>IF(A166="N/A"," ",IF(OR('Pricing Inputs'!$AQ$3=3,'Pricing Inputs'!$AQ$3=6,'Pricing Inputs'!$AQ$3=9),IF(AND('Pricing Inputs'!$AQ$3&gt;=3,'Pricing Inputs'!$AQ$3&lt;=6),M166,(VLOOKUP(A166,ScaledPrice,7))*(2-(VLOOKUP(A166,ScaledPrice,3)))),0))</f>
        <v xml:space="preserve"> </v>
      </c>
      <c r="O166" s="255" t="str">
        <f>IF(A166="N/A"," ",IF(AND('Pricing Inputs'!$AQ$3&gt;=1,'Pricing Inputs'!$AQ$3&lt;=3),VLOOKUP(A166,ScaledPrice,9),0))</f>
        <v xml:space="preserve"> </v>
      </c>
      <c r="P166" s="320" t="str">
        <f>IF($A166="N/A"," ",IF('Pricing Inputs'!$AN$8=2,(I166-H166),IF('Pricing Inputs'!$AN$3=2,IF((I166-$H166)&gt;0,I166-$H166,0),(_xll.xSPRDOPT(I166,$E166,$BU166,0,$BP166,$BS166,$BT166,($A166-Inputs!$D$1)+15,1,0)))))</f>
        <v xml:space="preserve"> </v>
      </c>
      <c r="Q166" s="320" t="str">
        <f>IF($A166="N/A"," ",IF('Pricing Inputs'!$AN$8=2,(J166-$H166),IF('Pricing Inputs'!$AN$3=2,IF((J166-$H166)&gt;0,J166-$H166,0),(_xll.xSPRDOPT(J166,$E166,$BU166,0,$BP166,$BS166,$BT166,($A166-Inputs!$D$1)+15,1,0)))))</f>
        <v xml:space="preserve"> </v>
      </c>
      <c r="R166" s="320" t="str">
        <f>IF($A166="N/A"," ",IF('Pricing Inputs'!$AN$8=2,(K166-$H166),IF('Pricing Inputs'!$AN$3=2,IF((K166-$H166)&gt;0,K166-$H166,0),(_xll.xSPRDOPT(K166,$E166,$BU166,0,$BP166,$BS166,$BT166,($A166-Inputs!$D$1)+15,1,0)))))</f>
        <v xml:space="preserve"> </v>
      </c>
      <c r="S166" s="320" t="str">
        <f>IF($A166="N/A"," ",IF('Pricing Inputs'!$AN$8=2,(L166-$H166),IF('Pricing Inputs'!$AN$3=2,IF((L166-$H166)&gt;0,L166-$H166,0),(_xll.xSPRDOPT(L166,$E166,$BU166,0,$BP166,$BS166,$BT166,($A166-Inputs!$D$1)+15,1,0)))))</f>
        <v xml:space="preserve"> </v>
      </c>
      <c r="T166" s="320" t="str">
        <f>IF($A166="N/A"," ",IF('Pricing Inputs'!$AN$8=2,(M166-$H166),IF('Pricing Inputs'!$AN$3=2,IF((M166-$H166)&gt;0,M166-$H166,0),(_xll.xSPRDOPT(M166,$E166,$BU166,0,$BP166,$BS166,$BT166,($A166-Inputs!$D$1)+15,1,0)))))</f>
        <v xml:space="preserve"> </v>
      </c>
      <c r="U166" s="320" t="str">
        <f>IF($A166="N/A"," ",IF('Pricing Inputs'!$AN$8=2,(N166-$H166),IF('Pricing Inputs'!$AN$3=2,IF((N166-$H166)&gt;0,N166-$H166,0),(_xll.xSPRDOPT(N166,$E166,$BU166,0,$BP166,$BS166,$BT166,($A166-Inputs!$D$1)+15,1,0)))))</f>
        <v xml:space="preserve"> </v>
      </c>
      <c r="V166" s="259" t="str">
        <f>IF($A166="N/A"," ",(IF('Pricing Inputs'!$AN$8=2,(O166-$H166),IF((O166-$H166)&lt;=0,0,(O166-$H166)))))</f>
        <v xml:space="preserve"> </v>
      </c>
      <c r="W166" s="306" t="str">
        <f>IF($A166="N/A"," ",IF(0&lt;&gt;P166,IF('Pricing Inputs'!$AN$3=2,8*VLOOKUP($A166,NumberofDaysTable,2),(_xll.xSPRDOPT(I166,$E166,$BU166,0,$BP166,$BS166,$BT166,$A166-Inputs!$D$1,1,1))*(8*VLOOKUP($A166,NumberofDaysTable,2))),0))</f>
        <v xml:space="preserve"> </v>
      </c>
      <c r="X166" s="306" t="str">
        <f>IF($A166="N/A"," ",IF(Q166&lt;&gt;0,IF('Pricing Inputs'!$AN$3=2,8*VLOOKUP($A166,NumberofDaysTable,2),(_xll.xSPRDOPT(J166,$E166,$BU166,0,$BP166,$BS166,$BT166,$A166-Inputs!$D$1,1,1))*(8*VLOOKUP($A166,NumberofDaysTable,2))),0))</f>
        <v xml:space="preserve"> </v>
      </c>
      <c r="Y166" s="306" t="str">
        <f>IF($A166="N/A"," ",IF(R166&lt;&gt;0,IF('Pricing Inputs'!$AN$3=2,8*VLOOKUP($A166,NumberofDaysTable,3),(_xll.xSPRDOPT(K166,$E166,$BU166,0,$BP166,$BS166,$BT166,$A166-Inputs!$D$1,1,1))*(8*VLOOKUP($A166,NumberofDaysTable,3))),0))</f>
        <v xml:space="preserve"> </v>
      </c>
      <c r="Z166" s="306" t="str">
        <f>IF($A166="N/A"," ",IF(S166&lt;&gt;0,IF('Pricing Inputs'!$AN$3=2,8*VLOOKUP($A166,NumberofDaysTable,3),(_xll.xSPRDOPT(L166,$E166,$BU166,0,$BP166,$BS166,$BT166,$A166-Inputs!$D$1,1,1))*(8*VLOOKUP($A166,NumberofDaysTable,3))),0))</f>
        <v xml:space="preserve"> </v>
      </c>
      <c r="AA166" s="306" t="str">
        <f>IF($A166="N/A"," ",IF(T166&lt;&gt;0,IF('Pricing Inputs'!$AN$3=2,8*VLOOKUP($A166,NumberofDaysTable,4),(_xll.xSPRDOPT(M166,$E166,$BU166,0,$BP166,$BS166,$BT166,$A166-Inputs!$D$1,1,1))*(8*VLOOKUP($A166,NumberofDaysTable,4))),0))</f>
        <v xml:space="preserve"> </v>
      </c>
      <c r="AB166" s="306" t="str">
        <f>IF($A166="N/A"," ",IF(U166&lt;&gt;0,IF('Pricing Inputs'!$AN$3=2,8*VLOOKUP($A166,NumberofDaysTable,4),(_xll.xSPRDOPT(N166,$E166,$BU166,0,$BP166,$BS166,$BT166,$A166-Inputs!$D$1,1,1))*(8*VLOOKUP($A166,NumberofDaysTable,4))),0))</f>
        <v xml:space="preserve"> </v>
      </c>
      <c r="AC166" s="306" t="str">
        <f t="shared" si="233"/>
        <v xml:space="preserve"> </v>
      </c>
      <c r="AD166" s="274" t="str">
        <f t="shared" si="291"/>
        <v xml:space="preserve"> </v>
      </c>
      <c r="AE166" s="275" t="str">
        <f t="shared" si="292"/>
        <v xml:space="preserve"> </v>
      </c>
      <c r="AF166" s="275" t="str">
        <f t="shared" si="293"/>
        <v xml:space="preserve"> </v>
      </c>
      <c r="AG166" s="275" t="str">
        <f t="shared" si="294"/>
        <v xml:space="preserve"> </v>
      </c>
      <c r="AH166" s="275" t="str">
        <f t="shared" si="295"/>
        <v xml:space="preserve"> </v>
      </c>
      <c r="AI166" s="275" t="str">
        <f t="shared" si="296"/>
        <v xml:space="preserve"> </v>
      </c>
      <c r="AJ166" s="276" t="str">
        <f t="shared" si="297"/>
        <v xml:space="preserve"> </v>
      </c>
      <c r="AK166" s="314" t="str">
        <f t="shared" si="259"/>
        <v xml:space="preserve"> </v>
      </c>
      <c r="AL166" s="315" t="str">
        <f t="shared" si="260"/>
        <v xml:space="preserve"> </v>
      </c>
      <c r="AM166" s="315" t="str">
        <f t="shared" si="261"/>
        <v xml:space="preserve"> </v>
      </c>
      <c r="AN166" s="315" t="str">
        <f t="shared" si="262"/>
        <v xml:space="preserve"> </v>
      </c>
      <c r="AO166" s="315" t="str">
        <f t="shared" si="263"/>
        <v xml:space="preserve"> </v>
      </c>
      <c r="AP166" s="315" t="str">
        <f t="shared" si="264"/>
        <v xml:space="preserve"> </v>
      </c>
      <c r="AQ166" s="315" t="str">
        <f t="shared" si="265"/>
        <v xml:space="preserve"> </v>
      </c>
      <c r="AR166" s="276"/>
      <c r="AS166" s="321" t="str">
        <f t="shared" si="284"/>
        <v xml:space="preserve"> </v>
      </c>
      <c r="AT166" s="324" t="str">
        <f t="shared" si="285"/>
        <v xml:space="preserve"> </v>
      </c>
      <c r="AU166" s="324" t="str">
        <f t="shared" si="286"/>
        <v xml:space="preserve"> </v>
      </c>
      <c r="AV166" s="324" t="str">
        <f t="shared" si="287"/>
        <v xml:space="preserve"> </v>
      </c>
      <c r="AW166" s="324" t="str">
        <f t="shared" si="288"/>
        <v xml:space="preserve"> </v>
      </c>
      <c r="AX166" s="324" t="str">
        <f t="shared" si="289"/>
        <v xml:space="preserve"> </v>
      </c>
      <c r="AY166" s="324" t="str">
        <f t="shared" si="290"/>
        <v xml:space="preserve"> </v>
      </c>
      <c r="AZ166" s="276"/>
      <c r="BA166" s="267" t="str">
        <f>IF($A166="N/A"," ",(IF(MONTH(A166)&gt;=4,IF(MONTH(A166)&lt;=10,Inputs!$F$13,Inputs!$F$14),Inputs!$F$14))*$BW166)</f>
        <v xml:space="preserve"> </v>
      </c>
      <c r="BB166" s="268" t="str">
        <f t="shared" si="266"/>
        <v xml:space="preserve"> </v>
      </c>
      <c r="BC166" s="268" t="str">
        <f t="shared" si="267"/>
        <v xml:space="preserve"> </v>
      </c>
      <c r="BD166" s="268" t="str">
        <f t="shared" si="234"/>
        <v xml:space="preserve"> </v>
      </c>
      <c r="BE166" s="268" t="str">
        <f t="shared" si="235"/>
        <v xml:space="preserve"> </v>
      </c>
      <c r="BF166" s="268" t="str">
        <f t="shared" si="236"/>
        <v xml:space="preserve"> </v>
      </c>
      <c r="BG166" s="268" t="str">
        <f t="shared" si="237"/>
        <v xml:space="preserve"> </v>
      </c>
      <c r="BH166" s="268" t="str">
        <f t="shared" si="258"/>
        <v xml:space="preserve"> </v>
      </c>
      <c r="BI166" s="268" t="str">
        <f t="shared" si="238"/>
        <v xml:space="preserve"> </v>
      </c>
      <c r="BJ166" s="296" t="str">
        <f t="shared" si="239"/>
        <v xml:space="preserve"> </v>
      </c>
      <c r="BK166" s="296" t="str">
        <f t="shared" si="240"/>
        <v xml:space="preserve"> </v>
      </c>
      <c r="BL166" s="296" t="str">
        <f t="shared" si="241"/>
        <v xml:space="preserve"> </v>
      </c>
      <c r="BM166" s="296" t="str">
        <f t="shared" si="242"/>
        <v xml:space="preserve"> </v>
      </c>
      <c r="BN166" s="405" t="str">
        <f>IF(A166="N/A"," ",(VLOOKUP(A166,PowerVolTable,(IF('Pricing Inputs'!$AT$3=2,7,IF('Pricing Inputs'!$AT$3=1,6,8))),FALSE)))</f>
        <v xml:space="preserve"> </v>
      </c>
      <c r="BO166" s="405" t="str">
        <f>IF(A166="N/A"," ",(VLOOKUP(A166,IntraPowerVol,(IF('Pricing Inputs'!$AT$3=2,3,IF('Pricing Inputs'!$AT$3=1,2,4))),FALSE)*VLOOKUP(MONTH($A166),Inputs!$A$28:$B$39,2)))</f>
        <v xml:space="preserve"> </v>
      </c>
      <c r="BP166" s="406" t="str">
        <f t="shared" si="227"/>
        <v xml:space="preserve"> </v>
      </c>
      <c r="BQ166" s="405" t="str">
        <f>IF($A166="N/A"," ",(VLOOKUP($A166,GasVolTable,(IF('Pricing Inputs'!$AT$3=2,6,IF('Pricing Inputs'!$AT$3=1,7,5))),FALSE)))</f>
        <v xml:space="preserve"> </v>
      </c>
      <c r="BR166" s="405" t="str">
        <f>IF($A166="N/A"," ",(VLOOKUP($A166,OmicronVol,(IF('Pricing Inputs'!$AT$3=2,3,IF('Pricing Inputs'!$AT$3=1,4,2))),FALSE)))</f>
        <v xml:space="preserve"> </v>
      </c>
      <c r="BS166" s="406" t="str">
        <f>IF($A166="N/A"," ",IF('Pricing Inputs'!$AN$3=1,(IF(DateToday&gt;$A166,$BR166,((($BQ166^2)*((($A166-1)-DateToday)/((EOMONTH($A166,0)+1)-DateToday-15)))+((($BR166)^2)*((15)/((EOMONTH($A166,0)+1)-DateToday-15))))^0.5)),0.0001))</f>
        <v xml:space="preserve"> </v>
      </c>
      <c r="BT166" s="405" t="str">
        <f>IF($A166="N/A"," ",IF('Pricing Inputs'!$AN$3=1,(VLOOKUP($A166,CorrelationTable,2,FALSE)),0))</f>
        <v xml:space="preserve"> </v>
      </c>
      <c r="BU166" s="407" t="str">
        <f>IF($A166="N/A"," ",F166+G166+(D166*(VLOOKUP($A166,'Gas Curves'!$B$17:$P$310,14,FALSE))))</f>
        <v xml:space="preserve"> </v>
      </c>
      <c r="BV166" s="405" t="str">
        <f>IF($A166="N/A"," ",IF('Pricing Inputs'!$AW$3=1,0,(VLOOKUP($A166,InterestRatesTable,2))))</f>
        <v xml:space="preserve"> </v>
      </c>
      <c r="BW166" s="408" t="str">
        <f t="shared" si="228"/>
        <v xml:space="preserve"> </v>
      </c>
    </row>
    <row r="167" spans="1:75">
      <c r="A167" s="248" t="str">
        <f>IF(A166="N/A","N/A",IF(EDATE(A166,1)&gt;Inputs!$K$3,"N/A",EDATE(A166,1)))</f>
        <v>N/A</v>
      </c>
      <c r="B167" s="262" t="str">
        <f t="shared" si="229"/>
        <v xml:space="preserve"> </v>
      </c>
      <c r="C167" s="249" t="str">
        <f t="shared" si="230"/>
        <v xml:space="preserve"> </v>
      </c>
      <c r="D167" s="250" t="str">
        <f>IF(A167="N/A"," ",(VLOOKUP(MONTH($A167),Inputs!$A$14:$B$25,2))/1000)</f>
        <v xml:space="preserve"> </v>
      </c>
      <c r="E167" s="304" t="str">
        <f t="shared" si="231"/>
        <v xml:space="preserve"> </v>
      </c>
      <c r="F167" s="251" t="str">
        <f>IF(A167="N/A"," ",Inputs!$F$6)</f>
        <v xml:space="preserve"> </v>
      </c>
      <c r="G167" s="251" t="str">
        <f>IF(A167="N/A"," ",Inputs!$F$9/IF(AND('Pricing Inputs'!$AQ$3&gt;=4,'Pricing Inputs'!$AQ$3&lt;=6),16,IF(AND('Pricing Inputs'!$AQ$3&gt;=7,'Pricing Inputs'!$AQ$3&lt;=9),8,24))/(BA167/BW167))</f>
        <v xml:space="preserve"> </v>
      </c>
      <c r="H167" s="252" t="str">
        <f t="shared" si="232"/>
        <v xml:space="preserve"> </v>
      </c>
      <c r="I167" s="255" t="str">
        <f>VLOOKUP(A167,ScaledPrice,(IF(AND('Pricing Inputs'!$AQ$3&gt;=1,'Pricing Inputs'!$AQ$3&lt;=6),2,4)))</f>
        <v xml:space="preserve"> </v>
      </c>
      <c r="J167" s="255" t="str">
        <f>IF(A167="N/A"," ",IF(AND('Pricing Inputs'!$AQ$3&gt;=1,'Pricing Inputs'!$AQ$3&lt;=6),I167,(VLOOKUP(A167,ScaledPrice,2))*(2-(VLOOKUP(A167,ScaledPrice,3)))))</f>
        <v xml:space="preserve"> </v>
      </c>
      <c r="K167" s="255" t="str">
        <f>IF(A167="N/A"," ",IF(OR('Pricing Inputs'!$AQ$3=2,'Pricing Inputs'!$AQ$3=3,'Pricing Inputs'!$AQ$3=5,'Pricing Inputs'!$AQ$3=6,'Pricing Inputs'!$AQ$3=8,'Pricing Inputs'!$AQ$3=9),VLOOKUP(A167,ScaledPrice,IF(AND('Pricing Inputs'!$AQ$3&gt;=2,'Pricing Inputs'!$AQ$3&lt;=6),5,6)),0))</f>
        <v xml:space="preserve"> </v>
      </c>
      <c r="L167" s="255" t="str">
        <f>IF(A167="N/A"," ",IF(OR('Pricing Inputs'!$AQ$3=2,'Pricing Inputs'!$AQ$3=3,'Pricing Inputs'!$AQ$3=5,'Pricing Inputs'!$AQ$3=6,'Pricing Inputs'!$AQ$3=8,'Pricing Inputs'!$AQ$3=9),IF(AND('Pricing Inputs'!$AQ$3&gt;=2,'Pricing Inputs'!$AQ$3&lt;=6),K167,(VLOOKUP(A167,ScaledPrice,5))*(2-(VLOOKUP(A167,ScaledPrice,3)))),0))</f>
        <v xml:space="preserve"> </v>
      </c>
      <c r="M167" s="255" t="str">
        <f>IF(A167="N/A"," ",IF(OR('Pricing Inputs'!$AQ$3=3,'Pricing Inputs'!$AQ$3=6,'Pricing Inputs'!$AQ$3=9),(VLOOKUP(A167,ScaledPrice,IF(AND('Pricing Inputs'!$AQ$3&gt;=3,'Pricing Inputs'!$AQ$3&lt;=6),7,8))),0))</f>
        <v xml:space="preserve"> </v>
      </c>
      <c r="N167" s="255" t="str">
        <f>IF(A167="N/A"," ",IF(OR('Pricing Inputs'!$AQ$3=3,'Pricing Inputs'!$AQ$3=6,'Pricing Inputs'!$AQ$3=9),IF(AND('Pricing Inputs'!$AQ$3&gt;=3,'Pricing Inputs'!$AQ$3&lt;=6),M167,(VLOOKUP(A167,ScaledPrice,7))*(2-(VLOOKUP(A167,ScaledPrice,3)))),0))</f>
        <v xml:space="preserve"> </v>
      </c>
      <c r="O167" s="255" t="str">
        <f>IF(A167="N/A"," ",IF(AND('Pricing Inputs'!$AQ$3&gt;=1,'Pricing Inputs'!$AQ$3&lt;=3),VLOOKUP(A167,ScaledPrice,9),0))</f>
        <v xml:space="preserve"> </v>
      </c>
      <c r="P167" s="320" t="str">
        <f>IF($A167="N/A"," ",IF('Pricing Inputs'!$AN$8=2,(I167-H167),IF('Pricing Inputs'!$AN$3=2,IF((I167-$H167)&gt;0,I167-$H167,0),(_xll.xSPRDOPT(I167,$E167,$BU167,0,$BP167,$BS167,$BT167,($A167-Inputs!$D$1)+15,1,0)))))</f>
        <v xml:space="preserve"> </v>
      </c>
      <c r="Q167" s="320" t="str">
        <f>IF($A167="N/A"," ",IF('Pricing Inputs'!$AN$8=2,(J167-$H167),IF('Pricing Inputs'!$AN$3=2,IF((J167-$H167)&gt;0,J167-$H167,0),(_xll.xSPRDOPT(J167,$E167,$BU167,0,$BP167,$BS167,$BT167,($A167-Inputs!$D$1)+15,1,0)))))</f>
        <v xml:space="preserve"> </v>
      </c>
      <c r="R167" s="320" t="str">
        <f>IF($A167="N/A"," ",IF('Pricing Inputs'!$AN$8=2,(K167-$H167),IF('Pricing Inputs'!$AN$3=2,IF((K167-$H167)&gt;0,K167-$H167,0),(_xll.xSPRDOPT(K167,$E167,$BU167,0,$BP167,$BS167,$BT167,($A167-Inputs!$D$1)+15,1,0)))))</f>
        <v xml:space="preserve"> </v>
      </c>
      <c r="S167" s="320" t="str">
        <f>IF($A167="N/A"," ",IF('Pricing Inputs'!$AN$8=2,(L167-$H167),IF('Pricing Inputs'!$AN$3=2,IF((L167-$H167)&gt;0,L167-$H167,0),(_xll.xSPRDOPT(L167,$E167,$BU167,0,$BP167,$BS167,$BT167,($A167-Inputs!$D$1)+15,1,0)))))</f>
        <v xml:space="preserve"> </v>
      </c>
      <c r="T167" s="320" t="str">
        <f>IF($A167="N/A"," ",IF('Pricing Inputs'!$AN$8=2,(M167-$H167),IF('Pricing Inputs'!$AN$3=2,IF((M167-$H167)&gt;0,M167-$H167,0),(_xll.xSPRDOPT(M167,$E167,$BU167,0,$BP167,$BS167,$BT167,($A167-Inputs!$D$1)+15,1,0)))))</f>
        <v xml:space="preserve"> </v>
      </c>
      <c r="U167" s="320" t="str">
        <f>IF($A167="N/A"," ",IF('Pricing Inputs'!$AN$8=2,(N167-$H167),IF('Pricing Inputs'!$AN$3=2,IF((N167-$H167)&gt;0,N167-$H167,0),(_xll.xSPRDOPT(N167,$E167,$BU167,0,$BP167,$BS167,$BT167,($A167-Inputs!$D$1)+15,1,0)))))</f>
        <v xml:space="preserve"> </v>
      </c>
      <c r="V167" s="259" t="str">
        <f>IF($A167="N/A"," ",(IF('Pricing Inputs'!$AN$8=2,(O167-$H167),IF((O167-$H167)&lt;=0,0,(O167-$H167)))))</f>
        <v xml:space="preserve"> </v>
      </c>
      <c r="W167" s="306" t="str">
        <f>IF($A167="N/A"," ",IF(0&lt;&gt;P167,IF('Pricing Inputs'!$AN$3=2,8*VLOOKUP($A167,NumberofDaysTable,2),(_xll.xSPRDOPT(I167,$E167,$BU167,0,$BP167,$BS167,$BT167,$A167-Inputs!$D$1,1,1))*(8*VLOOKUP($A167,NumberofDaysTable,2))),0))</f>
        <v xml:space="preserve"> </v>
      </c>
      <c r="X167" s="306" t="str">
        <f>IF($A167="N/A"," ",IF(Q167&lt;&gt;0,IF('Pricing Inputs'!$AN$3=2,8*VLOOKUP($A167,NumberofDaysTable,2),(_xll.xSPRDOPT(J167,$E167,$BU167,0,$BP167,$BS167,$BT167,$A167-Inputs!$D$1,1,1))*(8*VLOOKUP($A167,NumberofDaysTable,2))),0))</f>
        <v xml:space="preserve"> </v>
      </c>
      <c r="Y167" s="306" t="str">
        <f>IF($A167="N/A"," ",IF(R167&lt;&gt;0,IF('Pricing Inputs'!$AN$3=2,8*VLOOKUP($A167,NumberofDaysTable,3),(_xll.xSPRDOPT(K167,$E167,$BU167,0,$BP167,$BS167,$BT167,$A167-Inputs!$D$1,1,1))*(8*VLOOKUP($A167,NumberofDaysTable,3))),0))</f>
        <v xml:space="preserve"> </v>
      </c>
      <c r="Z167" s="306" t="str">
        <f>IF($A167="N/A"," ",IF(S167&lt;&gt;0,IF('Pricing Inputs'!$AN$3=2,8*VLOOKUP($A167,NumberofDaysTable,3),(_xll.xSPRDOPT(L167,$E167,$BU167,0,$BP167,$BS167,$BT167,$A167-Inputs!$D$1,1,1))*(8*VLOOKUP($A167,NumberofDaysTable,3))),0))</f>
        <v xml:space="preserve"> </v>
      </c>
      <c r="AA167" s="306" t="str">
        <f>IF($A167="N/A"," ",IF(T167&lt;&gt;0,IF('Pricing Inputs'!$AN$3=2,8*VLOOKUP($A167,NumberofDaysTable,4),(_xll.xSPRDOPT(M167,$E167,$BU167,0,$BP167,$BS167,$BT167,$A167-Inputs!$D$1,1,1))*(8*VLOOKUP($A167,NumberofDaysTable,4))),0))</f>
        <v xml:space="preserve"> </v>
      </c>
      <c r="AB167" s="306" t="str">
        <f>IF($A167="N/A"," ",IF(U167&lt;&gt;0,IF('Pricing Inputs'!$AN$3=2,8*VLOOKUP($A167,NumberofDaysTable,4),(_xll.xSPRDOPT(N167,$E167,$BU167,0,$BP167,$BS167,$BT167,$A167-Inputs!$D$1,1,1))*(8*VLOOKUP($A167,NumberofDaysTable,4))),0))</f>
        <v xml:space="preserve"> </v>
      </c>
      <c r="AC167" s="306" t="str">
        <f t="shared" si="233"/>
        <v xml:space="preserve"> </v>
      </c>
      <c r="AD167" s="274" t="str">
        <f t="shared" si="291"/>
        <v xml:space="preserve"> </v>
      </c>
      <c r="AE167" s="275" t="str">
        <f t="shared" si="292"/>
        <v xml:space="preserve"> </v>
      </c>
      <c r="AF167" s="275" t="str">
        <f t="shared" si="293"/>
        <v xml:space="preserve"> </v>
      </c>
      <c r="AG167" s="275" t="str">
        <f t="shared" si="294"/>
        <v xml:space="preserve"> </v>
      </c>
      <c r="AH167" s="275" t="str">
        <f t="shared" si="295"/>
        <v xml:space="preserve"> </v>
      </c>
      <c r="AI167" s="275" t="str">
        <f t="shared" si="296"/>
        <v xml:space="preserve"> </v>
      </c>
      <c r="AJ167" s="276" t="str">
        <f t="shared" si="297"/>
        <v xml:space="preserve"> </v>
      </c>
      <c r="AK167" s="314" t="str">
        <f t="shared" si="259"/>
        <v xml:space="preserve"> </v>
      </c>
      <c r="AL167" s="315" t="str">
        <f t="shared" si="260"/>
        <v xml:space="preserve"> </v>
      </c>
      <c r="AM167" s="315" t="str">
        <f t="shared" si="261"/>
        <v xml:space="preserve"> </v>
      </c>
      <c r="AN167" s="315" t="str">
        <f t="shared" si="262"/>
        <v xml:space="preserve"> </v>
      </c>
      <c r="AO167" s="315" t="str">
        <f t="shared" si="263"/>
        <v xml:space="preserve"> </v>
      </c>
      <c r="AP167" s="315" t="str">
        <f t="shared" si="264"/>
        <v xml:space="preserve"> </v>
      </c>
      <c r="AQ167" s="315" t="str">
        <f t="shared" si="265"/>
        <v xml:space="preserve"> </v>
      </c>
      <c r="AR167" s="276"/>
      <c r="AS167" s="321" t="str">
        <f t="shared" si="284"/>
        <v xml:space="preserve"> </v>
      </c>
      <c r="AT167" s="324" t="str">
        <f t="shared" si="285"/>
        <v xml:space="preserve"> </v>
      </c>
      <c r="AU167" s="324" t="str">
        <f t="shared" si="286"/>
        <v xml:space="preserve"> </v>
      </c>
      <c r="AV167" s="324" t="str">
        <f t="shared" si="287"/>
        <v xml:space="preserve"> </v>
      </c>
      <c r="AW167" s="324" t="str">
        <f t="shared" si="288"/>
        <v xml:space="preserve"> </v>
      </c>
      <c r="AX167" s="324" t="str">
        <f t="shared" si="289"/>
        <v xml:space="preserve"> </v>
      </c>
      <c r="AY167" s="324" t="str">
        <f t="shared" si="290"/>
        <v xml:space="preserve"> </v>
      </c>
      <c r="AZ167" s="276"/>
      <c r="BA167" s="267" t="str">
        <f>IF($A167="N/A"," ",(IF(MONTH(A167)&gt;=4,IF(MONTH(A167)&lt;=10,Inputs!$F$13,Inputs!$F$14),Inputs!$F$14))*$BW167)</f>
        <v xml:space="preserve"> </v>
      </c>
      <c r="BB167" s="268" t="str">
        <f t="shared" si="266"/>
        <v xml:space="preserve"> </v>
      </c>
      <c r="BC167" s="268" t="str">
        <f t="shared" si="267"/>
        <v xml:space="preserve"> </v>
      </c>
      <c r="BD167" s="268" t="str">
        <f t="shared" si="234"/>
        <v xml:space="preserve"> </v>
      </c>
      <c r="BE167" s="268" t="str">
        <f t="shared" si="235"/>
        <v xml:space="preserve"> </v>
      </c>
      <c r="BF167" s="268" t="str">
        <f t="shared" si="236"/>
        <v xml:space="preserve"> </v>
      </c>
      <c r="BG167" s="268" t="str">
        <f t="shared" si="237"/>
        <v xml:space="preserve"> </v>
      </c>
      <c r="BH167" s="268" t="str">
        <f t="shared" si="258"/>
        <v xml:space="preserve"> </v>
      </c>
      <c r="BI167" s="268" t="str">
        <f t="shared" si="238"/>
        <v xml:space="preserve"> </v>
      </c>
      <c r="BJ167" s="296" t="str">
        <f t="shared" si="239"/>
        <v xml:space="preserve"> </v>
      </c>
      <c r="BK167" s="296" t="str">
        <f t="shared" si="240"/>
        <v xml:space="preserve"> </v>
      </c>
      <c r="BL167" s="296" t="str">
        <f t="shared" si="241"/>
        <v xml:space="preserve"> </v>
      </c>
      <c r="BM167" s="296" t="str">
        <f t="shared" si="242"/>
        <v xml:space="preserve"> </v>
      </c>
      <c r="BN167" s="405" t="str">
        <f>IF(A167="N/A"," ",(VLOOKUP(A167,PowerVolTable,(IF('Pricing Inputs'!$AT$3=2,7,IF('Pricing Inputs'!$AT$3=1,6,8))),FALSE)))</f>
        <v xml:space="preserve"> </v>
      </c>
      <c r="BO167" s="405" t="str">
        <f>IF(A167="N/A"," ",(VLOOKUP(A167,IntraPowerVol,(IF('Pricing Inputs'!$AT$3=2,3,IF('Pricing Inputs'!$AT$3=1,2,4))),FALSE)*VLOOKUP(MONTH($A167),Inputs!$A$28:$B$39,2)))</f>
        <v xml:space="preserve"> </v>
      </c>
      <c r="BP167" s="406" t="str">
        <f t="shared" si="227"/>
        <v xml:space="preserve"> </v>
      </c>
      <c r="BQ167" s="405" t="str">
        <f>IF($A167="N/A"," ",(VLOOKUP($A167,GasVolTable,(IF('Pricing Inputs'!$AT$3=2,6,IF('Pricing Inputs'!$AT$3=1,7,5))),FALSE)))</f>
        <v xml:space="preserve"> </v>
      </c>
      <c r="BR167" s="405" t="str">
        <f>IF($A167="N/A"," ",(VLOOKUP($A167,OmicronVol,(IF('Pricing Inputs'!$AT$3=2,3,IF('Pricing Inputs'!$AT$3=1,4,2))),FALSE)))</f>
        <v xml:space="preserve"> </v>
      </c>
      <c r="BS167" s="406" t="str">
        <f>IF($A167="N/A"," ",IF('Pricing Inputs'!$AN$3=1,(IF(DateToday&gt;$A167,$BR167,((($BQ167^2)*((($A167-1)-DateToday)/((EOMONTH($A167,0)+1)-DateToday-15)))+((($BR167)^2)*((15)/((EOMONTH($A167,0)+1)-DateToday-15))))^0.5)),0.0001))</f>
        <v xml:space="preserve"> </v>
      </c>
      <c r="BT167" s="405" t="str">
        <f>IF($A167="N/A"," ",IF('Pricing Inputs'!$AN$3=1,(VLOOKUP($A167,CorrelationTable,2,FALSE)),0))</f>
        <v xml:space="preserve"> </v>
      </c>
      <c r="BU167" s="407" t="str">
        <f>IF($A167="N/A"," ",F167+G167+(D167*(VLOOKUP($A167,'Gas Curves'!$B$17:$P$310,14,FALSE))))</f>
        <v xml:space="preserve"> </v>
      </c>
      <c r="BV167" s="405" t="str">
        <f>IF($A167="N/A"," ",IF('Pricing Inputs'!$AW$3=1,0,(VLOOKUP($A167,InterestRatesTable,2))))</f>
        <v xml:space="preserve"> </v>
      </c>
      <c r="BW167" s="408" t="str">
        <f t="shared" si="228"/>
        <v xml:space="preserve"> </v>
      </c>
    </row>
    <row r="168" spans="1:75">
      <c r="A168" s="248" t="str">
        <f>IF(A167="N/A","N/A",IF(EDATE(A167,1)&gt;Inputs!$K$3,"N/A",EDATE(A167,1)))</f>
        <v>N/A</v>
      </c>
      <c r="B168" s="262" t="str">
        <f t="shared" si="229"/>
        <v xml:space="preserve"> </v>
      </c>
      <c r="C168" s="249" t="str">
        <f t="shared" si="230"/>
        <v xml:space="preserve"> </v>
      </c>
      <c r="D168" s="250" t="str">
        <f>IF(A168="N/A"," ",(VLOOKUP(MONTH($A168),Inputs!$A$14:$B$25,2))/1000)</f>
        <v xml:space="preserve"> </v>
      </c>
      <c r="E168" s="304" t="str">
        <f t="shared" si="231"/>
        <v xml:space="preserve"> </v>
      </c>
      <c r="F168" s="251" t="str">
        <f>IF(A168="N/A"," ",Inputs!$F$6)</f>
        <v xml:space="preserve"> </v>
      </c>
      <c r="G168" s="251" t="str">
        <f>IF(A168="N/A"," ",Inputs!$F$9/IF(AND('Pricing Inputs'!$AQ$3&gt;=4,'Pricing Inputs'!$AQ$3&lt;=6),16,IF(AND('Pricing Inputs'!$AQ$3&gt;=7,'Pricing Inputs'!$AQ$3&lt;=9),8,24))/(BA168/BW168))</f>
        <v xml:space="preserve"> </v>
      </c>
      <c r="H168" s="252" t="str">
        <f t="shared" si="232"/>
        <v xml:space="preserve"> </v>
      </c>
      <c r="I168" s="255" t="str">
        <f>VLOOKUP(A168,ScaledPrice,(IF(AND('Pricing Inputs'!$AQ$3&gt;=1,'Pricing Inputs'!$AQ$3&lt;=6),2,4)))</f>
        <v xml:space="preserve"> </v>
      </c>
      <c r="J168" s="255" t="str">
        <f>IF(A168="N/A"," ",IF(AND('Pricing Inputs'!$AQ$3&gt;=1,'Pricing Inputs'!$AQ$3&lt;=6),I168,(VLOOKUP(A168,ScaledPrice,2))*(2-(VLOOKUP(A168,ScaledPrice,3)))))</f>
        <v xml:space="preserve"> </v>
      </c>
      <c r="K168" s="255" t="str">
        <f>IF(A168="N/A"," ",IF(OR('Pricing Inputs'!$AQ$3=2,'Pricing Inputs'!$AQ$3=3,'Pricing Inputs'!$AQ$3=5,'Pricing Inputs'!$AQ$3=6,'Pricing Inputs'!$AQ$3=8,'Pricing Inputs'!$AQ$3=9),VLOOKUP(A168,ScaledPrice,IF(AND('Pricing Inputs'!$AQ$3&gt;=2,'Pricing Inputs'!$AQ$3&lt;=6),5,6)),0))</f>
        <v xml:space="preserve"> </v>
      </c>
      <c r="L168" s="255" t="str">
        <f>IF(A168="N/A"," ",IF(OR('Pricing Inputs'!$AQ$3=2,'Pricing Inputs'!$AQ$3=3,'Pricing Inputs'!$AQ$3=5,'Pricing Inputs'!$AQ$3=6,'Pricing Inputs'!$AQ$3=8,'Pricing Inputs'!$AQ$3=9),IF(AND('Pricing Inputs'!$AQ$3&gt;=2,'Pricing Inputs'!$AQ$3&lt;=6),K168,(VLOOKUP(A168,ScaledPrice,5))*(2-(VLOOKUP(A168,ScaledPrice,3)))),0))</f>
        <v xml:space="preserve"> </v>
      </c>
      <c r="M168" s="255" t="str">
        <f>IF(A168="N/A"," ",IF(OR('Pricing Inputs'!$AQ$3=3,'Pricing Inputs'!$AQ$3=6,'Pricing Inputs'!$AQ$3=9),(VLOOKUP(A168,ScaledPrice,IF(AND('Pricing Inputs'!$AQ$3&gt;=3,'Pricing Inputs'!$AQ$3&lt;=6),7,8))),0))</f>
        <v xml:space="preserve"> </v>
      </c>
      <c r="N168" s="255" t="str">
        <f>IF(A168="N/A"," ",IF(OR('Pricing Inputs'!$AQ$3=3,'Pricing Inputs'!$AQ$3=6,'Pricing Inputs'!$AQ$3=9),IF(AND('Pricing Inputs'!$AQ$3&gt;=3,'Pricing Inputs'!$AQ$3&lt;=6),M168,(VLOOKUP(A168,ScaledPrice,7))*(2-(VLOOKUP(A168,ScaledPrice,3)))),0))</f>
        <v xml:space="preserve"> </v>
      </c>
      <c r="O168" s="255" t="str">
        <f>IF(A168="N/A"," ",IF(AND('Pricing Inputs'!$AQ$3&gt;=1,'Pricing Inputs'!$AQ$3&lt;=3),VLOOKUP(A168,ScaledPrice,9),0))</f>
        <v xml:space="preserve"> </v>
      </c>
      <c r="P168" s="320" t="str">
        <f>IF($A168="N/A"," ",IF('Pricing Inputs'!$AN$8=2,(I168-H168),IF('Pricing Inputs'!$AN$3=2,IF((I168-$H168)&gt;0,I168-$H168,0),(_xll.xSPRDOPT(I168,$E168,$BU168,0,$BP168,$BS168,$BT168,($A168-Inputs!$D$1)+15,1,0)))))</f>
        <v xml:space="preserve"> </v>
      </c>
      <c r="Q168" s="320" t="str">
        <f>IF($A168="N/A"," ",IF('Pricing Inputs'!$AN$8=2,(J168-$H168),IF('Pricing Inputs'!$AN$3=2,IF((J168-$H168)&gt;0,J168-$H168,0),(_xll.xSPRDOPT(J168,$E168,$BU168,0,$BP168,$BS168,$BT168,($A168-Inputs!$D$1)+15,1,0)))))</f>
        <v xml:space="preserve"> </v>
      </c>
      <c r="R168" s="320" t="str">
        <f>IF($A168="N/A"," ",IF('Pricing Inputs'!$AN$8=2,(K168-$H168),IF('Pricing Inputs'!$AN$3=2,IF((K168-$H168)&gt;0,K168-$H168,0),(_xll.xSPRDOPT(K168,$E168,$BU168,0,$BP168,$BS168,$BT168,($A168-Inputs!$D$1)+15,1,0)))))</f>
        <v xml:space="preserve"> </v>
      </c>
      <c r="S168" s="320" t="str">
        <f>IF($A168="N/A"," ",IF('Pricing Inputs'!$AN$8=2,(L168-$H168),IF('Pricing Inputs'!$AN$3=2,IF((L168-$H168)&gt;0,L168-$H168,0),(_xll.xSPRDOPT(L168,$E168,$BU168,0,$BP168,$BS168,$BT168,($A168-Inputs!$D$1)+15,1,0)))))</f>
        <v xml:space="preserve"> </v>
      </c>
      <c r="T168" s="320" t="str">
        <f>IF($A168="N/A"," ",IF('Pricing Inputs'!$AN$8=2,(M168-$H168),IF('Pricing Inputs'!$AN$3=2,IF((M168-$H168)&gt;0,M168-$H168,0),(_xll.xSPRDOPT(M168,$E168,$BU168,0,$BP168,$BS168,$BT168,($A168-Inputs!$D$1)+15,1,0)))))</f>
        <v xml:space="preserve"> </v>
      </c>
      <c r="U168" s="320" t="str">
        <f>IF($A168="N/A"," ",IF('Pricing Inputs'!$AN$8=2,(N168-$H168),IF('Pricing Inputs'!$AN$3=2,IF((N168-$H168)&gt;0,N168-$H168,0),(_xll.xSPRDOPT(N168,$E168,$BU168,0,$BP168,$BS168,$BT168,($A168-Inputs!$D$1)+15,1,0)))))</f>
        <v xml:space="preserve"> </v>
      </c>
      <c r="V168" s="259" t="str">
        <f>IF($A168="N/A"," ",(IF('Pricing Inputs'!$AN$8=2,(O168-$H168),IF((O168-$H168)&lt;=0,0,(O168-$H168)))))</f>
        <v xml:space="preserve"> </v>
      </c>
      <c r="W168" s="306" t="str">
        <f>IF($A168="N/A"," ",IF(0&lt;&gt;P168,IF('Pricing Inputs'!$AN$3=2,8*VLOOKUP($A168,NumberofDaysTable,2),(_xll.xSPRDOPT(I168,$E168,$BU168,0,$BP168,$BS168,$BT168,$A168-Inputs!$D$1,1,1))*(8*VLOOKUP($A168,NumberofDaysTable,2))),0))</f>
        <v xml:space="preserve"> </v>
      </c>
      <c r="X168" s="306" t="str">
        <f>IF($A168="N/A"," ",IF(Q168&lt;&gt;0,IF('Pricing Inputs'!$AN$3=2,8*VLOOKUP($A168,NumberofDaysTable,2),(_xll.xSPRDOPT(J168,$E168,$BU168,0,$BP168,$BS168,$BT168,$A168-Inputs!$D$1,1,1))*(8*VLOOKUP($A168,NumberofDaysTable,2))),0))</f>
        <v xml:space="preserve"> </v>
      </c>
      <c r="Y168" s="306" t="str">
        <f>IF($A168="N/A"," ",IF(R168&lt;&gt;0,IF('Pricing Inputs'!$AN$3=2,8*VLOOKUP($A168,NumberofDaysTable,3),(_xll.xSPRDOPT(K168,$E168,$BU168,0,$BP168,$BS168,$BT168,$A168-Inputs!$D$1,1,1))*(8*VLOOKUP($A168,NumberofDaysTable,3))),0))</f>
        <v xml:space="preserve"> </v>
      </c>
      <c r="Z168" s="306" t="str">
        <f>IF($A168="N/A"," ",IF(S168&lt;&gt;0,IF('Pricing Inputs'!$AN$3=2,8*VLOOKUP($A168,NumberofDaysTable,3),(_xll.xSPRDOPT(L168,$E168,$BU168,0,$BP168,$BS168,$BT168,$A168-Inputs!$D$1,1,1))*(8*VLOOKUP($A168,NumberofDaysTable,3))),0))</f>
        <v xml:space="preserve"> </v>
      </c>
      <c r="AA168" s="306" t="str">
        <f>IF($A168="N/A"," ",IF(T168&lt;&gt;0,IF('Pricing Inputs'!$AN$3=2,8*VLOOKUP($A168,NumberofDaysTable,4),(_xll.xSPRDOPT(M168,$E168,$BU168,0,$BP168,$BS168,$BT168,$A168-Inputs!$D$1,1,1))*(8*VLOOKUP($A168,NumberofDaysTable,4))),0))</f>
        <v xml:space="preserve"> </v>
      </c>
      <c r="AB168" s="306" t="str">
        <f>IF($A168="N/A"," ",IF(U168&lt;&gt;0,IF('Pricing Inputs'!$AN$3=2,8*VLOOKUP($A168,NumberofDaysTable,4),(_xll.xSPRDOPT(N168,$E168,$BU168,0,$BP168,$BS168,$BT168,$A168-Inputs!$D$1,1,1))*(8*VLOOKUP($A168,NumberofDaysTable,4))),0))</f>
        <v xml:space="preserve"> </v>
      </c>
      <c r="AC168" s="306" t="str">
        <f t="shared" si="233"/>
        <v xml:space="preserve"> </v>
      </c>
      <c r="AD168" s="274" t="str">
        <f t="shared" si="291"/>
        <v xml:space="preserve"> </v>
      </c>
      <c r="AE168" s="275" t="str">
        <f t="shared" si="292"/>
        <v xml:space="preserve"> </v>
      </c>
      <c r="AF168" s="275" t="str">
        <f t="shared" si="293"/>
        <v xml:space="preserve"> </v>
      </c>
      <c r="AG168" s="275" t="str">
        <f t="shared" si="294"/>
        <v xml:space="preserve"> </v>
      </c>
      <c r="AH168" s="275" t="str">
        <f t="shared" si="295"/>
        <v xml:space="preserve"> </v>
      </c>
      <c r="AI168" s="275" t="str">
        <f t="shared" si="296"/>
        <v xml:space="preserve"> </v>
      </c>
      <c r="AJ168" s="276" t="str">
        <f t="shared" si="297"/>
        <v xml:space="preserve"> </v>
      </c>
      <c r="AK168" s="314" t="str">
        <f t="shared" si="259"/>
        <v xml:space="preserve"> </v>
      </c>
      <c r="AL168" s="315" t="str">
        <f t="shared" si="260"/>
        <v xml:space="preserve"> </v>
      </c>
      <c r="AM168" s="315" t="str">
        <f t="shared" si="261"/>
        <v xml:space="preserve"> </v>
      </c>
      <c r="AN168" s="315" t="str">
        <f t="shared" si="262"/>
        <v xml:space="preserve"> </v>
      </c>
      <c r="AO168" s="315" t="str">
        <f t="shared" si="263"/>
        <v xml:space="preserve"> </v>
      </c>
      <c r="AP168" s="315" t="str">
        <f t="shared" si="264"/>
        <v xml:space="preserve"> </v>
      </c>
      <c r="AQ168" s="315" t="str">
        <f t="shared" si="265"/>
        <v xml:space="preserve"> </v>
      </c>
      <c r="AR168" s="276"/>
      <c r="AS168" s="321" t="str">
        <f t="shared" si="284"/>
        <v xml:space="preserve"> </v>
      </c>
      <c r="AT168" s="324" t="str">
        <f t="shared" si="285"/>
        <v xml:space="preserve"> </v>
      </c>
      <c r="AU168" s="324" t="str">
        <f t="shared" si="286"/>
        <v xml:space="preserve"> </v>
      </c>
      <c r="AV168" s="324" t="str">
        <f t="shared" si="287"/>
        <v xml:space="preserve"> </v>
      </c>
      <c r="AW168" s="324" t="str">
        <f t="shared" si="288"/>
        <v xml:space="preserve"> </v>
      </c>
      <c r="AX168" s="324" t="str">
        <f t="shared" si="289"/>
        <v xml:space="preserve"> </v>
      </c>
      <c r="AY168" s="324" t="str">
        <f t="shared" si="290"/>
        <v xml:space="preserve"> </v>
      </c>
      <c r="AZ168" s="276"/>
      <c r="BA168" s="267" t="str">
        <f>IF($A168="N/A"," ",(IF(MONTH(A168)&gt;=4,IF(MONTH(A168)&lt;=10,Inputs!$F$13,Inputs!$F$14),Inputs!$F$14))*$BW168)</f>
        <v xml:space="preserve"> </v>
      </c>
      <c r="BB168" s="268" t="str">
        <f t="shared" si="266"/>
        <v xml:space="preserve"> </v>
      </c>
      <c r="BC168" s="268" t="str">
        <f t="shared" si="267"/>
        <v xml:space="preserve"> </v>
      </c>
      <c r="BD168" s="268" t="str">
        <f t="shared" si="234"/>
        <v xml:space="preserve"> </v>
      </c>
      <c r="BE168" s="268" t="str">
        <f t="shared" si="235"/>
        <v xml:space="preserve"> </v>
      </c>
      <c r="BF168" s="268" t="str">
        <f t="shared" si="236"/>
        <v xml:space="preserve"> </v>
      </c>
      <c r="BG168" s="268" t="str">
        <f t="shared" si="237"/>
        <v xml:space="preserve"> </v>
      </c>
      <c r="BH168" s="268" t="str">
        <f t="shared" si="258"/>
        <v xml:space="preserve"> </v>
      </c>
      <c r="BI168" s="268" t="str">
        <f t="shared" si="238"/>
        <v xml:space="preserve"> </v>
      </c>
      <c r="BJ168" s="296" t="str">
        <f t="shared" si="239"/>
        <v xml:space="preserve"> </v>
      </c>
      <c r="BK168" s="296" t="str">
        <f t="shared" si="240"/>
        <v xml:space="preserve"> </v>
      </c>
      <c r="BL168" s="296" t="str">
        <f t="shared" si="241"/>
        <v xml:space="preserve"> </v>
      </c>
      <c r="BM168" s="296" t="str">
        <f t="shared" si="242"/>
        <v xml:space="preserve"> </v>
      </c>
      <c r="BN168" s="405" t="str">
        <f>IF(A168="N/A"," ",(VLOOKUP(A168,PowerVolTable,(IF('Pricing Inputs'!$AT$3=2,7,IF('Pricing Inputs'!$AT$3=1,6,8))),FALSE)))</f>
        <v xml:space="preserve"> </v>
      </c>
      <c r="BO168" s="405" t="str">
        <f>IF(A168="N/A"," ",(VLOOKUP(A168,IntraPowerVol,(IF('Pricing Inputs'!$AT$3=2,3,IF('Pricing Inputs'!$AT$3=1,2,4))),FALSE)*VLOOKUP(MONTH($A168),Inputs!$A$28:$B$39,2)))</f>
        <v xml:space="preserve"> </v>
      </c>
      <c r="BP168" s="406" t="str">
        <f t="shared" si="227"/>
        <v xml:space="preserve"> </v>
      </c>
      <c r="BQ168" s="405" t="str">
        <f>IF($A168="N/A"," ",(VLOOKUP($A168,GasVolTable,(IF('Pricing Inputs'!$AT$3=2,6,IF('Pricing Inputs'!$AT$3=1,7,5))),FALSE)))</f>
        <v xml:space="preserve"> </v>
      </c>
      <c r="BR168" s="405" t="str">
        <f>IF($A168="N/A"," ",(VLOOKUP($A168,OmicronVol,(IF('Pricing Inputs'!$AT$3=2,3,IF('Pricing Inputs'!$AT$3=1,4,2))),FALSE)))</f>
        <v xml:space="preserve"> </v>
      </c>
      <c r="BS168" s="406" t="str">
        <f>IF($A168="N/A"," ",IF('Pricing Inputs'!$AN$3=1,(IF(DateToday&gt;$A168,$BR168,((($BQ168^2)*((($A168-1)-DateToday)/((EOMONTH($A168,0)+1)-DateToday-15)))+((($BR168)^2)*((15)/((EOMONTH($A168,0)+1)-DateToday-15))))^0.5)),0.0001))</f>
        <v xml:space="preserve"> </v>
      </c>
      <c r="BT168" s="405" t="str">
        <f>IF($A168="N/A"," ",IF('Pricing Inputs'!$AN$3=1,(VLOOKUP($A168,CorrelationTable,2,FALSE)),0))</f>
        <v xml:space="preserve"> </v>
      </c>
      <c r="BU168" s="407" t="str">
        <f>IF($A168="N/A"," ",F168+G168+(D168*(VLOOKUP($A168,'Gas Curves'!$B$17:$P$310,14,FALSE))))</f>
        <v xml:space="preserve"> </v>
      </c>
      <c r="BV168" s="405" t="str">
        <f>IF($A168="N/A"," ",IF('Pricing Inputs'!$AW$3=1,0,(VLOOKUP($A168,InterestRatesTable,2))))</f>
        <v xml:space="preserve"> </v>
      </c>
      <c r="BW168" s="408" t="str">
        <f t="shared" si="228"/>
        <v xml:space="preserve"> </v>
      </c>
    </row>
    <row r="169" spans="1:75">
      <c r="A169" s="248" t="str">
        <f>IF(A168="N/A","N/A",IF(EDATE(A168,1)&gt;Inputs!$K$3,"N/A",EDATE(A168,1)))</f>
        <v>N/A</v>
      </c>
      <c r="B169" s="262" t="str">
        <f t="shared" si="229"/>
        <v xml:space="preserve"> </v>
      </c>
      <c r="C169" s="249" t="str">
        <f t="shared" si="230"/>
        <v xml:space="preserve"> </v>
      </c>
      <c r="D169" s="250" t="str">
        <f>IF(A169="N/A"," ",(VLOOKUP(MONTH($A169),Inputs!$A$14:$B$25,2))/1000)</f>
        <v xml:space="preserve"> </v>
      </c>
      <c r="E169" s="304" t="str">
        <f t="shared" si="231"/>
        <v xml:space="preserve"> </v>
      </c>
      <c r="F169" s="251" t="str">
        <f>IF(A169="N/A"," ",Inputs!$F$6)</f>
        <v xml:space="preserve"> </v>
      </c>
      <c r="G169" s="251" t="str">
        <f>IF(A169="N/A"," ",Inputs!$F$9/IF(AND('Pricing Inputs'!$AQ$3&gt;=4,'Pricing Inputs'!$AQ$3&lt;=6),16,IF(AND('Pricing Inputs'!$AQ$3&gt;=7,'Pricing Inputs'!$AQ$3&lt;=9),8,24))/(BA169/BW169))</f>
        <v xml:space="preserve"> </v>
      </c>
      <c r="H169" s="252" t="str">
        <f t="shared" si="232"/>
        <v xml:space="preserve"> </v>
      </c>
      <c r="I169" s="255" t="str">
        <f>VLOOKUP(A169,ScaledPrice,(IF(AND('Pricing Inputs'!$AQ$3&gt;=1,'Pricing Inputs'!$AQ$3&lt;=6),2,4)))</f>
        <v xml:space="preserve"> </v>
      </c>
      <c r="J169" s="255" t="str">
        <f>IF(A169="N/A"," ",IF(AND('Pricing Inputs'!$AQ$3&gt;=1,'Pricing Inputs'!$AQ$3&lt;=6),I169,(VLOOKUP(A169,ScaledPrice,2))*(2-(VLOOKUP(A169,ScaledPrice,3)))))</f>
        <v xml:space="preserve"> </v>
      </c>
      <c r="K169" s="255" t="str">
        <f>IF(A169="N/A"," ",IF(OR('Pricing Inputs'!$AQ$3=2,'Pricing Inputs'!$AQ$3=3,'Pricing Inputs'!$AQ$3=5,'Pricing Inputs'!$AQ$3=6,'Pricing Inputs'!$AQ$3=8,'Pricing Inputs'!$AQ$3=9),VLOOKUP(A169,ScaledPrice,IF(AND('Pricing Inputs'!$AQ$3&gt;=2,'Pricing Inputs'!$AQ$3&lt;=6),5,6)),0))</f>
        <v xml:space="preserve"> </v>
      </c>
      <c r="L169" s="255" t="str">
        <f>IF(A169="N/A"," ",IF(OR('Pricing Inputs'!$AQ$3=2,'Pricing Inputs'!$AQ$3=3,'Pricing Inputs'!$AQ$3=5,'Pricing Inputs'!$AQ$3=6,'Pricing Inputs'!$AQ$3=8,'Pricing Inputs'!$AQ$3=9),IF(AND('Pricing Inputs'!$AQ$3&gt;=2,'Pricing Inputs'!$AQ$3&lt;=6),K169,(VLOOKUP(A169,ScaledPrice,5))*(2-(VLOOKUP(A169,ScaledPrice,3)))),0))</f>
        <v xml:space="preserve"> </v>
      </c>
      <c r="M169" s="255" t="str">
        <f>IF(A169="N/A"," ",IF(OR('Pricing Inputs'!$AQ$3=3,'Pricing Inputs'!$AQ$3=6,'Pricing Inputs'!$AQ$3=9),(VLOOKUP(A169,ScaledPrice,IF(AND('Pricing Inputs'!$AQ$3&gt;=3,'Pricing Inputs'!$AQ$3&lt;=6),7,8))),0))</f>
        <v xml:space="preserve"> </v>
      </c>
      <c r="N169" s="255" t="str">
        <f>IF(A169="N/A"," ",IF(OR('Pricing Inputs'!$AQ$3=3,'Pricing Inputs'!$AQ$3=6,'Pricing Inputs'!$AQ$3=9),IF(AND('Pricing Inputs'!$AQ$3&gt;=3,'Pricing Inputs'!$AQ$3&lt;=6),M169,(VLOOKUP(A169,ScaledPrice,7))*(2-(VLOOKUP(A169,ScaledPrice,3)))),0))</f>
        <v xml:space="preserve"> </v>
      </c>
      <c r="O169" s="255" t="str">
        <f>IF(A169="N/A"," ",IF(AND('Pricing Inputs'!$AQ$3&gt;=1,'Pricing Inputs'!$AQ$3&lt;=3),VLOOKUP(A169,ScaledPrice,9),0))</f>
        <v xml:space="preserve"> </v>
      </c>
      <c r="P169" s="320" t="str">
        <f>IF($A169="N/A"," ",IF('Pricing Inputs'!$AN$8=2,(I169-H169),IF('Pricing Inputs'!$AN$3=2,IF((I169-$H169)&gt;0,I169-$H169,0),(_xll.xSPRDOPT(I169,$E169,$BU169,0,$BP169,$BS169,$BT169,($A169-Inputs!$D$1)+15,1,0)))))</f>
        <v xml:space="preserve"> </v>
      </c>
      <c r="Q169" s="320" t="str">
        <f>IF($A169="N/A"," ",IF('Pricing Inputs'!$AN$8=2,(J169-$H169),IF('Pricing Inputs'!$AN$3=2,IF((J169-$H169)&gt;0,J169-$H169,0),(_xll.xSPRDOPT(J169,$E169,$BU169,0,$BP169,$BS169,$BT169,($A169-Inputs!$D$1)+15,1,0)))))</f>
        <v xml:space="preserve"> </v>
      </c>
      <c r="R169" s="320" t="str">
        <f>IF($A169="N/A"," ",IF('Pricing Inputs'!$AN$8=2,(K169-$H169),IF('Pricing Inputs'!$AN$3=2,IF((K169-$H169)&gt;0,K169-$H169,0),(_xll.xSPRDOPT(K169,$E169,$BU169,0,$BP169,$BS169,$BT169,($A169-Inputs!$D$1)+15,1,0)))))</f>
        <v xml:space="preserve"> </v>
      </c>
      <c r="S169" s="320" t="str">
        <f>IF($A169="N/A"," ",IF('Pricing Inputs'!$AN$8=2,(L169-$H169),IF('Pricing Inputs'!$AN$3=2,IF((L169-$H169)&gt;0,L169-$H169,0),(_xll.xSPRDOPT(L169,$E169,$BU169,0,$BP169,$BS169,$BT169,($A169-Inputs!$D$1)+15,1,0)))))</f>
        <v xml:space="preserve"> </v>
      </c>
      <c r="T169" s="320" t="str">
        <f>IF($A169="N/A"," ",IF('Pricing Inputs'!$AN$8=2,(M169-$H169),IF('Pricing Inputs'!$AN$3=2,IF((M169-$H169)&gt;0,M169-$H169,0),(_xll.xSPRDOPT(M169,$E169,$BU169,0,$BP169,$BS169,$BT169,($A169-Inputs!$D$1)+15,1,0)))))</f>
        <v xml:space="preserve"> </v>
      </c>
      <c r="U169" s="320" t="str">
        <f>IF($A169="N/A"," ",IF('Pricing Inputs'!$AN$8=2,(N169-$H169),IF('Pricing Inputs'!$AN$3=2,IF((N169-$H169)&gt;0,N169-$H169,0),(_xll.xSPRDOPT(N169,$E169,$BU169,0,$BP169,$BS169,$BT169,($A169-Inputs!$D$1)+15,1,0)))))</f>
        <v xml:space="preserve"> </v>
      </c>
      <c r="V169" s="259" t="str">
        <f>IF($A169="N/A"," ",(IF('Pricing Inputs'!$AN$8=2,(O169-$H169),IF((O169-$H169)&lt;=0,0,(O169-$H169)))))</f>
        <v xml:space="preserve"> </v>
      </c>
      <c r="W169" s="306" t="str">
        <f>IF($A169="N/A"," ",IF(0&lt;&gt;P169,IF('Pricing Inputs'!$AN$3=2,8*VLOOKUP($A169,NumberofDaysTable,2),(_xll.xSPRDOPT(I169,$E169,$BU169,0,$BP169,$BS169,$BT169,$A169-Inputs!$D$1,1,1))*(8*VLOOKUP($A169,NumberofDaysTable,2))),0))</f>
        <v xml:space="preserve"> </v>
      </c>
      <c r="X169" s="306" t="str">
        <f>IF($A169="N/A"," ",IF(Q169&lt;&gt;0,IF('Pricing Inputs'!$AN$3=2,8*VLOOKUP($A169,NumberofDaysTable,2),(_xll.xSPRDOPT(J169,$E169,$BU169,0,$BP169,$BS169,$BT169,$A169-Inputs!$D$1,1,1))*(8*VLOOKUP($A169,NumberofDaysTable,2))),0))</f>
        <v xml:space="preserve"> </v>
      </c>
      <c r="Y169" s="306" t="str">
        <f>IF($A169="N/A"," ",IF(R169&lt;&gt;0,IF('Pricing Inputs'!$AN$3=2,8*VLOOKUP($A169,NumberofDaysTable,3),(_xll.xSPRDOPT(K169,$E169,$BU169,0,$BP169,$BS169,$BT169,$A169-Inputs!$D$1,1,1))*(8*VLOOKUP($A169,NumberofDaysTable,3))),0))</f>
        <v xml:space="preserve"> </v>
      </c>
      <c r="Z169" s="306" t="str">
        <f>IF($A169="N/A"," ",IF(S169&lt;&gt;0,IF('Pricing Inputs'!$AN$3=2,8*VLOOKUP($A169,NumberofDaysTable,3),(_xll.xSPRDOPT(L169,$E169,$BU169,0,$BP169,$BS169,$BT169,$A169-Inputs!$D$1,1,1))*(8*VLOOKUP($A169,NumberofDaysTable,3))),0))</f>
        <v xml:space="preserve"> </v>
      </c>
      <c r="AA169" s="306" t="str">
        <f>IF($A169="N/A"," ",IF(T169&lt;&gt;0,IF('Pricing Inputs'!$AN$3=2,8*VLOOKUP($A169,NumberofDaysTable,4),(_xll.xSPRDOPT(M169,$E169,$BU169,0,$BP169,$BS169,$BT169,$A169-Inputs!$D$1,1,1))*(8*VLOOKUP($A169,NumberofDaysTable,4))),0))</f>
        <v xml:space="preserve"> </v>
      </c>
      <c r="AB169" s="306" t="str">
        <f>IF($A169="N/A"," ",IF(U169&lt;&gt;0,IF('Pricing Inputs'!$AN$3=2,8*VLOOKUP($A169,NumberofDaysTable,4),(_xll.xSPRDOPT(N169,$E169,$BU169,0,$BP169,$BS169,$BT169,$A169-Inputs!$D$1,1,1))*(8*VLOOKUP($A169,NumberofDaysTable,4))),0))</f>
        <v xml:space="preserve"> </v>
      </c>
      <c r="AC169" s="306" t="str">
        <f t="shared" si="233"/>
        <v xml:space="preserve"> </v>
      </c>
      <c r="AD169" s="274" t="str">
        <f t="shared" si="291"/>
        <v xml:space="preserve"> </v>
      </c>
      <c r="AE169" s="275" t="str">
        <f t="shared" si="292"/>
        <v xml:space="preserve"> </v>
      </c>
      <c r="AF169" s="275" t="str">
        <f t="shared" si="293"/>
        <v xml:space="preserve"> </v>
      </c>
      <c r="AG169" s="275" t="str">
        <f t="shared" si="294"/>
        <v xml:space="preserve"> </v>
      </c>
      <c r="AH169" s="275" t="str">
        <f t="shared" si="295"/>
        <v xml:space="preserve"> </v>
      </c>
      <c r="AI169" s="275" t="str">
        <f t="shared" si="296"/>
        <v xml:space="preserve"> </v>
      </c>
      <c r="AJ169" s="276" t="str">
        <f t="shared" si="297"/>
        <v xml:space="preserve"> </v>
      </c>
      <c r="AK169" s="314" t="str">
        <f t="shared" si="259"/>
        <v xml:space="preserve"> </v>
      </c>
      <c r="AL169" s="315" t="str">
        <f t="shared" si="260"/>
        <v xml:space="preserve"> </v>
      </c>
      <c r="AM169" s="315" t="str">
        <f t="shared" si="261"/>
        <v xml:space="preserve"> </v>
      </c>
      <c r="AN169" s="315" t="str">
        <f t="shared" si="262"/>
        <v xml:space="preserve"> </v>
      </c>
      <c r="AO169" s="315" t="str">
        <f t="shared" si="263"/>
        <v xml:space="preserve"> </v>
      </c>
      <c r="AP169" s="315" t="str">
        <f t="shared" si="264"/>
        <v xml:space="preserve"> </v>
      </c>
      <c r="AQ169" s="315" t="str">
        <f t="shared" si="265"/>
        <v xml:space="preserve"> </v>
      </c>
      <c r="AR169" s="284" t="s">
        <v>1292</v>
      </c>
      <c r="AS169" s="321" t="str">
        <f t="shared" si="284"/>
        <v xml:space="preserve"> </v>
      </c>
      <c r="AT169" s="324" t="str">
        <f t="shared" si="285"/>
        <v xml:space="preserve"> </v>
      </c>
      <c r="AU169" s="324" t="str">
        <f t="shared" si="286"/>
        <v xml:space="preserve"> </v>
      </c>
      <c r="AV169" s="324" t="str">
        <f t="shared" si="287"/>
        <v xml:space="preserve"> </v>
      </c>
      <c r="AW169" s="324" t="str">
        <f t="shared" si="288"/>
        <v xml:space="preserve"> </v>
      </c>
      <c r="AX169" s="324" t="str">
        <f t="shared" si="289"/>
        <v xml:space="preserve"> </v>
      </c>
      <c r="AY169" s="324" t="str">
        <f t="shared" si="290"/>
        <v xml:space="preserve"> </v>
      </c>
      <c r="AZ169" s="283" t="s">
        <v>1304</v>
      </c>
      <c r="BA169" s="267" t="str">
        <f>IF($A169="N/A"," ",(IF(MONTH(A169)&gt;=4,IF(MONTH(A169)&lt;=10,Inputs!$F$13,Inputs!$F$14),Inputs!$F$14))*$BW169)</f>
        <v xml:space="preserve"> </v>
      </c>
      <c r="BB169" s="268" t="str">
        <f t="shared" si="266"/>
        <v xml:space="preserve"> </v>
      </c>
      <c r="BC169" s="268" t="str">
        <f t="shared" si="267"/>
        <v xml:space="preserve"> </v>
      </c>
      <c r="BD169" s="268" t="str">
        <f t="shared" si="234"/>
        <v xml:space="preserve"> </v>
      </c>
      <c r="BE169" s="268" t="str">
        <f t="shared" si="235"/>
        <v xml:space="preserve"> </v>
      </c>
      <c r="BF169" s="268" t="str">
        <f t="shared" si="236"/>
        <v xml:space="preserve"> </v>
      </c>
      <c r="BG169" s="268" t="str">
        <f t="shared" si="237"/>
        <v xml:space="preserve"> </v>
      </c>
      <c r="BH169" s="268" t="str">
        <f t="shared" si="258"/>
        <v xml:space="preserve"> </v>
      </c>
      <c r="BI169" s="268" t="str">
        <f t="shared" si="238"/>
        <v xml:space="preserve"> </v>
      </c>
      <c r="BJ169" s="296" t="str">
        <f t="shared" si="239"/>
        <v xml:space="preserve"> </v>
      </c>
      <c r="BK169" s="296" t="str">
        <f t="shared" si="240"/>
        <v xml:space="preserve"> </v>
      </c>
      <c r="BL169" s="296" t="str">
        <f t="shared" si="241"/>
        <v xml:space="preserve"> </v>
      </c>
      <c r="BM169" s="296" t="str">
        <f t="shared" si="242"/>
        <v xml:space="preserve"> </v>
      </c>
      <c r="BN169" s="405" t="str">
        <f>IF(A169="N/A"," ",(VLOOKUP(A169,PowerVolTable,(IF('Pricing Inputs'!$AT$3=2,7,IF('Pricing Inputs'!$AT$3=1,6,8))),FALSE)))</f>
        <v xml:space="preserve"> </v>
      </c>
      <c r="BO169" s="405" t="str">
        <f>IF(A169="N/A"," ",(VLOOKUP(A169,IntraPowerVol,(IF('Pricing Inputs'!$AT$3=2,3,IF('Pricing Inputs'!$AT$3=1,2,4))),FALSE)*VLOOKUP(MONTH($A169),Inputs!$A$28:$B$39,2)))</f>
        <v xml:space="preserve"> </v>
      </c>
      <c r="BP169" s="406" t="str">
        <f t="shared" si="227"/>
        <v xml:space="preserve"> </v>
      </c>
      <c r="BQ169" s="405" t="str">
        <f>IF($A169="N/A"," ",(VLOOKUP($A169,GasVolTable,(IF('Pricing Inputs'!$AT$3=2,6,IF('Pricing Inputs'!$AT$3=1,7,5))),FALSE)))</f>
        <v xml:space="preserve"> </v>
      </c>
      <c r="BR169" s="405" t="str">
        <f>IF($A169="N/A"," ",(VLOOKUP($A169,OmicronVol,(IF('Pricing Inputs'!$AT$3=2,3,IF('Pricing Inputs'!$AT$3=1,4,2))),FALSE)))</f>
        <v xml:space="preserve"> </v>
      </c>
      <c r="BS169" s="406" t="str">
        <f>IF($A169="N/A"," ",IF('Pricing Inputs'!$AN$3=1,(IF(DateToday&gt;$A169,$BR169,((($BQ169^2)*((($A169-1)-DateToday)/((EOMONTH($A169,0)+1)-DateToday-15)))+((($BR169)^2)*((15)/((EOMONTH($A169,0)+1)-DateToday-15))))^0.5)),0.0001))</f>
        <v xml:space="preserve"> </v>
      </c>
      <c r="BT169" s="405" t="str">
        <f>IF($A169="N/A"," ",IF('Pricing Inputs'!$AN$3=1,(VLOOKUP($A169,CorrelationTable,2,FALSE)),0))</f>
        <v xml:space="preserve"> </v>
      </c>
      <c r="BU169" s="407" t="str">
        <f>IF($A169="N/A"," ",F169+G169+(D169*(VLOOKUP($A169,'Gas Curves'!$B$17:$P$310,14,FALSE))))</f>
        <v xml:space="preserve"> </v>
      </c>
      <c r="BV169" s="405" t="str">
        <f>IF($A169="N/A"," ",IF('Pricing Inputs'!$AW$3=1,0,(VLOOKUP($A169,InterestRatesTable,2))))</f>
        <v xml:space="preserve"> </v>
      </c>
      <c r="BW169" s="408" t="str">
        <f t="shared" si="228"/>
        <v xml:space="preserve"> </v>
      </c>
    </row>
    <row r="170" spans="1:75">
      <c r="A170" s="248" t="str">
        <f>IF(A169="N/A","N/A",IF(EDATE(A169,1)&gt;Inputs!$K$3,"N/A",EDATE(A169,1)))</f>
        <v>N/A</v>
      </c>
      <c r="B170" s="262" t="str">
        <f t="shared" si="229"/>
        <v xml:space="preserve"> </v>
      </c>
      <c r="C170" s="249" t="str">
        <f t="shared" si="230"/>
        <v xml:space="preserve"> </v>
      </c>
      <c r="D170" s="250" t="str">
        <f>IF(A170="N/A"," ",(VLOOKUP(MONTH($A170),Inputs!$A$14:$B$25,2))/1000)</f>
        <v xml:space="preserve"> </v>
      </c>
      <c r="E170" s="304" t="str">
        <f t="shared" si="231"/>
        <v xml:space="preserve"> </v>
      </c>
      <c r="F170" s="251" t="str">
        <f>IF(A170="N/A"," ",Inputs!$F$6)</f>
        <v xml:space="preserve"> </v>
      </c>
      <c r="G170" s="251" t="str">
        <f>IF(A170="N/A"," ",Inputs!$F$9/IF(AND('Pricing Inputs'!$AQ$3&gt;=4,'Pricing Inputs'!$AQ$3&lt;=6),16,IF(AND('Pricing Inputs'!$AQ$3&gt;=7,'Pricing Inputs'!$AQ$3&lt;=9),8,24))/(BA170/BW170))</f>
        <v xml:space="preserve"> </v>
      </c>
      <c r="H170" s="252" t="str">
        <f t="shared" si="232"/>
        <v xml:space="preserve"> </v>
      </c>
      <c r="I170" s="255" t="str">
        <f>VLOOKUP(A170,ScaledPrice,(IF(AND('Pricing Inputs'!$AQ$3&gt;=1,'Pricing Inputs'!$AQ$3&lt;=6),2,4)))</f>
        <v xml:space="preserve"> </v>
      </c>
      <c r="J170" s="255" t="str">
        <f>IF(A170="N/A"," ",IF(AND('Pricing Inputs'!$AQ$3&gt;=1,'Pricing Inputs'!$AQ$3&lt;=6),I170,(VLOOKUP(A170,ScaledPrice,2))*(2-(VLOOKUP(A170,ScaledPrice,3)))))</f>
        <v xml:space="preserve"> </v>
      </c>
      <c r="K170" s="255" t="str">
        <f>IF(A170="N/A"," ",IF(OR('Pricing Inputs'!$AQ$3=2,'Pricing Inputs'!$AQ$3=3,'Pricing Inputs'!$AQ$3=5,'Pricing Inputs'!$AQ$3=6,'Pricing Inputs'!$AQ$3=8,'Pricing Inputs'!$AQ$3=9),VLOOKUP(A170,ScaledPrice,IF(AND('Pricing Inputs'!$AQ$3&gt;=2,'Pricing Inputs'!$AQ$3&lt;=6),5,6)),0))</f>
        <v xml:space="preserve"> </v>
      </c>
      <c r="L170" s="255" t="str">
        <f>IF(A170="N/A"," ",IF(OR('Pricing Inputs'!$AQ$3=2,'Pricing Inputs'!$AQ$3=3,'Pricing Inputs'!$AQ$3=5,'Pricing Inputs'!$AQ$3=6,'Pricing Inputs'!$AQ$3=8,'Pricing Inputs'!$AQ$3=9),IF(AND('Pricing Inputs'!$AQ$3&gt;=2,'Pricing Inputs'!$AQ$3&lt;=6),K170,(VLOOKUP(A170,ScaledPrice,5))*(2-(VLOOKUP(A170,ScaledPrice,3)))),0))</f>
        <v xml:space="preserve"> </v>
      </c>
      <c r="M170" s="255" t="str">
        <f>IF(A170="N/A"," ",IF(OR('Pricing Inputs'!$AQ$3=3,'Pricing Inputs'!$AQ$3=6,'Pricing Inputs'!$AQ$3=9),(VLOOKUP(A170,ScaledPrice,IF(AND('Pricing Inputs'!$AQ$3&gt;=3,'Pricing Inputs'!$AQ$3&lt;=6),7,8))),0))</f>
        <v xml:space="preserve"> </v>
      </c>
      <c r="N170" s="255" t="str">
        <f>IF(A170="N/A"," ",IF(OR('Pricing Inputs'!$AQ$3=3,'Pricing Inputs'!$AQ$3=6,'Pricing Inputs'!$AQ$3=9),IF(AND('Pricing Inputs'!$AQ$3&gt;=3,'Pricing Inputs'!$AQ$3&lt;=6),M170,(VLOOKUP(A170,ScaledPrice,7))*(2-(VLOOKUP(A170,ScaledPrice,3)))),0))</f>
        <v xml:space="preserve"> </v>
      </c>
      <c r="O170" s="255" t="str">
        <f>IF(A170="N/A"," ",IF(AND('Pricing Inputs'!$AQ$3&gt;=1,'Pricing Inputs'!$AQ$3&lt;=3),VLOOKUP(A170,ScaledPrice,9),0))</f>
        <v xml:space="preserve"> </v>
      </c>
      <c r="P170" s="320" t="str">
        <f>IF($A170="N/A"," ",IF('Pricing Inputs'!$AN$8=2,(I170-H170),IF('Pricing Inputs'!$AN$3=2,IF((I170-$H170)&gt;0,I170-$H170,0),(_xll.xSPRDOPT(I170,$E170,$BU170,0,$BP170,$BS170,$BT170,($A170-Inputs!$D$1)+15,1,0)))))</f>
        <v xml:space="preserve"> </v>
      </c>
      <c r="Q170" s="320" t="str">
        <f>IF($A170="N/A"," ",IF('Pricing Inputs'!$AN$8=2,(J170-$H170),IF('Pricing Inputs'!$AN$3=2,IF((J170-$H170)&gt;0,J170-$H170,0),(_xll.xSPRDOPT(J170,$E170,$BU170,0,$BP170,$BS170,$BT170,($A170-Inputs!$D$1)+15,1,0)))))</f>
        <v xml:space="preserve"> </v>
      </c>
      <c r="R170" s="320" t="str">
        <f>IF($A170="N/A"," ",IF('Pricing Inputs'!$AN$8=2,(K170-$H170),IF('Pricing Inputs'!$AN$3=2,IF((K170-$H170)&gt;0,K170-$H170,0),(_xll.xSPRDOPT(K170,$E170,$BU170,0,$BP170,$BS170,$BT170,($A170-Inputs!$D$1)+15,1,0)))))</f>
        <v xml:space="preserve"> </v>
      </c>
      <c r="S170" s="320" t="str">
        <f>IF($A170="N/A"," ",IF('Pricing Inputs'!$AN$8=2,(L170-$H170),IF('Pricing Inputs'!$AN$3=2,IF((L170-$H170)&gt;0,L170-$H170,0),(_xll.xSPRDOPT(L170,$E170,$BU170,0,$BP170,$BS170,$BT170,($A170-Inputs!$D$1)+15,1,0)))))</f>
        <v xml:space="preserve"> </v>
      </c>
      <c r="T170" s="320" t="str">
        <f>IF($A170="N/A"," ",IF('Pricing Inputs'!$AN$8=2,(M170-$H170),IF('Pricing Inputs'!$AN$3=2,IF((M170-$H170)&gt;0,M170-$H170,0),(_xll.xSPRDOPT(M170,$E170,$BU170,0,$BP170,$BS170,$BT170,($A170-Inputs!$D$1)+15,1,0)))))</f>
        <v xml:space="preserve"> </v>
      </c>
      <c r="U170" s="320" t="str">
        <f>IF($A170="N/A"," ",IF('Pricing Inputs'!$AN$8=2,(N170-$H170),IF('Pricing Inputs'!$AN$3=2,IF((N170-$H170)&gt;0,N170-$H170,0),(_xll.xSPRDOPT(N170,$E170,$BU170,0,$BP170,$BS170,$BT170,($A170-Inputs!$D$1)+15,1,0)))))</f>
        <v xml:space="preserve"> </v>
      </c>
      <c r="V170" s="259" t="str">
        <f>IF($A170="N/A"," ",(IF('Pricing Inputs'!$AN$8=2,(O170-$H170),IF((O170-$H170)&lt;=0,0,(O170-$H170)))))</f>
        <v xml:space="preserve"> </v>
      </c>
      <c r="W170" s="306" t="str">
        <f>IF($A170="N/A"," ",IF(0&lt;&gt;P170,IF('Pricing Inputs'!$AN$3=2,8*VLOOKUP($A170,NumberofDaysTable,2),(_xll.xSPRDOPT(I170,$E170,$BU170,0,$BP170,$BS170,$BT170,$A170-Inputs!$D$1,1,1))*(8*VLOOKUP($A170,NumberofDaysTable,2))),0))</f>
        <v xml:space="preserve"> </v>
      </c>
      <c r="X170" s="306" t="str">
        <f>IF($A170="N/A"," ",IF(Q170&lt;&gt;0,IF('Pricing Inputs'!$AN$3=2,8*VLOOKUP($A170,NumberofDaysTable,2),(_xll.xSPRDOPT(J170,$E170,$BU170,0,$BP170,$BS170,$BT170,$A170-Inputs!$D$1,1,1))*(8*VLOOKUP($A170,NumberofDaysTable,2))),0))</f>
        <v xml:space="preserve"> </v>
      </c>
      <c r="Y170" s="306" t="str">
        <f>IF($A170="N/A"," ",IF(R170&lt;&gt;0,IF('Pricing Inputs'!$AN$3=2,8*VLOOKUP($A170,NumberofDaysTable,3),(_xll.xSPRDOPT(K170,$E170,$BU170,0,$BP170,$BS170,$BT170,$A170-Inputs!$D$1,1,1))*(8*VLOOKUP($A170,NumberofDaysTable,3))),0))</f>
        <v xml:space="preserve"> </v>
      </c>
      <c r="Z170" s="306" t="str">
        <f>IF($A170="N/A"," ",IF(S170&lt;&gt;0,IF('Pricing Inputs'!$AN$3=2,8*VLOOKUP($A170,NumberofDaysTable,3),(_xll.xSPRDOPT(L170,$E170,$BU170,0,$BP170,$BS170,$BT170,$A170-Inputs!$D$1,1,1))*(8*VLOOKUP($A170,NumberofDaysTable,3))),0))</f>
        <v xml:space="preserve"> </v>
      </c>
      <c r="AA170" s="306" t="str">
        <f>IF($A170="N/A"," ",IF(T170&lt;&gt;0,IF('Pricing Inputs'!$AN$3=2,8*VLOOKUP($A170,NumberofDaysTable,4),(_xll.xSPRDOPT(M170,$E170,$BU170,0,$BP170,$BS170,$BT170,$A170-Inputs!$D$1,1,1))*(8*VLOOKUP($A170,NumberofDaysTable,4))),0))</f>
        <v xml:space="preserve"> </v>
      </c>
      <c r="AB170" s="306" t="str">
        <f>IF($A170="N/A"," ",IF(U170&lt;&gt;0,IF('Pricing Inputs'!$AN$3=2,8*VLOOKUP($A170,NumberofDaysTable,4),(_xll.xSPRDOPT(N170,$E170,$BU170,0,$BP170,$BS170,$BT170,$A170-Inputs!$D$1,1,1))*(8*VLOOKUP($A170,NumberofDaysTable,4))),0))</f>
        <v xml:space="preserve"> </v>
      </c>
      <c r="AC170" s="306" t="str">
        <f t="shared" si="233"/>
        <v xml:space="preserve"> </v>
      </c>
      <c r="AD170" s="274" t="str">
        <f t="shared" si="291"/>
        <v xml:space="preserve"> </v>
      </c>
      <c r="AE170" s="275" t="str">
        <f t="shared" si="292"/>
        <v xml:space="preserve"> </v>
      </c>
      <c r="AF170" s="275" t="str">
        <f t="shared" si="293"/>
        <v xml:space="preserve"> </v>
      </c>
      <c r="AG170" s="275" t="str">
        <f t="shared" si="294"/>
        <v xml:space="preserve"> </v>
      </c>
      <c r="AH170" s="275" t="str">
        <f t="shared" si="295"/>
        <v xml:space="preserve"> </v>
      </c>
      <c r="AI170" s="275" t="str">
        <f t="shared" si="296"/>
        <v xml:space="preserve"> </v>
      </c>
      <c r="AJ170" s="276" t="str">
        <f t="shared" si="297"/>
        <v xml:space="preserve"> </v>
      </c>
      <c r="AK170" s="314" t="str">
        <f t="shared" si="259"/>
        <v xml:space="preserve"> </v>
      </c>
      <c r="AL170" s="315" t="str">
        <f t="shared" si="260"/>
        <v xml:space="preserve"> </v>
      </c>
      <c r="AM170" s="315" t="str">
        <f t="shared" si="261"/>
        <v xml:space="preserve"> </v>
      </c>
      <c r="AN170" s="315" t="str">
        <f t="shared" si="262"/>
        <v xml:space="preserve"> </v>
      </c>
      <c r="AO170" s="315" t="str">
        <f t="shared" si="263"/>
        <v xml:space="preserve"> </v>
      </c>
      <c r="AP170" s="315" t="str">
        <f t="shared" si="264"/>
        <v xml:space="preserve"> </v>
      </c>
      <c r="AQ170" s="315" t="str">
        <f t="shared" si="265"/>
        <v xml:space="preserve"> </v>
      </c>
      <c r="AR170" s="276">
        <f>SUM(AK160:AQ171)</f>
        <v>0</v>
      </c>
      <c r="AS170" s="321" t="str">
        <f t="shared" si="284"/>
        <v xml:space="preserve"> </v>
      </c>
      <c r="AT170" s="324" t="str">
        <f t="shared" si="285"/>
        <v xml:space="preserve"> </v>
      </c>
      <c r="AU170" s="324" t="str">
        <f t="shared" si="286"/>
        <v xml:space="preserve"> </v>
      </c>
      <c r="AV170" s="324" t="str">
        <f t="shared" si="287"/>
        <v xml:space="preserve"> </v>
      </c>
      <c r="AW170" s="324" t="str">
        <f t="shared" si="288"/>
        <v xml:space="preserve"> </v>
      </c>
      <c r="AX170" s="324" t="str">
        <f t="shared" si="289"/>
        <v xml:space="preserve"> </v>
      </c>
      <c r="AY170" s="324" t="str">
        <f t="shared" si="290"/>
        <v xml:space="preserve"> </v>
      </c>
      <c r="AZ170" s="276">
        <f>SUM(AS160:AY171)</f>
        <v>0</v>
      </c>
      <c r="BA170" s="267" t="str">
        <f>IF($A170="N/A"," ",(IF(MONTH(A170)&gt;=4,IF(MONTH(A170)&lt;=10,Inputs!$F$13,Inputs!$F$14),Inputs!$F$14))*$BW170)</f>
        <v xml:space="preserve"> </v>
      </c>
      <c r="BB170" s="268" t="str">
        <f t="shared" si="266"/>
        <v xml:space="preserve"> </v>
      </c>
      <c r="BC170" s="268" t="str">
        <f t="shared" si="267"/>
        <v xml:space="preserve"> </v>
      </c>
      <c r="BD170" s="268" t="str">
        <f t="shared" si="234"/>
        <v xml:space="preserve"> </v>
      </c>
      <c r="BE170" s="268" t="str">
        <f t="shared" si="235"/>
        <v xml:space="preserve"> </v>
      </c>
      <c r="BF170" s="268" t="str">
        <f t="shared" si="236"/>
        <v xml:space="preserve"> </v>
      </c>
      <c r="BG170" s="268" t="str">
        <f t="shared" si="237"/>
        <v xml:space="preserve"> </v>
      </c>
      <c r="BH170" s="268" t="str">
        <f t="shared" si="258"/>
        <v xml:space="preserve"> </v>
      </c>
      <c r="BI170" s="268" t="str">
        <f t="shared" si="238"/>
        <v xml:space="preserve"> </v>
      </c>
      <c r="BJ170" s="296" t="str">
        <f t="shared" si="239"/>
        <v xml:space="preserve"> </v>
      </c>
      <c r="BK170" s="296" t="str">
        <f t="shared" si="240"/>
        <v xml:space="preserve"> </v>
      </c>
      <c r="BL170" s="296" t="str">
        <f t="shared" si="241"/>
        <v xml:space="preserve"> </v>
      </c>
      <c r="BM170" s="296" t="str">
        <f t="shared" si="242"/>
        <v xml:space="preserve"> </v>
      </c>
      <c r="BN170" s="405" t="str">
        <f>IF(A170="N/A"," ",(VLOOKUP(A170,PowerVolTable,(IF('Pricing Inputs'!$AT$3=2,7,IF('Pricing Inputs'!$AT$3=1,6,8))),FALSE)))</f>
        <v xml:space="preserve"> </v>
      </c>
      <c r="BO170" s="405" t="str">
        <f>IF(A170="N/A"," ",(VLOOKUP(A170,IntraPowerVol,(IF('Pricing Inputs'!$AT$3=2,3,IF('Pricing Inputs'!$AT$3=1,2,4))),FALSE)*VLOOKUP(MONTH($A170),Inputs!$A$28:$B$39,2)))</f>
        <v xml:space="preserve"> </v>
      </c>
      <c r="BP170" s="406" t="str">
        <f t="shared" si="227"/>
        <v xml:space="preserve"> </v>
      </c>
      <c r="BQ170" s="405" t="str">
        <f>IF($A170="N/A"," ",(VLOOKUP($A170,GasVolTable,(IF('Pricing Inputs'!$AT$3=2,6,IF('Pricing Inputs'!$AT$3=1,7,5))),FALSE)))</f>
        <v xml:space="preserve"> </v>
      </c>
      <c r="BR170" s="405" t="str">
        <f>IF($A170="N/A"," ",(VLOOKUP($A170,OmicronVol,(IF('Pricing Inputs'!$AT$3=2,3,IF('Pricing Inputs'!$AT$3=1,4,2))),FALSE)))</f>
        <v xml:space="preserve"> </v>
      </c>
      <c r="BS170" s="406" t="str">
        <f>IF($A170="N/A"," ",IF('Pricing Inputs'!$AN$3=1,(IF(DateToday&gt;$A170,$BR170,((($BQ170^2)*((($A170-1)-DateToday)/((EOMONTH($A170,0)+1)-DateToday-15)))+((($BR170)^2)*((15)/((EOMONTH($A170,0)+1)-DateToday-15))))^0.5)),0.0001))</f>
        <v xml:space="preserve"> </v>
      </c>
      <c r="BT170" s="405" t="str">
        <f>IF($A170="N/A"," ",IF('Pricing Inputs'!$AN$3=1,(VLOOKUP($A170,CorrelationTable,2,FALSE)),0))</f>
        <v xml:space="preserve"> </v>
      </c>
      <c r="BU170" s="407" t="str">
        <f>IF($A170="N/A"," ",F170+G170+(D170*(VLOOKUP($A170,'Gas Curves'!$B$17:$P$310,14,FALSE))))</f>
        <v xml:space="preserve"> </v>
      </c>
      <c r="BV170" s="405" t="str">
        <f>IF($A170="N/A"," ",IF('Pricing Inputs'!$AW$3=1,0,(VLOOKUP($A170,InterestRatesTable,2))))</f>
        <v xml:space="preserve"> </v>
      </c>
      <c r="BW170" s="408" t="str">
        <f t="shared" si="228"/>
        <v xml:space="preserve"> </v>
      </c>
    </row>
    <row r="171" spans="1:75">
      <c r="A171" s="248" t="str">
        <f>IF(A170="N/A","N/A",IF(EDATE(A170,1)&gt;Inputs!$K$3,"N/A",EDATE(A170,1)))</f>
        <v>N/A</v>
      </c>
      <c r="B171" s="262" t="str">
        <f t="shared" si="229"/>
        <v xml:space="preserve"> </v>
      </c>
      <c r="C171" s="249" t="str">
        <f t="shared" si="230"/>
        <v xml:space="preserve"> </v>
      </c>
      <c r="D171" s="250" t="str">
        <f>IF(A171="N/A"," ",(VLOOKUP(MONTH($A171),Inputs!$A$14:$B$25,2))/1000)</f>
        <v xml:space="preserve"> </v>
      </c>
      <c r="E171" s="304" t="str">
        <f t="shared" si="231"/>
        <v xml:space="preserve"> </v>
      </c>
      <c r="F171" s="251" t="str">
        <f>IF(A171="N/A"," ",Inputs!$F$6)</f>
        <v xml:space="preserve"> </v>
      </c>
      <c r="G171" s="251" t="str">
        <f>IF(A171="N/A"," ",Inputs!$F$9/IF(AND('Pricing Inputs'!$AQ$3&gt;=4,'Pricing Inputs'!$AQ$3&lt;=6),16,IF(AND('Pricing Inputs'!$AQ$3&gt;=7,'Pricing Inputs'!$AQ$3&lt;=9),8,24))/(BA171/BW171))</f>
        <v xml:space="preserve"> </v>
      </c>
      <c r="H171" s="252" t="str">
        <f t="shared" si="232"/>
        <v xml:space="preserve"> </v>
      </c>
      <c r="I171" s="255" t="str">
        <f>VLOOKUP(A171,ScaledPrice,(IF(AND('Pricing Inputs'!$AQ$3&gt;=1,'Pricing Inputs'!$AQ$3&lt;=6),2,4)))</f>
        <v xml:space="preserve"> </v>
      </c>
      <c r="J171" s="255" t="str">
        <f>IF(A171="N/A"," ",IF(AND('Pricing Inputs'!$AQ$3&gt;=1,'Pricing Inputs'!$AQ$3&lt;=6),I171,(VLOOKUP(A171,ScaledPrice,2))*(2-(VLOOKUP(A171,ScaledPrice,3)))))</f>
        <v xml:space="preserve"> </v>
      </c>
      <c r="K171" s="255" t="str">
        <f>IF(A171="N/A"," ",IF(OR('Pricing Inputs'!$AQ$3=2,'Pricing Inputs'!$AQ$3=3,'Pricing Inputs'!$AQ$3=5,'Pricing Inputs'!$AQ$3=6,'Pricing Inputs'!$AQ$3=8,'Pricing Inputs'!$AQ$3=9),VLOOKUP(A171,ScaledPrice,IF(AND('Pricing Inputs'!$AQ$3&gt;=2,'Pricing Inputs'!$AQ$3&lt;=6),5,6)),0))</f>
        <v xml:space="preserve"> </v>
      </c>
      <c r="L171" s="255" t="str">
        <f>IF(A171="N/A"," ",IF(OR('Pricing Inputs'!$AQ$3=2,'Pricing Inputs'!$AQ$3=3,'Pricing Inputs'!$AQ$3=5,'Pricing Inputs'!$AQ$3=6,'Pricing Inputs'!$AQ$3=8,'Pricing Inputs'!$AQ$3=9),IF(AND('Pricing Inputs'!$AQ$3&gt;=2,'Pricing Inputs'!$AQ$3&lt;=6),K171,(VLOOKUP(A171,ScaledPrice,5))*(2-(VLOOKUP(A171,ScaledPrice,3)))),0))</f>
        <v xml:space="preserve"> </v>
      </c>
      <c r="M171" s="255" t="str">
        <f>IF(A171="N/A"," ",IF(OR('Pricing Inputs'!$AQ$3=3,'Pricing Inputs'!$AQ$3=6,'Pricing Inputs'!$AQ$3=9),(VLOOKUP(A171,ScaledPrice,IF(AND('Pricing Inputs'!$AQ$3&gt;=3,'Pricing Inputs'!$AQ$3&lt;=6),7,8))),0))</f>
        <v xml:space="preserve"> </v>
      </c>
      <c r="N171" s="255" t="str">
        <f>IF(A171="N/A"," ",IF(OR('Pricing Inputs'!$AQ$3=3,'Pricing Inputs'!$AQ$3=6,'Pricing Inputs'!$AQ$3=9),IF(AND('Pricing Inputs'!$AQ$3&gt;=3,'Pricing Inputs'!$AQ$3&lt;=6),M171,(VLOOKUP(A171,ScaledPrice,7))*(2-(VLOOKUP(A171,ScaledPrice,3)))),0))</f>
        <v xml:space="preserve"> </v>
      </c>
      <c r="O171" s="255" t="str">
        <f>IF(A171="N/A"," ",IF(AND('Pricing Inputs'!$AQ$3&gt;=1,'Pricing Inputs'!$AQ$3&lt;=3),VLOOKUP(A171,ScaledPrice,9),0))</f>
        <v xml:space="preserve"> </v>
      </c>
      <c r="P171" s="320" t="str">
        <f>IF($A171="N/A"," ",IF('Pricing Inputs'!$AN$8=2,(I171-H171),IF('Pricing Inputs'!$AN$3=2,IF((I171-$H171)&gt;0,I171-$H171,0),(_xll.xSPRDOPT(I171,$E171,$BU171,0,$BP171,$BS171,$BT171,($A171-Inputs!$D$1)+15,1,0)))))</f>
        <v xml:space="preserve"> </v>
      </c>
      <c r="Q171" s="320" t="str">
        <f>IF($A171="N/A"," ",IF('Pricing Inputs'!$AN$8=2,(J171-$H171),IF('Pricing Inputs'!$AN$3=2,IF((J171-$H171)&gt;0,J171-$H171,0),(_xll.xSPRDOPT(J171,$E171,$BU171,0,$BP171,$BS171,$BT171,($A171-Inputs!$D$1)+15,1,0)))))</f>
        <v xml:space="preserve"> </v>
      </c>
      <c r="R171" s="320" t="str">
        <f>IF($A171="N/A"," ",IF('Pricing Inputs'!$AN$8=2,(K171-$H171),IF('Pricing Inputs'!$AN$3=2,IF((K171-$H171)&gt;0,K171-$H171,0),(_xll.xSPRDOPT(K171,$E171,$BU171,0,$BP171,$BS171,$BT171,($A171-Inputs!$D$1)+15,1,0)))))</f>
        <v xml:space="preserve"> </v>
      </c>
      <c r="S171" s="320" t="str">
        <f>IF($A171="N/A"," ",IF('Pricing Inputs'!$AN$8=2,(L171-$H171),IF('Pricing Inputs'!$AN$3=2,IF((L171-$H171)&gt;0,L171-$H171,0),(_xll.xSPRDOPT(L171,$E171,$BU171,0,$BP171,$BS171,$BT171,($A171-Inputs!$D$1)+15,1,0)))))</f>
        <v xml:space="preserve"> </v>
      </c>
      <c r="T171" s="320" t="str">
        <f>IF($A171="N/A"," ",IF('Pricing Inputs'!$AN$8=2,(M171-$H171),IF('Pricing Inputs'!$AN$3=2,IF((M171-$H171)&gt;0,M171-$H171,0),(_xll.xSPRDOPT(M171,$E171,$BU171,0,$BP171,$BS171,$BT171,($A171-Inputs!$D$1)+15,1,0)))))</f>
        <v xml:space="preserve"> </v>
      </c>
      <c r="U171" s="320" t="str">
        <f>IF($A171="N/A"," ",IF('Pricing Inputs'!$AN$8=2,(N171-$H171),IF('Pricing Inputs'!$AN$3=2,IF((N171-$H171)&gt;0,N171-$H171,0),(_xll.xSPRDOPT(N171,$E171,$BU171,0,$BP171,$BS171,$BT171,($A171-Inputs!$D$1)+15,1,0)))))</f>
        <v xml:space="preserve"> </v>
      </c>
      <c r="V171" s="259" t="str">
        <f>IF($A171="N/A"," ",(IF('Pricing Inputs'!$AN$8=2,(O171-$H171),IF((O171-$H171)&lt;=0,0,(O171-$H171)))))</f>
        <v xml:space="preserve"> </v>
      </c>
      <c r="W171" s="306" t="str">
        <f>IF($A171="N/A"," ",IF(0&lt;&gt;P171,IF('Pricing Inputs'!$AN$3=2,8*VLOOKUP($A171,NumberofDaysTable,2),(_xll.xSPRDOPT(I171,$E171,$BU171,0,$BP171,$BS171,$BT171,$A171-Inputs!$D$1,1,1))*(8*VLOOKUP($A171,NumberofDaysTable,2))),0))</f>
        <v xml:space="preserve"> </v>
      </c>
      <c r="X171" s="306" t="str">
        <f>IF($A171="N/A"," ",IF(Q171&lt;&gt;0,IF('Pricing Inputs'!$AN$3=2,8*VLOOKUP($A171,NumberofDaysTable,2),(_xll.xSPRDOPT(J171,$E171,$BU171,0,$BP171,$BS171,$BT171,$A171-Inputs!$D$1,1,1))*(8*VLOOKUP($A171,NumberofDaysTable,2))),0))</f>
        <v xml:space="preserve"> </v>
      </c>
      <c r="Y171" s="306" t="str">
        <f>IF($A171="N/A"," ",IF(R171&lt;&gt;0,IF('Pricing Inputs'!$AN$3=2,8*VLOOKUP($A171,NumberofDaysTable,3),(_xll.xSPRDOPT(K171,$E171,$BU171,0,$BP171,$BS171,$BT171,$A171-Inputs!$D$1,1,1))*(8*VLOOKUP($A171,NumberofDaysTable,3))),0))</f>
        <v xml:space="preserve"> </v>
      </c>
      <c r="Z171" s="306" t="str">
        <f>IF($A171="N/A"," ",IF(S171&lt;&gt;0,IF('Pricing Inputs'!$AN$3=2,8*VLOOKUP($A171,NumberofDaysTable,3),(_xll.xSPRDOPT(L171,$E171,$BU171,0,$BP171,$BS171,$BT171,$A171-Inputs!$D$1,1,1))*(8*VLOOKUP($A171,NumberofDaysTable,3))),0))</f>
        <v xml:space="preserve"> </v>
      </c>
      <c r="AA171" s="306" t="str">
        <f>IF($A171="N/A"," ",IF(T171&lt;&gt;0,IF('Pricing Inputs'!$AN$3=2,8*VLOOKUP($A171,NumberofDaysTable,4),(_xll.xSPRDOPT(M171,$E171,$BU171,0,$BP171,$BS171,$BT171,$A171-Inputs!$D$1,1,1))*(8*VLOOKUP($A171,NumberofDaysTable,4))),0))</f>
        <v xml:space="preserve"> </v>
      </c>
      <c r="AB171" s="306" t="str">
        <f>IF($A171="N/A"," ",IF(U171&lt;&gt;0,IF('Pricing Inputs'!$AN$3=2,8*VLOOKUP($A171,NumberofDaysTable,4),(_xll.xSPRDOPT(N171,$E171,$BU171,0,$BP171,$BS171,$BT171,$A171-Inputs!$D$1,1,1))*(8*VLOOKUP($A171,NumberofDaysTable,4))),0))</f>
        <v xml:space="preserve"> </v>
      </c>
      <c r="AC171" s="306" t="str">
        <f t="shared" si="233"/>
        <v xml:space="preserve"> </v>
      </c>
      <c r="AD171" s="277" t="str">
        <f t="shared" si="291"/>
        <v xml:space="preserve"> </v>
      </c>
      <c r="AE171" s="278" t="str">
        <f t="shared" si="292"/>
        <v xml:space="preserve"> </v>
      </c>
      <c r="AF171" s="278" t="str">
        <f t="shared" si="293"/>
        <v xml:space="preserve"> </v>
      </c>
      <c r="AG171" s="278" t="str">
        <f t="shared" si="294"/>
        <v xml:space="preserve"> </v>
      </c>
      <c r="AH171" s="278" t="str">
        <f t="shared" si="295"/>
        <v xml:space="preserve"> </v>
      </c>
      <c r="AI171" s="278" t="str">
        <f t="shared" si="296"/>
        <v xml:space="preserve"> </v>
      </c>
      <c r="AJ171" s="279" t="str">
        <f t="shared" si="297"/>
        <v xml:space="preserve"> </v>
      </c>
      <c r="AK171" s="316" t="str">
        <f t="shared" si="259"/>
        <v xml:space="preserve"> </v>
      </c>
      <c r="AL171" s="317" t="str">
        <f t="shared" si="260"/>
        <v xml:space="preserve"> </v>
      </c>
      <c r="AM171" s="317" t="str">
        <f t="shared" si="261"/>
        <v xml:space="preserve"> </v>
      </c>
      <c r="AN171" s="317" t="str">
        <f t="shared" si="262"/>
        <v xml:space="preserve"> </v>
      </c>
      <c r="AO171" s="317" t="str">
        <f t="shared" si="263"/>
        <v xml:space="preserve"> </v>
      </c>
      <c r="AP171" s="317" t="str">
        <f t="shared" si="264"/>
        <v xml:space="preserve"> </v>
      </c>
      <c r="AQ171" s="317" t="str">
        <f t="shared" si="265"/>
        <v xml:space="preserve"> </v>
      </c>
      <c r="AR171" s="279">
        <f>IF(($AP$2-AR170)&gt;=0,$AP$2-AR170,0)</f>
        <v>1400</v>
      </c>
      <c r="AS171" s="325" t="str">
        <f t="shared" si="284"/>
        <v xml:space="preserve"> </v>
      </c>
      <c r="AT171" s="326" t="str">
        <f t="shared" si="285"/>
        <v xml:space="preserve"> </v>
      </c>
      <c r="AU171" s="326" t="str">
        <f t="shared" si="286"/>
        <v xml:space="preserve"> </v>
      </c>
      <c r="AV171" s="326" t="str">
        <f t="shared" si="287"/>
        <v xml:space="preserve"> </v>
      </c>
      <c r="AW171" s="326" t="str">
        <f t="shared" si="288"/>
        <v xml:space="preserve"> </v>
      </c>
      <c r="AX171" s="326" t="str">
        <f t="shared" si="289"/>
        <v xml:space="preserve"> </v>
      </c>
      <c r="AY171" s="326" t="str">
        <f t="shared" si="290"/>
        <v xml:space="preserve"> </v>
      </c>
      <c r="AZ171" s="285">
        <f>AR170+AZ170</f>
        <v>0</v>
      </c>
      <c r="BA171" s="267" t="str">
        <f>IF($A171="N/A"," ",(IF(MONTH(A171)&gt;=4,IF(MONTH(A171)&lt;=10,Inputs!$F$13,Inputs!$F$14),Inputs!$F$14))*$BW171)</f>
        <v xml:space="preserve"> </v>
      </c>
      <c r="BB171" s="268" t="str">
        <f t="shared" si="266"/>
        <v xml:space="preserve"> </v>
      </c>
      <c r="BC171" s="268" t="str">
        <f t="shared" si="267"/>
        <v xml:space="preserve"> </v>
      </c>
      <c r="BD171" s="268" t="str">
        <f t="shared" si="234"/>
        <v xml:space="preserve"> </v>
      </c>
      <c r="BE171" s="268" t="str">
        <f t="shared" si="235"/>
        <v xml:space="preserve"> </v>
      </c>
      <c r="BF171" s="268" t="str">
        <f t="shared" si="236"/>
        <v xml:space="preserve"> </v>
      </c>
      <c r="BG171" s="268" t="str">
        <f t="shared" si="237"/>
        <v xml:space="preserve"> </v>
      </c>
      <c r="BH171" s="268" t="str">
        <f t="shared" si="258"/>
        <v xml:space="preserve"> </v>
      </c>
      <c r="BI171" s="268" t="str">
        <f t="shared" si="238"/>
        <v xml:space="preserve"> </v>
      </c>
      <c r="BJ171" s="296" t="str">
        <f t="shared" si="239"/>
        <v xml:space="preserve"> </v>
      </c>
      <c r="BK171" s="296" t="str">
        <f t="shared" si="240"/>
        <v xml:space="preserve"> </v>
      </c>
      <c r="BL171" s="296" t="str">
        <f t="shared" si="241"/>
        <v xml:space="preserve"> </v>
      </c>
      <c r="BM171" s="296" t="str">
        <f t="shared" si="242"/>
        <v xml:space="preserve"> </v>
      </c>
      <c r="BN171" s="405" t="str">
        <f>IF(A171="N/A"," ",(VLOOKUP(A171,PowerVolTable,(IF('Pricing Inputs'!$AT$3=2,7,IF('Pricing Inputs'!$AT$3=1,6,8))),FALSE)))</f>
        <v xml:space="preserve"> </v>
      </c>
      <c r="BO171" s="405" t="str">
        <f>IF(A171="N/A"," ",(VLOOKUP(A171,IntraPowerVol,(IF('Pricing Inputs'!$AT$3=2,3,IF('Pricing Inputs'!$AT$3=1,2,4))),FALSE)*VLOOKUP(MONTH($A171),Inputs!$A$28:$B$39,2)))</f>
        <v xml:space="preserve"> </v>
      </c>
      <c r="BP171" s="406" t="str">
        <f t="shared" si="227"/>
        <v xml:space="preserve"> </v>
      </c>
      <c r="BQ171" s="405" t="str">
        <f>IF($A171="N/A"," ",(VLOOKUP($A171,GasVolTable,(IF('Pricing Inputs'!$AT$3=2,6,IF('Pricing Inputs'!$AT$3=1,7,5))),FALSE)))</f>
        <v xml:space="preserve"> </v>
      </c>
      <c r="BR171" s="405" t="str">
        <f>IF($A171="N/A"," ",(VLOOKUP($A171,OmicronVol,(IF('Pricing Inputs'!$AT$3=2,3,IF('Pricing Inputs'!$AT$3=1,4,2))),FALSE)))</f>
        <v xml:space="preserve"> </v>
      </c>
      <c r="BS171" s="406" t="str">
        <f>IF($A171="N/A"," ",IF('Pricing Inputs'!$AN$3=1,(IF(DateToday&gt;$A171,$BR171,((($BQ171^2)*((($A171-1)-DateToday)/((EOMONTH($A171,0)+1)-DateToday-15)))+((($BR171)^2)*((15)/((EOMONTH($A171,0)+1)-DateToday-15))))^0.5)),0.0001))</f>
        <v xml:space="preserve"> </v>
      </c>
      <c r="BT171" s="405" t="str">
        <f>IF($A171="N/A"," ",IF('Pricing Inputs'!$AN$3=1,(VLOOKUP($A171,CorrelationTable,2,FALSE)),0))</f>
        <v xml:space="preserve"> </v>
      </c>
      <c r="BU171" s="407" t="str">
        <f>IF($A171="N/A"," ",F171+G171+(D171*(VLOOKUP($A171,'Gas Curves'!$B$17:$P$310,14,FALSE))))</f>
        <v xml:space="preserve"> </v>
      </c>
      <c r="BV171" s="405" t="str">
        <f>IF($A171="N/A"," ",IF('Pricing Inputs'!$AW$3=1,0,(VLOOKUP($A171,InterestRatesTable,2))))</f>
        <v xml:space="preserve"> </v>
      </c>
      <c r="BW171" s="408" t="str">
        <f t="shared" si="228"/>
        <v xml:space="preserve"> </v>
      </c>
    </row>
    <row r="172" spans="1:75">
      <c r="A172" s="248" t="str">
        <f>IF(A171="N/A","N/A",IF(EDATE(A171,1)&gt;Inputs!$K$3,"N/A",EDATE(A171,1)))</f>
        <v>N/A</v>
      </c>
      <c r="B172" s="262" t="str">
        <f t="shared" si="229"/>
        <v xml:space="preserve"> </v>
      </c>
      <c r="C172" s="249" t="str">
        <f t="shared" si="230"/>
        <v xml:space="preserve"> </v>
      </c>
      <c r="D172" s="250" t="str">
        <f>IF(A172="N/A"," ",(VLOOKUP(MONTH($A172),Inputs!$A$14:$B$25,2))/1000)</f>
        <v xml:space="preserve"> </v>
      </c>
      <c r="E172" s="304" t="str">
        <f t="shared" si="231"/>
        <v xml:space="preserve"> </v>
      </c>
      <c r="F172" s="251" t="str">
        <f>IF(A172="N/A"," ",Inputs!$F$6)</f>
        <v xml:space="preserve"> </v>
      </c>
      <c r="G172" s="251" t="str">
        <f>IF(A172="N/A"," ",Inputs!$F$9/IF(AND('Pricing Inputs'!$AQ$3&gt;=4,'Pricing Inputs'!$AQ$3&lt;=6),16,IF(AND('Pricing Inputs'!$AQ$3&gt;=7,'Pricing Inputs'!$AQ$3&lt;=9),8,24))/(BA172/BW172))</f>
        <v xml:space="preserve"> </v>
      </c>
      <c r="H172" s="252" t="str">
        <f t="shared" si="232"/>
        <v xml:space="preserve"> </v>
      </c>
      <c r="I172" s="255" t="str">
        <f>VLOOKUP(A172,ScaledPrice,(IF(AND('Pricing Inputs'!$AQ$3&gt;=1,'Pricing Inputs'!$AQ$3&lt;=6),2,4)))</f>
        <v xml:space="preserve"> </v>
      </c>
      <c r="J172" s="255" t="str">
        <f>IF(A172="N/A"," ",IF(AND('Pricing Inputs'!$AQ$3&gt;=1,'Pricing Inputs'!$AQ$3&lt;=6),I172,(VLOOKUP(A172,ScaledPrice,2))*(2-(VLOOKUP(A172,ScaledPrice,3)))))</f>
        <v xml:space="preserve"> </v>
      </c>
      <c r="K172" s="255" t="str">
        <f>IF(A172="N/A"," ",IF(OR('Pricing Inputs'!$AQ$3=2,'Pricing Inputs'!$AQ$3=3,'Pricing Inputs'!$AQ$3=5,'Pricing Inputs'!$AQ$3=6,'Pricing Inputs'!$AQ$3=8,'Pricing Inputs'!$AQ$3=9),VLOOKUP(A172,ScaledPrice,IF(AND('Pricing Inputs'!$AQ$3&gt;=2,'Pricing Inputs'!$AQ$3&lt;=6),5,6)),0))</f>
        <v xml:space="preserve"> </v>
      </c>
      <c r="L172" s="255" t="str">
        <f>IF(A172="N/A"," ",IF(OR('Pricing Inputs'!$AQ$3=2,'Pricing Inputs'!$AQ$3=3,'Pricing Inputs'!$AQ$3=5,'Pricing Inputs'!$AQ$3=6,'Pricing Inputs'!$AQ$3=8,'Pricing Inputs'!$AQ$3=9),IF(AND('Pricing Inputs'!$AQ$3&gt;=2,'Pricing Inputs'!$AQ$3&lt;=6),K172,(VLOOKUP(A172,ScaledPrice,5))*(2-(VLOOKUP(A172,ScaledPrice,3)))),0))</f>
        <v xml:space="preserve"> </v>
      </c>
      <c r="M172" s="255" t="str">
        <f>IF(A172="N/A"," ",IF(OR('Pricing Inputs'!$AQ$3=3,'Pricing Inputs'!$AQ$3=6,'Pricing Inputs'!$AQ$3=9),(VLOOKUP(A172,ScaledPrice,IF(AND('Pricing Inputs'!$AQ$3&gt;=3,'Pricing Inputs'!$AQ$3&lt;=6),7,8))),0))</f>
        <v xml:space="preserve"> </v>
      </c>
      <c r="N172" s="255" t="str">
        <f>IF(A172="N/A"," ",IF(OR('Pricing Inputs'!$AQ$3=3,'Pricing Inputs'!$AQ$3=6,'Pricing Inputs'!$AQ$3=9),IF(AND('Pricing Inputs'!$AQ$3&gt;=3,'Pricing Inputs'!$AQ$3&lt;=6),M172,(VLOOKUP(A172,ScaledPrice,7))*(2-(VLOOKUP(A172,ScaledPrice,3)))),0))</f>
        <v xml:space="preserve"> </v>
      </c>
      <c r="O172" s="255" t="str">
        <f>IF(A172="N/A"," ",IF(AND('Pricing Inputs'!$AQ$3&gt;=1,'Pricing Inputs'!$AQ$3&lt;=3),VLOOKUP(A172,ScaledPrice,9),0))</f>
        <v xml:space="preserve"> </v>
      </c>
      <c r="P172" s="320" t="str">
        <f>IF($A172="N/A"," ",IF('Pricing Inputs'!$AN$8=2,(I172-H172),IF('Pricing Inputs'!$AN$3=2,IF((I172-$H172)&gt;0,I172-$H172,0),(_xll.xSPRDOPT(I172,$E172,$BU172,0,$BP172,$BS172,$BT172,($A172-Inputs!$D$1)+15,1,0)))))</f>
        <v xml:space="preserve"> </v>
      </c>
      <c r="Q172" s="320" t="str">
        <f>IF($A172="N/A"," ",IF('Pricing Inputs'!$AN$8=2,(J172-$H172),IF('Pricing Inputs'!$AN$3=2,IF((J172-$H172)&gt;0,J172-$H172,0),(_xll.xSPRDOPT(J172,$E172,$BU172,0,$BP172,$BS172,$BT172,($A172-Inputs!$D$1)+15,1,0)))))</f>
        <v xml:space="preserve"> </v>
      </c>
      <c r="R172" s="320" t="str">
        <f>IF($A172="N/A"," ",IF('Pricing Inputs'!$AN$8=2,(K172-$H172),IF('Pricing Inputs'!$AN$3=2,IF((K172-$H172)&gt;0,K172-$H172,0),(_xll.xSPRDOPT(K172,$E172,$BU172,0,$BP172,$BS172,$BT172,($A172-Inputs!$D$1)+15,1,0)))))</f>
        <v xml:space="preserve"> </v>
      </c>
      <c r="S172" s="320" t="str">
        <f>IF($A172="N/A"," ",IF('Pricing Inputs'!$AN$8=2,(L172-$H172),IF('Pricing Inputs'!$AN$3=2,IF((L172-$H172)&gt;0,L172-$H172,0),(_xll.xSPRDOPT(L172,$E172,$BU172,0,$BP172,$BS172,$BT172,($A172-Inputs!$D$1)+15,1,0)))))</f>
        <v xml:space="preserve"> </v>
      </c>
      <c r="T172" s="320" t="str">
        <f>IF($A172="N/A"," ",IF('Pricing Inputs'!$AN$8=2,(M172-$H172),IF('Pricing Inputs'!$AN$3=2,IF((M172-$H172)&gt;0,M172-$H172,0),(_xll.xSPRDOPT(M172,$E172,$BU172,0,$BP172,$BS172,$BT172,($A172-Inputs!$D$1)+15,1,0)))))</f>
        <v xml:space="preserve"> </v>
      </c>
      <c r="U172" s="320" t="str">
        <f>IF($A172="N/A"," ",IF('Pricing Inputs'!$AN$8=2,(N172-$H172),IF('Pricing Inputs'!$AN$3=2,IF((N172-$H172)&gt;0,N172-$H172,0),(_xll.xSPRDOPT(N172,$E172,$BU172,0,$BP172,$BS172,$BT172,($A172-Inputs!$D$1)+15,1,0)))))</f>
        <v xml:space="preserve"> </v>
      </c>
      <c r="V172" s="259" t="str">
        <f>IF($A172="N/A"," ",(IF('Pricing Inputs'!$AN$8=2,(O172-$H172),IF((O172-$H172)&lt;=0,0,(O172-$H172)))))</f>
        <v xml:space="preserve"> </v>
      </c>
      <c r="W172" s="306" t="str">
        <f>IF($A172="N/A"," ",IF(0&lt;&gt;P172,IF('Pricing Inputs'!$AN$3=2,8*VLOOKUP($A172,NumberofDaysTable,2),(_xll.xSPRDOPT(I172,$E172,$BU172,0,$BP172,$BS172,$BT172,$A172-Inputs!$D$1,1,1))*(8*VLOOKUP($A172,NumberofDaysTable,2))),0))</f>
        <v xml:space="preserve"> </v>
      </c>
      <c r="X172" s="306" t="str">
        <f>IF($A172="N/A"," ",IF(Q172&lt;&gt;0,IF('Pricing Inputs'!$AN$3=2,8*VLOOKUP($A172,NumberofDaysTable,2),(_xll.xSPRDOPT(J172,$E172,$BU172,0,$BP172,$BS172,$BT172,$A172-Inputs!$D$1,1,1))*(8*VLOOKUP($A172,NumberofDaysTable,2))),0))</f>
        <v xml:space="preserve"> </v>
      </c>
      <c r="Y172" s="306" t="str">
        <f>IF($A172="N/A"," ",IF(R172&lt;&gt;0,IF('Pricing Inputs'!$AN$3=2,8*VLOOKUP($A172,NumberofDaysTable,3),(_xll.xSPRDOPT(K172,$E172,$BU172,0,$BP172,$BS172,$BT172,$A172-Inputs!$D$1,1,1))*(8*VLOOKUP($A172,NumberofDaysTable,3))),0))</f>
        <v xml:space="preserve"> </v>
      </c>
      <c r="Z172" s="306" t="str">
        <f>IF($A172="N/A"," ",IF(S172&lt;&gt;0,IF('Pricing Inputs'!$AN$3=2,8*VLOOKUP($A172,NumberofDaysTable,3),(_xll.xSPRDOPT(L172,$E172,$BU172,0,$BP172,$BS172,$BT172,$A172-Inputs!$D$1,1,1))*(8*VLOOKUP($A172,NumberofDaysTable,3))),0))</f>
        <v xml:space="preserve"> </v>
      </c>
      <c r="AA172" s="306" t="str">
        <f>IF($A172="N/A"," ",IF(T172&lt;&gt;0,IF('Pricing Inputs'!$AN$3=2,8*VLOOKUP($A172,NumberofDaysTable,4),(_xll.xSPRDOPT(M172,$E172,$BU172,0,$BP172,$BS172,$BT172,$A172-Inputs!$D$1,1,1))*(8*VLOOKUP($A172,NumberofDaysTable,4))),0))</f>
        <v xml:space="preserve"> </v>
      </c>
      <c r="AB172" s="306" t="str">
        <f>IF($A172="N/A"," ",IF(U172&lt;&gt;0,IF('Pricing Inputs'!$AN$3=2,8*VLOOKUP($A172,NumberofDaysTable,4),(_xll.xSPRDOPT(N172,$E172,$BU172,0,$BP172,$BS172,$BT172,$A172-Inputs!$D$1,1,1))*(8*VLOOKUP($A172,NumberofDaysTable,4))),0))</f>
        <v xml:space="preserve"> </v>
      </c>
      <c r="AC172" s="306" t="str">
        <f t="shared" si="233"/>
        <v xml:space="preserve"> </v>
      </c>
      <c r="AD172" s="271" t="str">
        <f t="shared" ref="AD172:AJ172" si="298">IF($A172="N/A"," ",RANK(P172,$P$172:$V$183))</f>
        <v xml:space="preserve"> </v>
      </c>
      <c r="AE172" s="272" t="str">
        <f t="shared" si="298"/>
        <v xml:space="preserve"> </v>
      </c>
      <c r="AF172" s="272" t="str">
        <f t="shared" si="298"/>
        <v xml:space="preserve"> </v>
      </c>
      <c r="AG172" s="272" t="str">
        <f t="shared" si="298"/>
        <v xml:space="preserve"> </v>
      </c>
      <c r="AH172" s="272" t="str">
        <f t="shared" si="298"/>
        <v xml:space="preserve"> </v>
      </c>
      <c r="AI172" s="272" t="str">
        <f t="shared" si="298"/>
        <v xml:space="preserve"> </v>
      </c>
      <c r="AJ172" s="273" t="str">
        <f t="shared" si="298"/>
        <v xml:space="preserve"> </v>
      </c>
      <c r="AK172" s="312" t="str">
        <f t="shared" si="259"/>
        <v xml:space="preserve"> </v>
      </c>
      <c r="AL172" s="313" t="str">
        <f t="shared" si="260"/>
        <v xml:space="preserve"> </v>
      </c>
      <c r="AM172" s="313" t="str">
        <f t="shared" si="261"/>
        <v xml:space="preserve"> </v>
      </c>
      <c r="AN172" s="313" t="str">
        <f t="shared" si="262"/>
        <v xml:space="preserve"> </v>
      </c>
      <c r="AO172" s="313" t="str">
        <f t="shared" si="263"/>
        <v xml:space="preserve"> </v>
      </c>
      <c r="AP172" s="313" t="str">
        <f t="shared" si="264"/>
        <v xml:space="preserve"> </v>
      </c>
      <c r="AQ172" s="313" t="str">
        <f t="shared" si="265"/>
        <v xml:space="preserve"> </v>
      </c>
      <c r="AR172" s="273"/>
      <c r="AS172" s="327" t="str">
        <f t="shared" ref="AS172:AS183" si="299">IF($A172="N/A"," ",IF(AND(AD172=$AJ$2+1,AK172=0),MIN($AR$183,W172),0))</f>
        <v xml:space="preserve"> </v>
      </c>
      <c r="AT172" s="322" t="str">
        <f t="shared" ref="AT172:AT183" si="300">IF($A172="N/A"," ",IF(AND(AE172=$AJ$2+1,AL172=0),MIN($AR$183,X172),0))</f>
        <v xml:space="preserve"> </v>
      </c>
      <c r="AU172" s="322" t="str">
        <f t="shared" ref="AU172:AU183" si="301">IF($A172="N/A"," ",IF(AND(AF172=$AJ$2+1,AM172=0),MIN($AR$183,Y172),0))</f>
        <v xml:space="preserve"> </v>
      </c>
      <c r="AV172" s="322" t="str">
        <f t="shared" ref="AV172:AV183" si="302">IF($A172="N/A"," ",IF(AND(AG172=$AJ$2+1,AN172=0),MIN($AR$183,Z172),0))</f>
        <v xml:space="preserve"> </v>
      </c>
      <c r="AW172" s="322" t="str">
        <f t="shared" ref="AW172:AW183" si="303">IF($A172="N/A"," ",IF(AND(AH172=$AJ$2+1,AO172=0),MIN($AR$183,AA172),0))</f>
        <v xml:space="preserve"> </v>
      </c>
      <c r="AX172" s="322" t="str">
        <f t="shared" ref="AX172:AX183" si="304">IF($A172="N/A"," ",IF(AND(AI172=$AJ$2+1,AP172=0),MIN($AR$183,AB172),0))</f>
        <v xml:space="preserve"> </v>
      </c>
      <c r="AY172" s="322" t="str">
        <f t="shared" ref="AY172:AY183" si="305">IF($A172="N/A"," ",IF(AND(AJ172=$AJ$2+1,AQ172=0),MIN($AR$183,AC172),0))</f>
        <v xml:space="preserve"> </v>
      </c>
      <c r="AZ172" s="273"/>
      <c r="BA172" s="267" t="str">
        <f>IF($A172="N/A"," ",(IF(MONTH(A172)&gt;=4,IF(MONTH(A172)&lt;=10,Inputs!$F$13,Inputs!$F$14),Inputs!$F$14))*$BW172)</f>
        <v xml:space="preserve"> </v>
      </c>
      <c r="BB172" s="268" t="str">
        <f t="shared" si="266"/>
        <v xml:space="preserve"> </v>
      </c>
      <c r="BC172" s="268" t="str">
        <f t="shared" si="267"/>
        <v xml:space="preserve"> </v>
      </c>
      <c r="BD172" s="268" t="str">
        <f t="shared" si="234"/>
        <v xml:space="preserve"> </v>
      </c>
      <c r="BE172" s="268" t="str">
        <f t="shared" si="235"/>
        <v xml:space="preserve"> </v>
      </c>
      <c r="BF172" s="268" t="str">
        <f t="shared" si="236"/>
        <v xml:space="preserve"> </v>
      </c>
      <c r="BG172" s="268" t="str">
        <f t="shared" si="237"/>
        <v xml:space="preserve"> </v>
      </c>
      <c r="BH172" s="268" t="str">
        <f t="shared" si="258"/>
        <v xml:space="preserve"> </v>
      </c>
      <c r="BI172" s="268" t="str">
        <f t="shared" si="238"/>
        <v xml:space="preserve"> </v>
      </c>
      <c r="BJ172" s="296" t="str">
        <f t="shared" si="239"/>
        <v xml:space="preserve"> </v>
      </c>
      <c r="BK172" s="296" t="str">
        <f t="shared" si="240"/>
        <v xml:space="preserve"> </v>
      </c>
      <c r="BL172" s="296" t="str">
        <f t="shared" si="241"/>
        <v xml:space="preserve"> </v>
      </c>
      <c r="BM172" s="296" t="str">
        <f t="shared" si="242"/>
        <v xml:space="preserve"> </v>
      </c>
      <c r="BN172" s="405" t="str">
        <f>IF(A172="N/A"," ",(VLOOKUP(A172,PowerVolTable,(IF('Pricing Inputs'!$AT$3=2,7,IF('Pricing Inputs'!$AT$3=1,6,8))),FALSE)))</f>
        <v xml:space="preserve"> </v>
      </c>
      <c r="BO172" s="405" t="str">
        <f>IF(A172="N/A"," ",(VLOOKUP(A172,IntraPowerVol,(IF('Pricing Inputs'!$AT$3=2,3,IF('Pricing Inputs'!$AT$3=1,2,4))),FALSE)*VLOOKUP(MONTH($A172),Inputs!$A$28:$B$39,2)))</f>
        <v xml:space="preserve"> </v>
      </c>
      <c r="BP172" s="406" t="str">
        <f t="shared" si="227"/>
        <v xml:space="preserve"> </v>
      </c>
      <c r="BQ172" s="405" t="str">
        <f>IF($A172="N/A"," ",(VLOOKUP($A172,GasVolTable,(IF('Pricing Inputs'!$AT$3=2,6,IF('Pricing Inputs'!$AT$3=1,7,5))),FALSE)))</f>
        <v xml:space="preserve"> </v>
      </c>
      <c r="BR172" s="405" t="str">
        <f>IF($A172="N/A"," ",(VLOOKUP($A172,OmicronVol,(IF('Pricing Inputs'!$AT$3=2,3,IF('Pricing Inputs'!$AT$3=1,4,2))),FALSE)))</f>
        <v xml:space="preserve"> </v>
      </c>
      <c r="BS172" s="406" t="str">
        <f>IF($A172="N/A"," ",IF('Pricing Inputs'!$AN$3=1,(IF(DateToday&gt;$A172,$BR172,((($BQ172^2)*((($A172-1)-DateToday)/((EOMONTH($A172,0)+1)-DateToday-15)))+((($BR172)^2)*((15)/((EOMONTH($A172,0)+1)-DateToday-15))))^0.5)),0.0001))</f>
        <v xml:space="preserve"> </v>
      </c>
      <c r="BT172" s="405" t="str">
        <f>IF($A172="N/A"," ",IF('Pricing Inputs'!$AN$3=1,(VLOOKUP($A172,CorrelationTable,2,FALSE)),0))</f>
        <v xml:space="preserve"> </v>
      </c>
      <c r="BU172" s="407" t="str">
        <f>IF($A172="N/A"," ",F172+G172+(D172*(VLOOKUP($A172,'Gas Curves'!$B$17:$P$310,14,FALSE))))</f>
        <v xml:space="preserve"> </v>
      </c>
      <c r="BV172" s="405" t="str">
        <f>IF($A172="N/A"," ",IF('Pricing Inputs'!$AW$3=1,0,(VLOOKUP($A172,InterestRatesTable,2))))</f>
        <v xml:space="preserve"> </v>
      </c>
      <c r="BW172" s="408" t="str">
        <f t="shared" si="228"/>
        <v xml:space="preserve"> </v>
      </c>
    </row>
    <row r="173" spans="1:75">
      <c r="A173" s="248" t="str">
        <f>IF(A172="N/A","N/A",IF(EDATE(A172,1)&gt;Inputs!$K$3,"N/A",EDATE(A172,1)))</f>
        <v>N/A</v>
      </c>
      <c r="B173" s="262" t="str">
        <f t="shared" si="229"/>
        <v xml:space="preserve"> </v>
      </c>
      <c r="C173" s="249" t="str">
        <f t="shared" si="230"/>
        <v xml:space="preserve"> </v>
      </c>
      <c r="D173" s="250" t="str">
        <f>IF(A173="N/A"," ",(VLOOKUP(MONTH($A173),Inputs!$A$14:$B$25,2))/1000)</f>
        <v xml:space="preserve"> </v>
      </c>
      <c r="E173" s="304" t="str">
        <f t="shared" si="231"/>
        <v xml:space="preserve"> </v>
      </c>
      <c r="F173" s="251" t="str">
        <f>IF(A173="N/A"," ",Inputs!$F$6)</f>
        <v xml:space="preserve"> </v>
      </c>
      <c r="G173" s="251" t="str">
        <f>IF(A173="N/A"," ",Inputs!$F$9/IF(AND('Pricing Inputs'!$AQ$3&gt;=4,'Pricing Inputs'!$AQ$3&lt;=6),16,IF(AND('Pricing Inputs'!$AQ$3&gt;=7,'Pricing Inputs'!$AQ$3&lt;=9),8,24))/(BA173/BW173))</f>
        <v xml:space="preserve"> </v>
      </c>
      <c r="H173" s="252" t="str">
        <f t="shared" si="232"/>
        <v xml:space="preserve"> </v>
      </c>
      <c r="I173" s="255" t="str">
        <f>VLOOKUP(A173,ScaledPrice,(IF(AND('Pricing Inputs'!$AQ$3&gt;=1,'Pricing Inputs'!$AQ$3&lt;=6),2,4)))</f>
        <v xml:space="preserve"> </v>
      </c>
      <c r="J173" s="255" t="str">
        <f>IF(A173="N/A"," ",IF(AND('Pricing Inputs'!$AQ$3&gt;=1,'Pricing Inputs'!$AQ$3&lt;=6),I173,(VLOOKUP(A173,ScaledPrice,2))*(2-(VLOOKUP(A173,ScaledPrice,3)))))</f>
        <v xml:space="preserve"> </v>
      </c>
      <c r="K173" s="255" t="str">
        <f>IF(A173="N/A"," ",IF(OR('Pricing Inputs'!$AQ$3=2,'Pricing Inputs'!$AQ$3=3,'Pricing Inputs'!$AQ$3=5,'Pricing Inputs'!$AQ$3=6,'Pricing Inputs'!$AQ$3=8,'Pricing Inputs'!$AQ$3=9),VLOOKUP(A173,ScaledPrice,IF(AND('Pricing Inputs'!$AQ$3&gt;=2,'Pricing Inputs'!$AQ$3&lt;=6),5,6)),0))</f>
        <v xml:space="preserve"> </v>
      </c>
      <c r="L173" s="255" t="str">
        <f>IF(A173="N/A"," ",IF(OR('Pricing Inputs'!$AQ$3=2,'Pricing Inputs'!$AQ$3=3,'Pricing Inputs'!$AQ$3=5,'Pricing Inputs'!$AQ$3=6,'Pricing Inputs'!$AQ$3=8,'Pricing Inputs'!$AQ$3=9),IF(AND('Pricing Inputs'!$AQ$3&gt;=2,'Pricing Inputs'!$AQ$3&lt;=6),K173,(VLOOKUP(A173,ScaledPrice,5))*(2-(VLOOKUP(A173,ScaledPrice,3)))),0))</f>
        <v xml:space="preserve"> </v>
      </c>
      <c r="M173" s="255" t="str">
        <f>IF(A173="N/A"," ",IF(OR('Pricing Inputs'!$AQ$3=3,'Pricing Inputs'!$AQ$3=6,'Pricing Inputs'!$AQ$3=9),(VLOOKUP(A173,ScaledPrice,IF(AND('Pricing Inputs'!$AQ$3&gt;=3,'Pricing Inputs'!$AQ$3&lt;=6),7,8))),0))</f>
        <v xml:space="preserve"> </v>
      </c>
      <c r="N173" s="255" t="str">
        <f>IF(A173="N/A"," ",IF(OR('Pricing Inputs'!$AQ$3=3,'Pricing Inputs'!$AQ$3=6,'Pricing Inputs'!$AQ$3=9),IF(AND('Pricing Inputs'!$AQ$3&gt;=3,'Pricing Inputs'!$AQ$3&lt;=6),M173,(VLOOKUP(A173,ScaledPrice,7))*(2-(VLOOKUP(A173,ScaledPrice,3)))),0))</f>
        <v xml:space="preserve"> </v>
      </c>
      <c r="O173" s="255" t="str">
        <f>IF(A173="N/A"," ",IF(AND('Pricing Inputs'!$AQ$3&gt;=1,'Pricing Inputs'!$AQ$3&lt;=3),VLOOKUP(A173,ScaledPrice,9),0))</f>
        <v xml:space="preserve"> </v>
      </c>
      <c r="P173" s="320" t="str">
        <f>IF($A173="N/A"," ",IF('Pricing Inputs'!$AN$8=2,(I173-H173),IF('Pricing Inputs'!$AN$3=2,IF((I173-$H173)&gt;0,I173-$H173,0),(_xll.xSPRDOPT(I173,$E173,$BU173,0,$BP173,$BS173,$BT173,($A173-Inputs!$D$1)+15,1,0)))))</f>
        <v xml:space="preserve"> </v>
      </c>
      <c r="Q173" s="320" t="str">
        <f>IF($A173="N/A"," ",IF('Pricing Inputs'!$AN$8=2,(J173-$H173),IF('Pricing Inputs'!$AN$3=2,IF((J173-$H173)&gt;0,J173-$H173,0),(_xll.xSPRDOPT(J173,$E173,$BU173,0,$BP173,$BS173,$BT173,($A173-Inputs!$D$1)+15,1,0)))))</f>
        <v xml:space="preserve"> </v>
      </c>
      <c r="R173" s="320" t="str">
        <f>IF($A173="N/A"," ",IF('Pricing Inputs'!$AN$8=2,(K173-$H173),IF('Pricing Inputs'!$AN$3=2,IF((K173-$H173)&gt;0,K173-$H173,0),(_xll.xSPRDOPT(K173,$E173,$BU173,0,$BP173,$BS173,$BT173,($A173-Inputs!$D$1)+15,1,0)))))</f>
        <v xml:space="preserve"> </v>
      </c>
      <c r="S173" s="320" t="str">
        <f>IF($A173="N/A"," ",IF('Pricing Inputs'!$AN$8=2,(L173-$H173),IF('Pricing Inputs'!$AN$3=2,IF((L173-$H173)&gt;0,L173-$H173,0),(_xll.xSPRDOPT(L173,$E173,$BU173,0,$BP173,$BS173,$BT173,($A173-Inputs!$D$1)+15,1,0)))))</f>
        <v xml:space="preserve"> </v>
      </c>
      <c r="T173" s="320" t="str">
        <f>IF($A173="N/A"," ",IF('Pricing Inputs'!$AN$8=2,(M173-$H173),IF('Pricing Inputs'!$AN$3=2,IF((M173-$H173)&gt;0,M173-$H173,0),(_xll.xSPRDOPT(M173,$E173,$BU173,0,$BP173,$BS173,$BT173,($A173-Inputs!$D$1)+15,1,0)))))</f>
        <v xml:space="preserve"> </v>
      </c>
      <c r="U173" s="320" t="str">
        <f>IF($A173="N/A"," ",IF('Pricing Inputs'!$AN$8=2,(N173-$H173),IF('Pricing Inputs'!$AN$3=2,IF((N173-$H173)&gt;0,N173-$H173,0),(_xll.xSPRDOPT(N173,$E173,$BU173,0,$BP173,$BS173,$BT173,($A173-Inputs!$D$1)+15,1,0)))))</f>
        <v xml:space="preserve"> </v>
      </c>
      <c r="V173" s="259" t="str">
        <f>IF($A173="N/A"," ",(IF('Pricing Inputs'!$AN$8=2,(O173-$H173),IF((O173-$H173)&lt;=0,0,(O173-$H173)))))</f>
        <v xml:space="preserve"> </v>
      </c>
      <c r="W173" s="306" t="str">
        <f>IF($A173="N/A"," ",IF(0&lt;&gt;P173,IF('Pricing Inputs'!$AN$3=2,8*VLOOKUP($A173,NumberofDaysTable,2),(_xll.xSPRDOPT(I173,$E173,$BU173,0,$BP173,$BS173,$BT173,$A173-Inputs!$D$1,1,1))*(8*VLOOKUP($A173,NumberofDaysTable,2))),0))</f>
        <v xml:space="preserve"> </v>
      </c>
      <c r="X173" s="306" t="str">
        <f>IF($A173="N/A"," ",IF(Q173&lt;&gt;0,IF('Pricing Inputs'!$AN$3=2,8*VLOOKUP($A173,NumberofDaysTable,2),(_xll.xSPRDOPT(J173,$E173,$BU173,0,$BP173,$BS173,$BT173,$A173-Inputs!$D$1,1,1))*(8*VLOOKUP($A173,NumberofDaysTable,2))),0))</f>
        <v xml:space="preserve"> </v>
      </c>
      <c r="Y173" s="306" t="str">
        <f>IF($A173="N/A"," ",IF(R173&lt;&gt;0,IF('Pricing Inputs'!$AN$3=2,8*VLOOKUP($A173,NumberofDaysTable,3),(_xll.xSPRDOPT(K173,$E173,$BU173,0,$BP173,$BS173,$BT173,$A173-Inputs!$D$1,1,1))*(8*VLOOKUP($A173,NumberofDaysTable,3))),0))</f>
        <v xml:space="preserve"> </v>
      </c>
      <c r="Z173" s="306" t="str">
        <f>IF($A173="N/A"," ",IF(S173&lt;&gt;0,IF('Pricing Inputs'!$AN$3=2,8*VLOOKUP($A173,NumberofDaysTable,3),(_xll.xSPRDOPT(L173,$E173,$BU173,0,$BP173,$BS173,$BT173,$A173-Inputs!$D$1,1,1))*(8*VLOOKUP($A173,NumberofDaysTable,3))),0))</f>
        <v xml:space="preserve"> </v>
      </c>
      <c r="AA173" s="306" t="str">
        <f>IF($A173="N/A"," ",IF(T173&lt;&gt;0,IF('Pricing Inputs'!$AN$3=2,8*VLOOKUP($A173,NumberofDaysTable,4),(_xll.xSPRDOPT(M173,$E173,$BU173,0,$BP173,$BS173,$BT173,$A173-Inputs!$D$1,1,1))*(8*VLOOKUP($A173,NumberofDaysTable,4))),0))</f>
        <v xml:space="preserve"> </v>
      </c>
      <c r="AB173" s="306" t="str">
        <f>IF($A173="N/A"," ",IF(U173&lt;&gt;0,IF('Pricing Inputs'!$AN$3=2,8*VLOOKUP($A173,NumberofDaysTable,4),(_xll.xSPRDOPT(N173,$E173,$BU173,0,$BP173,$BS173,$BT173,$A173-Inputs!$D$1,1,1))*(8*VLOOKUP($A173,NumberofDaysTable,4))),0))</f>
        <v xml:space="preserve"> </v>
      </c>
      <c r="AC173" s="306" t="str">
        <f t="shared" si="233"/>
        <v xml:space="preserve"> </v>
      </c>
      <c r="AD173" s="274" t="str">
        <f t="shared" ref="AD173:AD183" si="306">IF($A173="N/A"," ",RANK(P173,$P$172:$V$183))</f>
        <v xml:space="preserve"> </v>
      </c>
      <c r="AE173" s="275" t="str">
        <f t="shared" ref="AE173:AE183" si="307">IF($A173="N/A"," ",RANK(Q173,$P$172:$V$183))</f>
        <v xml:space="preserve"> </v>
      </c>
      <c r="AF173" s="275" t="str">
        <f t="shared" ref="AF173:AF183" si="308">IF($A173="N/A"," ",RANK(R173,$P$172:$V$183))</f>
        <v xml:space="preserve"> </v>
      </c>
      <c r="AG173" s="275" t="str">
        <f t="shared" ref="AG173:AG183" si="309">IF($A173="N/A"," ",RANK(S173,$P$172:$V$183))</f>
        <v xml:space="preserve"> </v>
      </c>
      <c r="AH173" s="275" t="str">
        <f t="shared" ref="AH173:AH183" si="310">IF($A173="N/A"," ",RANK(T173,$P$172:$V$183))</f>
        <v xml:space="preserve"> </v>
      </c>
      <c r="AI173" s="275" t="str">
        <f t="shared" ref="AI173:AI183" si="311">IF($A173="N/A"," ",RANK(U173,$P$172:$V$183))</f>
        <v xml:space="preserve"> </v>
      </c>
      <c r="AJ173" s="276" t="str">
        <f t="shared" ref="AJ173:AJ183" si="312">IF($A173="N/A"," ",RANK(V173,$P$172:$V$183))</f>
        <v xml:space="preserve"> </v>
      </c>
      <c r="AK173" s="314" t="str">
        <f t="shared" si="259"/>
        <v xml:space="preserve"> </v>
      </c>
      <c r="AL173" s="315" t="str">
        <f t="shared" si="260"/>
        <v xml:space="preserve"> </v>
      </c>
      <c r="AM173" s="315" t="str">
        <f t="shared" si="261"/>
        <v xml:space="preserve"> </v>
      </c>
      <c r="AN173" s="315" t="str">
        <f t="shared" si="262"/>
        <v xml:space="preserve"> </v>
      </c>
      <c r="AO173" s="315" t="str">
        <f t="shared" si="263"/>
        <v xml:space="preserve"> </v>
      </c>
      <c r="AP173" s="315" t="str">
        <f t="shared" si="264"/>
        <v xml:space="preserve"> </v>
      </c>
      <c r="AQ173" s="315" t="str">
        <f t="shared" si="265"/>
        <v xml:space="preserve"> </v>
      </c>
      <c r="AR173" s="276"/>
      <c r="AS173" s="321" t="str">
        <f t="shared" si="299"/>
        <v xml:space="preserve"> </v>
      </c>
      <c r="AT173" s="324" t="str">
        <f t="shared" si="300"/>
        <v xml:space="preserve"> </v>
      </c>
      <c r="AU173" s="324" t="str">
        <f t="shared" si="301"/>
        <v xml:space="preserve"> </v>
      </c>
      <c r="AV173" s="324" t="str">
        <f t="shared" si="302"/>
        <v xml:space="preserve"> </v>
      </c>
      <c r="AW173" s="324" t="str">
        <f t="shared" si="303"/>
        <v xml:space="preserve"> </v>
      </c>
      <c r="AX173" s="324" t="str">
        <f t="shared" si="304"/>
        <v xml:space="preserve"> </v>
      </c>
      <c r="AY173" s="324" t="str">
        <f t="shared" si="305"/>
        <v xml:space="preserve"> </v>
      </c>
      <c r="AZ173" s="276"/>
      <c r="BA173" s="267" t="str">
        <f>IF($A173="N/A"," ",(IF(MONTH(A173)&gt;=4,IF(MONTH(A173)&lt;=10,Inputs!$F$13,Inputs!$F$14),Inputs!$F$14))*$BW173)</f>
        <v xml:space="preserve"> </v>
      </c>
      <c r="BB173" s="268" t="str">
        <f t="shared" si="266"/>
        <v xml:space="preserve"> </v>
      </c>
      <c r="BC173" s="268" t="str">
        <f t="shared" si="267"/>
        <v xml:space="preserve"> </v>
      </c>
      <c r="BD173" s="268" t="str">
        <f t="shared" si="234"/>
        <v xml:space="preserve"> </v>
      </c>
      <c r="BE173" s="268" t="str">
        <f t="shared" si="235"/>
        <v xml:space="preserve"> </v>
      </c>
      <c r="BF173" s="268" t="str">
        <f t="shared" si="236"/>
        <v xml:space="preserve"> </v>
      </c>
      <c r="BG173" s="268" t="str">
        <f t="shared" si="237"/>
        <v xml:space="preserve"> </v>
      </c>
      <c r="BH173" s="268" t="str">
        <f t="shared" si="258"/>
        <v xml:space="preserve"> </v>
      </c>
      <c r="BI173" s="268" t="str">
        <f t="shared" si="238"/>
        <v xml:space="preserve"> </v>
      </c>
      <c r="BJ173" s="296" t="str">
        <f t="shared" si="239"/>
        <v xml:space="preserve"> </v>
      </c>
      <c r="BK173" s="296" t="str">
        <f t="shared" si="240"/>
        <v xml:space="preserve"> </v>
      </c>
      <c r="BL173" s="296" t="str">
        <f t="shared" si="241"/>
        <v xml:space="preserve"> </v>
      </c>
      <c r="BM173" s="296" t="str">
        <f t="shared" si="242"/>
        <v xml:space="preserve"> </v>
      </c>
      <c r="BN173" s="405" t="str">
        <f>IF(A173="N/A"," ",(VLOOKUP(A173,PowerVolTable,(IF('Pricing Inputs'!$AT$3=2,7,IF('Pricing Inputs'!$AT$3=1,6,8))),FALSE)))</f>
        <v xml:space="preserve"> </v>
      </c>
      <c r="BO173" s="405" t="str">
        <f>IF(A173="N/A"," ",(VLOOKUP(A173,IntraPowerVol,(IF('Pricing Inputs'!$AT$3=2,3,IF('Pricing Inputs'!$AT$3=1,2,4))),FALSE)*VLOOKUP(MONTH($A173),Inputs!$A$28:$B$39,2)))</f>
        <v xml:space="preserve"> </v>
      </c>
      <c r="BP173" s="406" t="str">
        <f t="shared" si="227"/>
        <v xml:space="preserve"> </v>
      </c>
      <c r="BQ173" s="405" t="str">
        <f>IF($A173="N/A"," ",(VLOOKUP($A173,GasVolTable,(IF('Pricing Inputs'!$AT$3=2,6,IF('Pricing Inputs'!$AT$3=1,7,5))),FALSE)))</f>
        <v xml:space="preserve"> </v>
      </c>
      <c r="BR173" s="405" t="str">
        <f>IF($A173="N/A"," ",(VLOOKUP($A173,OmicronVol,(IF('Pricing Inputs'!$AT$3=2,3,IF('Pricing Inputs'!$AT$3=1,4,2))),FALSE)))</f>
        <v xml:space="preserve"> </v>
      </c>
      <c r="BS173" s="406" t="str">
        <f>IF($A173="N/A"," ",IF('Pricing Inputs'!$AN$3=1,(IF(DateToday&gt;$A173,$BR173,((($BQ173^2)*((($A173-1)-DateToday)/((EOMONTH($A173,0)+1)-DateToday-15)))+((($BR173)^2)*((15)/((EOMONTH($A173,0)+1)-DateToday-15))))^0.5)),0.0001))</f>
        <v xml:space="preserve"> </v>
      </c>
      <c r="BT173" s="405" t="str">
        <f>IF($A173="N/A"," ",IF('Pricing Inputs'!$AN$3=1,(VLOOKUP($A173,CorrelationTable,2,FALSE)),0))</f>
        <v xml:space="preserve"> </v>
      </c>
      <c r="BU173" s="407" t="str">
        <f>IF($A173="N/A"," ",F173+G173+(D173*(VLOOKUP($A173,'Gas Curves'!$B$17:$P$310,14,FALSE))))</f>
        <v xml:space="preserve"> </v>
      </c>
      <c r="BV173" s="405" t="str">
        <f>IF($A173="N/A"," ",IF('Pricing Inputs'!$AW$3=1,0,(VLOOKUP($A173,InterestRatesTable,2))))</f>
        <v xml:space="preserve"> </v>
      </c>
      <c r="BW173" s="408" t="str">
        <f t="shared" si="228"/>
        <v xml:space="preserve"> </v>
      </c>
    </row>
    <row r="174" spans="1:75">
      <c r="A174" s="248" t="str">
        <f>IF(A173="N/A","N/A",IF(EDATE(A173,1)&gt;Inputs!$K$3,"N/A",EDATE(A173,1)))</f>
        <v>N/A</v>
      </c>
      <c r="B174" s="262" t="str">
        <f t="shared" si="229"/>
        <v xml:space="preserve"> </v>
      </c>
      <c r="C174" s="249" t="str">
        <f t="shared" si="230"/>
        <v xml:space="preserve"> </v>
      </c>
      <c r="D174" s="250" t="str">
        <f>IF(A174="N/A"," ",(VLOOKUP(MONTH($A174),Inputs!$A$14:$B$25,2))/1000)</f>
        <v xml:space="preserve"> </v>
      </c>
      <c r="E174" s="304" t="str">
        <f t="shared" si="231"/>
        <v xml:space="preserve"> </v>
      </c>
      <c r="F174" s="251" t="str">
        <f>IF(A174="N/A"," ",Inputs!$F$6)</f>
        <v xml:space="preserve"> </v>
      </c>
      <c r="G174" s="251" t="str">
        <f>IF(A174="N/A"," ",Inputs!$F$9/IF(AND('Pricing Inputs'!$AQ$3&gt;=4,'Pricing Inputs'!$AQ$3&lt;=6),16,IF(AND('Pricing Inputs'!$AQ$3&gt;=7,'Pricing Inputs'!$AQ$3&lt;=9),8,24))/(BA174/BW174))</f>
        <v xml:space="preserve"> </v>
      </c>
      <c r="H174" s="252" t="str">
        <f t="shared" si="232"/>
        <v xml:space="preserve"> </v>
      </c>
      <c r="I174" s="255" t="str">
        <f>VLOOKUP(A174,ScaledPrice,(IF(AND('Pricing Inputs'!$AQ$3&gt;=1,'Pricing Inputs'!$AQ$3&lt;=6),2,4)))</f>
        <v xml:space="preserve"> </v>
      </c>
      <c r="J174" s="255" t="str">
        <f>IF(A174="N/A"," ",IF(AND('Pricing Inputs'!$AQ$3&gt;=1,'Pricing Inputs'!$AQ$3&lt;=6),I174,(VLOOKUP(A174,ScaledPrice,2))*(2-(VLOOKUP(A174,ScaledPrice,3)))))</f>
        <v xml:space="preserve"> </v>
      </c>
      <c r="K174" s="255" t="str">
        <f>IF(A174="N/A"," ",IF(OR('Pricing Inputs'!$AQ$3=2,'Pricing Inputs'!$AQ$3=3,'Pricing Inputs'!$AQ$3=5,'Pricing Inputs'!$AQ$3=6,'Pricing Inputs'!$AQ$3=8,'Pricing Inputs'!$AQ$3=9),VLOOKUP(A174,ScaledPrice,IF(AND('Pricing Inputs'!$AQ$3&gt;=2,'Pricing Inputs'!$AQ$3&lt;=6),5,6)),0))</f>
        <v xml:space="preserve"> </v>
      </c>
      <c r="L174" s="255" t="str">
        <f>IF(A174="N/A"," ",IF(OR('Pricing Inputs'!$AQ$3=2,'Pricing Inputs'!$AQ$3=3,'Pricing Inputs'!$AQ$3=5,'Pricing Inputs'!$AQ$3=6,'Pricing Inputs'!$AQ$3=8,'Pricing Inputs'!$AQ$3=9),IF(AND('Pricing Inputs'!$AQ$3&gt;=2,'Pricing Inputs'!$AQ$3&lt;=6),K174,(VLOOKUP(A174,ScaledPrice,5))*(2-(VLOOKUP(A174,ScaledPrice,3)))),0))</f>
        <v xml:space="preserve"> </v>
      </c>
      <c r="M174" s="255" t="str">
        <f>IF(A174="N/A"," ",IF(OR('Pricing Inputs'!$AQ$3=3,'Pricing Inputs'!$AQ$3=6,'Pricing Inputs'!$AQ$3=9),(VLOOKUP(A174,ScaledPrice,IF(AND('Pricing Inputs'!$AQ$3&gt;=3,'Pricing Inputs'!$AQ$3&lt;=6),7,8))),0))</f>
        <v xml:space="preserve"> </v>
      </c>
      <c r="N174" s="255" t="str">
        <f>IF(A174="N/A"," ",IF(OR('Pricing Inputs'!$AQ$3=3,'Pricing Inputs'!$AQ$3=6,'Pricing Inputs'!$AQ$3=9),IF(AND('Pricing Inputs'!$AQ$3&gt;=3,'Pricing Inputs'!$AQ$3&lt;=6),M174,(VLOOKUP(A174,ScaledPrice,7))*(2-(VLOOKUP(A174,ScaledPrice,3)))),0))</f>
        <v xml:space="preserve"> </v>
      </c>
      <c r="O174" s="255" t="str">
        <f>IF(A174="N/A"," ",IF(AND('Pricing Inputs'!$AQ$3&gt;=1,'Pricing Inputs'!$AQ$3&lt;=3),VLOOKUP(A174,ScaledPrice,9),0))</f>
        <v xml:space="preserve"> </v>
      </c>
      <c r="P174" s="320" t="str">
        <f>IF($A174="N/A"," ",IF('Pricing Inputs'!$AN$8=2,(I174-H174),IF('Pricing Inputs'!$AN$3=2,IF((I174-$H174)&gt;0,I174-$H174,0),(_xll.xSPRDOPT(I174,$E174,$BU174,0,$BP174,$BS174,$BT174,($A174-Inputs!$D$1)+15,1,0)))))</f>
        <v xml:space="preserve"> </v>
      </c>
      <c r="Q174" s="320" t="str">
        <f>IF($A174="N/A"," ",IF('Pricing Inputs'!$AN$8=2,(J174-$H174),IF('Pricing Inputs'!$AN$3=2,IF((J174-$H174)&gt;0,J174-$H174,0),(_xll.xSPRDOPT(J174,$E174,$BU174,0,$BP174,$BS174,$BT174,($A174-Inputs!$D$1)+15,1,0)))))</f>
        <v xml:space="preserve"> </v>
      </c>
      <c r="R174" s="320" t="str">
        <f>IF($A174="N/A"," ",IF('Pricing Inputs'!$AN$8=2,(K174-$H174),IF('Pricing Inputs'!$AN$3=2,IF((K174-$H174)&gt;0,K174-$H174,0),(_xll.xSPRDOPT(K174,$E174,$BU174,0,$BP174,$BS174,$BT174,($A174-Inputs!$D$1)+15,1,0)))))</f>
        <v xml:space="preserve"> </v>
      </c>
      <c r="S174" s="320" t="str">
        <f>IF($A174="N/A"," ",IF('Pricing Inputs'!$AN$8=2,(L174-$H174),IF('Pricing Inputs'!$AN$3=2,IF((L174-$H174)&gt;0,L174-$H174,0),(_xll.xSPRDOPT(L174,$E174,$BU174,0,$BP174,$BS174,$BT174,($A174-Inputs!$D$1)+15,1,0)))))</f>
        <v xml:space="preserve"> </v>
      </c>
      <c r="T174" s="320" t="str">
        <f>IF($A174="N/A"," ",IF('Pricing Inputs'!$AN$8=2,(M174-$H174),IF('Pricing Inputs'!$AN$3=2,IF((M174-$H174)&gt;0,M174-$H174,0),(_xll.xSPRDOPT(M174,$E174,$BU174,0,$BP174,$BS174,$BT174,($A174-Inputs!$D$1)+15,1,0)))))</f>
        <v xml:space="preserve"> </v>
      </c>
      <c r="U174" s="320" t="str">
        <f>IF($A174="N/A"," ",IF('Pricing Inputs'!$AN$8=2,(N174-$H174),IF('Pricing Inputs'!$AN$3=2,IF((N174-$H174)&gt;0,N174-$H174,0),(_xll.xSPRDOPT(N174,$E174,$BU174,0,$BP174,$BS174,$BT174,($A174-Inputs!$D$1)+15,1,0)))))</f>
        <v xml:space="preserve"> </v>
      </c>
      <c r="V174" s="259" t="str">
        <f>IF($A174="N/A"," ",(IF('Pricing Inputs'!$AN$8=2,(O174-$H174),IF((O174-$H174)&lt;=0,0,(O174-$H174)))))</f>
        <v xml:space="preserve"> </v>
      </c>
      <c r="W174" s="306" t="str">
        <f>IF($A174="N/A"," ",IF(0&lt;&gt;P174,IF('Pricing Inputs'!$AN$3=2,8*VLOOKUP($A174,NumberofDaysTable,2),(_xll.xSPRDOPT(I174,$E174,$BU174,0,$BP174,$BS174,$BT174,$A174-Inputs!$D$1,1,1))*(8*VLOOKUP($A174,NumberofDaysTable,2))),0))</f>
        <v xml:space="preserve"> </v>
      </c>
      <c r="X174" s="306" t="str">
        <f>IF($A174="N/A"," ",IF(Q174&lt;&gt;0,IF('Pricing Inputs'!$AN$3=2,8*VLOOKUP($A174,NumberofDaysTable,2),(_xll.xSPRDOPT(J174,$E174,$BU174,0,$BP174,$BS174,$BT174,$A174-Inputs!$D$1,1,1))*(8*VLOOKUP($A174,NumberofDaysTable,2))),0))</f>
        <v xml:space="preserve"> </v>
      </c>
      <c r="Y174" s="306" t="str">
        <f>IF($A174="N/A"," ",IF(R174&lt;&gt;0,IF('Pricing Inputs'!$AN$3=2,8*VLOOKUP($A174,NumberofDaysTable,3),(_xll.xSPRDOPT(K174,$E174,$BU174,0,$BP174,$BS174,$BT174,$A174-Inputs!$D$1,1,1))*(8*VLOOKUP($A174,NumberofDaysTable,3))),0))</f>
        <v xml:space="preserve"> </v>
      </c>
      <c r="Z174" s="306" t="str">
        <f>IF($A174="N/A"," ",IF(S174&lt;&gt;0,IF('Pricing Inputs'!$AN$3=2,8*VLOOKUP($A174,NumberofDaysTable,3),(_xll.xSPRDOPT(L174,$E174,$BU174,0,$BP174,$BS174,$BT174,$A174-Inputs!$D$1,1,1))*(8*VLOOKUP($A174,NumberofDaysTable,3))),0))</f>
        <v xml:space="preserve"> </v>
      </c>
      <c r="AA174" s="306" t="str">
        <f>IF($A174="N/A"," ",IF(T174&lt;&gt;0,IF('Pricing Inputs'!$AN$3=2,8*VLOOKUP($A174,NumberofDaysTable,4),(_xll.xSPRDOPT(M174,$E174,$BU174,0,$BP174,$BS174,$BT174,$A174-Inputs!$D$1,1,1))*(8*VLOOKUP($A174,NumberofDaysTable,4))),0))</f>
        <v xml:space="preserve"> </v>
      </c>
      <c r="AB174" s="306" t="str">
        <f>IF($A174="N/A"," ",IF(U174&lt;&gt;0,IF('Pricing Inputs'!$AN$3=2,8*VLOOKUP($A174,NumberofDaysTable,4),(_xll.xSPRDOPT(N174,$E174,$BU174,0,$BP174,$BS174,$BT174,$A174-Inputs!$D$1,1,1))*(8*VLOOKUP($A174,NumberofDaysTable,4))),0))</f>
        <v xml:space="preserve"> </v>
      </c>
      <c r="AC174" s="306" t="str">
        <f t="shared" si="233"/>
        <v xml:space="preserve"> </v>
      </c>
      <c r="AD174" s="274" t="str">
        <f t="shared" si="306"/>
        <v xml:space="preserve"> </v>
      </c>
      <c r="AE174" s="275" t="str">
        <f t="shared" si="307"/>
        <v xml:space="preserve"> </v>
      </c>
      <c r="AF174" s="275" t="str">
        <f t="shared" si="308"/>
        <v xml:space="preserve"> </v>
      </c>
      <c r="AG174" s="275" t="str">
        <f t="shared" si="309"/>
        <v xml:space="preserve"> </v>
      </c>
      <c r="AH174" s="275" t="str">
        <f t="shared" si="310"/>
        <v xml:space="preserve"> </v>
      </c>
      <c r="AI174" s="275" t="str">
        <f t="shared" si="311"/>
        <v xml:space="preserve"> </v>
      </c>
      <c r="AJ174" s="276" t="str">
        <f t="shared" si="312"/>
        <v xml:space="preserve"> </v>
      </c>
      <c r="AK174" s="314" t="str">
        <f t="shared" si="259"/>
        <v xml:space="preserve"> </v>
      </c>
      <c r="AL174" s="315" t="str">
        <f t="shared" si="260"/>
        <v xml:space="preserve"> </v>
      </c>
      <c r="AM174" s="315" t="str">
        <f t="shared" si="261"/>
        <v xml:space="preserve"> </v>
      </c>
      <c r="AN174" s="315" t="str">
        <f t="shared" si="262"/>
        <v xml:space="preserve"> </v>
      </c>
      <c r="AO174" s="315" t="str">
        <f t="shared" si="263"/>
        <v xml:space="preserve"> </v>
      </c>
      <c r="AP174" s="315" t="str">
        <f t="shared" si="264"/>
        <v xml:space="preserve"> </v>
      </c>
      <c r="AQ174" s="315" t="str">
        <f t="shared" si="265"/>
        <v xml:space="preserve"> </v>
      </c>
      <c r="AR174" s="276"/>
      <c r="AS174" s="321" t="str">
        <f t="shared" si="299"/>
        <v xml:space="preserve"> </v>
      </c>
      <c r="AT174" s="324" t="str">
        <f t="shared" si="300"/>
        <v xml:space="preserve"> </v>
      </c>
      <c r="AU174" s="324" t="str">
        <f t="shared" si="301"/>
        <v xml:space="preserve"> </v>
      </c>
      <c r="AV174" s="324" t="str">
        <f t="shared" si="302"/>
        <v xml:space="preserve"> </v>
      </c>
      <c r="AW174" s="324" t="str">
        <f t="shared" si="303"/>
        <v xml:space="preserve"> </v>
      </c>
      <c r="AX174" s="324" t="str">
        <f t="shared" si="304"/>
        <v xml:space="preserve"> </v>
      </c>
      <c r="AY174" s="324" t="str">
        <f t="shared" si="305"/>
        <v xml:space="preserve"> </v>
      </c>
      <c r="AZ174" s="276"/>
      <c r="BA174" s="267" t="str">
        <f>IF($A174="N/A"," ",(IF(MONTH(A174)&gt;=4,IF(MONTH(A174)&lt;=10,Inputs!$F$13,Inputs!$F$14),Inputs!$F$14))*$BW174)</f>
        <v xml:space="preserve"> </v>
      </c>
      <c r="BB174" s="268" t="str">
        <f t="shared" si="266"/>
        <v xml:space="preserve"> </v>
      </c>
      <c r="BC174" s="268" t="str">
        <f t="shared" si="267"/>
        <v xml:space="preserve"> </v>
      </c>
      <c r="BD174" s="268" t="str">
        <f t="shared" si="234"/>
        <v xml:space="preserve"> </v>
      </c>
      <c r="BE174" s="268" t="str">
        <f t="shared" si="235"/>
        <v xml:space="preserve"> </v>
      </c>
      <c r="BF174" s="268" t="str">
        <f t="shared" si="236"/>
        <v xml:space="preserve"> </v>
      </c>
      <c r="BG174" s="268" t="str">
        <f t="shared" si="237"/>
        <v xml:space="preserve"> </v>
      </c>
      <c r="BH174" s="268" t="str">
        <f t="shared" si="258"/>
        <v xml:space="preserve"> </v>
      </c>
      <c r="BI174" s="268" t="str">
        <f t="shared" si="238"/>
        <v xml:space="preserve"> </v>
      </c>
      <c r="BJ174" s="296" t="str">
        <f t="shared" si="239"/>
        <v xml:space="preserve"> </v>
      </c>
      <c r="BK174" s="296" t="str">
        <f t="shared" si="240"/>
        <v xml:space="preserve"> </v>
      </c>
      <c r="BL174" s="296" t="str">
        <f t="shared" si="241"/>
        <v xml:space="preserve"> </v>
      </c>
      <c r="BM174" s="296" t="str">
        <f t="shared" si="242"/>
        <v xml:space="preserve"> </v>
      </c>
      <c r="BN174" s="405" t="str">
        <f>IF(A174="N/A"," ",(VLOOKUP(A174,PowerVolTable,(IF('Pricing Inputs'!$AT$3=2,7,IF('Pricing Inputs'!$AT$3=1,6,8))),FALSE)))</f>
        <v xml:space="preserve"> </v>
      </c>
      <c r="BO174" s="405" t="str">
        <f>IF(A174="N/A"," ",(VLOOKUP(A174,IntraPowerVol,(IF('Pricing Inputs'!$AT$3=2,3,IF('Pricing Inputs'!$AT$3=1,2,4))),FALSE)*VLOOKUP(MONTH($A174),Inputs!$A$28:$B$39,2)))</f>
        <v xml:space="preserve"> </v>
      </c>
      <c r="BP174" s="406" t="str">
        <f t="shared" si="227"/>
        <v xml:space="preserve"> </v>
      </c>
      <c r="BQ174" s="405" t="str">
        <f>IF($A174="N/A"," ",(VLOOKUP($A174,GasVolTable,(IF('Pricing Inputs'!$AT$3=2,6,IF('Pricing Inputs'!$AT$3=1,7,5))),FALSE)))</f>
        <v xml:space="preserve"> </v>
      </c>
      <c r="BR174" s="405" t="str">
        <f>IF($A174="N/A"," ",(VLOOKUP($A174,OmicronVol,(IF('Pricing Inputs'!$AT$3=2,3,IF('Pricing Inputs'!$AT$3=1,4,2))),FALSE)))</f>
        <v xml:space="preserve"> </v>
      </c>
      <c r="BS174" s="406" t="str">
        <f>IF($A174="N/A"," ",IF('Pricing Inputs'!$AN$3=1,(IF(DateToday&gt;$A174,$BR174,((($BQ174^2)*((($A174-1)-DateToday)/((EOMONTH($A174,0)+1)-DateToday-15)))+((($BR174)^2)*((15)/((EOMONTH($A174,0)+1)-DateToday-15))))^0.5)),0.0001))</f>
        <v xml:space="preserve"> </v>
      </c>
      <c r="BT174" s="405" t="str">
        <f>IF($A174="N/A"," ",IF('Pricing Inputs'!$AN$3=1,(VLOOKUP($A174,CorrelationTable,2,FALSE)),0))</f>
        <v xml:space="preserve"> </v>
      </c>
      <c r="BU174" s="407" t="str">
        <f>IF($A174="N/A"," ",F174+G174+(D174*(VLOOKUP($A174,'Gas Curves'!$B$17:$P$310,14,FALSE))))</f>
        <v xml:space="preserve"> </v>
      </c>
      <c r="BV174" s="405" t="str">
        <f>IF($A174="N/A"," ",IF('Pricing Inputs'!$AW$3=1,0,(VLOOKUP($A174,InterestRatesTable,2))))</f>
        <v xml:space="preserve"> </v>
      </c>
      <c r="BW174" s="408" t="str">
        <f t="shared" si="228"/>
        <v xml:space="preserve"> </v>
      </c>
    </row>
    <row r="175" spans="1:75">
      <c r="A175" s="248" t="str">
        <f>IF(A174="N/A","N/A",IF(EDATE(A174,1)&gt;Inputs!$K$3,"N/A",EDATE(A174,1)))</f>
        <v>N/A</v>
      </c>
      <c r="B175" s="262" t="str">
        <f t="shared" si="229"/>
        <v xml:space="preserve"> </v>
      </c>
      <c r="C175" s="249" t="str">
        <f t="shared" si="230"/>
        <v xml:space="preserve"> </v>
      </c>
      <c r="D175" s="250" t="str">
        <f>IF(A175="N/A"," ",(VLOOKUP(MONTH($A175),Inputs!$A$14:$B$25,2))/1000)</f>
        <v xml:space="preserve"> </v>
      </c>
      <c r="E175" s="304" t="str">
        <f t="shared" si="231"/>
        <v xml:space="preserve"> </v>
      </c>
      <c r="F175" s="251" t="str">
        <f>IF(A175="N/A"," ",Inputs!$F$6)</f>
        <v xml:space="preserve"> </v>
      </c>
      <c r="G175" s="251" t="str">
        <f>IF(A175="N/A"," ",Inputs!$F$9/IF(AND('Pricing Inputs'!$AQ$3&gt;=4,'Pricing Inputs'!$AQ$3&lt;=6),16,IF(AND('Pricing Inputs'!$AQ$3&gt;=7,'Pricing Inputs'!$AQ$3&lt;=9),8,24))/(BA175/BW175))</f>
        <v xml:space="preserve"> </v>
      </c>
      <c r="H175" s="252" t="str">
        <f t="shared" si="232"/>
        <v xml:space="preserve"> </v>
      </c>
      <c r="I175" s="255" t="str">
        <f>VLOOKUP(A175,ScaledPrice,(IF(AND('Pricing Inputs'!$AQ$3&gt;=1,'Pricing Inputs'!$AQ$3&lt;=6),2,4)))</f>
        <v xml:space="preserve"> </v>
      </c>
      <c r="J175" s="255" t="str">
        <f>IF(A175="N/A"," ",IF(AND('Pricing Inputs'!$AQ$3&gt;=1,'Pricing Inputs'!$AQ$3&lt;=6),I175,(VLOOKUP(A175,ScaledPrice,2))*(2-(VLOOKUP(A175,ScaledPrice,3)))))</f>
        <v xml:space="preserve"> </v>
      </c>
      <c r="K175" s="255" t="str">
        <f>IF(A175="N/A"," ",IF(OR('Pricing Inputs'!$AQ$3=2,'Pricing Inputs'!$AQ$3=3,'Pricing Inputs'!$AQ$3=5,'Pricing Inputs'!$AQ$3=6,'Pricing Inputs'!$AQ$3=8,'Pricing Inputs'!$AQ$3=9),VLOOKUP(A175,ScaledPrice,IF(AND('Pricing Inputs'!$AQ$3&gt;=2,'Pricing Inputs'!$AQ$3&lt;=6),5,6)),0))</f>
        <v xml:space="preserve"> </v>
      </c>
      <c r="L175" s="255" t="str">
        <f>IF(A175="N/A"," ",IF(OR('Pricing Inputs'!$AQ$3=2,'Pricing Inputs'!$AQ$3=3,'Pricing Inputs'!$AQ$3=5,'Pricing Inputs'!$AQ$3=6,'Pricing Inputs'!$AQ$3=8,'Pricing Inputs'!$AQ$3=9),IF(AND('Pricing Inputs'!$AQ$3&gt;=2,'Pricing Inputs'!$AQ$3&lt;=6),K175,(VLOOKUP(A175,ScaledPrice,5))*(2-(VLOOKUP(A175,ScaledPrice,3)))),0))</f>
        <v xml:space="preserve"> </v>
      </c>
      <c r="M175" s="255" t="str">
        <f>IF(A175="N/A"," ",IF(OR('Pricing Inputs'!$AQ$3=3,'Pricing Inputs'!$AQ$3=6,'Pricing Inputs'!$AQ$3=9),(VLOOKUP(A175,ScaledPrice,IF(AND('Pricing Inputs'!$AQ$3&gt;=3,'Pricing Inputs'!$AQ$3&lt;=6),7,8))),0))</f>
        <v xml:space="preserve"> </v>
      </c>
      <c r="N175" s="255" t="str">
        <f>IF(A175="N/A"," ",IF(OR('Pricing Inputs'!$AQ$3=3,'Pricing Inputs'!$AQ$3=6,'Pricing Inputs'!$AQ$3=9),IF(AND('Pricing Inputs'!$AQ$3&gt;=3,'Pricing Inputs'!$AQ$3&lt;=6),M175,(VLOOKUP(A175,ScaledPrice,7))*(2-(VLOOKUP(A175,ScaledPrice,3)))),0))</f>
        <v xml:space="preserve"> </v>
      </c>
      <c r="O175" s="255" t="str">
        <f>IF(A175="N/A"," ",IF(AND('Pricing Inputs'!$AQ$3&gt;=1,'Pricing Inputs'!$AQ$3&lt;=3),VLOOKUP(A175,ScaledPrice,9),0))</f>
        <v xml:space="preserve"> </v>
      </c>
      <c r="P175" s="320" t="str">
        <f>IF($A175="N/A"," ",IF('Pricing Inputs'!$AN$8=2,(I175-H175),IF('Pricing Inputs'!$AN$3=2,IF((I175-$H175)&gt;0,I175-$H175,0),(_xll.xSPRDOPT(I175,$E175,$BU175,0,$BP175,$BS175,$BT175,($A175-Inputs!$D$1)+15,1,0)))))</f>
        <v xml:space="preserve"> </v>
      </c>
      <c r="Q175" s="320" t="str">
        <f>IF($A175="N/A"," ",IF('Pricing Inputs'!$AN$8=2,(J175-$H175),IF('Pricing Inputs'!$AN$3=2,IF((J175-$H175)&gt;0,J175-$H175,0),(_xll.xSPRDOPT(J175,$E175,$BU175,0,$BP175,$BS175,$BT175,($A175-Inputs!$D$1)+15,1,0)))))</f>
        <v xml:space="preserve"> </v>
      </c>
      <c r="R175" s="320" t="str">
        <f>IF($A175="N/A"," ",IF('Pricing Inputs'!$AN$8=2,(K175-$H175),IF('Pricing Inputs'!$AN$3=2,IF((K175-$H175)&gt;0,K175-$H175,0),(_xll.xSPRDOPT(K175,$E175,$BU175,0,$BP175,$BS175,$BT175,($A175-Inputs!$D$1)+15,1,0)))))</f>
        <v xml:space="preserve"> </v>
      </c>
      <c r="S175" s="320" t="str">
        <f>IF($A175="N/A"," ",IF('Pricing Inputs'!$AN$8=2,(L175-$H175),IF('Pricing Inputs'!$AN$3=2,IF((L175-$H175)&gt;0,L175-$H175,0),(_xll.xSPRDOPT(L175,$E175,$BU175,0,$BP175,$BS175,$BT175,($A175-Inputs!$D$1)+15,1,0)))))</f>
        <v xml:space="preserve"> </v>
      </c>
      <c r="T175" s="320" t="str">
        <f>IF($A175="N/A"," ",IF('Pricing Inputs'!$AN$8=2,(M175-$H175),IF('Pricing Inputs'!$AN$3=2,IF((M175-$H175)&gt;0,M175-$H175,0),(_xll.xSPRDOPT(M175,$E175,$BU175,0,$BP175,$BS175,$BT175,($A175-Inputs!$D$1)+15,1,0)))))</f>
        <v xml:space="preserve"> </v>
      </c>
      <c r="U175" s="320" t="str">
        <f>IF($A175="N/A"," ",IF('Pricing Inputs'!$AN$8=2,(N175-$H175),IF('Pricing Inputs'!$AN$3=2,IF((N175-$H175)&gt;0,N175-$H175,0),(_xll.xSPRDOPT(N175,$E175,$BU175,0,$BP175,$BS175,$BT175,($A175-Inputs!$D$1)+15,1,0)))))</f>
        <v xml:space="preserve"> </v>
      </c>
      <c r="V175" s="259" t="str">
        <f>IF($A175="N/A"," ",(IF('Pricing Inputs'!$AN$8=2,(O175-$H175),IF((O175-$H175)&lt;=0,0,(O175-$H175)))))</f>
        <v xml:space="preserve"> </v>
      </c>
      <c r="W175" s="306" t="str">
        <f>IF($A175="N/A"," ",IF(0&lt;&gt;P175,IF('Pricing Inputs'!$AN$3=2,8*VLOOKUP($A175,NumberofDaysTable,2),(_xll.xSPRDOPT(I175,$E175,$BU175,0,$BP175,$BS175,$BT175,$A175-Inputs!$D$1,1,1))*(8*VLOOKUP($A175,NumberofDaysTable,2))),0))</f>
        <v xml:space="preserve"> </v>
      </c>
      <c r="X175" s="306" t="str">
        <f>IF($A175="N/A"," ",IF(Q175&lt;&gt;0,IF('Pricing Inputs'!$AN$3=2,8*VLOOKUP($A175,NumberofDaysTable,2),(_xll.xSPRDOPT(J175,$E175,$BU175,0,$BP175,$BS175,$BT175,$A175-Inputs!$D$1,1,1))*(8*VLOOKUP($A175,NumberofDaysTable,2))),0))</f>
        <v xml:space="preserve"> </v>
      </c>
      <c r="Y175" s="306" t="str">
        <f>IF($A175="N/A"," ",IF(R175&lt;&gt;0,IF('Pricing Inputs'!$AN$3=2,8*VLOOKUP($A175,NumberofDaysTable,3),(_xll.xSPRDOPT(K175,$E175,$BU175,0,$BP175,$BS175,$BT175,$A175-Inputs!$D$1,1,1))*(8*VLOOKUP($A175,NumberofDaysTable,3))),0))</f>
        <v xml:space="preserve"> </v>
      </c>
      <c r="Z175" s="306" t="str">
        <f>IF($A175="N/A"," ",IF(S175&lt;&gt;0,IF('Pricing Inputs'!$AN$3=2,8*VLOOKUP($A175,NumberofDaysTable,3),(_xll.xSPRDOPT(L175,$E175,$BU175,0,$BP175,$BS175,$BT175,$A175-Inputs!$D$1,1,1))*(8*VLOOKUP($A175,NumberofDaysTable,3))),0))</f>
        <v xml:space="preserve"> </v>
      </c>
      <c r="AA175" s="306" t="str">
        <f>IF($A175="N/A"," ",IF(T175&lt;&gt;0,IF('Pricing Inputs'!$AN$3=2,8*VLOOKUP($A175,NumberofDaysTable,4),(_xll.xSPRDOPT(M175,$E175,$BU175,0,$BP175,$BS175,$BT175,$A175-Inputs!$D$1,1,1))*(8*VLOOKUP($A175,NumberofDaysTable,4))),0))</f>
        <v xml:space="preserve"> </v>
      </c>
      <c r="AB175" s="306" t="str">
        <f>IF($A175="N/A"," ",IF(U175&lt;&gt;0,IF('Pricing Inputs'!$AN$3=2,8*VLOOKUP($A175,NumberofDaysTable,4),(_xll.xSPRDOPT(N175,$E175,$BU175,0,$BP175,$BS175,$BT175,$A175-Inputs!$D$1,1,1))*(8*VLOOKUP($A175,NumberofDaysTable,4))),0))</f>
        <v xml:space="preserve"> </v>
      </c>
      <c r="AC175" s="306" t="str">
        <f t="shared" si="233"/>
        <v xml:space="preserve"> </v>
      </c>
      <c r="AD175" s="274" t="str">
        <f t="shared" si="306"/>
        <v xml:space="preserve"> </v>
      </c>
      <c r="AE175" s="275" t="str">
        <f t="shared" si="307"/>
        <v xml:space="preserve"> </v>
      </c>
      <c r="AF175" s="275" t="str">
        <f t="shared" si="308"/>
        <v xml:space="preserve"> </v>
      </c>
      <c r="AG175" s="275" t="str">
        <f t="shared" si="309"/>
        <v xml:space="preserve"> </v>
      </c>
      <c r="AH175" s="275" t="str">
        <f t="shared" si="310"/>
        <v xml:space="preserve"> </v>
      </c>
      <c r="AI175" s="275" t="str">
        <f t="shared" si="311"/>
        <v xml:space="preserve"> </v>
      </c>
      <c r="AJ175" s="276" t="str">
        <f t="shared" si="312"/>
        <v xml:space="preserve"> </v>
      </c>
      <c r="AK175" s="314" t="str">
        <f t="shared" si="259"/>
        <v xml:space="preserve"> </v>
      </c>
      <c r="AL175" s="315" t="str">
        <f t="shared" si="260"/>
        <v xml:space="preserve"> </v>
      </c>
      <c r="AM175" s="315" t="str">
        <f t="shared" si="261"/>
        <v xml:space="preserve"> </v>
      </c>
      <c r="AN175" s="315" t="str">
        <f t="shared" si="262"/>
        <v xml:space="preserve"> </v>
      </c>
      <c r="AO175" s="315" t="str">
        <f t="shared" si="263"/>
        <v xml:space="preserve"> </v>
      </c>
      <c r="AP175" s="315" t="str">
        <f t="shared" si="264"/>
        <v xml:space="preserve"> </v>
      </c>
      <c r="AQ175" s="315" t="str">
        <f t="shared" si="265"/>
        <v xml:space="preserve"> </v>
      </c>
      <c r="AR175" s="276"/>
      <c r="AS175" s="321" t="str">
        <f t="shared" si="299"/>
        <v xml:space="preserve"> </v>
      </c>
      <c r="AT175" s="324" t="str">
        <f t="shared" si="300"/>
        <v xml:space="preserve"> </v>
      </c>
      <c r="AU175" s="324" t="str">
        <f t="shared" si="301"/>
        <v xml:space="preserve"> </v>
      </c>
      <c r="AV175" s="324" t="str">
        <f t="shared" si="302"/>
        <v xml:space="preserve"> </v>
      </c>
      <c r="AW175" s="324" t="str">
        <f t="shared" si="303"/>
        <v xml:space="preserve"> </v>
      </c>
      <c r="AX175" s="324" t="str">
        <f t="shared" si="304"/>
        <v xml:space="preserve"> </v>
      </c>
      <c r="AY175" s="324" t="str">
        <f t="shared" si="305"/>
        <v xml:space="preserve"> </v>
      </c>
      <c r="AZ175" s="276"/>
      <c r="BA175" s="267" t="str">
        <f>IF($A175="N/A"," ",(IF(MONTH(A175)&gt;=4,IF(MONTH(A175)&lt;=10,Inputs!$F$13,Inputs!$F$14),Inputs!$F$14))*$BW175)</f>
        <v xml:space="preserve"> </v>
      </c>
      <c r="BB175" s="268" t="str">
        <f t="shared" si="266"/>
        <v xml:space="preserve"> </v>
      </c>
      <c r="BC175" s="268" t="str">
        <f t="shared" si="267"/>
        <v xml:space="preserve"> </v>
      </c>
      <c r="BD175" s="268" t="str">
        <f t="shared" si="234"/>
        <v xml:space="preserve"> </v>
      </c>
      <c r="BE175" s="268" t="str">
        <f t="shared" si="235"/>
        <v xml:space="preserve"> </v>
      </c>
      <c r="BF175" s="268" t="str">
        <f t="shared" si="236"/>
        <v xml:space="preserve"> </v>
      </c>
      <c r="BG175" s="268" t="str">
        <f t="shared" si="237"/>
        <v xml:space="preserve"> </v>
      </c>
      <c r="BH175" s="268" t="str">
        <f t="shared" si="258"/>
        <v xml:space="preserve"> </v>
      </c>
      <c r="BI175" s="268" t="str">
        <f t="shared" si="238"/>
        <v xml:space="preserve"> </v>
      </c>
      <c r="BJ175" s="296" t="str">
        <f t="shared" si="239"/>
        <v xml:space="preserve"> </v>
      </c>
      <c r="BK175" s="296" t="str">
        <f t="shared" si="240"/>
        <v xml:space="preserve"> </v>
      </c>
      <c r="BL175" s="296" t="str">
        <f t="shared" si="241"/>
        <v xml:space="preserve"> </v>
      </c>
      <c r="BM175" s="296" t="str">
        <f t="shared" si="242"/>
        <v xml:space="preserve"> </v>
      </c>
      <c r="BN175" s="405" t="str">
        <f>IF(A175="N/A"," ",(VLOOKUP(A175,PowerVolTable,(IF('Pricing Inputs'!$AT$3=2,7,IF('Pricing Inputs'!$AT$3=1,6,8))),FALSE)))</f>
        <v xml:space="preserve"> </v>
      </c>
      <c r="BO175" s="405" t="str">
        <f>IF(A175="N/A"," ",(VLOOKUP(A175,IntraPowerVol,(IF('Pricing Inputs'!$AT$3=2,3,IF('Pricing Inputs'!$AT$3=1,2,4))),FALSE)*VLOOKUP(MONTH($A175),Inputs!$A$28:$B$39,2)))</f>
        <v xml:space="preserve"> </v>
      </c>
      <c r="BP175" s="406" t="str">
        <f t="shared" si="227"/>
        <v xml:space="preserve"> </v>
      </c>
      <c r="BQ175" s="405" t="str">
        <f>IF($A175="N/A"," ",(VLOOKUP($A175,GasVolTable,(IF('Pricing Inputs'!$AT$3=2,6,IF('Pricing Inputs'!$AT$3=1,7,5))),FALSE)))</f>
        <v xml:space="preserve"> </v>
      </c>
      <c r="BR175" s="405" t="str">
        <f>IF($A175="N/A"," ",(VLOOKUP($A175,OmicronVol,(IF('Pricing Inputs'!$AT$3=2,3,IF('Pricing Inputs'!$AT$3=1,4,2))),FALSE)))</f>
        <v xml:space="preserve"> </v>
      </c>
      <c r="BS175" s="406" t="str">
        <f>IF($A175="N/A"," ",IF('Pricing Inputs'!$AN$3=1,(IF(DateToday&gt;$A175,$BR175,((($BQ175^2)*((($A175-1)-DateToday)/((EOMONTH($A175,0)+1)-DateToday-15)))+((($BR175)^2)*((15)/((EOMONTH($A175,0)+1)-DateToday-15))))^0.5)),0.0001))</f>
        <v xml:space="preserve"> </v>
      </c>
      <c r="BT175" s="405" t="str">
        <f>IF($A175="N/A"," ",IF('Pricing Inputs'!$AN$3=1,(VLOOKUP($A175,CorrelationTable,2,FALSE)),0))</f>
        <v xml:space="preserve"> </v>
      </c>
      <c r="BU175" s="407" t="str">
        <f>IF($A175="N/A"," ",F175+G175+(D175*(VLOOKUP($A175,'Gas Curves'!$B$17:$P$310,14,FALSE))))</f>
        <v xml:space="preserve"> </v>
      </c>
      <c r="BV175" s="405" t="str">
        <f>IF($A175="N/A"," ",IF('Pricing Inputs'!$AW$3=1,0,(VLOOKUP($A175,InterestRatesTable,2))))</f>
        <v xml:space="preserve"> </v>
      </c>
      <c r="BW175" s="408" t="str">
        <f t="shared" si="228"/>
        <v xml:space="preserve"> </v>
      </c>
    </row>
    <row r="176" spans="1:75">
      <c r="A176" s="248" t="str">
        <f>IF(A175="N/A","N/A",IF(EDATE(A175,1)&gt;Inputs!$K$3,"N/A",EDATE(A175,1)))</f>
        <v>N/A</v>
      </c>
      <c r="B176" s="262" t="str">
        <f t="shared" si="229"/>
        <v xml:space="preserve"> </v>
      </c>
      <c r="C176" s="249" t="str">
        <f t="shared" si="230"/>
        <v xml:space="preserve"> </v>
      </c>
      <c r="D176" s="250" t="str">
        <f>IF(A176="N/A"," ",(VLOOKUP(MONTH($A176),Inputs!$A$14:$B$25,2))/1000)</f>
        <v xml:space="preserve"> </v>
      </c>
      <c r="E176" s="304" t="str">
        <f t="shared" si="231"/>
        <v xml:space="preserve"> </v>
      </c>
      <c r="F176" s="251" t="str">
        <f>IF(A176="N/A"," ",Inputs!$F$6)</f>
        <v xml:space="preserve"> </v>
      </c>
      <c r="G176" s="251" t="str">
        <f>IF(A176="N/A"," ",Inputs!$F$9/IF(AND('Pricing Inputs'!$AQ$3&gt;=4,'Pricing Inputs'!$AQ$3&lt;=6),16,IF(AND('Pricing Inputs'!$AQ$3&gt;=7,'Pricing Inputs'!$AQ$3&lt;=9),8,24))/(BA176/BW176))</f>
        <v xml:space="preserve"> </v>
      </c>
      <c r="H176" s="252" t="str">
        <f t="shared" si="232"/>
        <v xml:space="preserve"> </v>
      </c>
      <c r="I176" s="255" t="str">
        <f>VLOOKUP(A176,ScaledPrice,(IF(AND('Pricing Inputs'!$AQ$3&gt;=1,'Pricing Inputs'!$AQ$3&lt;=6),2,4)))</f>
        <v xml:space="preserve"> </v>
      </c>
      <c r="J176" s="255" t="str">
        <f>IF(A176="N/A"," ",IF(AND('Pricing Inputs'!$AQ$3&gt;=1,'Pricing Inputs'!$AQ$3&lt;=6),I176,(VLOOKUP(A176,ScaledPrice,2))*(2-(VLOOKUP(A176,ScaledPrice,3)))))</f>
        <v xml:space="preserve"> </v>
      </c>
      <c r="K176" s="255" t="str">
        <f>IF(A176="N/A"," ",IF(OR('Pricing Inputs'!$AQ$3=2,'Pricing Inputs'!$AQ$3=3,'Pricing Inputs'!$AQ$3=5,'Pricing Inputs'!$AQ$3=6,'Pricing Inputs'!$AQ$3=8,'Pricing Inputs'!$AQ$3=9),VLOOKUP(A176,ScaledPrice,IF(AND('Pricing Inputs'!$AQ$3&gt;=2,'Pricing Inputs'!$AQ$3&lt;=6),5,6)),0))</f>
        <v xml:space="preserve"> </v>
      </c>
      <c r="L176" s="255" t="str">
        <f>IF(A176="N/A"," ",IF(OR('Pricing Inputs'!$AQ$3=2,'Pricing Inputs'!$AQ$3=3,'Pricing Inputs'!$AQ$3=5,'Pricing Inputs'!$AQ$3=6,'Pricing Inputs'!$AQ$3=8,'Pricing Inputs'!$AQ$3=9),IF(AND('Pricing Inputs'!$AQ$3&gt;=2,'Pricing Inputs'!$AQ$3&lt;=6),K176,(VLOOKUP(A176,ScaledPrice,5))*(2-(VLOOKUP(A176,ScaledPrice,3)))),0))</f>
        <v xml:space="preserve"> </v>
      </c>
      <c r="M176" s="255" t="str">
        <f>IF(A176="N/A"," ",IF(OR('Pricing Inputs'!$AQ$3=3,'Pricing Inputs'!$AQ$3=6,'Pricing Inputs'!$AQ$3=9),(VLOOKUP(A176,ScaledPrice,IF(AND('Pricing Inputs'!$AQ$3&gt;=3,'Pricing Inputs'!$AQ$3&lt;=6),7,8))),0))</f>
        <v xml:space="preserve"> </v>
      </c>
      <c r="N176" s="255" t="str">
        <f>IF(A176="N/A"," ",IF(OR('Pricing Inputs'!$AQ$3=3,'Pricing Inputs'!$AQ$3=6,'Pricing Inputs'!$AQ$3=9),IF(AND('Pricing Inputs'!$AQ$3&gt;=3,'Pricing Inputs'!$AQ$3&lt;=6),M176,(VLOOKUP(A176,ScaledPrice,7))*(2-(VLOOKUP(A176,ScaledPrice,3)))),0))</f>
        <v xml:space="preserve"> </v>
      </c>
      <c r="O176" s="255" t="str">
        <f>IF(A176="N/A"," ",IF(AND('Pricing Inputs'!$AQ$3&gt;=1,'Pricing Inputs'!$AQ$3&lt;=3),VLOOKUP(A176,ScaledPrice,9),0))</f>
        <v xml:space="preserve"> </v>
      </c>
      <c r="P176" s="320" t="str">
        <f>IF($A176="N/A"," ",IF('Pricing Inputs'!$AN$8=2,(I176-H176),IF('Pricing Inputs'!$AN$3=2,IF((I176-$H176)&gt;0,I176-$H176,0),(_xll.xSPRDOPT(I176,$E176,$BU176,0,$BP176,$BS176,$BT176,($A176-Inputs!$D$1)+15,1,0)))))</f>
        <v xml:space="preserve"> </v>
      </c>
      <c r="Q176" s="320" t="str">
        <f>IF($A176="N/A"," ",IF('Pricing Inputs'!$AN$8=2,(J176-$H176),IF('Pricing Inputs'!$AN$3=2,IF((J176-$H176)&gt;0,J176-$H176,0),(_xll.xSPRDOPT(J176,$E176,$BU176,0,$BP176,$BS176,$BT176,($A176-Inputs!$D$1)+15,1,0)))))</f>
        <v xml:space="preserve"> </v>
      </c>
      <c r="R176" s="320" t="str">
        <f>IF($A176="N/A"," ",IF('Pricing Inputs'!$AN$8=2,(K176-$H176),IF('Pricing Inputs'!$AN$3=2,IF((K176-$H176)&gt;0,K176-$H176,0),(_xll.xSPRDOPT(K176,$E176,$BU176,0,$BP176,$BS176,$BT176,($A176-Inputs!$D$1)+15,1,0)))))</f>
        <v xml:space="preserve"> </v>
      </c>
      <c r="S176" s="320" t="str">
        <f>IF($A176="N/A"," ",IF('Pricing Inputs'!$AN$8=2,(L176-$H176),IF('Pricing Inputs'!$AN$3=2,IF((L176-$H176)&gt;0,L176-$H176,0),(_xll.xSPRDOPT(L176,$E176,$BU176,0,$BP176,$BS176,$BT176,($A176-Inputs!$D$1)+15,1,0)))))</f>
        <v xml:space="preserve"> </v>
      </c>
      <c r="T176" s="320" t="str">
        <f>IF($A176="N/A"," ",IF('Pricing Inputs'!$AN$8=2,(M176-$H176),IF('Pricing Inputs'!$AN$3=2,IF((M176-$H176)&gt;0,M176-$H176,0),(_xll.xSPRDOPT(M176,$E176,$BU176,0,$BP176,$BS176,$BT176,($A176-Inputs!$D$1)+15,1,0)))))</f>
        <v xml:space="preserve"> </v>
      </c>
      <c r="U176" s="320" t="str">
        <f>IF($A176="N/A"," ",IF('Pricing Inputs'!$AN$8=2,(N176-$H176),IF('Pricing Inputs'!$AN$3=2,IF((N176-$H176)&gt;0,N176-$H176,0),(_xll.xSPRDOPT(N176,$E176,$BU176,0,$BP176,$BS176,$BT176,($A176-Inputs!$D$1)+15,1,0)))))</f>
        <v xml:space="preserve"> </v>
      </c>
      <c r="V176" s="259" t="str">
        <f>IF($A176="N/A"," ",(IF('Pricing Inputs'!$AN$8=2,(O176-$H176),IF((O176-$H176)&lt;=0,0,(O176-$H176)))))</f>
        <v xml:space="preserve"> </v>
      </c>
      <c r="W176" s="306" t="str">
        <f>IF($A176="N/A"," ",IF(0&lt;&gt;P176,IF('Pricing Inputs'!$AN$3=2,8*VLOOKUP($A176,NumberofDaysTable,2),(_xll.xSPRDOPT(I176,$E176,$BU176,0,$BP176,$BS176,$BT176,$A176-Inputs!$D$1,1,1))*(8*VLOOKUP($A176,NumberofDaysTable,2))),0))</f>
        <v xml:space="preserve"> </v>
      </c>
      <c r="X176" s="306" t="str">
        <f>IF($A176="N/A"," ",IF(Q176&lt;&gt;0,IF('Pricing Inputs'!$AN$3=2,8*VLOOKUP($A176,NumberofDaysTable,2),(_xll.xSPRDOPT(J176,$E176,$BU176,0,$BP176,$BS176,$BT176,$A176-Inputs!$D$1,1,1))*(8*VLOOKUP($A176,NumberofDaysTable,2))),0))</f>
        <v xml:space="preserve"> </v>
      </c>
      <c r="Y176" s="306" t="str">
        <f>IF($A176="N/A"," ",IF(R176&lt;&gt;0,IF('Pricing Inputs'!$AN$3=2,8*VLOOKUP($A176,NumberofDaysTable,3),(_xll.xSPRDOPT(K176,$E176,$BU176,0,$BP176,$BS176,$BT176,$A176-Inputs!$D$1,1,1))*(8*VLOOKUP($A176,NumberofDaysTable,3))),0))</f>
        <v xml:space="preserve"> </v>
      </c>
      <c r="Z176" s="306" t="str">
        <f>IF($A176="N/A"," ",IF(S176&lt;&gt;0,IF('Pricing Inputs'!$AN$3=2,8*VLOOKUP($A176,NumberofDaysTable,3),(_xll.xSPRDOPT(L176,$E176,$BU176,0,$BP176,$BS176,$BT176,$A176-Inputs!$D$1,1,1))*(8*VLOOKUP($A176,NumberofDaysTable,3))),0))</f>
        <v xml:space="preserve"> </v>
      </c>
      <c r="AA176" s="306" t="str">
        <f>IF($A176="N/A"," ",IF(T176&lt;&gt;0,IF('Pricing Inputs'!$AN$3=2,8*VLOOKUP($A176,NumberofDaysTable,4),(_xll.xSPRDOPT(M176,$E176,$BU176,0,$BP176,$BS176,$BT176,$A176-Inputs!$D$1,1,1))*(8*VLOOKUP($A176,NumberofDaysTable,4))),0))</f>
        <v xml:space="preserve"> </v>
      </c>
      <c r="AB176" s="306" t="str">
        <f>IF($A176="N/A"," ",IF(U176&lt;&gt;0,IF('Pricing Inputs'!$AN$3=2,8*VLOOKUP($A176,NumberofDaysTable,4),(_xll.xSPRDOPT(N176,$E176,$BU176,0,$BP176,$BS176,$BT176,$A176-Inputs!$D$1,1,1))*(8*VLOOKUP($A176,NumberofDaysTable,4))),0))</f>
        <v xml:space="preserve"> </v>
      </c>
      <c r="AC176" s="306" t="str">
        <f t="shared" si="233"/>
        <v xml:space="preserve"> </v>
      </c>
      <c r="AD176" s="274" t="str">
        <f t="shared" si="306"/>
        <v xml:space="preserve"> </v>
      </c>
      <c r="AE176" s="275" t="str">
        <f t="shared" si="307"/>
        <v xml:space="preserve"> </v>
      </c>
      <c r="AF176" s="275" t="str">
        <f t="shared" si="308"/>
        <v xml:space="preserve"> </v>
      </c>
      <c r="AG176" s="275" t="str">
        <f t="shared" si="309"/>
        <v xml:space="preserve"> </v>
      </c>
      <c r="AH176" s="275" t="str">
        <f t="shared" si="310"/>
        <v xml:space="preserve"> </v>
      </c>
      <c r="AI176" s="275" t="str">
        <f t="shared" si="311"/>
        <v xml:space="preserve"> </v>
      </c>
      <c r="AJ176" s="276" t="str">
        <f t="shared" si="312"/>
        <v xml:space="preserve"> </v>
      </c>
      <c r="AK176" s="314" t="str">
        <f t="shared" si="259"/>
        <v xml:space="preserve"> </v>
      </c>
      <c r="AL176" s="315" t="str">
        <f t="shared" si="260"/>
        <v xml:space="preserve"> </v>
      </c>
      <c r="AM176" s="315" t="str">
        <f t="shared" si="261"/>
        <v xml:space="preserve"> </v>
      </c>
      <c r="AN176" s="315" t="str">
        <f t="shared" si="262"/>
        <v xml:space="preserve"> </v>
      </c>
      <c r="AO176" s="315" t="str">
        <f t="shared" si="263"/>
        <v xml:space="preserve"> </v>
      </c>
      <c r="AP176" s="315" t="str">
        <f t="shared" si="264"/>
        <v xml:space="preserve"> </v>
      </c>
      <c r="AQ176" s="315" t="str">
        <f t="shared" si="265"/>
        <v xml:space="preserve"> </v>
      </c>
      <c r="AR176" s="276"/>
      <c r="AS176" s="321" t="str">
        <f t="shared" si="299"/>
        <v xml:space="preserve"> </v>
      </c>
      <c r="AT176" s="324" t="str">
        <f t="shared" si="300"/>
        <v xml:space="preserve"> </v>
      </c>
      <c r="AU176" s="324" t="str">
        <f t="shared" si="301"/>
        <v xml:space="preserve"> </v>
      </c>
      <c r="AV176" s="324" t="str">
        <f t="shared" si="302"/>
        <v xml:space="preserve"> </v>
      </c>
      <c r="AW176" s="324" t="str">
        <f t="shared" si="303"/>
        <v xml:space="preserve"> </v>
      </c>
      <c r="AX176" s="324" t="str">
        <f t="shared" si="304"/>
        <v xml:space="preserve"> </v>
      </c>
      <c r="AY176" s="324" t="str">
        <f t="shared" si="305"/>
        <v xml:space="preserve"> </v>
      </c>
      <c r="AZ176" s="276"/>
      <c r="BA176" s="267" t="str">
        <f>IF($A176="N/A"," ",(IF(MONTH(A176)&gt;=4,IF(MONTH(A176)&lt;=10,Inputs!$F$13,Inputs!$F$14),Inputs!$F$14))*$BW176)</f>
        <v xml:space="preserve"> </v>
      </c>
      <c r="BB176" s="268" t="str">
        <f t="shared" si="266"/>
        <v xml:space="preserve"> </v>
      </c>
      <c r="BC176" s="268" t="str">
        <f t="shared" si="267"/>
        <v xml:space="preserve"> </v>
      </c>
      <c r="BD176" s="268" t="str">
        <f t="shared" si="234"/>
        <v xml:space="preserve"> </v>
      </c>
      <c r="BE176" s="268" t="str">
        <f t="shared" si="235"/>
        <v xml:space="preserve"> </v>
      </c>
      <c r="BF176" s="268" t="str">
        <f t="shared" si="236"/>
        <v xml:space="preserve"> </v>
      </c>
      <c r="BG176" s="268" t="str">
        <f t="shared" si="237"/>
        <v xml:space="preserve"> </v>
      </c>
      <c r="BH176" s="268" t="str">
        <f t="shared" si="258"/>
        <v xml:space="preserve"> </v>
      </c>
      <c r="BI176" s="268" t="str">
        <f t="shared" si="238"/>
        <v xml:space="preserve"> </v>
      </c>
      <c r="BJ176" s="296" t="str">
        <f t="shared" si="239"/>
        <v xml:space="preserve"> </v>
      </c>
      <c r="BK176" s="296" t="str">
        <f t="shared" si="240"/>
        <v xml:space="preserve"> </v>
      </c>
      <c r="BL176" s="296" t="str">
        <f t="shared" si="241"/>
        <v xml:space="preserve"> </v>
      </c>
      <c r="BM176" s="296" t="str">
        <f t="shared" si="242"/>
        <v xml:space="preserve"> </v>
      </c>
      <c r="BN176" s="405" t="str">
        <f>IF(A176="N/A"," ",(VLOOKUP(A176,PowerVolTable,(IF('Pricing Inputs'!$AT$3=2,7,IF('Pricing Inputs'!$AT$3=1,6,8))),FALSE)))</f>
        <v xml:space="preserve"> </v>
      </c>
      <c r="BO176" s="405" t="str">
        <f>IF(A176="N/A"," ",(VLOOKUP(A176,IntraPowerVol,(IF('Pricing Inputs'!$AT$3=2,3,IF('Pricing Inputs'!$AT$3=1,2,4))),FALSE)*VLOOKUP(MONTH($A176),Inputs!$A$28:$B$39,2)))</f>
        <v xml:space="preserve"> </v>
      </c>
      <c r="BP176" s="406" t="str">
        <f t="shared" si="227"/>
        <v xml:space="preserve"> </v>
      </c>
      <c r="BQ176" s="405" t="str">
        <f>IF($A176="N/A"," ",(VLOOKUP($A176,GasVolTable,(IF('Pricing Inputs'!$AT$3=2,6,IF('Pricing Inputs'!$AT$3=1,7,5))),FALSE)))</f>
        <v xml:space="preserve"> </v>
      </c>
      <c r="BR176" s="405" t="str">
        <f>IF($A176="N/A"," ",(VLOOKUP($A176,OmicronVol,(IF('Pricing Inputs'!$AT$3=2,3,IF('Pricing Inputs'!$AT$3=1,4,2))),FALSE)))</f>
        <v xml:space="preserve"> </v>
      </c>
      <c r="BS176" s="406" t="str">
        <f>IF($A176="N/A"," ",IF('Pricing Inputs'!$AN$3=1,(IF(DateToday&gt;$A176,$BR176,((($BQ176^2)*((($A176-1)-DateToday)/((EOMONTH($A176,0)+1)-DateToday-15)))+((($BR176)^2)*((15)/((EOMONTH($A176,0)+1)-DateToday-15))))^0.5)),0.0001))</f>
        <v xml:space="preserve"> </v>
      </c>
      <c r="BT176" s="405" t="str">
        <f>IF($A176="N/A"," ",IF('Pricing Inputs'!$AN$3=1,(VLOOKUP($A176,CorrelationTable,2,FALSE)),0))</f>
        <v xml:space="preserve"> </v>
      </c>
      <c r="BU176" s="407" t="str">
        <f>IF($A176="N/A"," ",F176+G176+(D176*(VLOOKUP($A176,'Gas Curves'!$B$17:$P$310,14,FALSE))))</f>
        <v xml:space="preserve"> </v>
      </c>
      <c r="BV176" s="405" t="str">
        <f>IF($A176="N/A"," ",IF('Pricing Inputs'!$AW$3=1,0,(VLOOKUP($A176,InterestRatesTable,2))))</f>
        <v xml:space="preserve"> </v>
      </c>
      <c r="BW176" s="408" t="str">
        <f t="shared" si="228"/>
        <v xml:space="preserve"> </v>
      </c>
    </row>
    <row r="177" spans="1:75">
      <c r="A177" s="248" t="str">
        <f>IF(A176="N/A","N/A",IF(EDATE(A176,1)&gt;Inputs!$K$3,"N/A",EDATE(A176,1)))</f>
        <v>N/A</v>
      </c>
      <c r="B177" s="262" t="str">
        <f t="shared" si="229"/>
        <v xml:space="preserve"> </v>
      </c>
      <c r="C177" s="249" t="str">
        <f t="shared" si="230"/>
        <v xml:space="preserve"> </v>
      </c>
      <c r="D177" s="250" t="str">
        <f>IF(A177="N/A"," ",(VLOOKUP(MONTH($A177),Inputs!$A$14:$B$25,2))/1000)</f>
        <v xml:space="preserve"> </v>
      </c>
      <c r="E177" s="304" t="str">
        <f t="shared" si="231"/>
        <v xml:space="preserve"> </v>
      </c>
      <c r="F177" s="251" t="str">
        <f>IF(A177="N/A"," ",Inputs!$F$6)</f>
        <v xml:space="preserve"> </v>
      </c>
      <c r="G177" s="251" t="str">
        <f>IF(A177="N/A"," ",Inputs!$F$9/IF(AND('Pricing Inputs'!$AQ$3&gt;=4,'Pricing Inputs'!$AQ$3&lt;=6),16,IF(AND('Pricing Inputs'!$AQ$3&gt;=7,'Pricing Inputs'!$AQ$3&lt;=9),8,24))/(BA177/BW177))</f>
        <v xml:space="preserve"> </v>
      </c>
      <c r="H177" s="252" t="str">
        <f t="shared" si="232"/>
        <v xml:space="preserve"> </v>
      </c>
      <c r="I177" s="255" t="str">
        <f>VLOOKUP(A177,ScaledPrice,(IF(AND('Pricing Inputs'!$AQ$3&gt;=1,'Pricing Inputs'!$AQ$3&lt;=6),2,4)))</f>
        <v xml:space="preserve"> </v>
      </c>
      <c r="J177" s="255" t="str">
        <f>IF(A177="N/A"," ",IF(AND('Pricing Inputs'!$AQ$3&gt;=1,'Pricing Inputs'!$AQ$3&lt;=6),I177,(VLOOKUP(A177,ScaledPrice,2))*(2-(VLOOKUP(A177,ScaledPrice,3)))))</f>
        <v xml:space="preserve"> </v>
      </c>
      <c r="K177" s="255" t="str">
        <f>IF(A177="N/A"," ",IF(OR('Pricing Inputs'!$AQ$3=2,'Pricing Inputs'!$AQ$3=3,'Pricing Inputs'!$AQ$3=5,'Pricing Inputs'!$AQ$3=6,'Pricing Inputs'!$AQ$3=8,'Pricing Inputs'!$AQ$3=9),VLOOKUP(A177,ScaledPrice,IF(AND('Pricing Inputs'!$AQ$3&gt;=2,'Pricing Inputs'!$AQ$3&lt;=6),5,6)),0))</f>
        <v xml:space="preserve"> </v>
      </c>
      <c r="L177" s="255" t="str">
        <f>IF(A177="N/A"," ",IF(OR('Pricing Inputs'!$AQ$3=2,'Pricing Inputs'!$AQ$3=3,'Pricing Inputs'!$AQ$3=5,'Pricing Inputs'!$AQ$3=6,'Pricing Inputs'!$AQ$3=8,'Pricing Inputs'!$AQ$3=9),IF(AND('Pricing Inputs'!$AQ$3&gt;=2,'Pricing Inputs'!$AQ$3&lt;=6),K177,(VLOOKUP(A177,ScaledPrice,5))*(2-(VLOOKUP(A177,ScaledPrice,3)))),0))</f>
        <v xml:space="preserve"> </v>
      </c>
      <c r="M177" s="255" t="str">
        <f>IF(A177="N/A"," ",IF(OR('Pricing Inputs'!$AQ$3=3,'Pricing Inputs'!$AQ$3=6,'Pricing Inputs'!$AQ$3=9),(VLOOKUP(A177,ScaledPrice,IF(AND('Pricing Inputs'!$AQ$3&gt;=3,'Pricing Inputs'!$AQ$3&lt;=6),7,8))),0))</f>
        <v xml:space="preserve"> </v>
      </c>
      <c r="N177" s="255" t="str">
        <f>IF(A177="N/A"," ",IF(OR('Pricing Inputs'!$AQ$3=3,'Pricing Inputs'!$AQ$3=6,'Pricing Inputs'!$AQ$3=9),IF(AND('Pricing Inputs'!$AQ$3&gt;=3,'Pricing Inputs'!$AQ$3&lt;=6),M177,(VLOOKUP(A177,ScaledPrice,7))*(2-(VLOOKUP(A177,ScaledPrice,3)))),0))</f>
        <v xml:space="preserve"> </v>
      </c>
      <c r="O177" s="255" t="str">
        <f>IF(A177="N/A"," ",IF(AND('Pricing Inputs'!$AQ$3&gt;=1,'Pricing Inputs'!$AQ$3&lt;=3),VLOOKUP(A177,ScaledPrice,9),0))</f>
        <v xml:space="preserve"> </v>
      </c>
      <c r="P177" s="320" t="str">
        <f>IF($A177="N/A"," ",IF('Pricing Inputs'!$AN$8=2,(I177-H177),IF('Pricing Inputs'!$AN$3=2,IF((I177-$H177)&gt;0,I177-$H177,0),(_xll.xSPRDOPT(I177,$E177,$BU177,0,$BP177,$BS177,$BT177,($A177-Inputs!$D$1)+15,1,0)))))</f>
        <v xml:space="preserve"> </v>
      </c>
      <c r="Q177" s="320" t="str">
        <f>IF($A177="N/A"," ",IF('Pricing Inputs'!$AN$8=2,(J177-$H177),IF('Pricing Inputs'!$AN$3=2,IF((J177-$H177)&gt;0,J177-$H177,0),(_xll.xSPRDOPT(J177,$E177,$BU177,0,$BP177,$BS177,$BT177,($A177-Inputs!$D$1)+15,1,0)))))</f>
        <v xml:space="preserve"> </v>
      </c>
      <c r="R177" s="320" t="str">
        <f>IF($A177="N/A"," ",IF('Pricing Inputs'!$AN$8=2,(K177-$H177),IF('Pricing Inputs'!$AN$3=2,IF((K177-$H177)&gt;0,K177-$H177,0),(_xll.xSPRDOPT(K177,$E177,$BU177,0,$BP177,$BS177,$BT177,($A177-Inputs!$D$1)+15,1,0)))))</f>
        <v xml:space="preserve"> </v>
      </c>
      <c r="S177" s="320" t="str">
        <f>IF($A177="N/A"," ",IF('Pricing Inputs'!$AN$8=2,(L177-$H177),IF('Pricing Inputs'!$AN$3=2,IF((L177-$H177)&gt;0,L177-$H177,0),(_xll.xSPRDOPT(L177,$E177,$BU177,0,$BP177,$BS177,$BT177,($A177-Inputs!$D$1)+15,1,0)))))</f>
        <v xml:space="preserve"> </v>
      </c>
      <c r="T177" s="320" t="str">
        <f>IF($A177="N/A"," ",IF('Pricing Inputs'!$AN$8=2,(M177-$H177),IF('Pricing Inputs'!$AN$3=2,IF((M177-$H177)&gt;0,M177-$H177,0),(_xll.xSPRDOPT(M177,$E177,$BU177,0,$BP177,$BS177,$BT177,($A177-Inputs!$D$1)+15,1,0)))))</f>
        <v xml:space="preserve"> </v>
      </c>
      <c r="U177" s="320" t="str">
        <f>IF($A177="N/A"," ",IF('Pricing Inputs'!$AN$8=2,(N177-$H177),IF('Pricing Inputs'!$AN$3=2,IF((N177-$H177)&gt;0,N177-$H177,0),(_xll.xSPRDOPT(N177,$E177,$BU177,0,$BP177,$BS177,$BT177,($A177-Inputs!$D$1)+15,1,0)))))</f>
        <v xml:space="preserve"> </v>
      </c>
      <c r="V177" s="259" t="str">
        <f>IF($A177="N/A"," ",(IF('Pricing Inputs'!$AN$8=2,(O177-$H177),IF((O177-$H177)&lt;=0,0,(O177-$H177)))))</f>
        <v xml:space="preserve"> </v>
      </c>
      <c r="W177" s="306" t="str">
        <f>IF($A177="N/A"," ",IF(0&lt;&gt;P177,IF('Pricing Inputs'!$AN$3=2,8*VLOOKUP($A177,NumberofDaysTable,2),(_xll.xSPRDOPT(I177,$E177,$BU177,0,$BP177,$BS177,$BT177,$A177-Inputs!$D$1,1,1))*(8*VLOOKUP($A177,NumberofDaysTable,2))),0))</f>
        <v xml:space="preserve"> </v>
      </c>
      <c r="X177" s="306" t="str">
        <f>IF($A177="N/A"," ",IF(Q177&lt;&gt;0,IF('Pricing Inputs'!$AN$3=2,8*VLOOKUP($A177,NumberofDaysTable,2),(_xll.xSPRDOPT(J177,$E177,$BU177,0,$BP177,$BS177,$BT177,$A177-Inputs!$D$1,1,1))*(8*VLOOKUP($A177,NumberofDaysTable,2))),0))</f>
        <v xml:space="preserve"> </v>
      </c>
      <c r="Y177" s="306" t="str">
        <f>IF($A177="N/A"," ",IF(R177&lt;&gt;0,IF('Pricing Inputs'!$AN$3=2,8*VLOOKUP($A177,NumberofDaysTable,3),(_xll.xSPRDOPT(K177,$E177,$BU177,0,$BP177,$BS177,$BT177,$A177-Inputs!$D$1,1,1))*(8*VLOOKUP($A177,NumberofDaysTable,3))),0))</f>
        <v xml:space="preserve"> </v>
      </c>
      <c r="Z177" s="306" t="str">
        <f>IF($A177="N/A"," ",IF(S177&lt;&gt;0,IF('Pricing Inputs'!$AN$3=2,8*VLOOKUP($A177,NumberofDaysTable,3),(_xll.xSPRDOPT(L177,$E177,$BU177,0,$BP177,$BS177,$BT177,$A177-Inputs!$D$1,1,1))*(8*VLOOKUP($A177,NumberofDaysTable,3))),0))</f>
        <v xml:space="preserve"> </v>
      </c>
      <c r="AA177" s="306" t="str">
        <f>IF($A177="N/A"," ",IF(T177&lt;&gt;0,IF('Pricing Inputs'!$AN$3=2,8*VLOOKUP($A177,NumberofDaysTable,4),(_xll.xSPRDOPT(M177,$E177,$BU177,0,$BP177,$BS177,$BT177,$A177-Inputs!$D$1,1,1))*(8*VLOOKUP($A177,NumberofDaysTable,4))),0))</f>
        <v xml:space="preserve"> </v>
      </c>
      <c r="AB177" s="306" t="str">
        <f>IF($A177="N/A"," ",IF(U177&lt;&gt;0,IF('Pricing Inputs'!$AN$3=2,8*VLOOKUP($A177,NumberofDaysTable,4),(_xll.xSPRDOPT(N177,$E177,$BU177,0,$BP177,$BS177,$BT177,$A177-Inputs!$D$1,1,1))*(8*VLOOKUP($A177,NumberofDaysTable,4))),0))</f>
        <v xml:space="preserve"> </v>
      </c>
      <c r="AC177" s="306" t="str">
        <f t="shared" si="233"/>
        <v xml:space="preserve"> </v>
      </c>
      <c r="AD177" s="274" t="str">
        <f t="shared" si="306"/>
        <v xml:space="preserve"> </v>
      </c>
      <c r="AE177" s="275" t="str">
        <f t="shared" si="307"/>
        <v xml:space="preserve"> </v>
      </c>
      <c r="AF177" s="275" t="str">
        <f t="shared" si="308"/>
        <v xml:space="preserve"> </v>
      </c>
      <c r="AG177" s="275" t="str">
        <f t="shared" si="309"/>
        <v xml:space="preserve"> </v>
      </c>
      <c r="AH177" s="275" t="str">
        <f t="shared" si="310"/>
        <v xml:space="preserve"> </v>
      </c>
      <c r="AI177" s="275" t="str">
        <f t="shared" si="311"/>
        <v xml:space="preserve"> </v>
      </c>
      <c r="AJ177" s="276" t="str">
        <f t="shared" si="312"/>
        <v xml:space="preserve"> </v>
      </c>
      <c r="AK177" s="314" t="str">
        <f t="shared" si="259"/>
        <v xml:space="preserve"> </v>
      </c>
      <c r="AL177" s="315" t="str">
        <f t="shared" si="260"/>
        <v xml:space="preserve"> </v>
      </c>
      <c r="AM177" s="315" t="str">
        <f t="shared" si="261"/>
        <v xml:space="preserve"> </v>
      </c>
      <c r="AN177" s="315" t="str">
        <f t="shared" si="262"/>
        <v xml:space="preserve"> </v>
      </c>
      <c r="AO177" s="315" t="str">
        <f t="shared" si="263"/>
        <v xml:space="preserve"> </v>
      </c>
      <c r="AP177" s="315" t="str">
        <f t="shared" si="264"/>
        <v xml:space="preserve"> </v>
      </c>
      <c r="AQ177" s="315" t="str">
        <f t="shared" si="265"/>
        <v xml:space="preserve"> </v>
      </c>
      <c r="AR177" s="276"/>
      <c r="AS177" s="321" t="str">
        <f t="shared" si="299"/>
        <v xml:space="preserve"> </v>
      </c>
      <c r="AT177" s="324" t="str">
        <f t="shared" si="300"/>
        <v xml:space="preserve"> </v>
      </c>
      <c r="AU177" s="324" t="str">
        <f t="shared" si="301"/>
        <v xml:space="preserve"> </v>
      </c>
      <c r="AV177" s="324" t="str">
        <f t="shared" si="302"/>
        <v xml:space="preserve"> </v>
      </c>
      <c r="AW177" s="324" t="str">
        <f t="shared" si="303"/>
        <v xml:space="preserve"> </v>
      </c>
      <c r="AX177" s="324" t="str">
        <f t="shared" si="304"/>
        <v xml:space="preserve"> </v>
      </c>
      <c r="AY177" s="324" t="str">
        <f t="shared" si="305"/>
        <v xml:space="preserve"> </v>
      </c>
      <c r="AZ177" s="276"/>
      <c r="BA177" s="267" t="str">
        <f>IF($A177="N/A"," ",(IF(MONTH(A177)&gt;=4,IF(MONTH(A177)&lt;=10,Inputs!$F$13,Inputs!$F$14),Inputs!$F$14))*$BW177)</f>
        <v xml:space="preserve"> </v>
      </c>
      <c r="BB177" s="268" t="str">
        <f t="shared" si="266"/>
        <v xml:space="preserve"> </v>
      </c>
      <c r="BC177" s="268" t="str">
        <f t="shared" si="267"/>
        <v xml:space="preserve"> </v>
      </c>
      <c r="BD177" s="268" t="str">
        <f t="shared" si="234"/>
        <v xml:space="preserve"> </v>
      </c>
      <c r="BE177" s="268" t="str">
        <f t="shared" si="235"/>
        <v xml:space="preserve"> </v>
      </c>
      <c r="BF177" s="268" t="str">
        <f t="shared" si="236"/>
        <v xml:space="preserve"> </v>
      </c>
      <c r="BG177" s="268" t="str">
        <f t="shared" si="237"/>
        <v xml:space="preserve"> </v>
      </c>
      <c r="BH177" s="268" t="str">
        <f t="shared" si="258"/>
        <v xml:space="preserve"> </v>
      </c>
      <c r="BI177" s="268" t="str">
        <f t="shared" si="238"/>
        <v xml:space="preserve"> </v>
      </c>
      <c r="BJ177" s="296" t="str">
        <f t="shared" si="239"/>
        <v xml:space="preserve"> </v>
      </c>
      <c r="BK177" s="296" t="str">
        <f t="shared" si="240"/>
        <v xml:space="preserve"> </v>
      </c>
      <c r="BL177" s="296" t="str">
        <f t="shared" si="241"/>
        <v xml:space="preserve"> </v>
      </c>
      <c r="BM177" s="296" t="str">
        <f t="shared" si="242"/>
        <v xml:space="preserve"> </v>
      </c>
      <c r="BN177" s="405" t="str">
        <f>IF(A177="N/A"," ",(VLOOKUP(A177,PowerVolTable,(IF('Pricing Inputs'!$AT$3=2,7,IF('Pricing Inputs'!$AT$3=1,6,8))),FALSE)))</f>
        <v xml:space="preserve"> </v>
      </c>
      <c r="BO177" s="405" t="str">
        <f>IF(A177="N/A"," ",(VLOOKUP(A177,IntraPowerVol,(IF('Pricing Inputs'!$AT$3=2,3,IF('Pricing Inputs'!$AT$3=1,2,4))),FALSE)*VLOOKUP(MONTH($A177),Inputs!$A$28:$B$39,2)))</f>
        <v xml:space="preserve"> </v>
      </c>
      <c r="BP177" s="406" t="str">
        <f t="shared" si="227"/>
        <v xml:space="preserve"> </v>
      </c>
      <c r="BQ177" s="405" t="str">
        <f>IF($A177="N/A"," ",(VLOOKUP($A177,GasVolTable,(IF('Pricing Inputs'!$AT$3=2,6,IF('Pricing Inputs'!$AT$3=1,7,5))),FALSE)))</f>
        <v xml:space="preserve"> </v>
      </c>
      <c r="BR177" s="405" t="str">
        <f>IF($A177="N/A"," ",(VLOOKUP($A177,OmicronVol,(IF('Pricing Inputs'!$AT$3=2,3,IF('Pricing Inputs'!$AT$3=1,4,2))),FALSE)))</f>
        <v xml:space="preserve"> </v>
      </c>
      <c r="BS177" s="406" t="str">
        <f>IF($A177="N/A"," ",IF('Pricing Inputs'!$AN$3=1,(IF(DateToday&gt;$A177,$BR177,((($BQ177^2)*((($A177-1)-DateToday)/((EOMONTH($A177,0)+1)-DateToday-15)))+((($BR177)^2)*((15)/((EOMONTH($A177,0)+1)-DateToday-15))))^0.5)),0.0001))</f>
        <v xml:space="preserve"> </v>
      </c>
      <c r="BT177" s="405" t="str">
        <f>IF($A177="N/A"," ",IF('Pricing Inputs'!$AN$3=1,(VLOOKUP($A177,CorrelationTable,2,FALSE)),0))</f>
        <v xml:space="preserve"> </v>
      </c>
      <c r="BU177" s="407" t="str">
        <f>IF($A177="N/A"," ",F177+G177+(D177*(VLOOKUP($A177,'Gas Curves'!$B$17:$P$310,14,FALSE))))</f>
        <v xml:space="preserve"> </v>
      </c>
      <c r="BV177" s="405" t="str">
        <f>IF($A177="N/A"," ",IF('Pricing Inputs'!$AW$3=1,0,(VLOOKUP($A177,InterestRatesTable,2))))</f>
        <v xml:space="preserve"> </v>
      </c>
      <c r="BW177" s="408" t="str">
        <f t="shared" si="228"/>
        <v xml:space="preserve"> </v>
      </c>
    </row>
    <row r="178" spans="1:75">
      <c r="A178" s="248" t="str">
        <f>IF(A177="N/A","N/A",IF(EDATE(A177,1)&gt;Inputs!$K$3,"N/A",EDATE(A177,1)))</f>
        <v>N/A</v>
      </c>
      <c r="B178" s="262" t="str">
        <f t="shared" si="229"/>
        <v xml:space="preserve"> </v>
      </c>
      <c r="C178" s="249" t="str">
        <f t="shared" si="230"/>
        <v xml:space="preserve"> </v>
      </c>
      <c r="D178" s="250" t="str">
        <f>IF(A178="N/A"," ",(VLOOKUP(MONTH($A178),Inputs!$A$14:$B$25,2))/1000)</f>
        <v xml:space="preserve"> </v>
      </c>
      <c r="E178" s="304" t="str">
        <f t="shared" si="231"/>
        <v xml:space="preserve"> </v>
      </c>
      <c r="F178" s="251" t="str">
        <f>IF(A178="N/A"," ",Inputs!$F$6)</f>
        <v xml:space="preserve"> </v>
      </c>
      <c r="G178" s="251" t="str">
        <f>IF(A178="N/A"," ",Inputs!$F$9/IF(AND('Pricing Inputs'!$AQ$3&gt;=4,'Pricing Inputs'!$AQ$3&lt;=6),16,IF(AND('Pricing Inputs'!$AQ$3&gt;=7,'Pricing Inputs'!$AQ$3&lt;=9),8,24))/(BA178/BW178))</f>
        <v xml:space="preserve"> </v>
      </c>
      <c r="H178" s="252" t="str">
        <f t="shared" si="232"/>
        <v xml:space="preserve"> </v>
      </c>
      <c r="I178" s="255" t="str">
        <f>VLOOKUP(A178,ScaledPrice,(IF(AND('Pricing Inputs'!$AQ$3&gt;=1,'Pricing Inputs'!$AQ$3&lt;=6),2,4)))</f>
        <v xml:space="preserve"> </v>
      </c>
      <c r="J178" s="255" t="str">
        <f>IF(A178="N/A"," ",IF(AND('Pricing Inputs'!$AQ$3&gt;=1,'Pricing Inputs'!$AQ$3&lt;=6),I178,(VLOOKUP(A178,ScaledPrice,2))*(2-(VLOOKUP(A178,ScaledPrice,3)))))</f>
        <v xml:space="preserve"> </v>
      </c>
      <c r="K178" s="255" t="str">
        <f>IF(A178="N/A"," ",IF(OR('Pricing Inputs'!$AQ$3=2,'Pricing Inputs'!$AQ$3=3,'Pricing Inputs'!$AQ$3=5,'Pricing Inputs'!$AQ$3=6,'Pricing Inputs'!$AQ$3=8,'Pricing Inputs'!$AQ$3=9),VLOOKUP(A178,ScaledPrice,IF(AND('Pricing Inputs'!$AQ$3&gt;=2,'Pricing Inputs'!$AQ$3&lt;=6),5,6)),0))</f>
        <v xml:space="preserve"> </v>
      </c>
      <c r="L178" s="255" t="str">
        <f>IF(A178="N/A"," ",IF(OR('Pricing Inputs'!$AQ$3=2,'Pricing Inputs'!$AQ$3=3,'Pricing Inputs'!$AQ$3=5,'Pricing Inputs'!$AQ$3=6,'Pricing Inputs'!$AQ$3=8,'Pricing Inputs'!$AQ$3=9),IF(AND('Pricing Inputs'!$AQ$3&gt;=2,'Pricing Inputs'!$AQ$3&lt;=6),K178,(VLOOKUP(A178,ScaledPrice,5))*(2-(VLOOKUP(A178,ScaledPrice,3)))),0))</f>
        <v xml:space="preserve"> </v>
      </c>
      <c r="M178" s="255" t="str">
        <f>IF(A178="N/A"," ",IF(OR('Pricing Inputs'!$AQ$3=3,'Pricing Inputs'!$AQ$3=6,'Pricing Inputs'!$AQ$3=9),(VLOOKUP(A178,ScaledPrice,IF(AND('Pricing Inputs'!$AQ$3&gt;=3,'Pricing Inputs'!$AQ$3&lt;=6),7,8))),0))</f>
        <v xml:space="preserve"> </v>
      </c>
      <c r="N178" s="255" t="str">
        <f>IF(A178="N/A"," ",IF(OR('Pricing Inputs'!$AQ$3=3,'Pricing Inputs'!$AQ$3=6,'Pricing Inputs'!$AQ$3=9),IF(AND('Pricing Inputs'!$AQ$3&gt;=3,'Pricing Inputs'!$AQ$3&lt;=6),M178,(VLOOKUP(A178,ScaledPrice,7))*(2-(VLOOKUP(A178,ScaledPrice,3)))),0))</f>
        <v xml:space="preserve"> </v>
      </c>
      <c r="O178" s="255" t="str">
        <f>IF(A178="N/A"," ",IF(AND('Pricing Inputs'!$AQ$3&gt;=1,'Pricing Inputs'!$AQ$3&lt;=3),VLOOKUP(A178,ScaledPrice,9),0))</f>
        <v xml:space="preserve"> </v>
      </c>
      <c r="P178" s="320" t="str">
        <f>IF($A178="N/A"," ",IF('Pricing Inputs'!$AN$8=2,(I178-H178),IF('Pricing Inputs'!$AN$3=2,IF((I178-$H178)&gt;0,I178-$H178,0),(_xll.xSPRDOPT(I178,$E178,$BU178,0,$BP178,$BS178,$BT178,($A178-Inputs!$D$1)+15,1,0)))))</f>
        <v xml:space="preserve"> </v>
      </c>
      <c r="Q178" s="320" t="str">
        <f>IF($A178="N/A"," ",IF('Pricing Inputs'!$AN$8=2,(J178-$H178),IF('Pricing Inputs'!$AN$3=2,IF((J178-$H178)&gt;0,J178-$H178,0),(_xll.xSPRDOPT(J178,$E178,$BU178,0,$BP178,$BS178,$BT178,($A178-Inputs!$D$1)+15,1,0)))))</f>
        <v xml:space="preserve"> </v>
      </c>
      <c r="R178" s="320" t="str">
        <f>IF($A178="N/A"," ",IF('Pricing Inputs'!$AN$8=2,(K178-$H178),IF('Pricing Inputs'!$AN$3=2,IF((K178-$H178)&gt;0,K178-$H178,0),(_xll.xSPRDOPT(K178,$E178,$BU178,0,$BP178,$BS178,$BT178,($A178-Inputs!$D$1)+15,1,0)))))</f>
        <v xml:space="preserve"> </v>
      </c>
      <c r="S178" s="320" t="str">
        <f>IF($A178="N/A"," ",IF('Pricing Inputs'!$AN$8=2,(L178-$H178),IF('Pricing Inputs'!$AN$3=2,IF((L178-$H178)&gt;0,L178-$H178,0),(_xll.xSPRDOPT(L178,$E178,$BU178,0,$BP178,$BS178,$BT178,($A178-Inputs!$D$1)+15,1,0)))))</f>
        <v xml:space="preserve"> </v>
      </c>
      <c r="T178" s="320" t="str">
        <f>IF($A178="N/A"," ",IF('Pricing Inputs'!$AN$8=2,(M178-$H178),IF('Pricing Inputs'!$AN$3=2,IF((M178-$H178)&gt;0,M178-$H178,0),(_xll.xSPRDOPT(M178,$E178,$BU178,0,$BP178,$BS178,$BT178,($A178-Inputs!$D$1)+15,1,0)))))</f>
        <v xml:space="preserve"> </v>
      </c>
      <c r="U178" s="320" t="str">
        <f>IF($A178="N/A"," ",IF('Pricing Inputs'!$AN$8=2,(N178-$H178),IF('Pricing Inputs'!$AN$3=2,IF((N178-$H178)&gt;0,N178-$H178,0),(_xll.xSPRDOPT(N178,$E178,$BU178,0,$BP178,$BS178,$BT178,($A178-Inputs!$D$1)+15,1,0)))))</f>
        <v xml:space="preserve"> </v>
      </c>
      <c r="V178" s="259" t="str">
        <f>IF($A178="N/A"," ",(IF('Pricing Inputs'!$AN$8=2,(O178-$H178),IF((O178-$H178)&lt;=0,0,(O178-$H178)))))</f>
        <v xml:space="preserve"> </v>
      </c>
      <c r="W178" s="306" t="str">
        <f>IF($A178="N/A"," ",IF(0&lt;&gt;P178,IF('Pricing Inputs'!$AN$3=2,8*VLOOKUP($A178,NumberofDaysTable,2),(_xll.xSPRDOPT(I178,$E178,$BU178,0,$BP178,$BS178,$BT178,$A178-Inputs!$D$1,1,1))*(8*VLOOKUP($A178,NumberofDaysTable,2))),0))</f>
        <v xml:space="preserve"> </v>
      </c>
      <c r="X178" s="306" t="str">
        <f>IF($A178="N/A"," ",IF(Q178&lt;&gt;0,IF('Pricing Inputs'!$AN$3=2,8*VLOOKUP($A178,NumberofDaysTable,2),(_xll.xSPRDOPT(J178,$E178,$BU178,0,$BP178,$BS178,$BT178,$A178-Inputs!$D$1,1,1))*(8*VLOOKUP($A178,NumberofDaysTable,2))),0))</f>
        <v xml:space="preserve"> </v>
      </c>
      <c r="Y178" s="306" t="str">
        <f>IF($A178="N/A"," ",IF(R178&lt;&gt;0,IF('Pricing Inputs'!$AN$3=2,8*VLOOKUP($A178,NumberofDaysTable,3),(_xll.xSPRDOPT(K178,$E178,$BU178,0,$BP178,$BS178,$BT178,$A178-Inputs!$D$1,1,1))*(8*VLOOKUP($A178,NumberofDaysTable,3))),0))</f>
        <v xml:space="preserve"> </v>
      </c>
      <c r="Z178" s="306" t="str">
        <f>IF($A178="N/A"," ",IF(S178&lt;&gt;0,IF('Pricing Inputs'!$AN$3=2,8*VLOOKUP($A178,NumberofDaysTable,3),(_xll.xSPRDOPT(L178,$E178,$BU178,0,$BP178,$BS178,$BT178,$A178-Inputs!$D$1,1,1))*(8*VLOOKUP($A178,NumberofDaysTable,3))),0))</f>
        <v xml:space="preserve"> </v>
      </c>
      <c r="AA178" s="306" t="str">
        <f>IF($A178="N/A"," ",IF(T178&lt;&gt;0,IF('Pricing Inputs'!$AN$3=2,8*VLOOKUP($A178,NumberofDaysTable,4),(_xll.xSPRDOPT(M178,$E178,$BU178,0,$BP178,$BS178,$BT178,$A178-Inputs!$D$1,1,1))*(8*VLOOKUP($A178,NumberofDaysTable,4))),0))</f>
        <v xml:space="preserve"> </v>
      </c>
      <c r="AB178" s="306" t="str">
        <f>IF($A178="N/A"," ",IF(U178&lt;&gt;0,IF('Pricing Inputs'!$AN$3=2,8*VLOOKUP($A178,NumberofDaysTable,4),(_xll.xSPRDOPT(N178,$E178,$BU178,0,$BP178,$BS178,$BT178,$A178-Inputs!$D$1,1,1))*(8*VLOOKUP($A178,NumberofDaysTable,4))),0))</f>
        <v xml:space="preserve"> </v>
      </c>
      <c r="AC178" s="306" t="str">
        <f t="shared" si="233"/>
        <v xml:space="preserve"> </v>
      </c>
      <c r="AD178" s="274" t="str">
        <f t="shared" si="306"/>
        <v xml:space="preserve"> </v>
      </c>
      <c r="AE178" s="275" t="str">
        <f t="shared" si="307"/>
        <v xml:space="preserve"> </v>
      </c>
      <c r="AF178" s="275" t="str">
        <f t="shared" si="308"/>
        <v xml:space="preserve"> </v>
      </c>
      <c r="AG178" s="275" t="str">
        <f t="shared" si="309"/>
        <v xml:space="preserve"> </v>
      </c>
      <c r="AH178" s="275" t="str">
        <f t="shared" si="310"/>
        <v xml:space="preserve"> </v>
      </c>
      <c r="AI178" s="275" t="str">
        <f t="shared" si="311"/>
        <v xml:space="preserve"> </v>
      </c>
      <c r="AJ178" s="276" t="str">
        <f t="shared" si="312"/>
        <v xml:space="preserve"> </v>
      </c>
      <c r="AK178" s="314" t="str">
        <f t="shared" si="259"/>
        <v xml:space="preserve"> </v>
      </c>
      <c r="AL178" s="315" t="str">
        <f t="shared" si="260"/>
        <v xml:space="preserve"> </v>
      </c>
      <c r="AM178" s="315" t="str">
        <f t="shared" si="261"/>
        <v xml:space="preserve"> </v>
      </c>
      <c r="AN178" s="315" t="str">
        <f t="shared" si="262"/>
        <v xml:space="preserve"> </v>
      </c>
      <c r="AO178" s="315" t="str">
        <f t="shared" si="263"/>
        <v xml:space="preserve"> </v>
      </c>
      <c r="AP178" s="315" t="str">
        <f t="shared" si="264"/>
        <v xml:space="preserve"> </v>
      </c>
      <c r="AQ178" s="315" t="str">
        <f t="shared" si="265"/>
        <v xml:space="preserve"> </v>
      </c>
      <c r="AR178" s="276"/>
      <c r="AS178" s="321" t="str">
        <f t="shared" si="299"/>
        <v xml:space="preserve"> </v>
      </c>
      <c r="AT178" s="324" t="str">
        <f t="shared" si="300"/>
        <v xml:space="preserve"> </v>
      </c>
      <c r="AU178" s="324" t="str">
        <f t="shared" si="301"/>
        <v xml:space="preserve"> </v>
      </c>
      <c r="AV178" s="324" t="str">
        <f t="shared" si="302"/>
        <v xml:space="preserve"> </v>
      </c>
      <c r="AW178" s="324" t="str">
        <f t="shared" si="303"/>
        <v xml:space="preserve"> </v>
      </c>
      <c r="AX178" s="324" t="str">
        <f t="shared" si="304"/>
        <v xml:space="preserve"> </v>
      </c>
      <c r="AY178" s="324" t="str">
        <f t="shared" si="305"/>
        <v xml:space="preserve"> </v>
      </c>
      <c r="AZ178" s="276"/>
      <c r="BA178" s="267" t="str">
        <f>IF($A178="N/A"," ",(IF(MONTH(A178)&gt;=4,IF(MONTH(A178)&lt;=10,Inputs!$F$13,Inputs!$F$14),Inputs!$F$14))*$BW178)</f>
        <v xml:space="preserve"> </v>
      </c>
      <c r="BB178" s="268" t="str">
        <f t="shared" si="266"/>
        <v xml:space="preserve"> </v>
      </c>
      <c r="BC178" s="268" t="str">
        <f t="shared" si="267"/>
        <v xml:space="preserve"> </v>
      </c>
      <c r="BD178" s="268" t="str">
        <f t="shared" si="234"/>
        <v xml:space="preserve"> </v>
      </c>
      <c r="BE178" s="268" t="str">
        <f t="shared" si="235"/>
        <v xml:space="preserve"> </v>
      </c>
      <c r="BF178" s="268" t="str">
        <f t="shared" si="236"/>
        <v xml:space="preserve"> </v>
      </c>
      <c r="BG178" s="268" t="str">
        <f t="shared" si="237"/>
        <v xml:space="preserve"> </v>
      </c>
      <c r="BH178" s="268" t="str">
        <f t="shared" si="258"/>
        <v xml:space="preserve"> </v>
      </c>
      <c r="BI178" s="268" t="str">
        <f t="shared" si="238"/>
        <v xml:space="preserve"> </v>
      </c>
      <c r="BJ178" s="296" t="str">
        <f t="shared" si="239"/>
        <v xml:space="preserve"> </v>
      </c>
      <c r="BK178" s="296" t="str">
        <f t="shared" si="240"/>
        <v xml:space="preserve"> </v>
      </c>
      <c r="BL178" s="296" t="str">
        <f t="shared" si="241"/>
        <v xml:space="preserve"> </v>
      </c>
      <c r="BM178" s="296" t="str">
        <f t="shared" si="242"/>
        <v xml:space="preserve"> </v>
      </c>
      <c r="BN178" s="405" t="str">
        <f>IF(A178="N/A"," ",(VLOOKUP(A178,PowerVolTable,(IF('Pricing Inputs'!$AT$3=2,7,IF('Pricing Inputs'!$AT$3=1,6,8))),FALSE)))</f>
        <v xml:space="preserve"> </v>
      </c>
      <c r="BO178" s="405" t="str">
        <f>IF(A178="N/A"," ",(VLOOKUP(A178,IntraPowerVol,(IF('Pricing Inputs'!$AT$3=2,3,IF('Pricing Inputs'!$AT$3=1,2,4))),FALSE)*VLOOKUP(MONTH($A178),Inputs!$A$28:$B$39,2)))</f>
        <v xml:space="preserve"> </v>
      </c>
      <c r="BP178" s="406" t="str">
        <f t="shared" si="227"/>
        <v xml:space="preserve"> </v>
      </c>
      <c r="BQ178" s="405" t="str">
        <f>IF($A178="N/A"," ",(VLOOKUP($A178,GasVolTable,(IF('Pricing Inputs'!$AT$3=2,6,IF('Pricing Inputs'!$AT$3=1,7,5))),FALSE)))</f>
        <v xml:space="preserve"> </v>
      </c>
      <c r="BR178" s="405" t="str">
        <f>IF($A178="N/A"," ",(VLOOKUP($A178,OmicronVol,(IF('Pricing Inputs'!$AT$3=2,3,IF('Pricing Inputs'!$AT$3=1,4,2))),FALSE)))</f>
        <v xml:space="preserve"> </v>
      </c>
      <c r="BS178" s="406" t="str">
        <f>IF($A178="N/A"," ",IF('Pricing Inputs'!$AN$3=1,(IF(DateToday&gt;$A178,$BR178,((($BQ178^2)*((($A178-1)-DateToday)/((EOMONTH($A178,0)+1)-DateToday-15)))+((($BR178)^2)*((15)/((EOMONTH($A178,0)+1)-DateToday-15))))^0.5)),0.0001))</f>
        <v xml:space="preserve"> </v>
      </c>
      <c r="BT178" s="405" t="str">
        <f>IF($A178="N/A"," ",IF('Pricing Inputs'!$AN$3=1,(VLOOKUP($A178,CorrelationTable,2,FALSE)),0))</f>
        <v xml:space="preserve"> </v>
      </c>
      <c r="BU178" s="407" t="str">
        <f>IF($A178="N/A"," ",F178+G178+(D178*(VLOOKUP($A178,'Gas Curves'!$B$17:$P$310,14,FALSE))))</f>
        <v xml:space="preserve"> </v>
      </c>
      <c r="BV178" s="405" t="str">
        <f>IF($A178="N/A"," ",IF('Pricing Inputs'!$AW$3=1,0,(VLOOKUP($A178,InterestRatesTable,2))))</f>
        <v xml:space="preserve"> </v>
      </c>
      <c r="BW178" s="408" t="str">
        <f t="shared" si="228"/>
        <v xml:space="preserve"> </v>
      </c>
    </row>
    <row r="179" spans="1:75">
      <c r="A179" s="248" t="str">
        <f>IF(A178="N/A","N/A",IF(EDATE(A178,1)&gt;Inputs!$K$3,"N/A",EDATE(A178,1)))</f>
        <v>N/A</v>
      </c>
      <c r="B179" s="262" t="str">
        <f t="shared" si="229"/>
        <v xml:space="preserve"> </v>
      </c>
      <c r="C179" s="249" t="str">
        <f t="shared" si="230"/>
        <v xml:space="preserve"> </v>
      </c>
      <c r="D179" s="250" t="str">
        <f>IF(A179="N/A"," ",(VLOOKUP(MONTH($A179),Inputs!$A$14:$B$25,2))/1000)</f>
        <v xml:space="preserve"> </v>
      </c>
      <c r="E179" s="304" t="str">
        <f t="shared" si="231"/>
        <v xml:space="preserve"> </v>
      </c>
      <c r="F179" s="251" t="str">
        <f>IF(A179="N/A"," ",Inputs!$F$6)</f>
        <v xml:space="preserve"> </v>
      </c>
      <c r="G179" s="251" t="str">
        <f>IF(A179="N/A"," ",Inputs!$F$9/IF(AND('Pricing Inputs'!$AQ$3&gt;=4,'Pricing Inputs'!$AQ$3&lt;=6),16,IF(AND('Pricing Inputs'!$AQ$3&gt;=7,'Pricing Inputs'!$AQ$3&lt;=9),8,24))/(BA179/BW179))</f>
        <v xml:space="preserve"> </v>
      </c>
      <c r="H179" s="252" t="str">
        <f t="shared" si="232"/>
        <v xml:space="preserve"> </v>
      </c>
      <c r="I179" s="255" t="str">
        <f>VLOOKUP(A179,ScaledPrice,(IF(AND('Pricing Inputs'!$AQ$3&gt;=1,'Pricing Inputs'!$AQ$3&lt;=6),2,4)))</f>
        <v xml:space="preserve"> </v>
      </c>
      <c r="J179" s="255" t="str">
        <f>IF(A179="N/A"," ",IF(AND('Pricing Inputs'!$AQ$3&gt;=1,'Pricing Inputs'!$AQ$3&lt;=6),I179,(VLOOKUP(A179,ScaledPrice,2))*(2-(VLOOKUP(A179,ScaledPrice,3)))))</f>
        <v xml:space="preserve"> </v>
      </c>
      <c r="K179" s="255" t="str">
        <f>IF(A179="N/A"," ",IF(OR('Pricing Inputs'!$AQ$3=2,'Pricing Inputs'!$AQ$3=3,'Pricing Inputs'!$AQ$3=5,'Pricing Inputs'!$AQ$3=6,'Pricing Inputs'!$AQ$3=8,'Pricing Inputs'!$AQ$3=9),VLOOKUP(A179,ScaledPrice,IF(AND('Pricing Inputs'!$AQ$3&gt;=2,'Pricing Inputs'!$AQ$3&lt;=6),5,6)),0))</f>
        <v xml:space="preserve"> </v>
      </c>
      <c r="L179" s="255" t="str">
        <f>IF(A179="N/A"," ",IF(OR('Pricing Inputs'!$AQ$3=2,'Pricing Inputs'!$AQ$3=3,'Pricing Inputs'!$AQ$3=5,'Pricing Inputs'!$AQ$3=6,'Pricing Inputs'!$AQ$3=8,'Pricing Inputs'!$AQ$3=9),IF(AND('Pricing Inputs'!$AQ$3&gt;=2,'Pricing Inputs'!$AQ$3&lt;=6),K179,(VLOOKUP(A179,ScaledPrice,5))*(2-(VLOOKUP(A179,ScaledPrice,3)))),0))</f>
        <v xml:space="preserve"> </v>
      </c>
      <c r="M179" s="255" t="str">
        <f>IF(A179="N/A"," ",IF(OR('Pricing Inputs'!$AQ$3=3,'Pricing Inputs'!$AQ$3=6,'Pricing Inputs'!$AQ$3=9),(VLOOKUP(A179,ScaledPrice,IF(AND('Pricing Inputs'!$AQ$3&gt;=3,'Pricing Inputs'!$AQ$3&lt;=6),7,8))),0))</f>
        <v xml:space="preserve"> </v>
      </c>
      <c r="N179" s="255" t="str">
        <f>IF(A179="N/A"," ",IF(OR('Pricing Inputs'!$AQ$3=3,'Pricing Inputs'!$AQ$3=6,'Pricing Inputs'!$AQ$3=9),IF(AND('Pricing Inputs'!$AQ$3&gt;=3,'Pricing Inputs'!$AQ$3&lt;=6),M179,(VLOOKUP(A179,ScaledPrice,7))*(2-(VLOOKUP(A179,ScaledPrice,3)))),0))</f>
        <v xml:space="preserve"> </v>
      </c>
      <c r="O179" s="255" t="str">
        <f>IF(A179="N/A"," ",IF(AND('Pricing Inputs'!$AQ$3&gt;=1,'Pricing Inputs'!$AQ$3&lt;=3),VLOOKUP(A179,ScaledPrice,9),0))</f>
        <v xml:space="preserve"> </v>
      </c>
      <c r="P179" s="320" t="str">
        <f>IF($A179="N/A"," ",IF('Pricing Inputs'!$AN$8=2,(I179-H179),IF('Pricing Inputs'!$AN$3=2,IF((I179-$H179)&gt;0,I179-$H179,0),(_xll.xSPRDOPT(I179,$E179,$BU179,0,$BP179,$BS179,$BT179,($A179-Inputs!$D$1)+15,1,0)))))</f>
        <v xml:space="preserve"> </v>
      </c>
      <c r="Q179" s="320" t="str">
        <f>IF($A179="N/A"," ",IF('Pricing Inputs'!$AN$8=2,(J179-$H179),IF('Pricing Inputs'!$AN$3=2,IF((J179-$H179)&gt;0,J179-$H179,0),(_xll.xSPRDOPT(J179,$E179,$BU179,0,$BP179,$BS179,$BT179,($A179-Inputs!$D$1)+15,1,0)))))</f>
        <v xml:space="preserve"> </v>
      </c>
      <c r="R179" s="320" t="str">
        <f>IF($A179="N/A"," ",IF('Pricing Inputs'!$AN$8=2,(K179-$H179),IF('Pricing Inputs'!$AN$3=2,IF((K179-$H179)&gt;0,K179-$H179,0),(_xll.xSPRDOPT(K179,$E179,$BU179,0,$BP179,$BS179,$BT179,($A179-Inputs!$D$1)+15,1,0)))))</f>
        <v xml:space="preserve"> </v>
      </c>
      <c r="S179" s="320" t="str">
        <f>IF($A179="N/A"," ",IF('Pricing Inputs'!$AN$8=2,(L179-$H179),IF('Pricing Inputs'!$AN$3=2,IF((L179-$H179)&gt;0,L179-$H179,0),(_xll.xSPRDOPT(L179,$E179,$BU179,0,$BP179,$BS179,$BT179,($A179-Inputs!$D$1)+15,1,0)))))</f>
        <v xml:space="preserve"> </v>
      </c>
      <c r="T179" s="320" t="str">
        <f>IF($A179="N/A"," ",IF('Pricing Inputs'!$AN$8=2,(M179-$H179),IF('Pricing Inputs'!$AN$3=2,IF((M179-$H179)&gt;0,M179-$H179,0),(_xll.xSPRDOPT(M179,$E179,$BU179,0,$BP179,$BS179,$BT179,($A179-Inputs!$D$1)+15,1,0)))))</f>
        <v xml:space="preserve"> </v>
      </c>
      <c r="U179" s="320" t="str">
        <f>IF($A179="N/A"," ",IF('Pricing Inputs'!$AN$8=2,(N179-$H179),IF('Pricing Inputs'!$AN$3=2,IF((N179-$H179)&gt;0,N179-$H179,0),(_xll.xSPRDOPT(N179,$E179,$BU179,0,$BP179,$BS179,$BT179,($A179-Inputs!$D$1)+15,1,0)))))</f>
        <v xml:space="preserve"> </v>
      </c>
      <c r="V179" s="259" t="str">
        <f>IF($A179="N/A"," ",(IF('Pricing Inputs'!$AN$8=2,(O179-$H179),IF((O179-$H179)&lt;=0,0,(O179-$H179)))))</f>
        <v xml:space="preserve"> </v>
      </c>
      <c r="W179" s="306" t="str">
        <f>IF($A179="N/A"," ",IF(0&lt;&gt;P179,IF('Pricing Inputs'!$AN$3=2,8*VLOOKUP($A179,NumberofDaysTable,2),(_xll.xSPRDOPT(I179,$E179,$BU179,0,$BP179,$BS179,$BT179,$A179-Inputs!$D$1,1,1))*(8*VLOOKUP($A179,NumberofDaysTable,2))),0))</f>
        <v xml:space="preserve"> </v>
      </c>
      <c r="X179" s="306" t="str">
        <f>IF($A179="N/A"," ",IF(Q179&lt;&gt;0,IF('Pricing Inputs'!$AN$3=2,8*VLOOKUP($A179,NumberofDaysTable,2),(_xll.xSPRDOPT(J179,$E179,$BU179,0,$BP179,$BS179,$BT179,$A179-Inputs!$D$1,1,1))*(8*VLOOKUP($A179,NumberofDaysTable,2))),0))</f>
        <v xml:space="preserve"> </v>
      </c>
      <c r="Y179" s="306" t="str">
        <f>IF($A179="N/A"," ",IF(R179&lt;&gt;0,IF('Pricing Inputs'!$AN$3=2,8*VLOOKUP($A179,NumberofDaysTable,3),(_xll.xSPRDOPT(K179,$E179,$BU179,0,$BP179,$BS179,$BT179,$A179-Inputs!$D$1,1,1))*(8*VLOOKUP($A179,NumberofDaysTable,3))),0))</f>
        <v xml:space="preserve"> </v>
      </c>
      <c r="Z179" s="306" t="str">
        <f>IF($A179="N/A"," ",IF(S179&lt;&gt;0,IF('Pricing Inputs'!$AN$3=2,8*VLOOKUP($A179,NumberofDaysTable,3),(_xll.xSPRDOPT(L179,$E179,$BU179,0,$BP179,$BS179,$BT179,$A179-Inputs!$D$1,1,1))*(8*VLOOKUP($A179,NumberofDaysTable,3))),0))</f>
        <v xml:space="preserve"> </v>
      </c>
      <c r="AA179" s="306" t="str">
        <f>IF($A179="N/A"," ",IF(T179&lt;&gt;0,IF('Pricing Inputs'!$AN$3=2,8*VLOOKUP($A179,NumberofDaysTable,4),(_xll.xSPRDOPT(M179,$E179,$BU179,0,$BP179,$BS179,$BT179,$A179-Inputs!$D$1,1,1))*(8*VLOOKUP($A179,NumberofDaysTable,4))),0))</f>
        <v xml:space="preserve"> </v>
      </c>
      <c r="AB179" s="306" t="str">
        <f>IF($A179="N/A"," ",IF(U179&lt;&gt;0,IF('Pricing Inputs'!$AN$3=2,8*VLOOKUP($A179,NumberofDaysTable,4),(_xll.xSPRDOPT(N179,$E179,$BU179,0,$BP179,$BS179,$BT179,$A179-Inputs!$D$1,1,1))*(8*VLOOKUP($A179,NumberofDaysTable,4))),0))</f>
        <v xml:space="preserve"> </v>
      </c>
      <c r="AC179" s="306" t="str">
        <f t="shared" si="233"/>
        <v xml:space="preserve"> </v>
      </c>
      <c r="AD179" s="274" t="str">
        <f t="shared" si="306"/>
        <v xml:space="preserve"> </v>
      </c>
      <c r="AE179" s="275" t="str">
        <f t="shared" si="307"/>
        <v xml:space="preserve"> </v>
      </c>
      <c r="AF179" s="275" t="str">
        <f t="shared" si="308"/>
        <v xml:space="preserve"> </v>
      </c>
      <c r="AG179" s="275" t="str">
        <f t="shared" si="309"/>
        <v xml:space="preserve"> </v>
      </c>
      <c r="AH179" s="275" t="str">
        <f t="shared" si="310"/>
        <v xml:space="preserve"> </v>
      </c>
      <c r="AI179" s="275" t="str">
        <f t="shared" si="311"/>
        <v xml:space="preserve"> </v>
      </c>
      <c r="AJ179" s="276" t="str">
        <f t="shared" si="312"/>
        <v xml:space="preserve"> </v>
      </c>
      <c r="AK179" s="314" t="str">
        <f t="shared" si="259"/>
        <v xml:space="preserve"> </v>
      </c>
      <c r="AL179" s="315" t="str">
        <f t="shared" si="260"/>
        <v xml:space="preserve"> </v>
      </c>
      <c r="AM179" s="315" t="str">
        <f t="shared" si="261"/>
        <v xml:space="preserve"> </v>
      </c>
      <c r="AN179" s="315" t="str">
        <f t="shared" si="262"/>
        <v xml:space="preserve"> </v>
      </c>
      <c r="AO179" s="315" t="str">
        <f t="shared" si="263"/>
        <v xml:space="preserve"> </v>
      </c>
      <c r="AP179" s="315" t="str">
        <f t="shared" si="264"/>
        <v xml:space="preserve"> </v>
      </c>
      <c r="AQ179" s="315" t="str">
        <f t="shared" si="265"/>
        <v xml:space="preserve"> </v>
      </c>
      <c r="AR179" s="276"/>
      <c r="AS179" s="321" t="str">
        <f t="shared" si="299"/>
        <v xml:space="preserve"> </v>
      </c>
      <c r="AT179" s="324" t="str">
        <f t="shared" si="300"/>
        <v xml:space="preserve"> </v>
      </c>
      <c r="AU179" s="324" t="str">
        <f t="shared" si="301"/>
        <v xml:space="preserve"> </v>
      </c>
      <c r="AV179" s="324" t="str">
        <f t="shared" si="302"/>
        <v xml:space="preserve"> </v>
      </c>
      <c r="AW179" s="324" t="str">
        <f t="shared" si="303"/>
        <v xml:space="preserve"> </v>
      </c>
      <c r="AX179" s="324" t="str">
        <f t="shared" si="304"/>
        <v xml:space="preserve"> </v>
      </c>
      <c r="AY179" s="324" t="str">
        <f t="shared" si="305"/>
        <v xml:space="preserve"> </v>
      </c>
      <c r="AZ179" s="276"/>
      <c r="BA179" s="267" t="str">
        <f>IF($A179="N/A"," ",(IF(MONTH(A179)&gt;=4,IF(MONTH(A179)&lt;=10,Inputs!$F$13,Inputs!$F$14),Inputs!$F$14))*$BW179)</f>
        <v xml:space="preserve"> </v>
      </c>
      <c r="BB179" s="268" t="str">
        <f t="shared" si="266"/>
        <v xml:space="preserve"> </v>
      </c>
      <c r="BC179" s="268" t="str">
        <f t="shared" si="267"/>
        <v xml:space="preserve"> </v>
      </c>
      <c r="BD179" s="268" t="str">
        <f t="shared" si="234"/>
        <v xml:space="preserve"> </v>
      </c>
      <c r="BE179" s="268" t="str">
        <f t="shared" si="235"/>
        <v xml:space="preserve"> </v>
      </c>
      <c r="BF179" s="268" t="str">
        <f t="shared" si="236"/>
        <v xml:space="preserve"> </v>
      </c>
      <c r="BG179" s="268" t="str">
        <f t="shared" si="237"/>
        <v xml:space="preserve"> </v>
      </c>
      <c r="BH179" s="268" t="str">
        <f t="shared" si="258"/>
        <v xml:space="preserve"> </v>
      </c>
      <c r="BI179" s="268" t="str">
        <f t="shared" si="238"/>
        <v xml:space="preserve"> </v>
      </c>
      <c r="BJ179" s="296" t="str">
        <f t="shared" si="239"/>
        <v xml:space="preserve"> </v>
      </c>
      <c r="BK179" s="296" t="str">
        <f t="shared" si="240"/>
        <v xml:space="preserve"> </v>
      </c>
      <c r="BL179" s="296" t="str">
        <f t="shared" si="241"/>
        <v xml:space="preserve"> </v>
      </c>
      <c r="BM179" s="296" t="str">
        <f t="shared" si="242"/>
        <v xml:space="preserve"> </v>
      </c>
      <c r="BN179" s="405" t="str">
        <f>IF(A179="N/A"," ",(VLOOKUP(A179,PowerVolTable,(IF('Pricing Inputs'!$AT$3=2,7,IF('Pricing Inputs'!$AT$3=1,6,8))),FALSE)))</f>
        <v xml:space="preserve"> </v>
      </c>
      <c r="BO179" s="405" t="str">
        <f>IF(A179="N/A"," ",(VLOOKUP(A179,IntraPowerVol,(IF('Pricing Inputs'!$AT$3=2,3,IF('Pricing Inputs'!$AT$3=1,2,4))),FALSE)*VLOOKUP(MONTH($A179),Inputs!$A$28:$B$39,2)))</f>
        <v xml:space="preserve"> </v>
      </c>
      <c r="BP179" s="406" t="str">
        <f t="shared" si="227"/>
        <v xml:space="preserve"> </v>
      </c>
      <c r="BQ179" s="405" t="str">
        <f>IF($A179="N/A"," ",(VLOOKUP($A179,GasVolTable,(IF('Pricing Inputs'!$AT$3=2,6,IF('Pricing Inputs'!$AT$3=1,7,5))),FALSE)))</f>
        <v xml:space="preserve"> </v>
      </c>
      <c r="BR179" s="405" t="str">
        <f>IF($A179="N/A"," ",(VLOOKUP($A179,OmicronVol,(IF('Pricing Inputs'!$AT$3=2,3,IF('Pricing Inputs'!$AT$3=1,4,2))),FALSE)))</f>
        <v xml:space="preserve"> </v>
      </c>
      <c r="BS179" s="406" t="str">
        <f>IF($A179="N/A"," ",IF('Pricing Inputs'!$AN$3=1,(IF(DateToday&gt;$A179,$BR179,((($BQ179^2)*((($A179-1)-DateToday)/((EOMONTH($A179,0)+1)-DateToday-15)))+((($BR179)^2)*((15)/((EOMONTH($A179,0)+1)-DateToday-15))))^0.5)),0.0001))</f>
        <v xml:space="preserve"> </v>
      </c>
      <c r="BT179" s="405" t="str">
        <f>IF($A179="N/A"," ",IF('Pricing Inputs'!$AN$3=1,(VLOOKUP($A179,CorrelationTable,2,FALSE)),0))</f>
        <v xml:space="preserve"> </v>
      </c>
      <c r="BU179" s="407" t="str">
        <f>IF($A179="N/A"," ",F179+G179+(D179*(VLOOKUP($A179,'Gas Curves'!$B$17:$P$310,14,FALSE))))</f>
        <v xml:space="preserve"> </v>
      </c>
      <c r="BV179" s="405" t="str">
        <f>IF($A179="N/A"," ",IF('Pricing Inputs'!$AW$3=1,0,(VLOOKUP($A179,InterestRatesTable,2))))</f>
        <v xml:space="preserve"> </v>
      </c>
      <c r="BW179" s="408" t="str">
        <f t="shared" si="228"/>
        <v xml:space="preserve"> </v>
      </c>
    </row>
    <row r="180" spans="1:75">
      <c r="A180" s="248" t="str">
        <f>IF(A179="N/A","N/A",IF(EDATE(A179,1)&gt;Inputs!$K$3,"N/A",EDATE(A179,1)))</f>
        <v>N/A</v>
      </c>
      <c r="B180" s="262" t="str">
        <f t="shared" si="229"/>
        <v xml:space="preserve"> </v>
      </c>
      <c r="C180" s="249" t="str">
        <f t="shared" si="230"/>
        <v xml:space="preserve"> </v>
      </c>
      <c r="D180" s="250" t="str">
        <f>IF(A180="N/A"," ",(VLOOKUP(MONTH($A180),Inputs!$A$14:$B$25,2))/1000)</f>
        <v xml:space="preserve"> </v>
      </c>
      <c r="E180" s="304" t="str">
        <f t="shared" si="231"/>
        <v xml:space="preserve"> </v>
      </c>
      <c r="F180" s="251" t="str">
        <f>IF(A180="N/A"," ",Inputs!$F$6)</f>
        <v xml:space="preserve"> </v>
      </c>
      <c r="G180" s="251" t="str">
        <f>IF(A180="N/A"," ",Inputs!$F$9/IF(AND('Pricing Inputs'!$AQ$3&gt;=4,'Pricing Inputs'!$AQ$3&lt;=6),16,IF(AND('Pricing Inputs'!$AQ$3&gt;=7,'Pricing Inputs'!$AQ$3&lt;=9),8,24))/(BA180/BW180))</f>
        <v xml:space="preserve"> </v>
      </c>
      <c r="H180" s="252" t="str">
        <f t="shared" si="232"/>
        <v xml:space="preserve"> </v>
      </c>
      <c r="I180" s="255" t="str">
        <f>VLOOKUP(A180,ScaledPrice,(IF(AND('Pricing Inputs'!$AQ$3&gt;=1,'Pricing Inputs'!$AQ$3&lt;=6),2,4)))</f>
        <v xml:space="preserve"> </v>
      </c>
      <c r="J180" s="255" t="str">
        <f>IF(A180="N/A"," ",IF(AND('Pricing Inputs'!$AQ$3&gt;=1,'Pricing Inputs'!$AQ$3&lt;=6),I180,(VLOOKUP(A180,ScaledPrice,2))*(2-(VLOOKUP(A180,ScaledPrice,3)))))</f>
        <v xml:space="preserve"> </v>
      </c>
      <c r="K180" s="255" t="str">
        <f>IF(A180="N/A"," ",IF(OR('Pricing Inputs'!$AQ$3=2,'Pricing Inputs'!$AQ$3=3,'Pricing Inputs'!$AQ$3=5,'Pricing Inputs'!$AQ$3=6,'Pricing Inputs'!$AQ$3=8,'Pricing Inputs'!$AQ$3=9),VLOOKUP(A180,ScaledPrice,IF(AND('Pricing Inputs'!$AQ$3&gt;=2,'Pricing Inputs'!$AQ$3&lt;=6),5,6)),0))</f>
        <v xml:space="preserve"> </v>
      </c>
      <c r="L180" s="255" t="str">
        <f>IF(A180="N/A"," ",IF(OR('Pricing Inputs'!$AQ$3=2,'Pricing Inputs'!$AQ$3=3,'Pricing Inputs'!$AQ$3=5,'Pricing Inputs'!$AQ$3=6,'Pricing Inputs'!$AQ$3=8,'Pricing Inputs'!$AQ$3=9),IF(AND('Pricing Inputs'!$AQ$3&gt;=2,'Pricing Inputs'!$AQ$3&lt;=6),K180,(VLOOKUP(A180,ScaledPrice,5))*(2-(VLOOKUP(A180,ScaledPrice,3)))),0))</f>
        <v xml:space="preserve"> </v>
      </c>
      <c r="M180" s="255" t="str">
        <f>IF(A180="N/A"," ",IF(OR('Pricing Inputs'!$AQ$3=3,'Pricing Inputs'!$AQ$3=6,'Pricing Inputs'!$AQ$3=9),(VLOOKUP(A180,ScaledPrice,IF(AND('Pricing Inputs'!$AQ$3&gt;=3,'Pricing Inputs'!$AQ$3&lt;=6),7,8))),0))</f>
        <v xml:space="preserve"> </v>
      </c>
      <c r="N180" s="255" t="str">
        <f>IF(A180="N/A"," ",IF(OR('Pricing Inputs'!$AQ$3=3,'Pricing Inputs'!$AQ$3=6,'Pricing Inputs'!$AQ$3=9),IF(AND('Pricing Inputs'!$AQ$3&gt;=3,'Pricing Inputs'!$AQ$3&lt;=6),M180,(VLOOKUP(A180,ScaledPrice,7))*(2-(VLOOKUP(A180,ScaledPrice,3)))),0))</f>
        <v xml:space="preserve"> </v>
      </c>
      <c r="O180" s="255" t="str">
        <f>IF(A180="N/A"," ",IF(AND('Pricing Inputs'!$AQ$3&gt;=1,'Pricing Inputs'!$AQ$3&lt;=3),VLOOKUP(A180,ScaledPrice,9),0))</f>
        <v xml:space="preserve"> </v>
      </c>
      <c r="P180" s="320" t="str">
        <f>IF($A180="N/A"," ",IF('Pricing Inputs'!$AN$8=2,(I180-H180),IF('Pricing Inputs'!$AN$3=2,IF((I180-$H180)&gt;0,I180-$H180,0),(_xll.xSPRDOPT(I180,$E180,$BU180,0,$BP180,$BS180,$BT180,($A180-Inputs!$D$1)+15,1,0)))))</f>
        <v xml:space="preserve"> </v>
      </c>
      <c r="Q180" s="320" t="str">
        <f>IF($A180="N/A"," ",IF('Pricing Inputs'!$AN$8=2,(J180-$H180),IF('Pricing Inputs'!$AN$3=2,IF((J180-$H180)&gt;0,J180-$H180,0),(_xll.xSPRDOPT(J180,$E180,$BU180,0,$BP180,$BS180,$BT180,($A180-Inputs!$D$1)+15,1,0)))))</f>
        <v xml:space="preserve"> </v>
      </c>
      <c r="R180" s="320" t="str">
        <f>IF($A180="N/A"," ",IF('Pricing Inputs'!$AN$8=2,(K180-$H180),IF('Pricing Inputs'!$AN$3=2,IF((K180-$H180)&gt;0,K180-$H180,0),(_xll.xSPRDOPT(K180,$E180,$BU180,0,$BP180,$BS180,$BT180,($A180-Inputs!$D$1)+15,1,0)))))</f>
        <v xml:space="preserve"> </v>
      </c>
      <c r="S180" s="320" t="str">
        <f>IF($A180="N/A"," ",IF('Pricing Inputs'!$AN$8=2,(L180-$H180),IF('Pricing Inputs'!$AN$3=2,IF((L180-$H180)&gt;0,L180-$H180,0),(_xll.xSPRDOPT(L180,$E180,$BU180,0,$BP180,$BS180,$BT180,($A180-Inputs!$D$1)+15,1,0)))))</f>
        <v xml:space="preserve"> </v>
      </c>
      <c r="T180" s="320" t="str">
        <f>IF($A180="N/A"," ",IF('Pricing Inputs'!$AN$8=2,(M180-$H180),IF('Pricing Inputs'!$AN$3=2,IF((M180-$H180)&gt;0,M180-$H180,0),(_xll.xSPRDOPT(M180,$E180,$BU180,0,$BP180,$BS180,$BT180,($A180-Inputs!$D$1)+15,1,0)))))</f>
        <v xml:space="preserve"> </v>
      </c>
      <c r="U180" s="320" t="str">
        <f>IF($A180="N/A"," ",IF('Pricing Inputs'!$AN$8=2,(N180-$H180),IF('Pricing Inputs'!$AN$3=2,IF((N180-$H180)&gt;0,N180-$H180,0),(_xll.xSPRDOPT(N180,$E180,$BU180,0,$BP180,$BS180,$BT180,($A180-Inputs!$D$1)+15,1,0)))))</f>
        <v xml:space="preserve"> </v>
      </c>
      <c r="V180" s="259" t="str">
        <f>IF($A180="N/A"," ",(IF('Pricing Inputs'!$AN$8=2,(O180-$H180),IF((O180-$H180)&lt;=0,0,(O180-$H180)))))</f>
        <v xml:space="preserve"> </v>
      </c>
      <c r="W180" s="306" t="str">
        <f>IF($A180="N/A"," ",IF(0&lt;&gt;P180,IF('Pricing Inputs'!$AN$3=2,8*VLOOKUP($A180,NumberofDaysTable,2),(_xll.xSPRDOPT(I180,$E180,$BU180,0,$BP180,$BS180,$BT180,$A180-Inputs!$D$1,1,1))*(8*VLOOKUP($A180,NumberofDaysTable,2))),0))</f>
        <v xml:space="preserve"> </v>
      </c>
      <c r="X180" s="306" t="str">
        <f>IF($A180="N/A"," ",IF(Q180&lt;&gt;0,IF('Pricing Inputs'!$AN$3=2,8*VLOOKUP($A180,NumberofDaysTable,2),(_xll.xSPRDOPT(J180,$E180,$BU180,0,$BP180,$BS180,$BT180,$A180-Inputs!$D$1,1,1))*(8*VLOOKUP($A180,NumberofDaysTable,2))),0))</f>
        <v xml:space="preserve"> </v>
      </c>
      <c r="Y180" s="306" t="str">
        <f>IF($A180="N/A"," ",IF(R180&lt;&gt;0,IF('Pricing Inputs'!$AN$3=2,8*VLOOKUP($A180,NumberofDaysTable,3),(_xll.xSPRDOPT(K180,$E180,$BU180,0,$BP180,$BS180,$BT180,$A180-Inputs!$D$1,1,1))*(8*VLOOKUP($A180,NumberofDaysTable,3))),0))</f>
        <v xml:space="preserve"> </v>
      </c>
      <c r="Z180" s="306" t="str">
        <f>IF($A180="N/A"," ",IF(S180&lt;&gt;0,IF('Pricing Inputs'!$AN$3=2,8*VLOOKUP($A180,NumberofDaysTable,3),(_xll.xSPRDOPT(L180,$E180,$BU180,0,$BP180,$BS180,$BT180,$A180-Inputs!$D$1,1,1))*(8*VLOOKUP($A180,NumberofDaysTable,3))),0))</f>
        <v xml:space="preserve"> </v>
      </c>
      <c r="AA180" s="306" t="str">
        <f>IF($A180="N/A"," ",IF(T180&lt;&gt;0,IF('Pricing Inputs'!$AN$3=2,8*VLOOKUP($A180,NumberofDaysTable,4),(_xll.xSPRDOPT(M180,$E180,$BU180,0,$BP180,$BS180,$BT180,$A180-Inputs!$D$1,1,1))*(8*VLOOKUP($A180,NumberofDaysTable,4))),0))</f>
        <v xml:space="preserve"> </v>
      </c>
      <c r="AB180" s="306" t="str">
        <f>IF($A180="N/A"," ",IF(U180&lt;&gt;0,IF('Pricing Inputs'!$AN$3=2,8*VLOOKUP($A180,NumberofDaysTable,4),(_xll.xSPRDOPT(N180,$E180,$BU180,0,$BP180,$BS180,$BT180,$A180-Inputs!$D$1,1,1))*(8*VLOOKUP($A180,NumberofDaysTable,4))),0))</f>
        <v xml:space="preserve"> </v>
      </c>
      <c r="AC180" s="306" t="str">
        <f t="shared" si="233"/>
        <v xml:space="preserve"> </v>
      </c>
      <c r="AD180" s="274" t="str">
        <f t="shared" si="306"/>
        <v xml:space="preserve"> </v>
      </c>
      <c r="AE180" s="275" t="str">
        <f t="shared" si="307"/>
        <v xml:space="preserve"> </v>
      </c>
      <c r="AF180" s="275" t="str">
        <f t="shared" si="308"/>
        <v xml:space="preserve"> </v>
      </c>
      <c r="AG180" s="275" t="str">
        <f t="shared" si="309"/>
        <v xml:space="preserve"> </v>
      </c>
      <c r="AH180" s="275" t="str">
        <f t="shared" si="310"/>
        <v xml:space="preserve"> </v>
      </c>
      <c r="AI180" s="275" t="str">
        <f t="shared" si="311"/>
        <v xml:space="preserve"> </v>
      </c>
      <c r="AJ180" s="276" t="str">
        <f t="shared" si="312"/>
        <v xml:space="preserve"> </v>
      </c>
      <c r="AK180" s="314" t="str">
        <f t="shared" si="259"/>
        <v xml:space="preserve"> </v>
      </c>
      <c r="AL180" s="315" t="str">
        <f t="shared" si="260"/>
        <v xml:space="preserve"> </v>
      </c>
      <c r="AM180" s="315" t="str">
        <f t="shared" si="261"/>
        <v xml:space="preserve"> </v>
      </c>
      <c r="AN180" s="315" t="str">
        <f t="shared" si="262"/>
        <v xml:space="preserve"> </v>
      </c>
      <c r="AO180" s="315" t="str">
        <f t="shared" si="263"/>
        <v xml:space="preserve"> </v>
      </c>
      <c r="AP180" s="315" t="str">
        <f t="shared" si="264"/>
        <v xml:space="preserve"> </v>
      </c>
      <c r="AQ180" s="315" t="str">
        <f t="shared" si="265"/>
        <v xml:space="preserve"> </v>
      </c>
      <c r="AR180" s="276"/>
      <c r="AS180" s="321" t="str">
        <f t="shared" si="299"/>
        <v xml:space="preserve"> </v>
      </c>
      <c r="AT180" s="324" t="str">
        <f t="shared" si="300"/>
        <v xml:space="preserve"> </v>
      </c>
      <c r="AU180" s="324" t="str">
        <f t="shared" si="301"/>
        <v xml:space="preserve"> </v>
      </c>
      <c r="AV180" s="324" t="str">
        <f t="shared" si="302"/>
        <v xml:space="preserve"> </v>
      </c>
      <c r="AW180" s="324" t="str">
        <f t="shared" si="303"/>
        <v xml:space="preserve"> </v>
      </c>
      <c r="AX180" s="324" t="str">
        <f t="shared" si="304"/>
        <v xml:space="preserve"> </v>
      </c>
      <c r="AY180" s="324" t="str">
        <f t="shared" si="305"/>
        <v xml:space="preserve"> </v>
      </c>
      <c r="AZ180" s="276"/>
      <c r="BA180" s="267" t="str">
        <f>IF($A180="N/A"," ",(IF(MONTH(A180)&gt;=4,IF(MONTH(A180)&lt;=10,Inputs!$F$13,Inputs!$F$14),Inputs!$F$14))*$BW180)</f>
        <v xml:space="preserve"> </v>
      </c>
      <c r="BB180" s="268" t="str">
        <f t="shared" si="266"/>
        <v xml:space="preserve"> </v>
      </c>
      <c r="BC180" s="268" t="str">
        <f t="shared" si="267"/>
        <v xml:space="preserve"> </v>
      </c>
      <c r="BD180" s="268" t="str">
        <f t="shared" si="234"/>
        <v xml:space="preserve"> </v>
      </c>
      <c r="BE180" s="268" t="str">
        <f t="shared" si="235"/>
        <v xml:space="preserve"> </v>
      </c>
      <c r="BF180" s="268" t="str">
        <f t="shared" si="236"/>
        <v xml:space="preserve"> </v>
      </c>
      <c r="BG180" s="268" t="str">
        <f t="shared" si="237"/>
        <v xml:space="preserve"> </v>
      </c>
      <c r="BH180" s="268" t="str">
        <f t="shared" si="258"/>
        <v xml:space="preserve"> </v>
      </c>
      <c r="BI180" s="268" t="str">
        <f t="shared" si="238"/>
        <v xml:space="preserve"> </v>
      </c>
      <c r="BJ180" s="296" t="str">
        <f t="shared" si="239"/>
        <v xml:space="preserve"> </v>
      </c>
      <c r="BK180" s="296" t="str">
        <f t="shared" si="240"/>
        <v xml:space="preserve"> </v>
      </c>
      <c r="BL180" s="296" t="str">
        <f t="shared" si="241"/>
        <v xml:space="preserve"> </v>
      </c>
      <c r="BM180" s="296" t="str">
        <f t="shared" si="242"/>
        <v xml:space="preserve"> </v>
      </c>
      <c r="BN180" s="405" t="str">
        <f>IF(A180="N/A"," ",(VLOOKUP(A180,PowerVolTable,(IF('Pricing Inputs'!$AT$3=2,7,IF('Pricing Inputs'!$AT$3=1,6,8))),FALSE)))</f>
        <v xml:space="preserve"> </v>
      </c>
      <c r="BO180" s="405" t="str">
        <f>IF(A180="N/A"," ",(VLOOKUP(A180,IntraPowerVol,(IF('Pricing Inputs'!$AT$3=2,3,IF('Pricing Inputs'!$AT$3=1,2,4))),FALSE)*VLOOKUP(MONTH($A180),Inputs!$A$28:$B$39,2)))</f>
        <v xml:space="preserve"> </v>
      </c>
      <c r="BP180" s="406" t="str">
        <f t="shared" si="227"/>
        <v xml:space="preserve"> </v>
      </c>
      <c r="BQ180" s="405" t="str">
        <f>IF($A180="N/A"," ",(VLOOKUP($A180,GasVolTable,(IF('Pricing Inputs'!$AT$3=2,6,IF('Pricing Inputs'!$AT$3=1,7,5))),FALSE)))</f>
        <v xml:space="preserve"> </v>
      </c>
      <c r="BR180" s="405" t="str">
        <f>IF($A180="N/A"," ",(VLOOKUP($A180,OmicronVol,(IF('Pricing Inputs'!$AT$3=2,3,IF('Pricing Inputs'!$AT$3=1,4,2))),FALSE)))</f>
        <v xml:space="preserve"> </v>
      </c>
      <c r="BS180" s="406" t="str">
        <f>IF($A180="N/A"," ",IF('Pricing Inputs'!$AN$3=1,(IF(DateToday&gt;$A180,$BR180,((($BQ180^2)*((($A180-1)-DateToday)/((EOMONTH($A180,0)+1)-DateToday-15)))+((($BR180)^2)*((15)/((EOMONTH($A180,0)+1)-DateToday-15))))^0.5)),0.0001))</f>
        <v xml:space="preserve"> </v>
      </c>
      <c r="BT180" s="405" t="str">
        <f>IF($A180="N/A"," ",IF('Pricing Inputs'!$AN$3=1,(VLOOKUP($A180,CorrelationTable,2,FALSE)),0))</f>
        <v xml:space="preserve"> </v>
      </c>
      <c r="BU180" s="407" t="str">
        <f>IF($A180="N/A"," ",F180+G180+(D180*(VLOOKUP($A180,'Gas Curves'!$B$17:$P$310,14,FALSE))))</f>
        <v xml:space="preserve"> </v>
      </c>
      <c r="BV180" s="405" t="str">
        <f>IF($A180="N/A"," ",IF('Pricing Inputs'!$AW$3=1,0,(VLOOKUP($A180,InterestRatesTable,2))))</f>
        <v xml:space="preserve"> </v>
      </c>
      <c r="BW180" s="408" t="str">
        <f t="shared" si="228"/>
        <v xml:space="preserve"> </v>
      </c>
    </row>
    <row r="181" spans="1:75">
      <c r="A181" s="248" t="str">
        <f>IF(A180="N/A","N/A",IF(EDATE(A180,1)&gt;Inputs!$K$3,"N/A",EDATE(A180,1)))</f>
        <v>N/A</v>
      </c>
      <c r="B181" s="262" t="str">
        <f t="shared" si="229"/>
        <v xml:space="preserve"> </v>
      </c>
      <c r="C181" s="249" t="str">
        <f t="shared" si="230"/>
        <v xml:space="preserve"> </v>
      </c>
      <c r="D181" s="250" t="str">
        <f>IF(A181="N/A"," ",(VLOOKUP(MONTH($A181),Inputs!$A$14:$B$25,2))/1000)</f>
        <v xml:space="preserve"> </v>
      </c>
      <c r="E181" s="304" t="str">
        <f t="shared" si="231"/>
        <v xml:space="preserve"> </v>
      </c>
      <c r="F181" s="251" t="str">
        <f>IF(A181="N/A"," ",Inputs!$F$6)</f>
        <v xml:space="preserve"> </v>
      </c>
      <c r="G181" s="251" t="str">
        <f>IF(A181="N/A"," ",Inputs!$F$9/IF(AND('Pricing Inputs'!$AQ$3&gt;=4,'Pricing Inputs'!$AQ$3&lt;=6),16,IF(AND('Pricing Inputs'!$AQ$3&gt;=7,'Pricing Inputs'!$AQ$3&lt;=9),8,24))/(BA181/BW181))</f>
        <v xml:space="preserve"> </v>
      </c>
      <c r="H181" s="252" t="str">
        <f t="shared" si="232"/>
        <v xml:space="preserve"> </v>
      </c>
      <c r="I181" s="255" t="str">
        <f>VLOOKUP(A181,ScaledPrice,(IF(AND('Pricing Inputs'!$AQ$3&gt;=1,'Pricing Inputs'!$AQ$3&lt;=6),2,4)))</f>
        <v xml:space="preserve"> </v>
      </c>
      <c r="J181" s="255" t="str">
        <f>IF(A181="N/A"," ",IF(AND('Pricing Inputs'!$AQ$3&gt;=1,'Pricing Inputs'!$AQ$3&lt;=6),I181,(VLOOKUP(A181,ScaledPrice,2))*(2-(VLOOKUP(A181,ScaledPrice,3)))))</f>
        <v xml:space="preserve"> </v>
      </c>
      <c r="K181" s="255" t="str">
        <f>IF(A181="N/A"," ",IF(OR('Pricing Inputs'!$AQ$3=2,'Pricing Inputs'!$AQ$3=3,'Pricing Inputs'!$AQ$3=5,'Pricing Inputs'!$AQ$3=6,'Pricing Inputs'!$AQ$3=8,'Pricing Inputs'!$AQ$3=9),VLOOKUP(A181,ScaledPrice,IF(AND('Pricing Inputs'!$AQ$3&gt;=2,'Pricing Inputs'!$AQ$3&lt;=6),5,6)),0))</f>
        <v xml:space="preserve"> </v>
      </c>
      <c r="L181" s="255" t="str">
        <f>IF(A181="N/A"," ",IF(OR('Pricing Inputs'!$AQ$3=2,'Pricing Inputs'!$AQ$3=3,'Pricing Inputs'!$AQ$3=5,'Pricing Inputs'!$AQ$3=6,'Pricing Inputs'!$AQ$3=8,'Pricing Inputs'!$AQ$3=9),IF(AND('Pricing Inputs'!$AQ$3&gt;=2,'Pricing Inputs'!$AQ$3&lt;=6),K181,(VLOOKUP(A181,ScaledPrice,5))*(2-(VLOOKUP(A181,ScaledPrice,3)))),0))</f>
        <v xml:space="preserve"> </v>
      </c>
      <c r="M181" s="255" t="str">
        <f>IF(A181="N/A"," ",IF(OR('Pricing Inputs'!$AQ$3=3,'Pricing Inputs'!$AQ$3=6,'Pricing Inputs'!$AQ$3=9),(VLOOKUP(A181,ScaledPrice,IF(AND('Pricing Inputs'!$AQ$3&gt;=3,'Pricing Inputs'!$AQ$3&lt;=6),7,8))),0))</f>
        <v xml:space="preserve"> </v>
      </c>
      <c r="N181" s="255" t="str">
        <f>IF(A181="N/A"," ",IF(OR('Pricing Inputs'!$AQ$3=3,'Pricing Inputs'!$AQ$3=6,'Pricing Inputs'!$AQ$3=9),IF(AND('Pricing Inputs'!$AQ$3&gt;=3,'Pricing Inputs'!$AQ$3&lt;=6),M181,(VLOOKUP(A181,ScaledPrice,7))*(2-(VLOOKUP(A181,ScaledPrice,3)))),0))</f>
        <v xml:space="preserve"> </v>
      </c>
      <c r="O181" s="255" t="str">
        <f>IF(A181="N/A"," ",IF(AND('Pricing Inputs'!$AQ$3&gt;=1,'Pricing Inputs'!$AQ$3&lt;=3),VLOOKUP(A181,ScaledPrice,9),0))</f>
        <v xml:space="preserve"> </v>
      </c>
      <c r="P181" s="320" t="str">
        <f>IF($A181="N/A"," ",IF('Pricing Inputs'!$AN$8=2,(I181-H181),IF('Pricing Inputs'!$AN$3=2,IF((I181-$H181)&gt;0,I181-$H181,0),(_xll.xSPRDOPT(I181,$E181,$BU181,0,$BP181,$BS181,$BT181,($A181-Inputs!$D$1)+15,1,0)))))</f>
        <v xml:space="preserve"> </v>
      </c>
      <c r="Q181" s="320" t="str">
        <f>IF($A181="N/A"," ",IF('Pricing Inputs'!$AN$8=2,(J181-$H181),IF('Pricing Inputs'!$AN$3=2,IF((J181-$H181)&gt;0,J181-$H181,0),(_xll.xSPRDOPT(J181,$E181,$BU181,0,$BP181,$BS181,$BT181,($A181-Inputs!$D$1)+15,1,0)))))</f>
        <v xml:space="preserve"> </v>
      </c>
      <c r="R181" s="320" t="str">
        <f>IF($A181="N/A"," ",IF('Pricing Inputs'!$AN$8=2,(K181-$H181),IF('Pricing Inputs'!$AN$3=2,IF((K181-$H181)&gt;0,K181-$H181,0),(_xll.xSPRDOPT(K181,$E181,$BU181,0,$BP181,$BS181,$BT181,($A181-Inputs!$D$1)+15,1,0)))))</f>
        <v xml:space="preserve"> </v>
      </c>
      <c r="S181" s="320" t="str">
        <f>IF($A181="N/A"," ",IF('Pricing Inputs'!$AN$8=2,(L181-$H181),IF('Pricing Inputs'!$AN$3=2,IF((L181-$H181)&gt;0,L181-$H181,0),(_xll.xSPRDOPT(L181,$E181,$BU181,0,$BP181,$BS181,$BT181,($A181-Inputs!$D$1)+15,1,0)))))</f>
        <v xml:space="preserve"> </v>
      </c>
      <c r="T181" s="320" t="str">
        <f>IF($A181="N/A"," ",IF('Pricing Inputs'!$AN$8=2,(M181-$H181),IF('Pricing Inputs'!$AN$3=2,IF((M181-$H181)&gt;0,M181-$H181,0),(_xll.xSPRDOPT(M181,$E181,$BU181,0,$BP181,$BS181,$BT181,($A181-Inputs!$D$1)+15,1,0)))))</f>
        <v xml:space="preserve"> </v>
      </c>
      <c r="U181" s="320" t="str">
        <f>IF($A181="N/A"," ",IF('Pricing Inputs'!$AN$8=2,(N181-$H181),IF('Pricing Inputs'!$AN$3=2,IF((N181-$H181)&gt;0,N181-$H181,0),(_xll.xSPRDOPT(N181,$E181,$BU181,0,$BP181,$BS181,$BT181,($A181-Inputs!$D$1)+15,1,0)))))</f>
        <v xml:space="preserve"> </v>
      </c>
      <c r="V181" s="259" t="str">
        <f>IF($A181="N/A"," ",(IF('Pricing Inputs'!$AN$8=2,(O181-$H181),IF((O181-$H181)&lt;=0,0,(O181-$H181)))))</f>
        <v xml:space="preserve"> </v>
      </c>
      <c r="W181" s="306" t="str">
        <f>IF($A181="N/A"," ",IF(0&lt;&gt;P181,IF('Pricing Inputs'!$AN$3=2,8*VLOOKUP($A181,NumberofDaysTable,2),(_xll.xSPRDOPT(I181,$E181,$BU181,0,$BP181,$BS181,$BT181,$A181-Inputs!$D$1,1,1))*(8*VLOOKUP($A181,NumberofDaysTable,2))),0))</f>
        <v xml:space="preserve"> </v>
      </c>
      <c r="X181" s="306" t="str">
        <f>IF($A181="N/A"," ",IF(Q181&lt;&gt;0,IF('Pricing Inputs'!$AN$3=2,8*VLOOKUP($A181,NumberofDaysTable,2),(_xll.xSPRDOPT(J181,$E181,$BU181,0,$BP181,$BS181,$BT181,$A181-Inputs!$D$1,1,1))*(8*VLOOKUP($A181,NumberofDaysTable,2))),0))</f>
        <v xml:space="preserve"> </v>
      </c>
      <c r="Y181" s="306" t="str">
        <f>IF($A181="N/A"," ",IF(R181&lt;&gt;0,IF('Pricing Inputs'!$AN$3=2,8*VLOOKUP($A181,NumberofDaysTable,3),(_xll.xSPRDOPT(K181,$E181,$BU181,0,$BP181,$BS181,$BT181,$A181-Inputs!$D$1,1,1))*(8*VLOOKUP($A181,NumberofDaysTable,3))),0))</f>
        <v xml:space="preserve"> </v>
      </c>
      <c r="Z181" s="306" t="str">
        <f>IF($A181="N/A"," ",IF(S181&lt;&gt;0,IF('Pricing Inputs'!$AN$3=2,8*VLOOKUP($A181,NumberofDaysTable,3),(_xll.xSPRDOPT(L181,$E181,$BU181,0,$BP181,$BS181,$BT181,$A181-Inputs!$D$1,1,1))*(8*VLOOKUP($A181,NumberofDaysTable,3))),0))</f>
        <v xml:space="preserve"> </v>
      </c>
      <c r="AA181" s="306" t="str">
        <f>IF($A181="N/A"," ",IF(T181&lt;&gt;0,IF('Pricing Inputs'!$AN$3=2,8*VLOOKUP($A181,NumberofDaysTable,4),(_xll.xSPRDOPT(M181,$E181,$BU181,0,$BP181,$BS181,$BT181,$A181-Inputs!$D$1,1,1))*(8*VLOOKUP($A181,NumberofDaysTable,4))),0))</f>
        <v xml:space="preserve"> </v>
      </c>
      <c r="AB181" s="306" t="str">
        <f>IF($A181="N/A"," ",IF(U181&lt;&gt;0,IF('Pricing Inputs'!$AN$3=2,8*VLOOKUP($A181,NumberofDaysTable,4),(_xll.xSPRDOPT(N181,$E181,$BU181,0,$BP181,$BS181,$BT181,$A181-Inputs!$D$1,1,1))*(8*VLOOKUP($A181,NumberofDaysTable,4))),0))</f>
        <v xml:space="preserve"> </v>
      </c>
      <c r="AC181" s="306" t="str">
        <f t="shared" si="233"/>
        <v xml:space="preserve"> </v>
      </c>
      <c r="AD181" s="274" t="str">
        <f t="shared" si="306"/>
        <v xml:space="preserve"> </v>
      </c>
      <c r="AE181" s="275" t="str">
        <f t="shared" si="307"/>
        <v xml:space="preserve"> </v>
      </c>
      <c r="AF181" s="275" t="str">
        <f t="shared" si="308"/>
        <v xml:space="preserve"> </v>
      </c>
      <c r="AG181" s="275" t="str">
        <f t="shared" si="309"/>
        <v xml:space="preserve"> </v>
      </c>
      <c r="AH181" s="275" t="str">
        <f t="shared" si="310"/>
        <v xml:space="preserve"> </v>
      </c>
      <c r="AI181" s="275" t="str">
        <f t="shared" si="311"/>
        <v xml:space="preserve"> </v>
      </c>
      <c r="AJ181" s="276" t="str">
        <f t="shared" si="312"/>
        <v xml:space="preserve"> </v>
      </c>
      <c r="AK181" s="314" t="str">
        <f t="shared" si="259"/>
        <v xml:space="preserve"> </v>
      </c>
      <c r="AL181" s="315" t="str">
        <f t="shared" si="260"/>
        <v xml:space="preserve"> </v>
      </c>
      <c r="AM181" s="315" t="str">
        <f t="shared" si="261"/>
        <v xml:space="preserve"> </v>
      </c>
      <c r="AN181" s="315" t="str">
        <f t="shared" si="262"/>
        <v xml:space="preserve"> </v>
      </c>
      <c r="AO181" s="315" t="str">
        <f t="shared" si="263"/>
        <v xml:space="preserve"> </v>
      </c>
      <c r="AP181" s="315" t="str">
        <f t="shared" si="264"/>
        <v xml:space="preserve"> </v>
      </c>
      <c r="AQ181" s="315" t="str">
        <f t="shared" si="265"/>
        <v xml:space="preserve"> </v>
      </c>
      <c r="AR181" s="284" t="s">
        <v>1292</v>
      </c>
      <c r="AS181" s="321" t="str">
        <f t="shared" si="299"/>
        <v xml:space="preserve"> </v>
      </c>
      <c r="AT181" s="324" t="str">
        <f t="shared" si="300"/>
        <v xml:space="preserve"> </v>
      </c>
      <c r="AU181" s="324" t="str">
        <f t="shared" si="301"/>
        <v xml:space="preserve"> </v>
      </c>
      <c r="AV181" s="324" t="str">
        <f t="shared" si="302"/>
        <v xml:space="preserve"> </v>
      </c>
      <c r="AW181" s="324" t="str">
        <f t="shared" si="303"/>
        <v xml:space="preserve"> </v>
      </c>
      <c r="AX181" s="324" t="str">
        <f t="shared" si="304"/>
        <v xml:space="preserve"> </v>
      </c>
      <c r="AY181" s="324" t="str">
        <f t="shared" si="305"/>
        <v xml:space="preserve"> </v>
      </c>
      <c r="AZ181" s="283" t="s">
        <v>1304</v>
      </c>
      <c r="BA181" s="267" t="str">
        <f>IF($A181="N/A"," ",(IF(MONTH(A181)&gt;=4,IF(MONTH(A181)&lt;=10,Inputs!$F$13,Inputs!$F$14),Inputs!$F$14))*$BW181)</f>
        <v xml:space="preserve"> </v>
      </c>
      <c r="BB181" s="268" t="str">
        <f t="shared" si="266"/>
        <v xml:space="preserve"> </v>
      </c>
      <c r="BC181" s="268" t="str">
        <f t="shared" si="267"/>
        <v xml:space="preserve"> </v>
      </c>
      <c r="BD181" s="268" t="str">
        <f t="shared" si="234"/>
        <v xml:space="preserve"> </v>
      </c>
      <c r="BE181" s="268" t="str">
        <f t="shared" si="235"/>
        <v xml:space="preserve"> </v>
      </c>
      <c r="BF181" s="268" t="str">
        <f t="shared" si="236"/>
        <v xml:space="preserve"> </v>
      </c>
      <c r="BG181" s="268" t="str">
        <f t="shared" si="237"/>
        <v xml:space="preserve"> </v>
      </c>
      <c r="BH181" s="268" t="str">
        <f t="shared" si="258"/>
        <v xml:space="preserve"> </v>
      </c>
      <c r="BI181" s="268" t="str">
        <f t="shared" si="238"/>
        <v xml:space="preserve"> </v>
      </c>
      <c r="BJ181" s="296" t="str">
        <f t="shared" si="239"/>
        <v xml:space="preserve"> </v>
      </c>
      <c r="BK181" s="296" t="str">
        <f t="shared" si="240"/>
        <v xml:space="preserve"> </v>
      </c>
      <c r="BL181" s="296" t="str">
        <f t="shared" si="241"/>
        <v xml:space="preserve"> </v>
      </c>
      <c r="BM181" s="296" t="str">
        <f t="shared" si="242"/>
        <v xml:space="preserve"> </v>
      </c>
      <c r="BN181" s="405" t="str">
        <f>IF(A181="N/A"," ",(VLOOKUP(A181,PowerVolTable,(IF('Pricing Inputs'!$AT$3=2,7,IF('Pricing Inputs'!$AT$3=1,6,8))),FALSE)))</f>
        <v xml:space="preserve"> </v>
      </c>
      <c r="BO181" s="405" t="str">
        <f>IF(A181="N/A"," ",(VLOOKUP(A181,IntraPowerVol,(IF('Pricing Inputs'!$AT$3=2,3,IF('Pricing Inputs'!$AT$3=1,2,4))),FALSE)*VLOOKUP(MONTH($A181),Inputs!$A$28:$B$39,2)))</f>
        <v xml:space="preserve"> </v>
      </c>
      <c r="BP181" s="406" t="str">
        <f t="shared" si="227"/>
        <v xml:space="preserve"> </v>
      </c>
      <c r="BQ181" s="405" t="str">
        <f>IF($A181="N/A"," ",(VLOOKUP($A181,GasVolTable,(IF('Pricing Inputs'!$AT$3=2,6,IF('Pricing Inputs'!$AT$3=1,7,5))),FALSE)))</f>
        <v xml:space="preserve"> </v>
      </c>
      <c r="BR181" s="405" t="str">
        <f>IF($A181="N/A"," ",(VLOOKUP($A181,OmicronVol,(IF('Pricing Inputs'!$AT$3=2,3,IF('Pricing Inputs'!$AT$3=1,4,2))),FALSE)))</f>
        <v xml:space="preserve"> </v>
      </c>
      <c r="BS181" s="406" t="str">
        <f>IF($A181="N/A"," ",IF('Pricing Inputs'!$AN$3=1,(IF(DateToday&gt;$A181,$BR181,((($BQ181^2)*((($A181-1)-DateToday)/((EOMONTH($A181,0)+1)-DateToday-15)))+((($BR181)^2)*((15)/((EOMONTH($A181,0)+1)-DateToday-15))))^0.5)),0.0001))</f>
        <v xml:space="preserve"> </v>
      </c>
      <c r="BT181" s="405" t="str">
        <f>IF($A181="N/A"," ",IF('Pricing Inputs'!$AN$3=1,(VLOOKUP($A181,CorrelationTable,2,FALSE)),0))</f>
        <v xml:space="preserve"> </v>
      </c>
      <c r="BU181" s="407" t="str">
        <f>IF($A181="N/A"," ",F181+G181+(D181*(VLOOKUP($A181,'Gas Curves'!$B$17:$P$310,14,FALSE))))</f>
        <v xml:space="preserve"> </v>
      </c>
      <c r="BV181" s="405" t="str">
        <f>IF($A181="N/A"," ",IF('Pricing Inputs'!$AW$3=1,0,(VLOOKUP($A181,InterestRatesTable,2))))</f>
        <v xml:space="preserve"> </v>
      </c>
      <c r="BW181" s="408" t="str">
        <f t="shared" si="228"/>
        <v xml:space="preserve"> </v>
      </c>
    </row>
    <row r="182" spans="1:75">
      <c r="A182" s="248" t="str">
        <f>IF(A181="N/A","N/A",IF(EDATE(A181,1)&gt;Inputs!$K$3,"N/A",EDATE(A181,1)))</f>
        <v>N/A</v>
      </c>
      <c r="B182" s="262" t="str">
        <f t="shared" si="229"/>
        <v xml:space="preserve"> </v>
      </c>
      <c r="C182" s="249" t="str">
        <f t="shared" si="230"/>
        <v xml:space="preserve"> </v>
      </c>
      <c r="D182" s="250" t="str">
        <f>IF(A182="N/A"," ",(VLOOKUP(MONTH($A182),Inputs!$A$14:$B$25,2))/1000)</f>
        <v xml:space="preserve"> </v>
      </c>
      <c r="E182" s="304" t="str">
        <f t="shared" si="231"/>
        <v xml:space="preserve"> </v>
      </c>
      <c r="F182" s="251" t="str">
        <f>IF(A182="N/A"," ",Inputs!$F$6)</f>
        <v xml:space="preserve"> </v>
      </c>
      <c r="G182" s="251" t="str">
        <f>IF(A182="N/A"," ",Inputs!$F$9/IF(AND('Pricing Inputs'!$AQ$3&gt;=4,'Pricing Inputs'!$AQ$3&lt;=6),16,IF(AND('Pricing Inputs'!$AQ$3&gt;=7,'Pricing Inputs'!$AQ$3&lt;=9),8,24))/(BA182/BW182))</f>
        <v xml:space="preserve"> </v>
      </c>
      <c r="H182" s="252" t="str">
        <f t="shared" si="232"/>
        <v xml:space="preserve"> </v>
      </c>
      <c r="I182" s="255" t="str">
        <f>VLOOKUP(A182,ScaledPrice,(IF(AND('Pricing Inputs'!$AQ$3&gt;=1,'Pricing Inputs'!$AQ$3&lt;=6),2,4)))</f>
        <v xml:space="preserve"> </v>
      </c>
      <c r="J182" s="255" t="str">
        <f>IF(A182="N/A"," ",IF(AND('Pricing Inputs'!$AQ$3&gt;=1,'Pricing Inputs'!$AQ$3&lt;=6),I182,(VLOOKUP(A182,ScaledPrice,2))*(2-(VLOOKUP(A182,ScaledPrice,3)))))</f>
        <v xml:space="preserve"> </v>
      </c>
      <c r="K182" s="255" t="str">
        <f>IF(A182="N/A"," ",IF(OR('Pricing Inputs'!$AQ$3=2,'Pricing Inputs'!$AQ$3=3,'Pricing Inputs'!$AQ$3=5,'Pricing Inputs'!$AQ$3=6,'Pricing Inputs'!$AQ$3=8,'Pricing Inputs'!$AQ$3=9),VLOOKUP(A182,ScaledPrice,IF(AND('Pricing Inputs'!$AQ$3&gt;=2,'Pricing Inputs'!$AQ$3&lt;=6),5,6)),0))</f>
        <v xml:space="preserve"> </v>
      </c>
      <c r="L182" s="255" t="str">
        <f>IF(A182="N/A"," ",IF(OR('Pricing Inputs'!$AQ$3=2,'Pricing Inputs'!$AQ$3=3,'Pricing Inputs'!$AQ$3=5,'Pricing Inputs'!$AQ$3=6,'Pricing Inputs'!$AQ$3=8,'Pricing Inputs'!$AQ$3=9),IF(AND('Pricing Inputs'!$AQ$3&gt;=2,'Pricing Inputs'!$AQ$3&lt;=6),K182,(VLOOKUP(A182,ScaledPrice,5))*(2-(VLOOKUP(A182,ScaledPrice,3)))),0))</f>
        <v xml:space="preserve"> </v>
      </c>
      <c r="M182" s="255" t="str">
        <f>IF(A182="N/A"," ",IF(OR('Pricing Inputs'!$AQ$3=3,'Pricing Inputs'!$AQ$3=6,'Pricing Inputs'!$AQ$3=9),(VLOOKUP(A182,ScaledPrice,IF(AND('Pricing Inputs'!$AQ$3&gt;=3,'Pricing Inputs'!$AQ$3&lt;=6),7,8))),0))</f>
        <v xml:space="preserve"> </v>
      </c>
      <c r="N182" s="255" t="str">
        <f>IF(A182="N/A"," ",IF(OR('Pricing Inputs'!$AQ$3=3,'Pricing Inputs'!$AQ$3=6,'Pricing Inputs'!$AQ$3=9),IF(AND('Pricing Inputs'!$AQ$3&gt;=3,'Pricing Inputs'!$AQ$3&lt;=6),M182,(VLOOKUP(A182,ScaledPrice,7))*(2-(VLOOKUP(A182,ScaledPrice,3)))),0))</f>
        <v xml:space="preserve"> </v>
      </c>
      <c r="O182" s="255" t="str">
        <f>IF(A182="N/A"," ",IF(AND('Pricing Inputs'!$AQ$3&gt;=1,'Pricing Inputs'!$AQ$3&lt;=3),VLOOKUP(A182,ScaledPrice,9),0))</f>
        <v xml:space="preserve"> </v>
      </c>
      <c r="P182" s="320" t="str">
        <f>IF($A182="N/A"," ",IF('Pricing Inputs'!$AN$8=2,(I182-H182),IF('Pricing Inputs'!$AN$3=2,IF((I182-$H182)&gt;0,I182-$H182,0),(_xll.xSPRDOPT(I182,$E182,$BU182,0,$BP182,$BS182,$BT182,($A182-Inputs!$D$1)+15,1,0)))))</f>
        <v xml:space="preserve"> </v>
      </c>
      <c r="Q182" s="320" t="str">
        <f>IF($A182="N/A"," ",IF('Pricing Inputs'!$AN$8=2,(J182-$H182),IF('Pricing Inputs'!$AN$3=2,IF((J182-$H182)&gt;0,J182-$H182,0),(_xll.xSPRDOPT(J182,$E182,$BU182,0,$BP182,$BS182,$BT182,($A182-Inputs!$D$1)+15,1,0)))))</f>
        <v xml:space="preserve"> </v>
      </c>
      <c r="R182" s="320" t="str">
        <f>IF($A182="N/A"," ",IF('Pricing Inputs'!$AN$8=2,(K182-$H182),IF('Pricing Inputs'!$AN$3=2,IF((K182-$H182)&gt;0,K182-$H182,0),(_xll.xSPRDOPT(K182,$E182,$BU182,0,$BP182,$BS182,$BT182,($A182-Inputs!$D$1)+15,1,0)))))</f>
        <v xml:space="preserve"> </v>
      </c>
      <c r="S182" s="320" t="str">
        <f>IF($A182="N/A"," ",IF('Pricing Inputs'!$AN$8=2,(L182-$H182),IF('Pricing Inputs'!$AN$3=2,IF((L182-$H182)&gt;0,L182-$H182,0),(_xll.xSPRDOPT(L182,$E182,$BU182,0,$BP182,$BS182,$BT182,($A182-Inputs!$D$1)+15,1,0)))))</f>
        <v xml:space="preserve"> </v>
      </c>
      <c r="T182" s="320" t="str">
        <f>IF($A182="N/A"," ",IF('Pricing Inputs'!$AN$8=2,(M182-$H182),IF('Pricing Inputs'!$AN$3=2,IF((M182-$H182)&gt;0,M182-$H182,0),(_xll.xSPRDOPT(M182,$E182,$BU182,0,$BP182,$BS182,$BT182,($A182-Inputs!$D$1)+15,1,0)))))</f>
        <v xml:space="preserve"> </v>
      </c>
      <c r="U182" s="320" t="str">
        <f>IF($A182="N/A"," ",IF('Pricing Inputs'!$AN$8=2,(N182-$H182),IF('Pricing Inputs'!$AN$3=2,IF((N182-$H182)&gt;0,N182-$H182,0),(_xll.xSPRDOPT(N182,$E182,$BU182,0,$BP182,$BS182,$BT182,($A182-Inputs!$D$1)+15,1,0)))))</f>
        <v xml:space="preserve"> </v>
      </c>
      <c r="V182" s="259" t="str">
        <f>IF($A182="N/A"," ",(IF('Pricing Inputs'!$AN$8=2,(O182-$H182),IF((O182-$H182)&lt;=0,0,(O182-$H182)))))</f>
        <v xml:space="preserve"> </v>
      </c>
      <c r="W182" s="306" t="str">
        <f>IF($A182="N/A"," ",IF(0&lt;&gt;P182,IF('Pricing Inputs'!$AN$3=2,8*VLOOKUP($A182,NumberofDaysTable,2),(_xll.xSPRDOPT(I182,$E182,$BU182,0,$BP182,$BS182,$BT182,$A182-Inputs!$D$1,1,1))*(8*VLOOKUP($A182,NumberofDaysTable,2))),0))</f>
        <v xml:space="preserve"> </v>
      </c>
      <c r="X182" s="306" t="str">
        <f>IF($A182="N/A"," ",IF(Q182&lt;&gt;0,IF('Pricing Inputs'!$AN$3=2,8*VLOOKUP($A182,NumberofDaysTable,2),(_xll.xSPRDOPT(J182,$E182,$BU182,0,$BP182,$BS182,$BT182,$A182-Inputs!$D$1,1,1))*(8*VLOOKUP($A182,NumberofDaysTable,2))),0))</f>
        <v xml:space="preserve"> </v>
      </c>
      <c r="Y182" s="306" t="str">
        <f>IF($A182="N/A"," ",IF(R182&lt;&gt;0,IF('Pricing Inputs'!$AN$3=2,8*VLOOKUP($A182,NumberofDaysTable,3),(_xll.xSPRDOPT(K182,$E182,$BU182,0,$BP182,$BS182,$BT182,$A182-Inputs!$D$1,1,1))*(8*VLOOKUP($A182,NumberofDaysTable,3))),0))</f>
        <v xml:space="preserve"> </v>
      </c>
      <c r="Z182" s="306" t="str">
        <f>IF($A182="N/A"," ",IF(S182&lt;&gt;0,IF('Pricing Inputs'!$AN$3=2,8*VLOOKUP($A182,NumberofDaysTable,3),(_xll.xSPRDOPT(L182,$E182,$BU182,0,$BP182,$BS182,$BT182,$A182-Inputs!$D$1,1,1))*(8*VLOOKUP($A182,NumberofDaysTable,3))),0))</f>
        <v xml:space="preserve"> </v>
      </c>
      <c r="AA182" s="306" t="str">
        <f>IF($A182="N/A"," ",IF(T182&lt;&gt;0,IF('Pricing Inputs'!$AN$3=2,8*VLOOKUP($A182,NumberofDaysTable,4),(_xll.xSPRDOPT(M182,$E182,$BU182,0,$BP182,$BS182,$BT182,$A182-Inputs!$D$1,1,1))*(8*VLOOKUP($A182,NumberofDaysTable,4))),0))</f>
        <v xml:space="preserve"> </v>
      </c>
      <c r="AB182" s="306" t="str">
        <f>IF($A182="N/A"," ",IF(U182&lt;&gt;0,IF('Pricing Inputs'!$AN$3=2,8*VLOOKUP($A182,NumberofDaysTable,4),(_xll.xSPRDOPT(N182,$E182,$BU182,0,$BP182,$BS182,$BT182,$A182-Inputs!$D$1,1,1))*(8*VLOOKUP($A182,NumberofDaysTable,4))),0))</f>
        <v xml:space="preserve"> </v>
      </c>
      <c r="AC182" s="306" t="str">
        <f t="shared" si="233"/>
        <v xml:space="preserve"> </v>
      </c>
      <c r="AD182" s="274" t="str">
        <f t="shared" si="306"/>
        <v xml:space="preserve"> </v>
      </c>
      <c r="AE182" s="275" t="str">
        <f t="shared" si="307"/>
        <v xml:space="preserve"> </v>
      </c>
      <c r="AF182" s="275" t="str">
        <f t="shared" si="308"/>
        <v xml:space="preserve"> </v>
      </c>
      <c r="AG182" s="275" t="str">
        <f t="shared" si="309"/>
        <v xml:space="preserve"> </v>
      </c>
      <c r="AH182" s="275" t="str">
        <f t="shared" si="310"/>
        <v xml:space="preserve"> </v>
      </c>
      <c r="AI182" s="275" t="str">
        <f t="shared" si="311"/>
        <v xml:space="preserve"> </v>
      </c>
      <c r="AJ182" s="276" t="str">
        <f t="shared" si="312"/>
        <v xml:space="preserve"> </v>
      </c>
      <c r="AK182" s="314" t="str">
        <f t="shared" si="259"/>
        <v xml:space="preserve"> </v>
      </c>
      <c r="AL182" s="315" t="str">
        <f t="shared" si="260"/>
        <v xml:space="preserve"> </v>
      </c>
      <c r="AM182" s="315" t="str">
        <f t="shared" si="261"/>
        <v xml:space="preserve"> </v>
      </c>
      <c r="AN182" s="315" t="str">
        <f t="shared" si="262"/>
        <v xml:space="preserve"> </v>
      </c>
      <c r="AO182" s="315" t="str">
        <f t="shared" si="263"/>
        <v xml:space="preserve"> </v>
      </c>
      <c r="AP182" s="315" t="str">
        <f t="shared" si="264"/>
        <v xml:space="preserve"> </v>
      </c>
      <c r="AQ182" s="315" t="str">
        <f t="shared" si="265"/>
        <v xml:space="preserve"> </v>
      </c>
      <c r="AR182" s="276">
        <f>SUM(AK172:AQ183)</f>
        <v>0</v>
      </c>
      <c r="AS182" s="321" t="str">
        <f t="shared" si="299"/>
        <v xml:space="preserve"> </v>
      </c>
      <c r="AT182" s="324" t="str">
        <f t="shared" si="300"/>
        <v xml:space="preserve"> </v>
      </c>
      <c r="AU182" s="324" t="str">
        <f t="shared" si="301"/>
        <v xml:space="preserve"> </v>
      </c>
      <c r="AV182" s="324" t="str">
        <f t="shared" si="302"/>
        <v xml:space="preserve"> </v>
      </c>
      <c r="AW182" s="324" t="str">
        <f t="shared" si="303"/>
        <v xml:space="preserve"> </v>
      </c>
      <c r="AX182" s="324" t="str">
        <f t="shared" si="304"/>
        <v xml:space="preserve"> </v>
      </c>
      <c r="AY182" s="324" t="str">
        <f t="shared" si="305"/>
        <v xml:space="preserve"> </v>
      </c>
      <c r="AZ182" s="276">
        <f>SUM(AS172:AY183)</f>
        <v>0</v>
      </c>
      <c r="BA182" s="267" t="str">
        <f>IF($A182="N/A"," ",(IF(MONTH(A182)&gt;=4,IF(MONTH(A182)&lt;=10,Inputs!$F$13,Inputs!$F$14),Inputs!$F$14))*$BW182)</f>
        <v xml:space="preserve"> </v>
      </c>
      <c r="BB182" s="268" t="str">
        <f t="shared" si="266"/>
        <v xml:space="preserve"> </v>
      </c>
      <c r="BC182" s="268" t="str">
        <f t="shared" si="267"/>
        <v xml:space="preserve"> </v>
      </c>
      <c r="BD182" s="268" t="str">
        <f t="shared" si="234"/>
        <v xml:space="preserve"> </v>
      </c>
      <c r="BE182" s="268" t="str">
        <f t="shared" si="235"/>
        <v xml:space="preserve"> </v>
      </c>
      <c r="BF182" s="268" t="str">
        <f t="shared" si="236"/>
        <v xml:space="preserve"> </v>
      </c>
      <c r="BG182" s="268" t="str">
        <f t="shared" si="237"/>
        <v xml:space="preserve"> </v>
      </c>
      <c r="BH182" s="268" t="str">
        <f t="shared" si="258"/>
        <v xml:space="preserve"> </v>
      </c>
      <c r="BI182" s="268" t="str">
        <f t="shared" si="238"/>
        <v xml:space="preserve"> </v>
      </c>
      <c r="BJ182" s="296" t="str">
        <f t="shared" si="239"/>
        <v xml:space="preserve"> </v>
      </c>
      <c r="BK182" s="296" t="str">
        <f t="shared" si="240"/>
        <v xml:space="preserve"> </v>
      </c>
      <c r="BL182" s="296" t="str">
        <f t="shared" si="241"/>
        <v xml:space="preserve"> </v>
      </c>
      <c r="BM182" s="296" t="str">
        <f t="shared" si="242"/>
        <v xml:space="preserve"> </v>
      </c>
      <c r="BN182" s="405" t="str">
        <f>IF(A182="N/A"," ",(VLOOKUP(A182,PowerVolTable,(IF('Pricing Inputs'!$AT$3=2,7,IF('Pricing Inputs'!$AT$3=1,6,8))),FALSE)))</f>
        <v xml:space="preserve"> </v>
      </c>
      <c r="BO182" s="405" t="str">
        <f>IF(A182="N/A"," ",(VLOOKUP(A182,IntraPowerVol,(IF('Pricing Inputs'!$AT$3=2,3,IF('Pricing Inputs'!$AT$3=1,2,4))),FALSE)*VLOOKUP(MONTH($A182),Inputs!$A$28:$B$39,2)))</f>
        <v xml:space="preserve"> </v>
      </c>
      <c r="BP182" s="406" t="str">
        <f t="shared" si="227"/>
        <v xml:space="preserve"> </v>
      </c>
      <c r="BQ182" s="405" t="str">
        <f>IF($A182="N/A"," ",(VLOOKUP($A182,GasVolTable,(IF('Pricing Inputs'!$AT$3=2,6,IF('Pricing Inputs'!$AT$3=1,7,5))),FALSE)))</f>
        <v xml:space="preserve"> </v>
      </c>
      <c r="BR182" s="405" t="str">
        <f>IF($A182="N/A"," ",(VLOOKUP($A182,OmicronVol,(IF('Pricing Inputs'!$AT$3=2,3,IF('Pricing Inputs'!$AT$3=1,4,2))),FALSE)))</f>
        <v xml:space="preserve"> </v>
      </c>
      <c r="BS182" s="406" t="str">
        <f>IF($A182="N/A"," ",IF('Pricing Inputs'!$AN$3=1,(IF(DateToday&gt;$A182,$BR182,((($BQ182^2)*((($A182-1)-DateToday)/((EOMONTH($A182,0)+1)-DateToday-15)))+((($BR182)^2)*((15)/((EOMONTH($A182,0)+1)-DateToday-15))))^0.5)),0.0001))</f>
        <v xml:space="preserve"> </v>
      </c>
      <c r="BT182" s="405" t="str">
        <f>IF($A182="N/A"," ",IF('Pricing Inputs'!$AN$3=1,(VLOOKUP($A182,CorrelationTable,2,FALSE)),0))</f>
        <v xml:space="preserve"> </v>
      </c>
      <c r="BU182" s="407" t="str">
        <f>IF($A182="N/A"," ",F182+G182+(D182*(VLOOKUP($A182,'Gas Curves'!$B$17:$P$310,14,FALSE))))</f>
        <v xml:space="preserve"> </v>
      </c>
      <c r="BV182" s="405" t="str">
        <f>IF($A182="N/A"," ",IF('Pricing Inputs'!$AW$3=1,0,(VLOOKUP($A182,InterestRatesTable,2))))</f>
        <v xml:space="preserve"> </v>
      </c>
      <c r="BW182" s="408" t="str">
        <f t="shared" si="228"/>
        <v xml:space="preserve"> </v>
      </c>
    </row>
    <row r="183" spans="1:75">
      <c r="A183" s="248" t="str">
        <f>IF(A182="N/A","N/A",IF(EDATE(A182,1)&gt;Inputs!$K$3,"N/A",EDATE(A182,1)))</f>
        <v>N/A</v>
      </c>
      <c r="B183" s="262" t="str">
        <f t="shared" si="229"/>
        <v xml:space="preserve"> </v>
      </c>
      <c r="C183" s="249" t="str">
        <f t="shared" si="230"/>
        <v xml:space="preserve"> </v>
      </c>
      <c r="D183" s="250" t="str">
        <f>IF(A183="N/A"," ",(VLOOKUP(MONTH($A183),Inputs!$A$14:$B$25,2))/1000)</f>
        <v xml:space="preserve"> </v>
      </c>
      <c r="E183" s="304" t="str">
        <f t="shared" si="231"/>
        <v xml:space="preserve"> </v>
      </c>
      <c r="F183" s="251" t="str">
        <f>IF(A183="N/A"," ",Inputs!$F$6)</f>
        <v xml:space="preserve"> </v>
      </c>
      <c r="G183" s="251" t="str">
        <f>IF(A183="N/A"," ",Inputs!$F$9/IF(AND('Pricing Inputs'!$AQ$3&gt;=4,'Pricing Inputs'!$AQ$3&lt;=6),16,IF(AND('Pricing Inputs'!$AQ$3&gt;=7,'Pricing Inputs'!$AQ$3&lt;=9),8,24))/(BA183/BW183))</f>
        <v xml:space="preserve"> </v>
      </c>
      <c r="H183" s="252" t="str">
        <f t="shared" si="232"/>
        <v xml:space="preserve"> </v>
      </c>
      <c r="I183" s="255" t="str">
        <f>VLOOKUP(A183,ScaledPrice,(IF(AND('Pricing Inputs'!$AQ$3&gt;=1,'Pricing Inputs'!$AQ$3&lt;=6),2,4)))</f>
        <v xml:space="preserve"> </v>
      </c>
      <c r="J183" s="255" t="str">
        <f>IF(A183="N/A"," ",IF(AND('Pricing Inputs'!$AQ$3&gt;=1,'Pricing Inputs'!$AQ$3&lt;=6),I183,(VLOOKUP(A183,ScaledPrice,2))*(2-(VLOOKUP(A183,ScaledPrice,3)))))</f>
        <v xml:space="preserve"> </v>
      </c>
      <c r="K183" s="255" t="str">
        <f>IF(A183="N/A"," ",IF(OR('Pricing Inputs'!$AQ$3=2,'Pricing Inputs'!$AQ$3=3,'Pricing Inputs'!$AQ$3=5,'Pricing Inputs'!$AQ$3=6,'Pricing Inputs'!$AQ$3=8,'Pricing Inputs'!$AQ$3=9),VLOOKUP(A183,ScaledPrice,IF(AND('Pricing Inputs'!$AQ$3&gt;=2,'Pricing Inputs'!$AQ$3&lt;=6),5,6)),0))</f>
        <v xml:space="preserve"> </v>
      </c>
      <c r="L183" s="255" t="str">
        <f>IF(A183="N/A"," ",IF(OR('Pricing Inputs'!$AQ$3=2,'Pricing Inputs'!$AQ$3=3,'Pricing Inputs'!$AQ$3=5,'Pricing Inputs'!$AQ$3=6,'Pricing Inputs'!$AQ$3=8,'Pricing Inputs'!$AQ$3=9),IF(AND('Pricing Inputs'!$AQ$3&gt;=2,'Pricing Inputs'!$AQ$3&lt;=6),K183,(VLOOKUP(A183,ScaledPrice,5))*(2-(VLOOKUP(A183,ScaledPrice,3)))),0))</f>
        <v xml:space="preserve"> </v>
      </c>
      <c r="M183" s="255" t="str">
        <f>IF(A183="N/A"," ",IF(OR('Pricing Inputs'!$AQ$3=3,'Pricing Inputs'!$AQ$3=6,'Pricing Inputs'!$AQ$3=9),(VLOOKUP(A183,ScaledPrice,IF(AND('Pricing Inputs'!$AQ$3&gt;=3,'Pricing Inputs'!$AQ$3&lt;=6),7,8))),0))</f>
        <v xml:space="preserve"> </v>
      </c>
      <c r="N183" s="255" t="str">
        <f>IF(A183="N/A"," ",IF(OR('Pricing Inputs'!$AQ$3=3,'Pricing Inputs'!$AQ$3=6,'Pricing Inputs'!$AQ$3=9),IF(AND('Pricing Inputs'!$AQ$3&gt;=3,'Pricing Inputs'!$AQ$3&lt;=6),M183,(VLOOKUP(A183,ScaledPrice,7))*(2-(VLOOKUP(A183,ScaledPrice,3)))),0))</f>
        <v xml:space="preserve"> </v>
      </c>
      <c r="O183" s="255" t="str">
        <f>IF(A183="N/A"," ",IF(AND('Pricing Inputs'!$AQ$3&gt;=1,'Pricing Inputs'!$AQ$3&lt;=3),VLOOKUP(A183,ScaledPrice,9),0))</f>
        <v xml:space="preserve"> </v>
      </c>
      <c r="P183" s="320" t="str">
        <f>IF($A183="N/A"," ",IF('Pricing Inputs'!$AN$8=2,(I183-H183),IF('Pricing Inputs'!$AN$3=2,IF((I183-$H183)&gt;0,I183-$H183,0),(_xll.xSPRDOPT(I183,$E183,$BU183,0,$BP183,$BS183,$BT183,($A183-Inputs!$D$1)+15,1,0)))))</f>
        <v xml:space="preserve"> </v>
      </c>
      <c r="Q183" s="320" t="str">
        <f>IF($A183="N/A"," ",IF('Pricing Inputs'!$AN$8=2,(J183-$H183),IF('Pricing Inputs'!$AN$3=2,IF((J183-$H183)&gt;0,J183-$H183,0),(_xll.xSPRDOPT(J183,$E183,$BU183,0,$BP183,$BS183,$BT183,($A183-Inputs!$D$1)+15,1,0)))))</f>
        <v xml:space="preserve"> </v>
      </c>
      <c r="R183" s="320" t="str">
        <f>IF($A183="N/A"," ",IF('Pricing Inputs'!$AN$8=2,(K183-$H183),IF('Pricing Inputs'!$AN$3=2,IF((K183-$H183)&gt;0,K183-$H183,0),(_xll.xSPRDOPT(K183,$E183,$BU183,0,$BP183,$BS183,$BT183,($A183-Inputs!$D$1)+15,1,0)))))</f>
        <v xml:space="preserve"> </v>
      </c>
      <c r="S183" s="320" t="str">
        <f>IF($A183="N/A"," ",IF('Pricing Inputs'!$AN$8=2,(L183-$H183),IF('Pricing Inputs'!$AN$3=2,IF((L183-$H183)&gt;0,L183-$H183,0),(_xll.xSPRDOPT(L183,$E183,$BU183,0,$BP183,$BS183,$BT183,($A183-Inputs!$D$1)+15,1,0)))))</f>
        <v xml:space="preserve"> </v>
      </c>
      <c r="T183" s="320" t="str">
        <f>IF($A183="N/A"," ",IF('Pricing Inputs'!$AN$8=2,(M183-$H183),IF('Pricing Inputs'!$AN$3=2,IF((M183-$H183)&gt;0,M183-$H183,0),(_xll.xSPRDOPT(M183,$E183,$BU183,0,$BP183,$BS183,$BT183,($A183-Inputs!$D$1)+15,1,0)))))</f>
        <v xml:space="preserve"> </v>
      </c>
      <c r="U183" s="320" t="str">
        <f>IF($A183="N/A"," ",IF('Pricing Inputs'!$AN$8=2,(N183-$H183),IF('Pricing Inputs'!$AN$3=2,IF((N183-$H183)&gt;0,N183-$H183,0),(_xll.xSPRDOPT(N183,$E183,$BU183,0,$BP183,$BS183,$BT183,($A183-Inputs!$D$1)+15,1,0)))))</f>
        <v xml:space="preserve"> </v>
      </c>
      <c r="V183" s="259" t="str">
        <f>IF($A183="N/A"," ",(IF('Pricing Inputs'!$AN$8=2,(O183-$H183),IF((O183-$H183)&lt;=0,0,(O183-$H183)))))</f>
        <v xml:space="preserve"> </v>
      </c>
      <c r="W183" s="306" t="str">
        <f>IF($A183="N/A"," ",IF(0&lt;&gt;P183,IF('Pricing Inputs'!$AN$3=2,8*VLOOKUP($A183,NumberofDaysTable,2),(_xll.xSPRDOPT(I183,$E183,$BU183,0,$BP183,$BS183,$BT183,$A183-Inputs!$D$1,1,1))*(8*VLOOKUP($A183,NumberofDaysTable,2))),0))</f>
        <v xml:space="preserve"> </v>
      </c>
      <c r="X183" s="306" t="str">
        <f>IF($A183="N/A"," ",IF(Q183&lt;&gt;0,IF('Pricing Inputs'!$AN$3=2,8*VLOOKUP($A183,NumberofDaysTable,2),(_xll.xSPRDOPT(J183,$E183,$BU183,0,$BP183,$BS183,$BT183,$A183-Inputs!$D$1,1,1))*(8*VLOOKUP($A183,NumberofDaysTable,2))),0))</f>
        <v xml:space="preserve"> </v>
      </c>
      <c r="Y183" s="306" t="str">
        <f>IF($A183="N/A"," ",IF(R183&lt;&gt;0,IF('Pricing Inputs'!$AN$3=2,8*VLOOKUP($A183,NumberofDaysTable,3),(_xll.xSPRDOPT(K183,$E183,$BU183,0,$BP183,$BS183,$BT183,$A183-Inputs!$D$1,1,1))*(8*VLOOKUP($A183,NumberofDaysTable,3))),0))</f>
        <v xml:space="preserve"> </v>
      </c>
      <c r="Z183" s="306" t="str">
        <f>IF($A183="N/A"," ",IF(S183&lt;&gt;0,IF('Pricing Inputs'!$AN$3=2,8*VLOOKUP($A183,NumberofDaysTable,3),(_xll.xSPRDOPT(L183,$E183,$BU183,0,$BP183,$BS183,$BT183,$A183-Inputs!$D$1,1,1))*(8*VLOOKUP($A183,NumberofDaysTable,3))),0))</f>
        <v xml:space="preserve"> </v>
      </c>
      <c r="AA183" s="306" t="str">
        <f>IF($A183="N/A"," ",IF(T183&lt;&gt;0,IF('Pricing Inputs'!$AN$3=2,8*VLOOKUP($A183,NumberofDaysTable,4),(_xll.xSPRDOPT(M183,$E183,$BU183,0,$BP183,$BS183,$BT183,$A183-Inputs!$D$1,1,1))*(8*VLOOKUP($A183,NumberofDaysTable,4))),0))</f>
        <v xml:space="preserve"> </v>
      </c>
      <c r="AB183" s="306" t="str">
        <f>IF($A183="N/A"," ",IF(U183&lt;&gt;0,IF('Pricing Inputs'!$AN$3=2,8*VLOOKUP($A183,NumberofDaysTable,4),(_xll.xSPRDOPT(N183,$E183,$BU183,0,$BP183,$BS183,$BT183,$A183-Inputs!$D$1,1,1))*(8*VLOOKUP($A183,NumberofDaysTable,4))),0))</f>
        <v xml:space="preserve"> </v>
      </c>
      <c r="AC183" s="306" t="str">
        <f t="shared" si="233"/>
        <v xml:space="preserve"> </v>
      </c>
      <c r="AD183" s="277" t="str">
        <f t="shared" si="306"/>
        <v xml:space="preserve"> </v>
      </c>
      <c r="AE183" s="278" t="str">
        <f t="shared" si="307"/>
        <v xml:space="preserve"> </v>
      </c>
      <c r="AF183" s="278" t="str">
        <f t="shared" si="308"/>
        <v xml:space="preserve"> </v>
      </c>
      <c r="AG183" s="278" t="str">
        <f t="shared" si="309"/>
        <v xml:space="preserve"> </v>
      </c>
      <c r="AH183" s="278" t="str">
        <f t="shared" si="310"/>
        <v xml:space="preserve"> </v>
      </c>
      <c r="AI183" s="278" t="str">
        <f t="shared" si="311"/>
        <v xml:space="preserve"> </v>
      </c>
      <c r="AJ183" s="279" t="str">
        <f t="shared" si="312"/>
        <v xml:space="preserve"> </v>
      </c>
      <c r="AK183" s="316" t="str">
        <f t="shared" si="259"/>
        <v xml:space="preserve"> </v>
      </c>
      <c r="AL183" s="317" t="str">
        <f t="shared" si="260"/>
        <v xml:space="preserve"> </v>
      </c>
      <c r="AM183" s="317" t="str">
        <f t="shared" si="261"/>
        <v xml:space="preserve"> </v>
      </c>
      <c r="AN183" s="317" t="str">
        <f t="shared" si="262"/>
        <v xml:space="preserve"> </v>
      </c>
      <c r="AO183" s="317" t="str">
        <f t="shared" si="263"/>
        <v xml:space="preserve"> </v>
      </c>
      <c r="AP183" s="317" t="str">
        <f t="shared" si="264"/>
        <v xml:space="preserve"> </v>
      </c>
      <c r="AQ183" s="317" t="str">
        <f t="shared" si="265"/>
        <v xml:space="preserve"> </v>
      </c>
      <c r="AR183" s="279">
        <f>IF(($AP$2-AR182)&gt;=0,$AP$2-AR182,0)</f>
        <v>1400</v>
      </c>
      <c r="AS183" s="325" t="str">
        <f t="shared" si="299"/>
        <v xml:space="preserve"> </v>
      </c>
      <c r="AT183" s="326" t="str">
        <f t="shared" si="300"/>
        <v xml:space="preserve"> </v>
      </c>
      <c r="AU183" s="326" t="str">
        <f t="shared" si="301"/>
        <v xml:space="preserve"> </v>
      </c>
      <c r="AV183" s="326" t="str">
        <f t="shared" si="302"/>
        <v xml:space="preserve"> </v>
      </c>
      <c r="AW183" s="326" t="str">
        <f t="shared" si="303"/>
        <v xml:space="preserve"> </v>
      </c>
      <c r="AX183" s="326" t="str">
        <f t="shared" si="304"/>
        <v xml:space="preserve"> </v>
      </c>
      <c r="AY183" s="326" t="str">
        <f t="shared" si="305"/>
        <v xml:space="preserve"> </v>
      </c>
      <c r="AZ183" s="285">
        <f>AR182+AZ182</f>
        <v>0</v>
      </c>
      <c r="BA183" s="267" t="str">
        <f>IF($A183="N/A"," ",(IF(MONTH(A183)&gt;=4,IF(MONTH(A183)&lt;=10,Inputs!$F$13,Inputs!$F$14),Inputs!$F$14))*$BW183)</f>
        <v xml:space="preserve"> </v>
      </c>
      <c r="BB183" s="268" t="str">
        <f t="shared" si="266"/>
        <v xml:space="preserve"> </v>
      </c>
      <c r="BC183" s="268" t="str">
        <f t="shared" si="267"/>
        <v xml:space="preserve"> </v>
      </c>
      <c r="BD183" s="268" t="str">
        <f t="shared" si="234"/>
        <v xml:space="preserve"> </v>
      </c>
      <c r="BE183" s="268" t="str">
        <f t="shared" si="235"/>
        <v xml:space="preserve"> </v>
      </c>
      <c r="BF183" s="268" t="str">
        <f t="shared" si="236"/>
        <v xml:space="preserve"> </v>
      </c>
      <c r="BG183" s="268" t="str">
        <f t="shared" si="237"/>
        <v xml:space="preserve"> </v>
      </c>
      <c r="BH183" s="268" t="str">
        <f t="shared" si="258"/>
        <v xml:space="preserve"> </v>
      </c>
      <c r="BI183" s="268" t="str">
        <f t="shared" si="238"/>
        <v xml:space="preserve"> </v>
      </c>
      <c r="BJ183" s="296" t="str">
        <f t="shared" si="239"/>
        <v xml:space="preserve"> </v>
      </c>
      <c r="BK183" s="296" t="str">
        <f t="shared" si="240"/>
        <v xml:space="preserve"> </v>
      </c>
      <c r="BL183" s="296" t="str">
        <f t="shared" si="241"/>
        <v xml:space="preserve"> </v>
      </c>
      <c r="BM183" s="296" t="str">
        <f t="shared" si="242"/>
        <v xml:space="preserve"> </v>
      </c>
      <c r="BN183" s="405" t="str">
        <f>IF(A183="N/A"," ",(VLOOKUP(A183,PowerVolTable,(IF('Pricing Inputs'!$AT$3=2,7,IF('Pricing Inputs'!$AT$3=1,6,8))),FALSE)))</f>
        <v xml:space="preserve"> </v>
      </c>
      <c r="BO183" s="405" t="str">
        <f>IF(A183="N/A"," ",(VLOOKUP(A183,IntraPowerVol,(IF('Pricing Inputs'!$AT$3=2,3,IF('Pricing Inputs'!$AT$3=1,2,4))),FALSE)*VLOOKUP(MONTH($A183),Inputs!$A$28:$B$39,2)))</f>
        <v xml:space="preserve"> </v>
      </c>
      <c r="BP183" s="406" t="str">
        <f t="shared" si="227"/>
        <v xml:space="preserve"> </v>
      </c>
      <c r="BQ183" s="405" t="str">
        <f>IF($A183="N/A"," ",(VLOOKUP($A183,GasVolTable,(IF('Pricing Inputs'!$AT$3=2,6,IF('Pricing Inputs'!$AT$3=1,7,5))),FALSE)))</f>
        <v xml:space="preserve"> </v>
      </c>
      <c r="BR183" s="405" t="str">
        <f>IF($A183="N/A"," ",(VLOOKUP($A183,OmicronVol,(IF('Pricing Inputs'!$AT$3=2,3,IF('Pricing Inputs'!$AT$3=1,4,2))),FALSE)))</f>
        <v xml:space="preserve"> </v>
      </c>
      <c r="BS183" s="406" t="str">
        <f>IF($A183="N/A"," ",IF('Pricing Inputs'!$AN$3=1,(IF(DateToday&gt;$A183,$BR183,((($BQ183^2)*((($A183-1)-DateToday)/((EOMONTH($A183,0)+1)-DateToday-15)))+((($BR183)^2)*((15)/((EOMONTH($A183,0)+1)-DateToday-15))))^0.5)),0.0001))</f>
        <v xml:space="preserve"> </v>
      </c>
      <c r="BT183" s="405" t="str">
        <f>IF($A183="N/A"," ",IF('Pricing Inputs'!$AN$3=1,(VLOOKUP($A183,CorrelationTable,2,FALSE)),0))</f>
        <v xml:space="preserve"> </v>
      </c>
      <c r="BU183" s="407" t="str">
        <f>IF($A183="N/A"," ",F183+G183+(D183*(VLOOKUP($A183,'Gas Curves'!$B$17:$P$310,14,FALSE))))</f>
        <v xml:space="preserve"> </v>
      </c>
      <c r="BV183" s="405" t="str">
        <f>IF($A183="N/A"," ",IF('Pricing Inputs'!$AW$3=1,0,(VLOOKUP($A183,InterestRatesTable,2))))</f>
        <v xml:space="preserve"> </v>
      </c>
      <c r="BW183" s="408" t="str">
        <f t="shared" si="228"/>
        <v xml:space="preserve"> </v>
      </c>
    </row>
    <row r="184" spans="1:75">
      <c r="A184" s="248" t="str">
        <f>IF(A183="N/A","N/A",IF(EDATE(A183,1)&gt;Inputs!$K$3,"N/A",EDATE(A183,1)))</f>
        <v>N/A</v>
      </c>
      <c r="B184" s="262" t="str">
        <f t="shared" si="229"/>
        <v xml:space="preserve"> </v>
      </c>
      <c r="C184" s="249" t="str">
        <f t="shared" si="230"/>
        <v xml:space="preserve"> </v>
      </c>
      <c r="D184" s="250" t="str">
        <f>IF(A184="N/A"," ",(VLOOKUP(MONTH($A184),Inputs!$A$14:$B$25,2))/1000)</f>
        <v xml:space="preserve"> </v>
      </c>
      <c r="E184" s="304" t="str">
        <f t="shared" si="231"/>
        <v xml:space="preserve"> </v>
      </c>
      <c r="F184" s="251" t="str">
        <f>IF(A184="N/A"," ",Inputs!$F$6)</f>
        <v xml:space="preserve"> </v>
      </c>
      <c r="G184" s="251" t="str">
        <f>IF(A184="N/A"," ",Inputs!$F$9/IF(AND('Pricing Inputs'!$AQ$3&gt;=4,'Pricing Inputs'!$AQ$3&lt;=6),16,IF(AND('Pricing Inputs'!$AQ$3&gt;=7,'Pricing Inputs'!$AQ$3&lt;=9),8,24))/(BA184/BW184))</f>
        <v xml:space="preserve"> </v>
      </c>
      <c r="H184" s="252" t="str">
        <f t="shared" si="232"/>
        <v xml:space="preserve"> </v>
      </c>
      <c r="I184" s="255" t="str">
        <f>VLOOKUP(A184,ScaledPrice,(IF(AND('Pricing Inputs'!$AQ$3&gt;=1,'Pricing Inputs'!$AQ$3&lt;=6),2,4)))</f>
        <v xml:space="preserve"> </v>
      </c>
      <c r="J184" s="255" t="str">
        <f>IF(A184="N/A"," ",IF(AND('Pricing Inputs'!$AQ$3&gt;=1,'Pricing Inputs'!$AQ$3&lt;=6),I184,(VLOOKUP(A184,ScaledPrice,2))*(2-(VLOOKUP(A184,ScaledPrice,3)))))</f>
        <v xml:space="preserve"> </v>
      </c>
      <c r="K184" s="255" t="str">
        <f>IF(A184="N/A"," ",IF(OR('Pricing Inputs'!$AQ$3=2,'Pricing Inputs'!$AQ$3=3,'Pricing Inputs'!$AQ$3=5,'Pricing Inputs'!$AQ$3=6,'Pricing Inputs'!$AQ$3=8,'Pricing Inputs'!$AQ$3=9),VLOOKUP(A184,ScaledPrice,IF(AND('Pricing Inputs'!$AQ$3&gt;=2,'Pricing Inputs'!$AQ$3&lt;=6),5,6)),0))</f>
        <v xml:space="preserve"> </v>
      </c>
      <c r="L184" s="255" t="str">
        <f>IF(A184="N/A"," ",IF(OR('Pricing Inputs'!$AQ$3=2,'Pricing Inputs'!$AQ$3=3,'Pricing Inputs'!$AQ$3=5,'Pricing Inputs'!$AQ$3=6,'Pricing Inputs'!$AQ$3=8,'Pricing Inputs'!$AQ$3=9),IF(AND('Pricing Inputs'!$AQ$3&gt;=2,'Pricing Inputs'!$AQ$3&lt;=6),K184,(VLOOKUP(A184,ScaledPrice,5))*(2-(VLOOKUP(A184,ScaledPrice,3)))),0))</f>
        <v xml:space="preserve"> </v>
      </c>
      <c r="M184" s="255" t="str">
        <f>IF(A184="N/A"," ",IF(OR('Pricing Inputs'!$AQ$3=3,'Pricing Inputs'!$AQ$3=6,'Pricing Inputs'!$AQ$3=9),(VLOOKUP(A184,ScaledPrice,IF(AND('Pricing Inputs'!$AQ$3&gt;=3,'Pricing Inputs'!$AQ$3&lt;=6),7,8))),0))</f>
        <v xml:space="preserve"> </v>
      </c>
      <c r="N184" s="255" t="str">
        <f>IF(A184="N/A"," ",IF(OR('Pricing Inputs'!$AQ$3=3,'Pricing Inputs'!$AQ$3=6,'Pricing Inputs'!$AQ$3=9),IF(AND('Pricing Inputs'!$AQ$3&gt;=3,'Pricing Inputs'!$AQ$3&lt;=6),M184,(VLOOKUP(A184,ScaledPrice,7))*(2-(VLOOKUP(A184,ScaledPrice,3)))),0))</f>
        <v xml:space="preserve"> </v>
      </c>
      <c r="O184" s="255" t="str">
        <f>IF(A184="N/A"," ",IF(AND('Pricing Inputs'!$AQ$3&gt;=1,'Pricing Inputs'!$AQ$3&lt;=3),VLOOKUP(A184,ScaledPrice,9),0))</f>
        <v xml:space="preserve"> </v>
      </c>
      <c r="P184" s="320" t="str">
        <f>IF($A184="N/A"," ",IF('Pricing Inputs'!$AN$8=2,(I184-H184),IF('Pricing Inputs'!$AN$3=2,IF((I184-$H184)&gt;0,I184-$H184,0),(_xll.xSPRDOPT(I184,$E184,$BU184,0,$BP184,$BS184,$BT184,($A184-Inputs!$D$1)+15,1,0)))))</f>
        <v xml:space="preserve"> </v>
      </c>
      <c r="Q184" s="320" t="str">
        <f>IF($A184="N/A"," ",IF('Pricing Inputs'!$AN$8=2,(J184-$H184),IF('Pricing Inputs'!$AN$3=2,IF((J184-$H184)&gt;0,J184-$H184,0),(_xll.xSPRDOPT(J184,$E184,$BU184,0,$BP184,$BS184,$BT184,($A184-Inputs!$D$1)+15,1,0)))))</f>
        <v xml:space="preserve"> </v>
      </c>
      <c r="R184" s="320" t="str">
        <f>IF($A184="N/A"," ",IF('Pricing Inputs'!$AN$8=2,(K184-$H184),IF('Pricing Inputs'!$AN$3=2,IF((K184-$H184)&gt;0,K184-$H184,0),(_xll.xSPRDOPT(K184,$E184,$BU184,0,$BP184,$BS184,$BT184,($A184-Inputs!$D$1)+15,1,0)))))</f>
        <v xml:space="preserve"> </v>
      </c>
      <c r="S184" s="320" t="str">
        <f>IF($A184="N/A"," ",IF('Pricing Inputs'!$AN$8=2,(L184-$H184),IF('Pricing Inputs'!$AN$3=2,IF((L184-$H184)&gt;0,L184-$H184,0),(_xll.xSPRDOPT(L184,$E184,$BU184,0,$BP184,$BS184,$BT184,($A184-Inputs!$D$1)+15,1,0)))))</f>
        <v xml:space="preserve"> </v>
      </c>
      <c r="T184" s="320" t="str">
        <f>IF($A184="N/A"," ",IF('Pricing Inputs'!$AN$8=2,(M184-$H184),IF('Pricing Inputs'!$AN$3=2,IF((M184-$H184)&gt;0,M184-$H184,0),(_xll.xSPRDOPT(M184,$E184,$BU184,0,$BP184,$BS184,$BT184,($A184-Inputs!$D$1)+15,1,0)))))</f>
        <v xml:space="preserve"> </v>
      </c>
      <c r="U184" s="320" t="str">
        <f>IF($A184="N/A"," ",IF('Pricing Inputs'!$AN$8=2,(N184-$H184),IF('Pricing Inputs'!$AN$3=2,IF((N184-$H184)&gt;0,N184-$H184,0),(_xll.xSPRDOPT(N184,$E184,$BU184,0,$BP184,$BS184,$BT184,($A184-Inputs!$D$1)+15,1,0)))))</f>
        <v xml:space="preserve"> </v>
      </c>
      <c r="V184" s="259" t="str">
        <f>IF($A184="N/A"," ",(IF('Pricing Inputs'!$AN$8=2,(O184-$H184),IF((O184-$H184)&lt;=0,0,(O184-$H184)))))</f>
        <v xml:space="preserve"> </v>
      </c>
      <c r="W184" s="306" t="str">
        <f>IF($A184="N/A"," ",IF(0&lt;&gt;P184,IF('Pricing Inputs'!$AN$3=2,8*VLOOKUP($A184,NumberofDaysTable,2),(_xll.xSPRDOPT(I184,$E184,$BU184,0,$BP184,$BS184,$BT184,$A184-Inputs!$D$1,1,1))*(8*VLOOKUP($A184,NumberofDaysTable,2))),0))</f>
        <v xml:space="preserve"> </v>
      </c>
      <c r="X184" s="306" t="str">
        <f>IF($A184="N/A"," ",IF(Q184&lt;&gt;0,IF('Pricing Inputs'!$AN$3=2,8*VLOOKUP($A184,NumberofDaysTable,2),(_xll.xSPRDOPT(J184,$E184,$BU184,0,$BP184,$BS184,$BT184,$A184-Inputs!$D$1,1,1))*(8*VLOOKUP($A184,NumberofDaysTable,2))),0))</f>
        <v xml:space="preserve"> </v>
      </c>
      <c r="Y184" s="306" t="str">
        <f>IF($A184="N/A"," ",IF(R184&lt;&gt;0,IF('Pricing Inputs'!$AN$3=2,8*VLOOKUP($A184,NumberofDaysTable,3),(_xll.xSPRDOPT(K184,$E184,$BU184,0,$BP184,$BS184,$BT184,$A184-Inputs!$D$1,1,1))*(8*VLOOKUP($A184,NumberofDaysTable,3))),0))</f>
        <v xml:space="preserve"> </v>
      </c>
      <c r="Z184" s="306" t="str">
        <f>IF($A184="N/A"," ",IF(S184&lt;&gt;0,IF('Pricing Inputs'!$AN$3=2,8*VLOOKUP($A184,NumberofDaysTable,3),(_xll.xSPRDOPT(L184,$E184,$BU184,0,$BP184,$BS184,$BT184,$A184-Inputs!$D$1,1,1))*(8*VLOOKUP($A184,NumberofDaysTable,3))),0))</f>
        <v xml:space="preserve"> </v>
      </c>
      <c r="AA184" s="306" t="str">
        <f>IF($A184="N/A"," ",IF(T184&lt;&gt;0,IF('Pricing Inputs'!$AN$3=2,8*VLOOKUP($A184,NumberofDaysTable,4),(_xll.xSPRDOPT(M184,$E184,$BU184,0,$BP184,$BS184,$BT184,$A184-Inputs!$D$1,1,1))*(8*VLOOKUP($A184,NumberofDaysTable,4))),0))</f>
        <v xml:space="preserve"> </v>
      </c>
      <c r="AB184" s="306" t="str">
        <f>IF($A184="N/A"," ",IF(U184&lt;&gt;0,IF('Pricing Inputs'!$AN$3=2,8*VLOOKUP($A184,NumberofDaysTable,4),(_xll.xSPRDOPT(N184,$E184,$BU184,0,$BP184,$BS184,$BT184,$A184-Inputs!$D$1,1,1))*(8*VLOOKUP($A184,NumberofDaysTable,4))),0))</f>
        <v xml:space="preserve"> </v>
      </c>
      <c r="AC184" s="306" t="str">
        <f t="shared" si="233"/>
        <v xml:space="preserve"> </v>
      </c>
      <c r="AD184" s="271" t="str">
        <f t="shared" ref="AD184:AJ184" si="313">IF($A184="N/A"," ",RANK(P184,$P$184:$V$195))</f>
        <v xml:space="preserve"> </v>
      </c>
      <c r="AE184" s="272" t="str">
        <f t="shared" si="313"/>
        <v xml:space="preserve"> </v>
      </c>
      <c r="AF184" s="272" t="str">
        <f t="shared" si="313"/>
        <v xml:space="preserve"> </v>
      </c>
      <c r="AG184" s="272" t="str">
        <f t="shared" si="313"/>
        <v xml:space="preserve"> </v>
      </c>
      <c r="AH184" s="272" t="str">
        <f t="shared" si="313"/>
        <v xml:space="preserve"> </v>
      </c>
      <c r="AI184" s="272" t="str">
        <f t="shared" si="313"/>
        <v xml:space="preserve"> </v>
      </c>
      <c r="AJ184" s="273" t="str">
        <f t="shared" si="313"/>
        <v xml:space="preserve"> </v>
      </c>
      <c r="AK184" s="312" t="str">
        <f t="shared" si="259"/>
        <v xml:space="preserve"> </v>
      </c>
      <c r="AL184" s="313" t="str">
        <f t="shared" si="260"/>
        <v xml:space="preserve"> </v>
      </c>
      <c r="AM184" s="313" t="str">
        <f t="shared" si="261"/>
        <v xml:space="preserve"> </v>
      </c>
      <c r="AN184" s="313" t="str">
        <f t="shared" si="262"/>
        <v xml:space="preserve"> </v>
      </c>
      <c r="AO184" s="313" t="str">
        <f t="shared" si="263"/>
        <v xml:space="preserve"> </v>
      </c>
      <c r="AP184" s="313" t="str">
        <f t="shared" si="264"/>
        <v xml:space="preserve"> </v>
      </c>
      <c r="AQ184" s="313" t="str">
        <f t="shared" si="265"/>
        <v xml:space="preserve"> </v>
      </c>
      <c r="AR184" s="273"/>
      <c r="AS184" s="327" t="str">
        <f t="shared" ref="AS184:AS195" si="314">IF($A184="N/A"," ",IF(AND(AD184=$AJ$2+1,AK184=0),MIN($AR$195,W184),0))</f>
        <v xml:space="preserve"> </v>
      </c>
      <c r="AT184" s="322" t="str">
        <f t="shared" ref="AT184:AT195" si="315">IF($A184="N/A"," ",IF(AND(AE184=$AJ$2+1,AL184=0),MIN($AR$195,X184),0))</f>
        <v xml:space="preserve"> </v>
      </c>
      <c r="AU184" s="322" t="str">
        <f t="shared" ref="AU184:AU195" si="316">IF($A184="N/A"," ",IF(AND(AF184=$AJ$2+1,AM184=0),MIN($AR$195,Y184),0))</f>
        <v xml:space="preserve"> </v>
      </c>
      <c r="AV184" s="322" t="str">
        <f t="shared" ref="AV184:AV195" si="317">IF($A184="N/A"," ",IF(AND(AG184=$AJ$2+1,AN184=0),MIN($AR$195,Z184),0))</f>
        <v xml:space="preserve"> </v>
      </c>
      <c r="AW184" s="322" t="str">
        <f t="shared" ref="AW184:AW195" si="318">IF($A184="N/A"," ",IF(AND(AH184=$AJ$2+1,AO184=0),MIN($AR$195,AA184),0))</f>
        <v xml:space="preserve"> </v>
      </c>
      <c r="AX184" s="322" t="str">
        <f t="shared" ref="AX184:AX195" si="319">IF($A184="N/A"," ",IF(AND(AI184=$AJ$2+1,AP184=0),MIN($AR$195,AB184),0))</f>
        <v xml:space="preserve"> </v>
      </c>
      <c r="AY184" s="322" t="str">
        <f t="shared" ref="AY184:AY195" si="320">IF($A184="N/A"," ",IF(AND(AJ184=$AJ$2+1,AQ184=0),MIN($AR$195,AC184),0))</f>
        <v xml:space="preserve"> </v>
      </c>
      <c r="AZ184" s="273"/>
      <c r="BA184" s="267" t="str">
        <f>IF($A184="N/A"," ",(IF(MONTH(A184)&gt;=4,IF(MONTH(A184)&lt;=10,Inputs!$F$13,Inputs!$F$14),Inputs!$F$14))*$BW184)</f>
        <v xml:space="preserve"> </v>
      </c>
      <c r="BB184" s="268" t="str">
        <f t="shared" si="266"/>
        <v xml:space="preserve"> </v>
      </c>
      <c r="BC184" s="268" t="str">
        <f t="shared" si="267"/>
        <v xml:space="preserve"> </v>
      </c>
      <c r="BD184" s="268" t="str">
        <f t="shared" si="234"/>
        <v xml:space="preserve"> </v>
      </c>
      <c r="BE184" s="268" t="str">
        <f t="shared" si="235"/>
        <v xml:space="preserve"> </v>
      </c>
      <c r="BF184" s="268" t="str">
        <f t="shared" si="236"/>
        <v xml:space="preserve"> </v>
      </c>
      <c r="BG184" s="268" t="str">
        <f t="shared" si="237"/>
        <v xml:space="preserve"> </v>
      </c>
      <c r="BH184" s="268" t="str">
        <f t="shared" si="258"/>
        <v xml:space="preserve"> </v>
      </c>
      <c r="BI184" s="268" t="str">
        <f t="shared" si="238"/>
        <v xml:space="preserve"> </v>
      </c>
      <c r="BJ184" s="296" t="str">
        <f t="shared" si="239"/>
        <v xml:space="preserve"> </v>
      </c>
      <c r="BK184" s="296" t="str">
        <f t="shared" si="240"/>
        <v xml:space="preserve"> </v>
      </c>
      <c r="BL184" s="296" t="str">
        <f t="shared" si="241"/>
        <v xml:space="preserve"> </v>
      </c>
      <c r="BM184" s="296" t="str">
        <f t="shared" si="242"/>
        <v xml:space="preserve"> </v>
      </c>
      <c r="BN184" s="405" t="str">
        <f>IF(A184="N/A"," ",(VLOOKUP(A184,PowerVolTable,(IF('Pricing Inputs'!$AT$3=2,7,IF('Pricing Inputs'!$AT$3=1,6,8))),FALSE)))</f>
        <v xml:space="preserve"> </v>
      </c>
      <c r="BO184" s="405" t="str">
        <f>IF(A184="N/A"," ",(VLOOKUP(A184,IntraPowerVol,(IF('Pricing Inputs'!$AT$3=2,3,IF('Pricing Inputs'!$AT$3=1,2,4))),FALSE)*VLOOKUP(MONTH($A184),Inputs!$A$28:$B$39,2)))</f>
        <v xml:space="preserve"> </v>
      </c>
      <c r="BP184" s="406" t="str">
        <f t="shared" si="227"/>
        <v xml:space="preserve"> </v>
      </c>
      <c r="BQ184" s="405" t="str">
        <f>IF($A184="N/A"," ",(VLOOKUP($A184,GasVolTable,(IF('Pricing Inputs'!$AT$3=2,6,IF('Pricing Inputs'!$AT$3=1,7,5))),FALSE)))</f>
        <v xml:space="preserve"> </v>
      </c>
      <c r="BR184" s="405" t="str">
        <f>IF($A184="N/A"," ",(VLOOKUP($A184,OmicronVol,(IF('Pricing Inputs'!$AT$3=2,3,IF('Pricing Inputs'!$AT$3=1,4,2))),FALSE)))</f>
        <v xml:space="preserve"> </v>
      </c>
      <c r="BS184" s="406" t="str">
        <f>IF($A184="N/A"," ",IF('Pricing Inputs'!$AN$3=1,(IF(DateToday&gt;$A184,$BR184,((($BQ184^2)*((($A184-1)-DateToday)/((EOMONTH($A184,0)+1)-DateToday-15)))+((($BR184)^2)*((15)/((EOMONTH($A184,0)+1)-DateToday-15))))^0.5)),0.0001))</f>
        <v xml:space="preserve"> </v>
      </c>
      <c r="BT184" s="405" t="str">
        <f>IF($A184="N/A"," ",IF('Pricing Inputs'!$AN$3=1,(VLOOKUP($A184,CorrelationTable,2,FALSE)),0))</f>
        <v xml:space="preserve"> </v>
      </c>
      <c r="BU184" s="407" t="str">
        <f>IF($A184="N/A"," ",F184+G184+(D184*(VLOOKUP($A184,'Gas Curves'!$B$17:$P$310,14,FALSE))))</f>
        <v xml:space="preserve"> </v>
      </c>
      <c r="BV184" s="405" t="str">
        <f>IF($A184="N/A"," ",IF('Pricing Inputs'!$AW$3=1,0,(VLOOKUP($A184,InterestRatesTable,2))))</f>
        <v xml:space="preserve"> </v>
      </c>
      <c r="BW184" s="408" t="str">
        <f t="shared" si="228"/>
        <v xml:space="preserve"> </v>
      </c>
    </row>
    <row r="185" spans="1:75">
      <c r="A185" s="248" t="str">
        <f>IF(A184="N/A","N/A",IF(EDATE(A184,1)&gt;Inputs!$K$3,"N/A",EDATE(A184,1)))</f>
        <v>N/A</v>
      </c>
      <c r="B185" s="262" t="str">
        <f t="shared" si="229"/>
        <v xml:space="preserve"> </v>
      </c>
      <c r="C185" s="249" t="str">
        <f t="shared" si="230"/>
        <v xml:space="preserve"> </v>
      </c>
      <c r="D185" s="250" t="str">
        <f>IF(A185="N/A"," ",(VLOOKUP(MONTH($A185),Inputs!$A$14:$B$25,2))/1000)</f>
        <v xml:space="preserve"> </v>
      </c>
      <c r="E185" s="304" t="str">
        <f t="shared" si="231"/>
        <v xml:space="preserve"> </v>
      </c>
      <c r="F185" s="251" t="str">
        <f>IF(A185="N/A"," ",Inputs!$F$6)</f>
        <v xml:space="preserve"> </v>
      </c>
      <c r="G185" s="251" t="str">
        <f>IF(A185="N/A"," ",Inputs!$F$9/IF(AND('Pricing Inputs'!$AQ$3&gt;=4,'Pricing Inputs'!$AQ$3&lt;=6),16,IF(AND('Pricing Inputs'!$AQ$3&gt;=7,'Pricing Inputs'!$AQ$3&lt;=9),8,24))/(BA185/BW185))</f>
        <v xml:space="preserve"> </v>
      </c>
      <c r="H185" s="252" t="str">
        <f t="shared" si="232"/>
        <v xml:space="preserve"> </v>
      </c>
      <c r="I185" s="255" t="str">
        <f>VLOOKUP(A185,ScaledPrice,(IF(AND('Pricing Inputs'!$AQ$3&gt;=1,'Pricing Inputs'!$AQ$3&lt;=6),2,4)))</f>
        <v xml:space="preserve"> </v>
      </c>
      <c r="J185" s="255" t="str">
        <f>IF(A185="N/A"," ",IF(AND('Pricing Inputs'!$AQ$3&gt;=1,'Pricing Inputs'!$AQ$3&lt;=6),I185,(VLOOKUP(A185,ScaledPrice,2))*(2-(VLOOKUP(A185,ScaledPrice,3)))))</f>
        <v xml:space="preserve"> </v>
      </c>
      <c r="K185" s="255" t="str">
        <f>IF(A185="N/A"," ",IF(OR('Pricing Inputs'!$AQ$3=2,'Pricing Inputs'!$AQ$3=3,'Pricing Inputs'!$AQ$3=5,'Pricing Inputs'!$AQ$3=6,'Pricing Inputs'!$AQ$3=8,'Pricing Inputs'!$AQ$3=9),VLOOKUP(A185,ScaledPrice,IF(AND('Pricing Inputs'!$AQ$3&gt;=2,'Pricing Inputs'!$AQ$3&lt;=6),5,6)),0))</f>
        <v xml:space="preserve"> </v>
      </c>
      <c r="L185" s="255" t="str">
        <f>IF(A185="N/A"," ",IF(OR('Pricing Inputs'!$AQ$3=2,'Pricing Inputs'!$AQ$3=3,'Pricing Inputs'!$AQ$3=5,'Pricing Inputs'!$AQ$3=6,'Pricing Inputs'!$AQ$3=8,'Pricing Inputs'!$AQ$3=9),IF(AND('Pricing Inputs'!$AQ$3&gt;=2,'Pricing Inputs'!$AQ$3&lt;=6),K185,(VLOOKUP(A185,ScaledPrice,5))*(2-(VLOOKUP(A185,ScaledPrice,3)))),0))</f>
        <v xml:space="preserve"> </v>
      </c>
      <c r="M185" s="255" t="str">
        <f>IF(A185="N/A"," ",IF(OR('Pricing Inputs'!$AQ$3=3,'Pricing Inputs'!$AQ$3=6,'Pricing Inputs'!$AQ$3=9),(VLOOKUP(A185,ScaledPrice,IF(AND('Pricing Inputs'!$AQ$3&gt;=3,'Pricing Inputs'!$AQ$3&lt;=6),7,8))),0))</f>
        <v xml:space="preserve"> </v>
      </c>
      <c r="N185" s="255" t="str">
        <f>IF(A185="N/A"," ",IF(OR('Pricing Inputs'!$AQ$3=3,'Pricing Inputs'!$AQ$3=6,'Pricing Inputs'!$AQ$3=9),IF(AND('Pricing Inputs'!$AQ$3&gt;=3,'Pricing Inputs'!$AQ$3&lt;=6),M185,(VLOOKUP(A185,ScaledPrice,7))*(2-(VLOOKUP(A185,ScaledPrice,3)))),0))</f>
        <v xml:space="preserve"> </v>
      </c>
      <c r="O185" s="255" t="str">
        <f>IF(A185="N/A"," ",IF(AND('Pricing Inputs'!$AQ$3&gt;=1,'Pricing Inputs'!$AQ$3&lt;=3),VLOOKUP(A185,ScaledPrice,9),0))</f>
        <v xml:space="preserve"> </v>
      </c>
      <c r="P185" s="320" t="str">
        <f>IF($A185="N/A"," ",IF('Pricing Inputs'!$AN$8=2,(I185-H185),IF('Pricing Inputs'!$AN$3=2,IF((I185-$H185)&gt;0,I185-$H185,0),(_xll.xSPRDOPT(I185,$E185,$BU185,0,$BP185,$BS185,$BT185,($A185-Inputs!$D$1)+15,1,0)))))</f>
        <v xml:space="preserve"> </v>
      </c>
      <c r="Q185" s="320" t="str">
        <f>IF($A185="N/A"," ",IF('Pricing Inputs'!$AN$8=2,(J185-$H185),IF('Pricing Inputs'!$AN$3=2,IF((J185-$H185)&gt;0,J185-$H185,0),(_xll.xSPRDOPT(J185,$E185,$BU185,0,$BP185,$BS185,$BT185,($A185-Inputs!$D$1)+15,1,0)))))</f>
        <v xml:space="preserve"> </v>
      </c>
      <c r="R185" s="320" t="str">
        <f>IF($A185="N/A"," ",IF('Pricing Inputs'!$AN$8=2,(K185-$H185),IF('Pricing Inputs'!$AN$3=2,IF((K185-$H185)&gt;0,K185-$H185,0),(_xll.xSPRDOPT(K185,$E185,$BU185,0,$BP185,$BS185,$BT185,($A185-Inputs!$D$1)+15,1,0)))))</f>
        <v xml:space="preserve"> </v>
      </c>
      <c r="S185" s="320" t="str">
        <f>IF($A185="N/A"," ",IF('Pricing Inputs'!$AN$8=2,(L185-$H185),IF('Pricing Inputs'!$AN$3=2,IF((L185-$H185)&gt;0,L185-$H185,0),(_xll.xSPRDOPT(L185,$E185,$BU185,0,$BP185,$BS185,$BT185,($A185-Inputs!$D$1)+15,1,0)))))</f>
        <v xml:space="preserve"> </v>
      </c>
      <c r="T185" s="320" t="str">
        <f>IF($A185="N/A"," ",IF('Pricing Inputs'!$AN$8=2,(M185-$H185),IF('Pricing Inputs'!$AN$3=2,IF((M185-$H185)&gt;0,M185-$H185,0),(_xll.xSPRDOPT(M185,$E185,$BU185,0,$BP185,$BS185,$BT185,($A185-Inputs!$D$1)+15,1,0)))))</f>
        <v xml:space="preserve"> </v>
      </c>
      <c r="U185" s="320" t="str">
        <f>IF($A185="N/A"," ",IF('Pricing Inputs'!$AN$8=2,(N185-$H185),IF('Pricing Inputs'!$AN$3=2,IF((N185-$H185)&gt;0,N185-$H185,0),(_xll.xSPRDOPT(N185,$E185,$BU185,0,$BP185,$BS185,$BT185,($A185-Inputs!$D$1)+15,1,0)))))</f>
        <v xml:space="preserve"> </v>
      </c>
      <c r="V185" s="259" t="str">
        <f>IF($A185="N/A"," ",(IF('Pricing Inputs'!$AN$8=2,(O185-$H185),IF((O185-$H185)&lt;=0,0,(O185-$H185)))))</f>
        <v xml:space="preserve"> </v>
      </c>
      <c r="W185" s="306" t="str">
        <f>IF($A185="N/A"," ",IF(0&lt;&gt;P185,IF('Pricing Inputs'!$AN$3=2,8*VLOOKUP($A185,NumberofDaysTable,2),(_xll.xSPRDOPT(I185,$E185,$BU185,0,$BP185,$BS185,$BT185,$A185-Inputs!$D$1,1,1))*(8*VLOOKUP($A185,NumberofDaysTable,2))),0))</f>
        <v xml:space="preserve"> </v>
      </c>
      <c r="X185" s="306" t="str">
        <f>IF($A185="N/A"," ",IF(Q185&lt;&gt;0,IF('Pricing Inputs'!$AN$3=2,8*VLOOKUP($A185,NumberofDaysTable,2),(_xll.xSPRDOPT(J185,$E185,$BU185,0,$BP185,$BS185,$BT185,$A185-Inputs!$D$1,1,1))*(8*VLOOKUP($A185,NumberofDaysTable,2))),0))</f>
        <v xml:space="preserve"> </v>
      </c>
      <c r="Y185" s="306" t="str">
        <f>IF($A185="N/A"," ",IF(R185&lt;&gt;0,IF('Pricing Inputs'!$AN$3=2,8*VLOOKUP($A185,NumberofDaysTable,3),(_xll.xSPRDOPT(K185,$E185,$BU185,0,$BP185,$BS185,$BT185,$A185-Inputs!$D$1,1,1))*(8*VLOOKUP($A185,NumberofDaysTable,3))),0))</f>
        <v xml:space="preserve"> </v>
      </c>
      <c r="Z185" s="306" t="str">
        <f>IF($A185="N/A"," ",IF(S185&lt;&gt;0,IF('Pricing Inputs'!$AN$3=2,8*VLOOKUP($A185,NumberofDaysTable,3),(_xll.xSPRDOPT(L185,$E185,$BU185,0,$BP185,$BS185,$BT185,$A185-Inputs!$D$1,1,1))*(8*VLOOKUP($A185,NumberofDaysTable,3))),0))</f>
        <v xml:space="preserve"> </v>
      </c>
      <c r="AA185" s="306" t="str">
        <f>IF($A185="N/A"," ",IF(T185&lt;&gt;0,IF('Pricing Inputs'!$AN$3=2,8*VLOOKUP($A185,NumberofDaysTable,4),(_xll.xSPRDOPT(M185,$E185,$BU185,0,$BP185,$BS185,$BT185,$A185-Inputs!$D$1,1,1))*(8*VLOOKUP($A185,NumberofDaysTable,4))),0))</f>
        <v xml:space="preserve"> </v>
      </c>
      <c r="AB185" s="306" t="str">
        <f>IF($A185="N/A"," ",IF(U185&lt;&gt;0,IF('Pricing Inputs'!$AN$3=2,8*VLOOKUP($A185,NumberofDaysTable,4),(_xll.xSPRDOPT(N185,$E185,$BU185,0,$BP185,$BS185,$BT185,$A185-Inputs!$D$1,1,1))*(8*VLOOKUP($A185,NumberofDaysTable,4))),0))</f>
        <v xml:space="preserve"> </v>
      </c>
      <c r="AC185" s="306" t="str">
        <f t="shared" si="233"/>
        <v xml:space="preserve"> </v>
      </c>
      <c r="AD185" s="274" t="str">
        <f t="shared" ref="AD185:AD195" si="321">IF($A185="N/A"," ",RANK(P185,$P$184:$V$195))</f>
        <v xml:space="preserve"> </v>
      </c>
      <c r="AE185" s="275" t="str">
        <f t="shared" ref="AE185:AE195" si="322">IF($A185="N/A"," ",RANK(Q185,$P$184:$V$195))</f>
        <v xml:space="preserve"> </v>
      </c>
      <c r="AF185" s="275" t="str">
        <f t="shared" ref="AF185:AF195" si="323">IF($A185="N/A"," ",RANK(R185,$P$184:$V$195))</f>
        <v xml:space="preserve"> </v>
      </c>
      <c r="AG185" s="275" t="str">
        <f t="shared" ref="AG185:AG195" si="324">IF($A185="N/A"," ",RANK(S185,$P$184:$V$195))</f>
        <v xml:space="preserve"> </v>
      </c>
      <c r="AH185" s="275" t="str">
        <f t="shared" ref="AH185:AH195" si="325">IF($A185="N/A"," ",RANK(T185,$P$184:$V$195))</f>
        <v xml:space="preserve"> </v>
      </c>
      <c r="AI185" s="275" t="str">
        <f t="shared" ref="AI185:AI195" si="326">IF($A185="N/A"," ",RANK(U185,$P$184:$V$195))</f>
        <v xml:space="preserve"> </v>
      </c>
      <c r="AJ185" s="276" t="str">
        <f t="shared" ref="AJ185:AJ195" si="327">IF($A185="N/A"," ",RANK(V185,$P$184:$V$195))</f>
        <v xml:space="preserve"> </v>
      </c>
      <c r="AK185" s="314" t="str">
        <f t="shared" si="259"/>
        <v xml:space="preserve"> </v>
      </c>
      <c r="AL185" s="315" t="str">
        <f t="shared" si="260"/>
        <v xml:space="preserve"> </v>
      </c>
      <c r="AM185" s="315" t="str">
        <f t="shared" si="261"/>
        <v xml:space="preserve"> </v>
      </c>
      <c r="AN185" s="315" t="str">
        <f t="shared" si="262"/>
        <v xml:space="preserve"> </v>
      </c>
      <c r="AO185" s="315" t="str">
        <f t="shared" si="263"/>
        <v xml:space="preserve"> </v>
      </c>
      <c r="AP185" s="315" t="str">
        <f t="shared" si="264"/>
        <v xml:space="preserve"> </v>
      </c>
      <c r="AQ185" s="315" t="str">
        <f t="shared" si="265"/>
        <v xml:space="preserve"> </v>
      </c>
      <c r="AR185" s="276"/>
      <c r="AS185" s="321" t="str">
        <f t="shared" si="314"/>
        <v xml:space="preserve"> </v>
      </c>
      <c r="AT185" s="324" t="str">
        <f t="shared" si="315"/>
        <v xml:space="preserve"> </v>
      </c>
      <c r="AU185" s="324" t="str">
        <f t="shared" si="316"/>
        <v xml:space="preserve"> </v>
      </c>
      <c r="AV185" s="324" t="str">
        <f t="shared" si="317"/>
        <v xml:space="preserve"> </v>
      </c>
      <c r="AW185" s="324" t="str">
        <f t="shared" si="318"/>
        <v xml:space="preserve"> </v>
      </c>
      <c r="AX185" s="324" t="str">
        <f t="shared" si="319"/>
        <v xml:space="preserve"> </v>
      </c>
      <c r="AY185" s="324" t="str">
        <f t="shared" si="320"/>
        <v xml:space="preserve"> </v>
      </c>
      <c r="AZ185" s="276"/>
      <c r="BA185" s="267" t="str">
        <f>IF($A185="N/A"," ",(IF(MONTH(A185)&gt;=4,IF(MONTH(A185)&lt;=10,Inputs!$F$13,Inputs!$F$14),Inputs!$F$14))*$BW185)</f>
        <v xml:space="preserve"> </v>
      </c>
      <c r="BB185" s="268" t="str">
        <f t="shared" si="266"/>
        <v xml:space="preserve"> </v>
      </c>
      <c r="BC185" s="268" t="str">
        <f t="shared" si="267"/>
        <v xml:space="preserve"> </v>
      </c>
      <c r="BD185" s="268" t="str">
        <f t="shared" si="234"/>
        <v xml:space="preserve"> </v>
      </c>
      <c r="BE185" s="268" t="str">
        <f t="shared" si="235"/>
        <v xml:space="preserve"> </v>
      </c>
      <c r="BF185" s="268" t="str">
        <f t="shared" si="236"/>
        <v xml:space="preserve"> </v>
      </c>
      <c r="BG185" s="268" t="str">
        <f t="shared" si="237"/>
        <v xml:space="preserve"> </v>
      </c>
      <c r="BH185" s="268" t="str">
        <f t="shared" si="258"/>
        <v xml:space="preserve"> </v>
      </c>
      <c r="BI185" s="268" t="str">
        <f t="shared" si="238"/>
        <v xml:space="preserve"> </v>
      </c>
      <c r="BJ185" s="296" t="str">
        <f t="shared" si="239"/>
        <v xml:space="preserve"> </v>
      </c>
      <c r="BK185" s="296" t="str">
        <f t="shared" si="240"/>
        <v xml:space="preserve"> </v>
      </c>
      <c r="BL185" s="296" t="str">
        <f t="shared" si="241"/>
        <v xml:space="preserve"> </v>
      </c>
      <c r="BM185" s="296" t="str">
        <f t="shared" si="242"/>
        <v xml:space="preserve"> </v>
      </c>
      <c r="BN185" s="405" t="str">
        <f>IF(A185="N/A"," ",(VLOOKUP(A185,PowerVolTable,(IF('Pricing Inputs'!$AT$3=2,7,IF('Pricing Inputs'!$AT$3=1,6,8))),FALSE)))</f>
        <v xml:space="preserve"> </v>
      </c>
      <c r="BO185" s="405" t="str">
        <f>IF(A185="N/A"," ",(VLOOKUP(A185,IntraPowerVol,(IF('Pricing Inputs'!$AT$3=2,3,IF('Pricing Inputs'!$AT$3=1,2,4))),FALSE)*VLOOKUP(MONTH($A185),Inputs!$A$28:$B$39,2)))</f>
        <v xml:space="preserve"> </v>
      </c>
      <c r="BP185" s="406" t="str">
        <f t="shared" si="227"/>
        <v xml:space="preserve"> </v>
      </c>
      <c r="BQ185" s="405" t="str">
        <f>IF($A185="N/A"," ",(VLOOKUP($A185,GasVolTable,(IF('Pricing Inputs'!$AT$3=2,6,IF('Pricing Inputs'!$AT$3=1,7,5))),FALSE)))</f>
        <v xml:space="preserve"> </v>
      </c>
      <c r="BR185" s="405" t="str">
        <f>IF($A185="N/A"," ",(VLOOKUP($A185,OmicronVol,(IF('Pricing Inputs'!$AT$3=2,3,IF('Pricing Inputs'!$AT$3=1,4,2))),FALSE)))</f>
        <v xml:space="preserve"> </v>
      </c>
      <c r="BS185" s="406" t="str">
        <f>IF($A185="N/A"," ",IF('Pricing Inputs'!$AN$3=1,(IF(DateToday&gt;$A185,$BR185,((($BQ185^2)*((($A185-1)-DateToday)/((EOMONTH($A185,0)+1)-DateToday-15)))+((($BR185)^2)*((15)/((EOMONTH($A185,0)+1)-DateToday-15))))^0.5)),0.0001))</f>
        <v xml:space="preserve"> </v>
      </c>
      <c r="BT185" s="405" t="str">
        <f>IF($A185="N/A"," ",IF('Pricing Inputs'!$AN$3=1,(VLOOKUP($A185,CorrelationTable,2,FALSE)),0))</f>
        <v xml:space="preserve"> </v>
      </c>
      <c r="BU185" s="407" t="str">
        <f>IF($A185="N/A"," ",F185+G185+(D185*(VLOOKUP($A185,'Gas Curves'!$B$17:$P$310,14,FALSE))))</f>
        <v xml:space="preserve"> </v>
      </c>
      <c r="BV185" s="405" t="str">
        <f>IF($A185="N/A"," ",IF('Pricing Inputs'!$AW$3=1,0,(VLOOKUP($A185,InterestRatesTable,2))))</f>
        <v xml:space="preserve"> </v>
      </c>
      <c r="BW185" s="408" t="str">
        <f t="shared" si="228"/>
        <v xml:space="preserve"> </v>
      </c>
    </row>
    <row r="186" spans="1:75">
      <c r="A186" s="248" t="str">
        <f>IF(A185="N/A","N/A",IF(EDATE(A185,1)&gt;Inputs!$K$3,"N/A",EDATE(A185,1)))</f>
        <v>N/A</v>
      </c>
      <c r="B186" s="262" t="str">
        <f t="shared" si="229"/>
        <v xml:space="preserve"> </v>
      </c>
      <c r="C186" s="249" t="str">
        <f t="shared" si="230"/>
        <v xml:space="preserve"> </v>
      </c>
      <c r="D186" s="250" t="str">
        <f>IF(A186="N/A"," ",(VLOOKUP(MONTH($A186),Inputs!$A$14:$B$25,2))/1000)</f>
        <v xml:space="preserve"> </v>
      </c>
      <c r="E186" s="304" t="str">
        <f t="shared" si="231"/>
        <v xml:space="preserve"> </v>
      </c>
      <c r="F186" s="251" t="str">
        <f>IF(A186="N/A"," ",Inputs!$F$6)</f>
        <v xml:space="preserve"> </v>
      </c>
      <c r="G186" s="251" t="str">
        <f>IF(A186="N/A"," ",Inputs!$F$9/IF(AND('Pricing Inputs'!$AQ$3&gt;=4,'Pricing Inputs'!$AQ$3&lt;=6),16,IF(AND('Pricing Inputs'!$AQ$3&gt;=7,'Pricing Inputs'!$AQ$3&lt;=9),8,24))/(BA186/BW186))</f>
        <v xml:space="preserve"> </v>
      </c>
      <c r="H186" s="252" t="str">
        <f t="shared" si="232"/>
        <v xml:space="preserve"> </v>
      </c>
      <c r="I186" s="255" t="str">
        <f>VLOOKUP(A186,ScaledPrice,(IF(AND('Pricing Inputs'!$AQ$3&gt;=1,'Pricing Inputs'!$AQ$3&lt;=6),2,4)))</f>
        <v xml:space="preserve"> </v>
      </c>
      <c r="J186" s="255" t="str">
        <f>IF(A186="N/A"," ",IF(AND('Pricing Inputs'!$AQ$3&gt;=1,'Pricing Inputs'!$AQ$3&lt;=6),I186,(VLOOKUP(A186,ScaledPrice,2))*(2-(VLOOKUP(A186,ScaledPrice,3)))))</f>
        <v xml:space="preserve"> </v>
      </c>
      <c r="K186" s="255" t="str">
        <f>IF(A186="N/A"," ",IF(OR('Pricing Inputs'!$AQ$3=2,'Pricing Inputs'!$AQ$3=3,'Pricing Inputs'!$AQ$3=5,'Pricing Inputs'!$AQ$3=6,'Pricing Inputs'!$AQ$3=8,'Pricing Inputs'!$AQ$3=9),VLOOKUP(A186,ScaledPrice,IF(AND('Pricing Inputs'!$AQ$3&gt;=2,'Pricing Inputs'!$AQ$3&lt;=6),5,6)),0))</f>
        <v xml:space="preserve"> </v>
      </c>
      <c r="L186" s="255" t="str">
        <f>IF(A186="N/A"," ",IF(OR('Pricing Inputs'!$AQ$3=2,'Pricing Inputs'!$AQ$3=3,'Pricing Inputs'!$AQ$3=5,'Pricing Inputs'!$AQ$3=6,'Pricing Inputs'!$AQ$3=8,'Pricing Inputs'!$AQ$3=9),IF(AND('Pricing Inputs'!$AQ$3&gt;=2,'Pricing Inputs'!$AQ$3&lt;=6),K186,(VLOOKUP(A186,ScaledPrice,5))*(2-(VLOOKUP(A186,ScaledPrice,3)))),0))</f>
        <v xml:space="preserve"> </v>
      </c>
      <c r="M186" s="255" t="str">
        <f>IF(A186="N/A"," ",IF(OR('Pricing Inputs'!$AQ$3=3,'Pricing Inputs'!$AQ$3=6,'Pricing Inputs'!$AQ$3=9),(VLOOKUP(A186,ScaledPrice,IF(AND('Pricing Inputs'!$AQ$3&gt;=3,'Pricing Inputs'!$AQ$3&lt;=6),7,8))),0))</f>
        <v xml:space="preserve"> </v>
      </c>
      <c r="N186" s="255" t="str">
        <f>IF(A186="N/A"," ",IF(OR('Pricing Inputs'!$AQ$3=3,'Pricing Inputs'!$AQ$3=6,'Pricing Inputs'!$AQ$3=9),IF(AND('Pricing Inputs'!$AQ$3&gt;=3,'Pricing Inputs'!$AQ$3&lt;=6),M186,(VLOOKUP(A186,ScaledPrice,7))*(2-(VLOOKUP(A186,ScaledPrice,3)))),0))</f>
        <v xml:space="preserve"> </v>
      </c>
      <c r="O186" s="255" t="str">
        <f>IF(A186="N/A"," ",IF(AND('Pricing Inputs'!$AQ$3&gt;=1,'Pricing Inputs'!$AQ$3&lt;=3),VLOOKUP(A186,ScaledPrice,9),0))</f>
        <v xml:space="preserve"> </v>
      </c>
      <c r="P186" s="320" t="str">
        <f>IF($A186="N/A"," ",IF('Pricing Inputs'!$AN$8=2,(I186-H186),IF('Pricing Inputs'!$AN$3=2,IF((I186-$H186)&gt;0,I186-$H186,0),(_xll.xSPRDOPT(I186,$E186,$BU186,0,$BP186,$BS186,$BT186,($A186-Inputs!$D$1)+15,1,0)))))</f>
        <v xml:space="preserve"> </v>
      </c>
      <c r="Q186" s="320" t="str">
        <f>IF($A186="N/A"," ",IF('Pricing Inputs'!$AN$8=2,(J186-$H186),IF('Pricing Inputs'!$AN$3=2,IF((J186-$H186)&gt;0,J186-$H186,0),(_xll.xSPRDOPT(J186,$E186,$BU186,0,$BP186,$BS186,$BT186,($A186-Inputs!$D$1)+15,1,0)))))</f>
        <v xml:space="preserve"> </v>
      </c>
      <c r="R186" s="320" t="str">
        <f>IF($A186="N/A"," ",IF('Pricing Inputs'!$AN$8=2,(K186-$H186),IF('Pricing Inputs'!$AN$3=2,IF((K186-$H186)&gt;0,K186-$H186,0),(_xll.xSPRDOPT(K186,$E186,$BU186,0,$BP186,$BS186,$BT186,($A186-Inputs!$D$1)+15,1,0)))))</f>
        <v xml:space="preserve"> </v>
      </c>
      <c r="S186" s="320" t="str">
        <f>IF($A186="N/A"," ",IF('Pricing Inputs'!$AN$8=2,(L186-$H186),IF('Pricing Inputs'!$AN$3=2,IF((L186-$H186)&gt;0,L186-$H186,0),(_xll.xSPRDOPT(L186,$E186,$BU186,0,$BP186,$BS186,$BT186,($A186-Inputs!$D$1)+15,1,0)))))</f>
        <v xml:space="preserve"> </v>
      </c>
      <c r="T186" s="320" t="str">
        <f>IF($A186="N/A"," ",IF('Pricing Inputs'!$AN$8=2,(M186-$H186),IF('Pricing Inputs'!$AN$3=2,IF((M186-$H186)&gt;0,M186-$H186,0),(_xll.xSPRDOPT(M186,$E186,$BU186,0,$BP186,$BS186,$BT186,($A186-Inputs!$D$1)+15,1,0)))))</f>
        <v xml:space="preserve"> </v>
      </c>
      <c r="U186" s="320" t="str">
        <f>IF($A186="N/A"," ",IF('Pricing Inputs'!$AN$8=2,(N186-$H186),IF('Pricing Inputs'!$AN$3=2,IF((N186-$H186)&gt;0,N186-$H186,0),(_xll.xSPRDOPT(N186,$E186,$BU186,0,$BP186,$BS186,$BT186,($A186-Inputs!$D$1)+15,1,0)))))</f>
        <v xml:space="preserve"> </v>
      </c>
      <c r="V186" s="259" t="str">
        <f>IF($A186="N/A"," ",(IF('Pricing Inputs'!$AN$8=2,(O186-$H186),IF((O186-$H186)&lt;=0,0,(O186-$H186)))))</f>
        <v xml:space="preserve"> </v>
      </c>
      <c r="W186" s="306" t="str">
        <f>IF($A186="N/A"," ",IF(0&lt;&gt;P186,IF('Pricing Inputs'!$AN$3=2,8*VLOOKUP($A186,NumberofDaysTable,2),(_xll.xSPRDOPT(I186,$E186,$BU186,0,$BP186,$BS186,$BT186,$A186-Inputs!$D$1,1,1))*(8*VLOOKUP($A186,NumberofDaysTable,2))),0))</f>
        <v xml:space="preserve"> </v>
      </c>
      <c r="X186" s="306" t="str">
        <f>IF($A186="N/A"," ",IF(Q186&lt;&gt;0,IF('Pricing Inputs'!$AN$3=2,8*VLOOKUP($A186,NumberofDaysTable,2),(_xll.xSPRDOPT(J186,$E186,$BU186,0,$BP186,$BS186,$BT186,$A186-Inputs!$D$1,1,1))*(8*VLOOKUP($A186,NumberofDaysTable,2))),0))</f>
        <v xml:space="preserve"> </v>
      </c>
      <c r="Y186" s="306" t="str">
        <f>IF($A186="N/A"," ",IF(R186&lt;&gt;0,IF('Pricing Inputs'!$AN$3=2,8*VLOOKUP($A186,NumberofDaysTable,3),(_xll.xSPRDOPT(K186,$E186,$BU186,0,$BP186,$BS186,$BT186,$A186-Inputs!$D$1,1,1))*(8*VLOOKUP($A186,NumberofDaysTable,3))),0))</f>
        <v xml:space="preserve"> </v>
      </c>
      <c r="Z186" s="306" t="str">
        <f>IF($A186="N/A"," ",IF(S186&lt;&gt;0,IF('Pricing Inputs'!$AN$3=2,8*VLOOKUP($A186,NumberofDaysTable,3),(_xll.xSPRDOPT(L186,$E186,$BU186,0,$BP186,$BS186,$BT186,$A186-Inputs!$D$1,1,1))*(8*VLOOKUP($A186,NumberofDaysTable,3))),0))</f>
        <v xml:space="preserve"> </v>
      </c>
      <c r="AA186" s="306" t="str">
        <f>IF($A186="N/A"," ",IF(T186&lt;&gt;0,IF('Pricing Inputs'!$AN$3=2,8*VLOOKUP($A186,NumberofDaysTable,4),(_xll.xSPRDOPT(M186,$E186,$BU186,0,$BP186,$BS186,$BT186,$A186-Inputs!$D$1,1,1))*(8*VLOOKUP($A186,NumberofDaysTable,4))),0))</f>
        <v xml:space="preserve"> </v>
      </c>
      <c r="AB186" s="306" t="str">
        <f>IF($A186="N/A"," ",IF(U186&lt;&gt;0,IF('Pricing Inputs'!$AN$3=2,8*VLOOKUP($A186,NumberofDaysTable,4),(_xll.xSPRDOPT(N186,$E186,$BU186,0,$BP186,$BS186,$BT186,$A186-Inputs!$D$1,1,1))*(8*VLOOKUP($A186,NumberofDaysTable,4))),0))</f>
        <v xml:space="preserve"> </v>
      </c>
      <c r="AC186" s="306" t="str">
        <f t="shared" si="233"/>
        <v xml:space="preserve"> </v>
      </c>
      <c r="AD186" s="274" t="str">
        <f t="shared" si="321"/>
        <v xml:space="preserve"> </v>
      </c>
      <c r="AE186" s="275" t="str">
        <f t="shared" si="322"/>
        <v xml:space="preserve"> </v>
      </c>
      <c r="AF186" s="275" t="str">
        <f t="shared" si="323"/>
        <v xml:space="preserve"> </v>
      </c>
      <c r="AG186" s="275" t="str">
        <f t="shared" si="324"/>
        <v xml:space="preserve"> </v>
      </c>
      <c r="AH186" s="275" t="str">
        <f t="shared" si="325"/>
        <v xml:space="preserve"> </v>
      </c>
      <c r="AI186" s="275" t="str">
        <f t="shared" si="326"/>
        <v xml:space="preserve"> </v>
      </c>
      <c r="AJ186" s="276" t="str">
        <f t="shared" si="327"/>
        <v xml:space="preserve"> </v>
      </c>
      <c r="AK186" s="314" t="str">
        <f t="shared" si="259"/>
        <v xml:space="preserve"> </v>
      </c>
      <c r="AL186" s="315" t="str">
        <f t="shared" si="260"/>
        <v xml:space="preserve"> </v>
      </c>
      <c r="AM186" s="315" t="str">
        <f t="shared" si="261"/>
        <v xml:space="preserve"> </v>
      </c>
      <c r="AN186" s="315" t="str">
        <f t="shared" si="262"/>
        <v xml:space="preserve"> </v>
      </c>
      <c r="AO186" s="315" t="str">
        <f t="shared" si="263"/>
        <v xml:space="preserve"> </v>
      </c>
      <c r="AP186" s="315" t="str">
        <f t="shared" si="264"/>
        <v xml:space="preserve"> </v>
      </c>
      <c r="AQ186" s="315" t="str">
        <f t="shared" si="265"/>
        <v xml:space="preserve"> </v>
      </c>
      <c r="AR186" s="276"/>
      <c r="AS186" s="321" t="str">
        <f t="shared" si="314"/>
        <v xml:space="preserve"> </v>
      </c>
      <c r="AT186" s="324" t="str">
        <f t="shared" si="315"/>
        <v xml:space="preserve"> </v>
      </c>
      <c r="AU186" s="324" t="str">
        <f t="shared" si="316"/>
        <v xml:space="preserve"> </v>
      </c>
      <c r="AV186" s="324" t="str">
        <f t="shared" si="317"/>
        <v xml:space="preserve"> </v>
      </c>
      <c r="AW186" s="324" t="str">
        <f t="shared" si="318"/>
        <v xml:space="preserve"> </v>
      </c>
      <c r="AX186" s="324" t="str">
        <f t="shared" si="319"/>
        <v xml:space="preserve"> </v>
      </c>
      <c r="AY186" s="324" t="str">
        <f t="shared" si="320"/>
        <v xml:space="preserve"> </v>
      </c>
      <c r="AZ186" s="276"/>
      <c r="BA186" s="267" t="str">
        <f>IF($A186="N/A"," ",(IF(MONTH(A186)&gt;=4,IF(MONTH(A186)&lt;=10,Inputs!$F$13,Inputs!$F$14),Inputs!$F$14))*$BW186)</f>
        <v xml:space="preserve"> </v>
      </c>
      <c r="BB186" s="268" t="str">
        <f t="shared" si="266"/>
        <v xml:space="preserve"> </v>
      </c>
      <c r="BC186" s="268" t="str">
        <f t="shared" si="267"/>
        <v xml:space="preserve"> </v>
      </c>
      <c r="BD186" s="268" t="str">
        <f t="shared" si="234"/>
        <v xml:space="preserve"> </v>
      </c>
      <c r="BE186" s="268" t="str">
        <f t="shared" si="235"/>
        <v xml:space="preserve"> </v>
      </c>
      <c r="BF186" s="268" t="str">
        <f t="shared" si="236"/>
        <v xml:space="preserve"> </v>
      </c>
      <c r="BG186" s="268" t="str">
        <f t="shared" si="237"/>
        <v xml:space="preserve"> </v>
      </c>
      <c r="BH186" s="268" t="str">
        <f t="shared" si="258"/>
        <v xml:space="preserve"> </v>
      </c>
      <c r="BI186" s="268" t="str">
        <f t="shared" si="238"/>
        <v xml:space="preserve"> </v>
      </c>
      <c r="BJ186" s="296" t="str">
        <f t="shared" si="239"/>
        <v xml:space="preserve"> </v>
      </c>
      <c r="BK186" s="296" t="str">
        <f t="shared" si="240"/>
        <v xml:space="preserve"> </v>
      </c>
      <c r="BL186" s="296" t="str">
        <f t="shared" si="241"/>
        <v xml:space="preserve"> </v>
      </c>
      <c r="BM186" s="296" t="str">
        <f t="shared" si="242"/>
        <v xml:space="preserve"> </v>
      </c>
      <c r="BN186" s="405" t="str">
        <f>IF(A186="N/A"," ",(VLOOKUP(A186,PowerVolTable,(IF('Pricing Inputs'!$AT$3=2,7,IF('Pricing Inputs'!$AT$3=1,6,8))),FALSE)))</f>
        <v xml:space="preserve"> </v>
      </c>
      <c r="BO186" s="405" t="str">
        <f>IF(A186="N/A"," ",(VLOOKUP(A186,IntraPowerVol,(IF('Pricing Inputs'!$AT$3=2,3,IF('Pricing Inputs'!$AT$3=1,2,4))),FALSE)*VLOOKUP(MONTH($A186),Inputs!$A$28:$B$39,2)))</f>
        <v xml:space="preserve"> </v>
      </c>
      <c r="BP186" s="406" t="str">
        <f t="shared" si="227"/>
        <v xml:space="preserve"> </v>
      </c>
      <c r="BQ186" s="405" t="str">
        <f>IF($A186="N/A"," ",(VLOOKUP($A186,GasVolTable,(IF('Pricing Inputs'!$AT$3=2,6,IF('Pricing Inputs'!$AT$3=1,7,5))),FALSE)))</f>
        <v xml:space="preserve"> </v>
      </c>
      <c r="BR186" s="405" t="str">
        <f>IF($A186="N/A"," ",(VLOOKUP($A186,OmicronVol,(IF('Pricing Inputs'!$AT$3=2,3,IF('Pricing Inputs'!$AT$3=1,4,2))),FALSE)))</f>
        <v xml:space="preserve"> </v>
      </c>
      <c r="BS186" s="406" t="str">
        <f>IF($A186="N/A"," ",IF('Pricing Inputs'!$AN$3=1,(IF(DateToday&gt;$A186,$BR186,((($BQ186^2)*((($A186-1)-DateToday)/((EOMONTH($A186,0)+1)-DateToday-15)))+((($BR186)^2)*((15)/((EOMONTH($A186,0)+1)-DateToday-15))))^0.5)),0.0001))</f>
        <v xml:space="preserve"> </v>
      </c>
      <c r="BT186" s="405" t="str">
        <f>IF($A186="N/A"," ",IF('Pricing Inputs'!$AN$3=1,(VLOOKUP($A186,CorrelationTable,2,FALSE)),0))</f>
        <v xml:space="preserve"> </v>
      </c>
      <c r="BU186" s="407" t="str">
        <f>IF($A186="N/A"," ",F186+G186+(D186*(VLOOKUP($A186,'Gas Curves'!$B$17:$P$310,14,FALSE))))</f>
        <v xml:space="preserve"> </v>
      </c>
      <c r="BV186" s="405" t="str">
        <f>IF($A186="N/A"," ",IF('Pricing Inputs'!$AW$3=1,0,(VLOOKUP($A186,InterestRatesTable,2))))</f>
        <v xml:space="preserve"> </v>
      </c>
      <c r="BW186" s="408" t="str">
        <f t="shared" si="228"/>
        <v xml:space="preserve"> </v>
      </c>
    </row>
    <row r="187" spans="1:75">
      <c r="A187" s="248" t="str">
        <f>IF(A186="N/A","N/A",IF(EDATE(A186,1)&gt;Inputs!$K$3,"N/A",EDATE(A186,1)))</f>
        <v>N/A</v>
      </c>
      <c r="B187" s="262" t="str">
        <f t="shared" si="229"/>
        <v xml:space="preserve"> </v>
      </c>
      <c r="C187" s="249" t="str">
        <f t="shared" si="230"/>
        <v xml:space="preserve"> </v>
      </c>
      <c r="D187" s="250" t="str">
        <f>IF(A187="N/A"," ",(VLOOKUP(MONTH($A187),Inputs!$A$14:$B$25,2))/1000)</f>
        <v xml:space="preserve"> </v>
      </c>
      <c r="E187" s="304" t="str">
        <f t="shared" si="231"/>
        <v xml:space="preserve"> </v>
      </c>
      <c r="F187" s="251" t="str">
        <f>IF(A187="N/A"," ",Inputs!$F$6)</f>
        <v xml:space="preserve"> </v>
      </c>
      <c r="G187" s="251" t="str">
        <f>IF(A187="N/A"," ",Inputs!$F$9/IF(AND('Pricing Inputs'!$AQ$3&gt;=4,'Pricing Inputs'!$AQ$3&lt;=6),16,IF(AND('Pricing Inputs'!$AQ$3&gt;=7,'Pricing Inputs'!$AQ$3&lt;=9),8,24))/(BA187/BW187))</f>
        <v xml:space="preserve"> </v>
      </c>
      <c r="H187" s="252" t="str">
        <f t="shared" si="232"/>
        <v xml:space="preserve"> </v>
      </c>
      <c r="I187" s="255" t="str">
        <f>VLOOKUP(A187,ScaledPrice,(IF(AND('Pricing Inputs'!$AQ$3&gt;=1,'Pricing Inputs'!$AQ$3&lt;=6),2,4)))</f>
        <v xml:space="preserve"> </v>
      </c>
      <c r="J187" s="255" t="str">
        <f>IF(A187="N/A"," ",IF(AND('Pricing Inputs'!$AQ$3&gt;=1,'Pricing Inputs'!$AQ$3&lt;=6),I187,(VLOOKUP(A187,ScaledPrice,2))*(2-(VLOOKUP(A187,ScaledPrice,3)))))</f>
        <v xml:space="preserve"> </v>
      </c>
      <c r="K187" s="255" t="str">
        <f>IF(A187="N/A"," ",IF(OR('Pricing Inputs'!$AQ$3=2,'Pricing Inputs'!$AQ$3=3,'Pricing Inputs'!$AQ$3=5,'Pricing Inputs'!$AQ$3=6,'Pricing Inputs'!$AQ$3=8,'Pricing Inputs'!$AQ$3=9),VLOOKUP(A187,ScaledPrice,IF(AND('Pricing Inputs'!$AQ$3&gt;=2,'Pricing Inputs'!$AQ$3&lt;=6),5,6)),0))</f>
        <v xml:space="preserve"> </v>
      </c>
      <c r="L187" s="255" t="str">
        <f>IF(A187="N/A"," ",IF(OR('Pricing Inputs'!$AQ$3=2,'Pricing Inputs'!$AQ$3=3,'Pricing Inputs'!$AQ$3=5,'Pricing Inputs'!$AQ$3=6,'Pricing Inputs'!$AQ$3=8,'Pricing Inputs'!$AQ$3=9),IF(AND('Pricing Inputs'!$AQ$3&gt;=2,'Pricing Inputs'!$AQ$3&lt;=6),K187,(VLOOKUP(A187,ScaledPrice,5))*(2-(VLOOKUP(A187,ScaledPrice,3)))),0))</f>
        <v xml:space="preserve"> </v>
      </c>
      <c r="M187" s="255" t="str">
        <f>IF(A187="N/A"," ",IF(OR('Pricing Inputs'!$AQ$3=3,'Pricing Inputs'!$AQ$3=6,'Pricing Inputs'!$AQ$3=9),(VLOOKUP(A187,ScaledPrice,IF(AND('Pricing Inputs'!$AQ$3&gt;=3,'Pricing Inputs'!$AQ$3&lt;=6),7,8))),0))</f>
        <v xml:space="preserve"> </v>
      </c>
      <c r="N187" s="255" t="str">
        <f>IF(A187="N/A"," ",IF(OR('Pricing Inputs'!$AQ$3=3,'Pricing Inputs'!$AQ$3=6,'Pricing Inputs'!$AQ$3=9),IF(AND('Pricing Inputs'!$AQ$3&gt;=3,'Pricing Inputs'!$AQ$3&lt;=6),M187,(VLOOKUP(A187,ScaledPrice,7))*(2-(VLOOKUP(A187,ScaledPrice,3)))),0))</f>
        <v xml:space="preserve"> </v>
      </c>
      <c r="O187" s="255" t="str">
        <f>IF(A187="N/A"," ",IF(AND('Pricing Inputs'!$AQ$3&gt;=1,'Pricing Inputs'!$AQ$3&lt;=3),VLOOKUP(A187,ScaledPrice,9),0))</f>
        <v xml:space="preserve"> </v>
      </c>
      <c r="P187" s="320" t="str">
        <f>IF($A187="N/A"," ",IF('Pricing Inputs'!$AN$8=2,(I187-H187),IF('Pricing Inputs'!$AN$3=2,IF((I187-$H187)&gt;0,I187-$H187,0),(_xll.xSPRDOPT(I187,$E187,$BU187,0,$BP187,$BS187,$BT187,($A187-Inputs!$D$1)+15,1,0)))))</f>
        <v xml:space="preserve"> </v>
      </c>
      <c r="Q187" s="320" t="str">
        <f>IF($A187="N/A"," ",IF('Pricing Inputs'!$AN$8=2,(J187-$H187),IF('Pricing Inputs'!$AN$3=2,IF((J187-$H187)&gt;0,J187-$H187,0),(_xll.xSPRDOPT(J187,$E187,$BU187,0,$BP187,$BS187,$BT187,($A187-Inputs!$D$1)+15,1,0)))))</f>
        <v xml:space="preserve"> </v>
      </c>
      <c r="R187" s="320" t="str">
        <f>IF($A187="N/A"," ",IF('Pricing Inputs'!$AN$8=2,(K187-$H187),IF('Pricing Inputs'!$AN$3=2,IF((K187-$H187)&gt;0,K187-$H187,0),(_xll.xSPRDOPT(K187,$E187,$BU187,0,$BP187,$BS187,$BT187,($A187-Inputs!$D$1)+15,1,0)))))</f>
        <v xml:space="preserve"> </v>
      </c>
      <c r="S187" s="320" t="str">
        <f>IF($A187="N/A"," ",IF('Pricing Inputs'!$AN$8=2,(L187-$H187),IF('Pricing Inputs'!$AN$3=2,IF((L187-$H187)&gt;0,L187-$H187,0),(_xll.xSPRDOPT(L187,$E187,$BU187,0,$BP187,$BS187,$BT187,($A187-Inputs!$D$1)+15,1,0)))))</f>
        <v xml:space="preserve"> </v>
      </c>
      <c r="T187" s="320" t="str">
        <f>IF($A187="N/A"," ",IF('Pricing Inputs'!$AN$8=2,(M187-$H187),IF('Pricing Inputs'!$AN$3=2,IF((M187-$H187)&gt;0,M187-$H187,0),(_xll.xSPRDOPT(M187,$E187,$BU187,0,$BP187,$BS187,$BT187,($A187-Inputs!$D$1)+15,1,0)))))</f>
        <v xml:space="preserve"> </v>
      </c>
      <c r="U187" s="320" t="str">
        <f>IF($A187="N/A"," ",IF('Pricing Inputs'!$AN$8=2,(N187-$H187),IF('Pricing Inputs'!$AN$3=2,IF((N187-$H187)&gt;0,N187-$H187,0),(_xll.xSPRDOPT(N187,$E187,$BU187,0,$BP187,$BS187,$BT187,($A187-Inputs!$D$1)+15,1,0)))))</f>
        <v xml:space="preserve"> </v>
      </c>
      <c r="V187" s="259" t="str">
        <f>IF($A187="N/A"," ",(IF('Pricing Inputs'!$AN$8=2,(O187-$H187),IF((O187-$H187)&lt;=0,0,(O187-$H187)))))</f>
        <v xml:space="preserve"> </v>
      </c>
      <c r="W187" s="306" t="str">
        <f>IF($A187="N/A"," ",IF(0&lt;&gt;P187,IF('Pricing Inputs'!$AN$3=2,8*VLOOKUP($A187,NumberofDaysTable,2),(_xll.xSPRDOPT(I187,$E187,$BU187,0,$BP187,$BS187,$BT187,$A187-Inputs!$D$1,1,1))*(8*VLOOKUP($A187,NumberofDaysTable,2))),0))</f>
        <v xml:space="preserve"> </v>
      </c>
      <c r="X187" s="306" t="str">
        <f>IF($A187="N/A"," ",IF(Q187&lt;&gt;0,IF('Pricing Inputs'!$AN$3=2,8*VLOOKUP($A187,NumberofDaysTable,2),(_xll.xSPRDOPT(J187,$E187,$BU187,0,$BP187,$BS187,$BT187,$A187-Inputs!$D$1,1,1))*(8*VLOOKUP($A187,NumberofDaysTable,2))),0))</f>
        <v xml:space="preserve"> </v>
      </c>
      <c r="Y187" s="306" t="str">
        <f>IF($A187="N/A"," ",IF(R187&lt;&gt;0,IF('Pricing Inputs'!$AN$3=2,8*VLOOKUP($A187,NumberofDaysTable,3),(_xll.xSPRDOPT(K187,$E187,$BU187,0,$BP187,$BS187,$BT187,$A187-Inputs!$D$1,1,1))*(8*VLOOKUP($A187,NumberofDaysTable,3))),0))</f>
        <v xml:space="preserve"> </v>
      </c>
      <c r="Z187" s="306" t="str">
        <f>IF($A187="N/A"," ",IF(S187&lt;&gt;0,IF('Pricing Inputs'!$AN$3=2,8*VLOOKUP($A187,NumberofDaysTable,3),(_xll.xSPRDOPT(L187,$E187,$BU187,0,$BP187,$BS187,$BT187,$A187-Inputs!$D$1,1,1))*(8*VLOOKUP($A187,NumberofDaysTable,3))),0))</f>
        <v xml:space="preserve"> </v>
      </c>
      <c r="AA187" s="306" t="str">
        <f>IF($A187="N/A"," ",IF(T187&lt;&gt;0,IF('Pricing Inputs'!$AN$3=2,8*VLOOKUP($A187,NumberofDaysTable,4),(_xll.xSPRDOPT(M187,$E187,$BU187,0,$BP187,$BS187,$BT187,$A187-Inputs!$D$1,1,1))*(8*VLOOKUP($A187,NumberofDaysTable,4))),0))</f>
        <v xml:space="preserve"> </v>
      </c>
      <c r="AB187" s="306" t="str">
        <f>IF($A187="N/A"," ",IF(U187&lt;&gt;0,IF('Pricing Inputs'!$AN$3=2,8*VLOOKUP($A187,NumberofDaysTable,4),(_xll.xSPRDOPT(N187,$E187,$BU187,0,$BP187,$BS187,$BT187,$A187-Inputs!$D$1,1,1))*(8*VLOOKUP($A187,NumberofDaysTable,4))),0))</f>
        <v xml:space="preserve"> </v>
      </c>
      <c r="AC187" s="306" t="str">
        <f t="shared" si="233"/>
        <v xml:space="preserve"> </v>
      </c>
      <c r="AD187" s="274" t="str">
        <f t="shared" si="321"/>
        <v xml:space="preserve"> </v>
      </c>
      <c r="AE187" s="275" t="str">
        <f t="shared" si="322"/>
        <v xml:space="preserve"> </v>
      </c>
      <c r="AF187" s="275" t="str">
        <f t="shared" si="323"/>
        <v xml:space="preserve"> </v>
      </c>
      <c r="AG187" s="275" t="str">
        <f t="shared" si="324"/>
        <v xml:space="preserve"> </v>
      </c>
      <c r="AH187" s="275" t="str">
        <f t="shared" si="325"/>
        <v xml:space="preserve"> </v>
      </c>
      <c r="AI187" s="275" t="str">
        <f t="shared" si="326"/>
        <v xml:space="preserve"> </v>
      </c>
      <c r="AJ187" s="276" t="str">
        <f t="shared" si="327"/>
        <v xml:space="preserve"> </v>
      </c>
      <c r="AK187" s="314" t="str">
        <f t="shared" si="259"/>
        <v xml:space="preserve"> </v>
      </c>
      <c r="AL187" s="315" t="str">
        <f t="shared" si="260"/>
        <v xml:space="preserve"> </v>
      </c>
      <c r="AM187" s="315" t="str">
        <f t="shared" si="261"/>
        <v xml:space="preserve"> </v>
      </c>
      <c r="AN187" s="315" t="str">
        <f t="shared" si="262"/>
        <v xml:space="preserve"> </v>
      </c>
      <c r="AO187" s="315" t="str">
        <f t="shared" si="263"/>
        <v xml:space="preserve"> </v>
      </c>
      <c r="AP187" s="315" t="str">
        <f t="shared" si="264"/>
        <v xml:space="preserve"> </v>
      </c>
      <c r="AQ187" s="315" t="str">
        <f t="shared" si="265"/>
        <v xml:space="preserve"> </v>
      </c>
      <c r="AR187" s="276"/>
      <c r="AS187" s="321" t="str">
        <f t="shared" si="314"/>
        <v xml:space="preserve"> </v>
      </c>
      <c r="AT187" s="324" t="str">
        <f t="shared" si="315"/>
        <v xml:space="preserve"> </v>
      </c>
      <c r="AU187" s="324" t="str">
        <f t="shared" si="316"/>
        <v xml:space="preserve"> </v>
      </c>
      <c r="AV187" s="324" t="str">
        <f t="shared" si="317"/>
        <v xml:space="preserve"> </v>
      </c>
      <c r="AW187" s="324" t="str">
        <f t="shared" si="318"/>
        <v xml:space="preserve"> </v>
      </c>
      <c r="AX187" s="324" t="str">
        <f t="shared" si="319"/>
        <v xml:space="preserve"> </v>
      </c>
      <c r="AY187" s="324" t="str">
        <f t="shared" si="320"/>
        <v xml:space="preserve"> </v>
      </c>
      <c r="AZ187" s="276"/>
      <c r="BA187" s="267" t="str">
        <f>IF($A187="N/A"," ",(IF(MONTH(A187)&gt;=4,IF(MONTH(A187)&lt;=10,Inputs!$F$13,Inputs!$F$14),Inputs!$F$14))*$BW187)</f>
        <v xml:space="preserve"> </v>
      </c>
      <c r="BB187" s="268" t="str">
        <f t="shared" si="266"/>
        <v xml:space="preserve"> </v>
      </c>
      <c r="BC187" s="268" t="str">
        <f t="shared" si="267"/>
        <v xml:space="preserve"> </v>
      </c>
      <c r="BD187" s="268" t="str">
        <f t="shared" si="234"/>
        <v xml:space="preserve"> </v>
      </c>
      <c r="BE187" s="268" t="str">
        <f t="shared" si="235"/>
        <v xml:space="preserve"> </v>
      </c>
      <c r="BF187" s="268" t="str">
        <f t="shared" si="236"/>
        <v xml:space="preserve"> </v>
      </c>
      <c r="BG187" s="268" t="str">
        <f t="shared" si="237"/>
        <v xml:space="preserve"> </v>
      </c>
      <c r="BH187" s="268" t="str">
        <f t="shared" si="258"/>
        <v xml:space="preserve"> </v>
      </c>
      <c r="BI187" s="268" t="str">
        <f t="shared" si="238"/>
        <v xml:space="preserve"> </v>
      </c>
      <c r="BJ187" s="296" t="str">
        <f t="shared" si="239"/>
        <v xml:space="preserve"> </v>
      </c>
      <c r="BK187" s="296" t="str">
        <f t="shared" si="240"/>
        <v xml:space="preserve"> </v>
      </c>
      <c r="BL187" s="296" t="str">
        <f t="shared" si="241"/>
        <v xml:space="preserve"> </v>
      </c>
      <c r="BM187" s="296" t="str">
        <f t="shared" si="242"/>
        <v xml:space="preserve"> </v>
      </c>
      <c r="BN187" s="405" t="str">
        <f>IF(A187="N/A"," ",(VLOOKUP(A187,PowerVolTable,(IF('Pricing Inputs'!$AT$3=2,7,IF('Pricing Inputs'!$AT$3=1,6,8))),FALSE)))</f>
        <v xml:space="preserve"> </v>
      </c>
      <c r="BO187" s="405" t="str">
        <f>IF(A187="N/A"," ",(VLOOKUP(A187,IntraPowerVol,(IF('Pricing Inputs'!$AT$3=2,3,IF('Pricing Inputs'!$AT$3=1,2,4))),FALSE)*VLOOKUP(MONTH($A187),Inputs!$A$28:$B$39,2)))</f>
        <v xml:space="preserve"> </v>
      </c>
      <c r="BP187" s="406" t="str">
        <f t="shared" si="227"/>
        <v xml:space="preserve"> </v>
      </c>
      <c r="BQ187" s="405" t="str">
        <f>IF($A187="N/A"," ",(VLOOKUP($A187,GasVolTable,(IF('Pricing Inputs'!$AT$3=2,6,IF('Pricing Inputs'!$AT$3=1,7,5))),FALSE)))</f>
        <v xml:space="preserve"> </v>
      </c>
      <c r="BR187" s="405" t="str">
        <f>IF($A187="N/A"," ",(VLOOKUP($A187,OmicronVol,(IF('Pricing Inputs'!$AT$3=2,3,IF('Pricing Inputs'!$AT$3=1,4,2))),FALSE)))</f>
        <v xml:space="preserve"> </v>
      </c>
      <c r="BS187" s="406" t="str">
        <f>IF($A187="N/A"," ",IF('Pricing Inputs'!$AN$3=1,(IF(DateToday&gt;$A187,$BR187,((($BQ187^2)*((($A187-1)-DateToday)/((EOMONTH($A187,0)+1)-DateToday-15)))+((($BR187)^2)*((15)/((EOMONTH($A187,0)+1)-DateToday-15))))^0.5)),0.0001))</f>
        <v xml:space="preserve"> </v>
      </c>
      <c r="BT187" s="405" t="str">
        <f>IF($A187="N/A"," ",IF('Pricing Inputs'!$AN$3=1,(VLOOKUP($A187,CorrelationTable,2,FALSE)),0))</f>
        <v xml:space="preserve"> </v>
      </c>
      <c r="BU187" s="407" t="str">
        <f>IF($A187="N/A"," ",F187+G187+(D187*(VLOOKUP($A187,'Gas Curves'!$B$17:$P$310,14,FALSE))))</f>
        <v xml:space="preserve"> </v>
      </c>
      <c r="BV187" s="405" t="str">
        <f>IF($A187="N/A"," ",IF('Pricing Inputs'!$AW$3=1,0,(VLOOKUP($A187,InterestRatesTable,2))))</f>
        <v xml:space="preserve"> </v>
      </c>
      <c r="BW187" s="408" t="str">
        <f t="shared" si="228"/>
        <v xml:space="preserve"> </v>
      </c>
    </row>
    <row r="188" spans="1:75">
      <c r="A188" s="248" t="str">
        <f>IF(A187="N/A","N/A",IF(EDATE(A187,1)&gt;Inputs!$K$3,"N/A",EDATE(A187,1)))</f>
        <v>N/A</v>
      </c>
      <c r="B188" s="262" t="str">
        <f t="shared" si="229"/>
        <v xml:space="preserve"> </v>
      </c>
      <c r="C188" s="249" t="str">
        <f t="shared" si="230"/>
        <v xml:space="preserve"> </v>
      </c>
      <c r="D188" s="250" t="str">
        <f>IF(A188="N/A"," ",(VLOOKUP(MONTH($A188),Inputs!$A$14:$B$25,2))/1000)</f>
        <v xml:space="preserve"> </v>
      </c>
      <c r="E188" s="304" t="str">
        <f t="shared" si="231"/>
        <v xml:space="preserve"> </v>
      </c>
      <c r="F188" s="251" t="str">
        <f>IF(A188="N/A"," ",Inputs!$F$6)</f>
        <v xml:space="preserve"> </v>
      </c>
      <c r="G188" s="251" t="str">
        <f>IF(A188="N/A"," ",Inputs!$F$9/IF(AND('Pricing Inputs'!$AQ$3&gt;=4,'Pricing Inputs'!$AQ$3&lt;=6),16,IF(AND('Pricing Inputs'!$AQ$3&gt;=7,'Pricing Inputs'!$AQ$3&lt;=9),8,24))/(BA188/BW188))</f>
        <v xml:space="preserve"> </v>
      </c>
      <c r="H188" s="252" t="str">
        <f t="shared" si="232"/>
        <v xml:space="preserve"> </v>
      </c>
      <c r="I188" s="255" t="str">
        <f>VLOOKUP(A188,ScaledPrice,(IF(AND('Pricing Inputs'!$AQ$3&gt;=1,'Pricing Inputs'!$AQ$3&lt;=6),2,4)))</f>
        <v xml:space="preserve"> </v>
      </c>
      <c r="J188" s="255" t="str">
        <f>IF(A188="N/A"," ",IF(AND('Pricing Inputs'!$AQ$3&gt;=1,'Pricing Inputs'!$AQ$3&lt;=6),I188,(VLOOKUP(A188,ScaledPrice,2))*(2-(VLOOKUP(A188,ScaledPrice,3)))))</f>
        <v xml:space="preserve"> </v>
      </c>
      <c r="K188" s="255" t="str">
        <f>IF(A188="N/A"," ",IF(OR('Pricing Inputs'!$AQ$3=2,'Pricing Inputs'!$AQ$3=3,'Pricing Inputs'!$AQ$3=5,'Pricing Inputs'!$AQ$3=6,'Pricing Inputs'!$AQ$3=8,'Pricing Inputs'!$AQ$3=9),VLOOKUP(A188,ScaledPrice,IF(AND('Pricing Inputs'!$AQ$3&gt;=2,'Pricing Inputs'!$AQ$3&lt;=6),5,6)),0))</f>
        <v xml:space="preserve"> </v>
      </c>
      <c r="L188" s="255" t="str">
        <f>IF(A188="N/A"," ",IF(OR('Pricing Inputs'!$AQ$3=2,'Pricing Inputs'!$AQ$3=3,'Pricing Inputs'!$AQ$3=5,'Pricing Inputs'!$AQ$3=6,'Pricing Inputs'!$AQ$3=8,'Pricing Inputs'!$AQ$3=9),IF(AND('Pricing Inputs'!$AQ$3&gt;=2,'Pricing Inputs'!$AQ$3&lt;=6),K188,(VLOOKUP(A188,ScaledPrice,5))*(2-(VLOOKUP(A188,ScaledPrice,3)))),0))</f>
        <v xml:space="preserve"> </v>
      </c>
      <c r="M188" s="255" t="str">
        <f>IF(A188="N/A"," ",IF(OR('Pricing Inputs'!$AQ$3=3,'Pricing Inputs'!$AQ$3=6,'Pricing Inputs'!$AQ$3=9),(VLOOKUP(A188,ScaledPrice,IF(AND('Pricing Inputs'!$AQ$3&gt;=3,'Pricing Inputs'!$AQ$3&lt;=6),7,8))),0))</f>
        <v xml:space="preserve"> </v>
      </c>
      <c r="N188" s="255" t="str">
        <f>IF(A188="N/A"," ",IF(OR('Pricing Inputs'!$AQ$3=3,'Pricing Inputs'!$AQ$3=6,'Pricing Inputs'!$AQ$3=9),IF(AND('Pricing Inputs'!$AQ$3&gt;=3,'Pricing Inputs'!$AQ$3&lt;=6),M188,(VLOOKUP(A188,ScaledPrice,7))*(2-(VLOOKUP(A188,ScaledPrice,3)))),0))</f>
        <v xml:space="preserve"> </v>
      </c>
      <c r="O188" s="255" t="str">
        <f>IF(A188="N/A"," ",IF(AND('Pricing Inputs'!$AQ$3&gt;=1,'Pricing Inputs'!$AQ$3&lt;=3),VLOOKUP(A188,ScaledPrice,9),0))</f>
        <v xml:space="preserve"> </v>
      </c>
      <c r="P188" s="320" t="str">
        <f>IF($A188="N/A"," ",IF('Pricing Inputs'!$AN$8=2,(I188-H188),IF('Pricing Inputs'!$AN$3=2,IF((I188-$H188)&gt;0,I188-$H188,0),(_xll.xSPRDOPT(I188,$E188,$BU188,0,$BP188,$BS188,$BT188,($A188-Inputs!$D$1)+15,1,0)))))</f>
        <v xml:space="preserve"> </v>
      </c>
      <c r="Q188" s="320" t="str">
        <f>IF($A188="N/A"," ",IF('Pricing Inputs'!$AN$8=2,(J188-$H188),IF('Pricing Inputs'!$AN$3=2,IF((J188-$H188)&gt;0,J188-$H188,0),(_xll.xSPRDOPT(J188,$E188,$BU188,0,$BP188,$BS188,$BT188,($A188-Inputs!$D$1)+15,1,0)))))</f>
        <v xml:space="preserve"> </v>
      </c>
      <c r="R188" s="320" t="str">
        <f>IF($A188="N/A"," ",IF('Pricing Inputs'!$AN$8=2,(K188-$H188),IF('Pricing Inputs'!$AN$3=2,IF((K188-$H188)&gt;0,K188-$H188,0),(_xll.xSPRDOPT(K188,$E188,$BU188,0,$BP188,$BS188,$BT188,($A188-Inputs!$D$1)+15,1,0)))))</f>
        <v xml:space="preserve"> </v>
      </c>
      <c r="S188" s="320" t="str">
        <f>IF($A188="N/A"," ",IF('Pricing Inputs'!$AN$8=2,(L188-$H188),IF('Pricing Inputs'!$AN$3=2,IF((L188-$H188)&gt;0,L188-$H188,0),(_xll.xSPRDOPT(L188,$E188,$BU188,0,$BP188,$BS188,$BT188,($A188-Inputs!$D$1)+15,1,0)))))</f>
        <v xml:space="preserve"> </v>
      </c>
      <c r="T188" s="320" t="str">
        <f>IF($A188="N/A"," ",IF('Pricing Inputs'!$AN$8=2,(M188-$H188),IF('Pricing Inputs'!$AN$3=2,IF((M188-$H188)&gt;0,M188-$H188,0),(_xll.xSPRDOPT(M188,$E188,$BU188,0,$BP188,$BS188,$BT188,($A188-Inputs!$D$1)+15,1,0)))))</f>
        <v xml:space="preserve"> </v>
      </c>
      <c r="U188" s="320" t="str">
        <f>IF($A188="N/A"," ",IF('Pricing Inputs'!$AN$8=2,(N188-$H188),IF('Pricing Inputs'!$AN$3=2,IF((N188-$H188)&gt;0,N188-$H188,0),(_xll.xSPRDOPT(N188,$E188,$BU188,0,$BP188,$BS188,$BT188,($A188-Inputs!$D$1)+15,1,0)))))</f>
        <v xml:space="preserve"> </v>
      </c>
      <c r="V188" s="259" t="str">
        <f>IF($A188="N/A"," ",(IF('Pricing Inputs'!$AN$8=2,(O188-$H188),IF((O188-$H188)&lt;=0,0,(O188-$H188)))))</f>
        <v xml:space="preserve"> </v>
      </c>
      <c r="W188" s="306" t="str">
        <f>IF($A188="N/A"," ",IF(0&lt;&gt;P188,IF('Pricing Inputs'!$AN$3=2,8*VLOOKUP($A188,NumberofDaysTable,2),(_xll.xSPRDOPT(I188,$E188,$BU188,0,$BP188,$BS188,$BT188,$A188-Inputs!$D$1,1,1))*(8*VLOOKUP($A188,NumberofDaysTable,2))),0))</f>
        <v xml:space="preserve"> </v>
      </c>
      <c r="X188" s="306" t="str">
        <f>IF($A188="N/A"," ",IF(Q188&lt;&gt;0,IF('Pricing Inputs'!$AN$3=2,8*VLOOKUP($A188,NumberofDaysTable,2),(_xll.xSPRDOPT(J188,$E188,$BU188,0,$BP188,$BS188,$BT188,$A188-Inputs!$D$1,1,1))*(8*VLOOKUP($A188,NumberofDaysTable,2))),0))</f>
        <v xml:space="preserve"> </v>
      </c>
      <c r="Y188" s="306" t="str">
        <f>IF($A188="N/A"," ",IF(R188&lt;&gt;0,IF('Pricing Inputs'!$AN$3=2,8*VLOOKUP($A188,NumberofDaysTable,3),(_xll.xSPRDOPT(K188,$E188,$BU188,0,$BP188,$BS188,$BT188,$A188-Inputs!$D$1,1,1))*(8*VLOOKUP($A188,NumberofDaysTable,3))),0))</f>
        <v xml:space="preserve"> </v>
      </c>
      <c r="Z188" s="306" t="str">
        <f>IF($A188="N/A"," ",IF(S188&lt;&gt;0,IF('Pricing Inputs'!$AN$3=2,8*VLOOKUP($A188,NumberofDaysTable,3),(_xll.xSPRDOPT(L188,$E188,$BU188,0,$BP188,$BS188,$BT188,$A188-Inputs!$D$1,1,1))*(8*VLOOKUP($A188,NumberofDaysTable,3))),0))</f>
        <v xml:space="preserve"> </v>
      </c>
      <c r="AA188" s="306" t="str">
        <f>IF($A188="N/A"," ",IF(T188&lt;&gt;0,IF('Pricing Inputs'!$AN$3=2,8*VLOOKUP($A188,NumberofDaysTable,4),(_xll.xSPRDOPT(M188,$E188,$BU188,0,$BP188,$BS188,$BT188,$A188-Inputs!$D$1,1,1))*(8*VLOOKUP($A188,NumberofDaysTable,4))),0))</f>
        <v xml:space="preserve"> </v>
      </c>
      <c r="AB188" s="306" t="str">
        <f>IF($A188="N/A"," ",IF(U188&lt;&gt;0,IF('Pricing Inputs'!$AN$3=2,8*VLOOKUP($A188,NumberofDaysTable,4),(_xll.xSPRDOPT(N188,$E188,$BU188,0,$BP188,$BS188,$BT188,$A188-Inputs!$D$1,1,1))*(8*VLOOKUP($A188,NumberofDaysTable,4))),0))</f>
        <v xml:space="preserve"> </v>
      </c>
      <c r="AC188" s="306" t="str">
        <f t="shared" si="233"/>
        <v xml:space="preserve"> </v>
      </c>
      <c r="AD188" s="274" t="str">
        <f t="shared" si="321"/>
        <v xml:space="preserve"> </v>
      </c>
      <c r="AE188" s="275" t="str">
        <f t="shared" si="322"/>
        <v xml:space="preserve"> </v>
      </c>
      <c r="AF188" s="275" t="str">
        <f t="shared" si="323"/>
        <v xml:space="preserve"> </v>
      </c>
      <c r="AG188" s="275" t="str">
        <f t="shared" si="324"/>
        <v xml:space="preserve"> </v>
      </c>
      <c r="AH188" s="275" t="str">
        <f t="shared" si="325"/>
        <v xml:space="preserve"> </v>
      </c>
      <c r="AI188" s="275" t="str">
        <f t="shared" si="326"/>
        <v xml:space="preserve"> </v>
      </c>
      <c r="AJ188" s="276" t="str">
        <f t="shared" si="327"/>
        <v xml:space="preserve"> </v>
      </c>
      <c r="AK188" s="314" t="str">
        <f t="shared" si="259"/>
        <v xml:space="preserve"> </v>
      </c>
      <c r="AL188" s="315" t="str">
        <f t="shared" si="260"/>
        <v xml:space="preserve"> </v>
      </c>
      <c r="AM188" s="315" t="str">
        <f t="shared" si="261"/>
        <v xml:space="preserve"> </v>
      </c>
      <c r="AN188" s="315" t="str">
        <f t="shared" si="262"/>
        <v xml:space="preserve"> </v>
      </c>
      <c r="AO188" s="315" t="str">
        <f t="shared" si="263"/>
        <v xml:space="preserve"> </v>
      </c>
      <c r="AP188" s="315" t="str">
        <f t="shared" si="264"/>
        <v xml:space="preserve"> </v>
      </c>
      <c r="AQ188" s="315" t="str">
        <f t="shared" si="265"/>
        <v xml:space="preserve"> </v>
      </c>
      <c r="AR188" s="276"/>
      <c r="AS188" s="321" t="str">
        <f t="shared" si="314"/>
        <v xml:space="preserve"> </v>
      </c>
      <c r="AT188" s="324" t="str">
        <f t="shared" si="315"/>
        <v xml:space="preserve"> </v>
      </c>
      <c r="AU188" s="324" t="str">
        <f t="shared" si="316"/>
        <v xml:space="preserve"> </v>
      </c>
      <c r="AV188" s="324" t="str">
        <f t="shared" si="317"/>
        <v xml:space="preserve"> </v>
      </c>
      <c r="AW188" s="324" t="str">
        <f t="shared" si="318"/>
        <v xml:space="preserve"> </v>
      </c>
      <c r="AX188" s="324" t="str">
        <f t="shared" si="319"/>
        <v xml:space="preserve"> </v>
      </c>
      <c r="AY188" s="324" t="str">
        <f t="shared" si="320"/>
        <v xml:space="preserve"> </v>
      </c>
      <c r="AZ188" s="276"/>
      <c r="BA188" s="267" t="str">
        <f>IF($A188="N/A"," ",(IF(MONTH(A188)&gt;=4,IF(MONTH(A188)&lt;=10,Inputs!$F$13,Inputs!$F$14),Inputs!$F$14))*$BW188)</f>
        <v xml:space="preserve"> </v>
      </c>
      <c r="BB188" s="268" t="str">
        <f t="shared" si="266"/>
        <v xml:space="preserve"> </v>
      </c>
      <c r="BC188" s="268" t="str">
        <f t="shared" si="267"/>
        <v xml:space="preserve"> </v>
      </c>
      <c r="BD188" s="268" t="str">
        <f t="shared" si="234"/>
        <v xml:space="preserve"> </v>
      </c>
      <c r="BE188" s="268" t="str">
        <f t="shared" si="235"/>
        <v xml:space="preserve"> </v>
      </c>
      <c r="BF188" s="268" t="str">
        <f t="shared" si="236"/>
        <v xml:space="preserve"> </v>
      </c>
      <c r="BG188" s="268" t="str">
        <f t="shared" si="237"/>
        <v xml:space="preserve"> </v>
      </c>
      <c r="BH188" s="268" t="str">
        <f t="shared" si="258"/>
        <v xml:space="preserve"> </v>
      </c>
      <c r="BI188" s="268" t="str">
        <f t="shared" si="238"/>
        <v xml:space="preserve"> </v>
      </c>
      <c r="BJ188" s="296" t="str">
        <f t="shared" si="239"/>
        <v xml:space="preserve"> </v>
      </c>
      <c r="BK188" s="296" t="str">
        <f t="shared" si="240"/>
        <v xml:space="preserve"> </v>
      </c>
      <c r="BL188" s="296" t="str">
        <f t="shared" si="241"/>
        <v xml:space="preserve"> </v>
      </c>
      <c r="BM188" s="296" t="str">
        <f t="shared" si="242"/>
        <v xml:space="preserve"> </v>
      </c>
      <c r="BN188" s="405" t="str">
        <f>IF(A188="N/A"," ",(VLOOKUP(A188,PowerVolTable,(IF('Pricing Inputs'!$AT$3=2,7,IF('Pricing Inputs'!$AT$3=1,6,8))),FALSE)))</f>
        <v xml:space="preserve"> </v>
      </c>
      <c r="BO188" s="405" t="str">
        <f>IF(A188="N/A"," ",(VLOOKUP(A188,IntraPowerVol,(IF('Pricing Inputs'!$AT$3=2,3,IF('Pricing Inputs'!$AT$3=1,2,4))),FALSE)*VLOOKUP(MONTH($A188),Inputs!$A$28:$B$39,2)))</f>
        <v xml:space="preserve"> </v>
      </c>
      <c r="BP188" s="406" t="str">
        <f t="shared" si="227"/>
        <v xml:space="preserve"> </v>
      </c>
      <c r="BQ188" s="405" t="str">
        <f>IF($A188="N/A"," ",(VLOOKUP($A188,GasVolTable,(IF('Pricing Inputs'!$AT$3=2,6,IF('Pricing Inputs'!$AT$3=1,7,5))),FALSE)))</f>
        <v xml:space="preserve"> </v>
      </c>
      <c r="BR188" s="405" t="str">
        <f>IF($A188="N/A"," ",(VLOOKUP($A188,OmicronVol,(IF('Pricing Inputs'!$AT$3=2,3,IF('Pricing Inputs'!$AT$3=1,4,2))),FALSE)))</f>
        <v xml:space="preserve"> </v>
      </c>
      <c r="BS188" s="406" t="str">
        <f>IF($A188="N/A"," ",IF('Pricing Inputs'!$AN$3=1,(IF(DateToday&gt;$A188,$BR188,((($BQ188^2)*((($A188-1)-DateToday)/((EOMONTH($A188,0)+1)-DateToday-15)))+((($BR188)^2)*((15)/((EOMONTH($A188,0)+1)-DateToday-15))))^0.5)),0.0001))</f>
        <v xml:space="preserve"> </v>
      </c>
      <c r="BT188" s="405" t="str">
        <f>IF($A188="N/A"," ",IF('Pricing Inputs'!$AN$3=1,(VLOOKUP($A188,CorrelationTable,2,FALSE)),0))</f>
        <v xml:space="preserve"> </v>
      </c>
      <c r="BU188" s="407" t="str">
        <f>IF($A188="N/A"," ",F188+G188+(D188*(VLOOKUP($A188,'Gas Curves'!$B$17:$P$310,14,FALSE))))</f>
        <v xml:space="preserve"> </v>
      </c>
      <c r="BV188" s="405" t="str">
        <f>IF($A188="N/A"," ",IF('Pricing Inputs'!$AW$3=1,0,(VLOOKUP($A188,InterestRatesTable,2))))</f>
        <v xml:space="preserve"> </v>
      </c>
      <c r="BW188" s="408" t="str">
        <f t="shared" si="228"/>
        <v xml:space="preserve"> </v>
      </c>
    </row>
    <row r="189" spans="1:75">
      <c r="A189" s="248" t="str">
        <f>IF(A188="N/A","N/A",IF(EDATE(A188,1)&gt;Inputs!$K$3,"N/A",EDATE(A188,1)))</f>
        <v>N/A</v>
      </c>
      <c r="B189" s="262" t="str">
        <f t="shared" si="229"/>
        <v xml:space="preserve"> </v>
      </c>
      <c r="C189" s="249" t="str">
        <f t="shared" si="230"/>
        <v xml:space="preserve"> </v>
      </c>
      <c r="D189" s="250" t="str">
        <f>IF(A189="N/A"," ",(VLOOKUP(MONTH($A189),Inputs!$A$14:$B$25,2))/1000)</f>
        <v xml:space="preserve"> </v>
      </c>
      <c r="E189" s="304" t="str">
        <f t="shared" si="231"/>
        <v xml:space="preserve"> </v>
      </c>
      <c r="F189" s="251" t="str">
        <f>IF(A189="N/A"," ",Inputs!$F$6)</f>
        <v xml:space="preserve"> </v>
      </c>
      <c r="G189" s="251" t="str">
        <f>IF(A189="N/A"," ",Inputs!$F$9/IF(AND('Pricing Inputs'!$AQ$3&gt;=4,'Pricing Inputs'!$AQ$3&lt;=6),16,IF(AND('Pricing Inputs'!$AQ$3&gt;=7,'Pricing Inputs'!$AQ$3&lt;=9),8,24))/(BA189/BW189))</f>
        <v xml:space="preserve"> </v>
      </c>
      <c r="H189" s="252" t="str">
        <f t="shared" si="232"/>
        <v xml:space="preserve"> </v>
      </c>
      <c r="I189" s="255" t="str">
        <f>VLOOKUP(A189,ScaledPrice,(IF(AND('Pricing Inputs'!$AQ$3&gt;=1,'Pricing Inputs'!$AQ$3&lt;=6),2,4)))</f>
        <v xml:space="preserve"> </v>
      </c>
      <c r="J189" s="255" t="str">
        <f>IF(A189="N/A"," ",IF(AND('Pricing Inputs'!$AQ$3&gt;=1,'Pricing Inputs'!$AQ$3&lt;=6),I189,(VLOOKUP(A189,ScaledPrice,2))*(2-(VLOOKUP(A189,ScaledPrice,3)))))</f>
        <v xml:space="preserve"> </v>
      </c>
      <c r="K189" s="255" t="str">
        <f>IF(A189="N/A"," ",IF(OR('Pricing Inputs'!$AQ$3=2,'Pricing Inputs'!$AQ$3=3,'Pricing Inputs'!$AQ$3=5,'Pricing Inputs'!$AQ$3=6,'Pricing Inputs'!$AQ$3=8,'Pricing Inputs'!$AQ$3=9),VLOOKUP(A189,ScaledPrice,IF(AND('Pricing Inputs'!$AQ$3&gt;=2,'Pricing Inputs'!$AQ$3&lt;=6),5,6)),0))</f>
        <v xml:space="preserve"> </v>
      </c>
      <c r="L189" s="255" t="str">
        <f>IF(A189="N/A"," ",IF(OR('Pricing Inputs'!$AQ$3=2,'Pricing Inputs'!$AQ$3=3,'Pricing Inputs'!$AQ$3=5,'Pricing Inputs'!$AQ$3=6,'Pricing Inputs'!$AQ$3=8,'Pricing Inputs'!$AQ$3=9),IF(AND('Pricing Inputs'!$AQ$3&gt;=2,'Pricing Inputs'!$AQ$3&lt;=6),K189,(VLOOKUP(A189,ScaledPrice,5))*(2-(VLOOKUP(A189,ScaledPrice,3)))),0))</f>
        <v xml:space="preserve"> </v>
      </c>
      <c r="M189" s="255" t="str">
        <f>IF(A189="N/A"," ",IF(OR('Pricing Inputs'!$AQ$3=3,'Pricing Inputs'!$AQ$3=6,'Pricing Inputs'!$AQ$3=9),(VLOOKUP(A189,ScaledPrice,IF(AND('Pricing Inputs'!$AQ$3&gt;=3,'Pricing Inputs'!$AQ$3&lt;=6),7,8))),0))</f>
        <v xml:space="preserve"> </v>
      </c>
      <c r="N189" s="255" t="str">
        <f>IF(A189="N/A"," ",IF(OR('Pricing Inputs'!$AQ$3=3,'Pricing Inputs'!$AQ$3=6,'Pricing Inputs'!$AQ$3=9),IF(AND('Pricing Inputs'!$AQ$3&gt;=3,'Pricing Inputs'!$AQ$3&lt;=6),M189,(VLOOKUP(A189,ScaledPrice,7))*(2-(VLOOKUP(A189,ScaledPrice,3)))),0))</f>
        <v xml:space="preserve"> </v>
      </c>
      <c r="O189" s="255" t="str">
        <f>IF(A189="N/A"," ",IF(AND('Pricing Inputs'!$AQ$3&gt;=1,'Pricing Inputs'!$AQ$3&lt;=3),VLOOKUP(A189,ScaledPrice,9),0))</f>
        <v xml:space="preserve"> </v>
      </c>
      <c r="P189" s="320" t="str">
        <f>IF($A189="N/A"," ",IF('Pricing Inputs'!$AN$8=2,(I189-H189),IF('Pricing Inputs'!$AN$3=2,IF((I189-$H189)&gt;0,I189-$H189,0),(_xll.xSPRDOPT(I189,$E189,$BU189,0,$BP189,$BS189,$BT189,($A189-Inputs!$D$1)+15,1,0)))))</f>
        <v xml:space="preserve"> </v>
      </c>
      <c r="Q189" s="320" t="str">
        <f>IF($A189="N/A"," ",IF('Pricing Inputs'!$AN$8=2,(J189-$H189),IF('Pricing Inputs'!$AN$3=2,IF((J189-$H189)&gt;0,J189-$H189,0),(_xll.xSPRDOPT(J189,$E189,$BU189,0,$BP189,$BS189,$BT189,($A189-Inputs!$D$1)+15,1,0)))))</f>
        <v xml:space="preserve"> </v>
      </c>
      <c r="R189" s="320" t="str">
        <f>IF($A189="N/A"," ",IF('Pricing Inputs'!$AN$8=2,(K189-$H189),IF('Pricing Inputs'!$AN$3=2,IF((K189-$H189)&gt;0,K189-$H189,0),(_xll.xSPRDOPT(K189,$E189,$BU189,0,$BP189,$BS189,$BT189,($A189-Inputs!$D$1)+15,1,0)))))</f>
        <v xml:space="preserve"> </v>
      </c>
      <c r="S189" s="320" t="str">
        <f>IF($A189="N/A"," ",IF('Pricing Inputs'!$AN$8=2,(L189-$H189),IF('Pricing Inputs'!$AN$3=2,IF((L189-$H189)&gt;0,L189-$H189,0),(_xll.xSPRDOPT(L189,$E189,$BU189,0,$BP189,$BS189,$BT189,($A189-Inputs!$D$1)+15,1,0)))))</f>
        <v xml:space="preserve"> </v>
      </c>
      <c r="T189" s="320" t="str">
        <f>IF($A189="N/A"," ",IF('Pricing Inputs'!$AN$8=2,(M189-$H189),IF('Pricing Inputs'!$AN$3=2,IF((M189-$H189)&gt;0,M189-$H189,0),(_xll.xSPRDOPT(M189,$E189,$BU189,0,$BP189,$BS189,$BT189,($A189-Inputs!$D$1)+15,1,0)))))</f>
        <v xml:space="preserve"> </v>
      </c>
      <c r="U189" s="320" t="str">
        <f>IF($A189="N/A"," ",IF('Pricing Inputs'!$AN$8=2,(N189-$H189),IF('Pricing Inputs'!$AN$3=2,IF((N189-$H189)&gt;0,N189-$H189,0),(_xll.xSPRDOPT(N189,$E189,$BU189,0,$BP189,$BS189,$BT189,($A189-Inputs!$D$1)+15,1,0)))))</f>
        <v xml:space="preserve"> </v>
      </c>
      <c r="V189" s="259" t="str">
        <f>IF($A189="N/A"," ",(IF('Pricing Inputs'!$AN$8=2,(O189-$H189),IF((O189-$H189)&lt;=0,0,(O189-$H189)))))</f>
        <v xml:space="preserve"> </v>
      </c>
      <c r="W189" s="306" t="str">
        <f>IF($A189="N/A"," ",IF(0&lt;&gt;P189,IF('Pricing Inputs'!$AN$3=2,8*VLOOKUP($A189,NumberofDaysTable,2),(_xll.xSPRDOPT(I189,$E189,$BU189,0,$BP189,$BS189,$BT189,$A189-Inputs!$D$1,1,1))*(8*VLOOKUP($A189,NumberofDaysTable,2))),0))</f>
        <v xml:space="preserve"> </v>
      </c>
      <c r="X189" s="306" t="str">
        <f>IF($A189="N/A"," ",IF(Q189&lt;&gt;0,IF('Pricing Inputs'!$AN$3=2,8*VLOOKUP($A189,NumberofDaysTable,2),(_xll.xSPRDOPT(J189,$E189,$BU189,0,$BP189,$BS189,$BT189,$A189-Inputs!$D$1,1,1))*(8*VLOOKUP($A189,NumberofDaysTable,2))),0))</f>
        <v xml:space="preserve"> </v>
      </c>
      <c r="Y189" s="306" t="str">
        <f>IF($A189="N/A"," ",IF(R189&lt;&gt;0,IF('Pricing Inputs'!$AN$3=2,8*VLOOKUP($A189,NumberofDaysTable,3),(_xll.xSPRDOPT(K189,$E189,$BU189,0,$BP189,$BS189,$BT189,$A189-Inputs!$D$1,1,1))*(8*VLOOKUP($A189,NumberofDaysTable,3))),0))</f>
        <v xml:space="preserve"> </v>
      </c>
      <c r="Z189" s="306" t="str">
        <f>IF($A189="N/A"," ",IF(S189&lt;&gt;0,IF('Pricing Inputs'!$AN$3=2,8*VLOOKUP($A189,NumberofDaysTable,3),(_xll.xSPRDOPT(L189,$E189,$BU189,0,$BP189,$BS189,$BT189,$A189-Inputs!$D$1,1,1))*(8*VLOOKUP($A189,NumberofDaysTable,3))),0))</f>
        <v xml:space="preserve"> </v>
      </c>
      <c r="AA189" s="306" t="str">
        <f>IF($A189="N/A"," ",IF(T189&lt;&gt;0,IF('Pricing Inputs'!$AN$3=2,8*VLOOKUP($A189,NumberofDaysTable,4),(_xll.xSPRDOPT(M189,$E189,$BU189,0,$BP189,$BS189,$BT189,$A189-Inputs!$D$1,1,1))*(8*VLOOKUP($A189,NumberofDaysTable,4))),0))</f>
        <v xml:space="preserve"> </v>
      </c>
      <c r="AB189" s="306" t="str">
        <f>IF($A189="N/A"," ",IF(U189&lt;&gt;0,IF('Pricing Inputs'!$AN$3=2,8*VLOOKUP($A189,NumberofDaysTable,4),(_xll.xSPRDOPT(N189,$E189,$BU189,0,$BP189,$BS189,$BT189,$A189-Inputs!$D$1,1,1))*(8*VLOOKUP($A189,NumberofDaysTable,4))),0))</f>
        <v xml:space="preserve"> </v>
      </c>
      <c r="AC189" s="306" t="str">
        <f t="shared" si="233"/>
        <v xml:space="preserve"> </v>
      </c>
      <c r="AD189" s="274" t="str">
        <f t="shared" si="321"/>
        <v xml:space="preserve"> </v>
      </c>
      <c r="AE189" s="275" t="str">
        <f t="shared" si="322"/>
        <v xml:space="preserve"> </v>
      </c>
      <c r="AF189" s="275" t="str">
        <f t="shared" si="323"/>
        <v xml:space="preserve"> </v>
      </c>
      <c r="AG189" s="275" t="str">
        <f t="shared" si="324"/>
        <v xml:space="preserve"> </v>
      </c>
      <c r="AH189" s="275" t="str">
        <f t="shared" si="325"/>
        <v xml:space="preserve"> </v>
      </c>
      <c r="AI189" s="275" t="str">
        <f t="shared" si="326"/>
        <v xml:space="preserve"> </v>
      </c>
      <c r="AJ189" s="276" t="str">
        <f t="shared" si="327"/>
        <v xml:space="preserve"> </v>
      </c>
      <c r="AK189" s="314" t="str">
        <f t="shared" si="259"/>
        <v xml:space="preserve"> </v>
      </c>
      <c r="AL189" s="315" t="str">
        <f t="shared" si="260"/>
        <v xml:space="preserve"> </v>
      </c>
      <c r="AM189" s="315" t="str">
        <f t="shared" si="261"/>
        <v xml:space="preserve"> </v>
      </c>
      <c r="AN189" s="315" t="str">
        <f t="shared" si="262"/>
        <v xml:space="preserve"> </v>
      </c>
      <c r="AO189" s="315" t="str">
        <f t="shared" si="263"/>
        <v xml:space="preserve"> </v>
      </c>
      <c r="AP189" s="315" t="str">
        <f t="shared" si="264"/>
        <v xml:space="preserve"> </v>
      </c>
      <c r="AQ189" s="315" t="str">
        <f t="shared" si="265"/>
        <v xml:space="preserve"> </v>
      </c>
      <c r="AR189" s="276"/>
      <c r="AS189" s="321" t="str">
        <f t="shared" si="314"/>
        <v xml:space="preserve"> </v>
      </c>
      <c r="AT189" s="324" t="str">
        <f t="shared" si="315"/>
        <v xml:space="preserve"> </v>
      </c>
      <c r="AU189" s="324" t="str">
        <f t="shared" si="316"/>
        <v xml:space="preserve"> </v>
      </c>
      <c r="AV189" s="324" t="str">
        <f t="shared" si="317"/>
        <v xml:space="preserve"> </v>
      </c>
      <c r="AW189" s="324" t="str">
        <f t="shared" si="318"/>
        <v xml:space="preserve"> </v>
      </c>
      <c r="AX189" s="324" t="str">
        <f t="shared" si="319"/>
        <v xml:space="preserve"> </v>
      </c>
      <c r="AY189" s="324" t="str">
        <f t="shared" si="320"/>
        <v xml:space="preserve"> </v>
      </c>
      <c r="AZ189" s="276"/>
      <c r="BA189" s="267" t="str">
        <f>IF($A189="N/A"," ",(IF(MONTH(A189)&gt;=4,IF(MONTH(A189)&lt;=10,Inputs!$F$13,Inputs!$F$14),Inputs!$F$14))*$BW189)</f>
        <v xml:space="preserve"> </v>
      </c>
      <c r="BB189" s="268" t="str">
        <f t="shared" si="266"/>
        <v xml:space="preserve"> </v>
      </c>
      <c r="BC189" s="268" t="str">
        <f t="shared" si="267"/>
        <v xml:space="preserve"> </v>
      </c>
      <c r="BD189" s="268" t="str">
        <f t="shared" si="234"/>
        <v xml:space="preserve"> </v>
      </c>
      <c r="BE189" s="268" t="str">
        <f t="shared" si="235"/>
        <v xml:space="preserve"> </v>
      </c>
      <c r="BF189" s="268" t="str">
        <f t="shared" si="236"/>
        <v xml:space="preserve"> </v>
      </c>
      <c r="BG189" s="268" t="str">
        <f t="shared" si="237"/>
        <v xml:space="preserve"> </v>
      </c>
      <c r="BH189" s="268" t="str">
        <f t="shared" si="258"/>
        <v xml:space="preserve"> </v>
      </c>
      <c r="BI189" s="268" t="str">
        <f t="shared" si="238"/>
        <v xml:space="preserve"> </v>
      </c>
      <c r="BJ189" s="296" t="str">
        <f t="shared" si="239"/>
        <v xml:space="preserve"> </v>
      </c>
      <c r="BK189" s="296" t="str">
        <f t="shared" si="240"/>
        <v xml:space="preserve"> </v>
      </c>
      <c r="BL189" s="296" t="str">
        <f t="shared" si="241"/>
        <v xml:space="preserve"> </v>
      </c>
      <c r="BM189" s="296" t="str">
        <f t="shared" si="242"/>
        <v xml:space="preserve"> </v>
      </c>
      <c r="BN189" s="405" t="str">
        <f>IF(A189="N/A"," ",(VLOOKUP(A189,PowerVolTable,(IF('Pricing Inputs'!$AT$3=2,7,IF('Pricing Inputs'!$AT$3=1,6,8))),FALSE)))</f>
        <v xml:space="preserve"> </v>
      </c>
      <c r="BO189" s="405" t="str">
        <f>IF(A189="N/A"," ",(VLOOKUP(A189,IntraPowerVol,(IF('Pricing Inputs'!$AT$3=2,3,IF('Pricing Inputs'!$AT$3=1,2,4))),FALSE)*VLOOKUP(MONTH($A189),Inputs!$A$28:$B$39,2)))</f>
        <v xml:space="preserve"> </v>
      </c>
      <c r="BP189" s="406" t="str">
        <f t="shared" si="227"/>
        <v xml:space="preserve"> </v>
      </c>
      <c r="BQ189" s="405" t="str">
        <f>IF($A189="N/A"," ",(VLOOKUP($A189,GasVolTable,(IF('Pricing Inputs'!$AT$3=2,6,IF('Pricing Inputs'!$AT$3=1,7,5))),FALSE)))</f>
        <v xml:space="preserve"> </v>
      </c>
      <c r="BR189" s="405" t="str">
        <f>IF($A189="N/A"," ",(VLOOKUP($A189,OmicronVol,(IF('Pricing Inputs'!$AT$3=2,3,IF('Pricing Inputs'!$AT$3=1,4,2))),FALSE)))</f>
        <v xml:space="preserve"> </v>
      </c>
      <c r="BS189" s="406" t="str">
        <f>IF($A189="N/A"," ",IF('Pricing Inputs'!$AN$3=1,(IF(DateToday&gt;$A189,$BR189,((($BQ189^2)*((($A189-1)-DateToday)/((EOMONTH($A189,0)+1)-DateToday-15)))+((($BR189)^2)*((15)/((EOMONTH($A189,0)+1)-DateToday-15))))^0.5)),0.0001))</f>
        <v xml:space="preserve"> </v>
      </c>
      <c r="BT189" s="405" t="str">
        <f>IF($A189="N/A"," ",IF('Pricing Inputs'!$AN$3=1,(VLOOKUP($A189,CorrelationTable,2,FALSE)),0))</f>
        <v xml:space="preserve"> </v>
      </c>
      <c r="BU189" s="407" t="str">
        <f>IF($A189="N/A"," ",F189+G189+(D189*(VLOOKUP($A189,'Gas Curves'!$B$17:$P$310,14,FALSE))))</f>
        <v xml:space="preserve"> </v>
      </c>
      <c r="BV189" s="405" t="str">
        <f>IF($A189="N/A"," ",IF('Pricing Inputs'!$AW$3=1,0,(VLOOKUP($A189,InterestRatesTable,2))))</f>
        <v xml:space="preserve"> </v>
      </c>
      <c r="BW189" s="408" t="str">
        <f t="shared" si="228"/>
        <v xml:space="preserve"> </v>
      </c>
    </row>
    <row r="190" spans="1:75">
      <c r="A190" s="248" t="str">
        <f>IF(A189="N/A","N/A",IF(EDATE(A189,1)&gt;Inputs!$K$3,"N/A",EDATE(A189,1)))</f>
        <v>N/A</v>
      </c>
      <c r="B190" s="262" t="str">
        <f t="shared" si="229"/>
        <v xml:space="preserve"> </v>
      </c>
      <c r="C190" s="249" t="str">
        <f t="shared" si="230"/>
        <v xml:space="preserve"> </v>
      </c>
      <c r="D190" s="250" t="str">
        <f>IF(A190="N/A"," ",(VLOOKUP(MONTH($A190),Inputs!$A$14:$B$25,2))/1000)</f>
        <v xml:space="preserve"> </v>
      </c>
      <c r="E190" s="304" t="str">
        <f t="shared" si="231"/>
        <v xml:space="preserve"> </v>
      </c>
      <c r="F190" s="251" t="str">
        <f>IF(A190="N/A"," ",Inputs!$F$6)</f>
        <v xml:space="preserve"> </v>
      </c>
      <c r="G190" s="251" t="str">
        <f>IF(A190="N/A"," ",Inputs!$F$9/IF(AND('Pricing Inputs'!$AQ$3&gt;=4,'Pricing Inputs'!$AQ$3&lt;=6),16,IF(AND('Pricing Inputs'!$AQ$3&gt;=7,'Pricing Inputs'!$AQ$3&lt;=9),8,24))/(BA190/BW190))</f>
        <v xml:space="preserve"> </v>
      </c>
      <c r="H190" s="252" t="str">
        <f t="shared" si="232"/>
        <v xml:space="preserve"> </v>
      </c>
      <c r="I190" s="255" t="str">
        <f>VLOOKUP(A190,ScaledPrice,(IF(AND('Pricing Inputs'!$AQ$3&gt;=1,'Pricing Inputs'!$AQ$3&lt;=6),2,4)))</f>
        <v xml:space="preserve"> </v>
      </c>
      <c r="J190" s="255" t="str">
        <f>IF(A190="N/A"," ",IF(AND('Pricing Inputs'!$AQ$3&gt;=1,'Pricing Inputs'!$AQ$3&lt;=6),I190,(VLOOKUP(A190,ScaledPrice,2))*(2-(VLOOKUP(A190,ScaledPrice,3)))))</f>
        <v xml:space="preserve"> </v>
      </c>
      <c r="K190" s="255" t="str">
        <f>IF(A190="N/A"," ",IF(OR('Pricing Inputs'!$AQ$3=2,'Pricing Inputs'!$AQ$3=3,'Pricing Inputs'!$AQ$3=5,'Pricing Inputs'!$AQ$3=6,'Pricing Inputs'!$AQ$3=8,'Pricing Inputs'!$AQ$3=9),VLOOKUP(A190,ScaledPrice,IF(AND('Pricing Inputs'!$AQ$3&gt;=2,'Pricing Inputs'!$AQ$3&lt;=6),5,6)),0))</f>
        <v xml:space="preserve"> </v>
      </c>
      <c r="L190" s="255" t="str">
        <f>IF(A190="N/A"," ",IF(OR('Pricing Inputs'!$AQ$3=2,'Pricing Inputs'!$AQ$3=3,'Pricing Inputs'!$AQ$3=5,'Pricing Inputs'!$AQ$3=6,'Pricing Inputs'!$AQ$3=8,'Pricing Inputs'!$AQ$3=9),IF(AND('Pricing Inputs'!$AQ$3&gt;=2,'Pricing Inputs'!$AQ$3&lt;=6),K190,(VLOOKUP(A190,ScaledPrice,5))*(2-(VLOOKUP(A190,ScaledPrice,3)))),0))</f>
        <v xml:space="preserve"> </v>
      </c>
      <c r="M190" s="255" t="str">
        <f>IF(A190="N/A"," ",IF(OR('Pricing Inputs'!$AQ$3=3,'Pricing Inputs'!$AQ$3=6,'Pricing Inputs'!$AQ$3=9),(VLOOKUP(A190,ScaledPrice,IF(AND('Pricing Inputs'!$AQ$3&gt;=3,'Pricing Inputs'!$AQ$3&lt;=6),7,8))),0))</f>
        <v xml:space="preserve"> </v>
      </c>
      <c r="N190" s="255" t="str">
        <f>IF(A190="N/A"," ",IF(OR('Pricing Inputs'!$AQ$3=3,'Pricing Inputs'!$AQ$3=6,'Pricing Inputs'!$AQ$3=9),IF(AND('Pricing Inputs'!$AQ$3&gt;=3,'Pricing Inputs'!$AQ$3&lt;=6),M190,(VLOOKUP(A190,ScaledPrice,7))*(2-(VLOOKUP(A190,ScaledPrice,3)))),0))</f>
        <v xml:space="preserve"> </v>
      </c>
      <c r="O190" s="255" t="str">
        <f>IF(A190="N/A"," ",IF(AND('Pricing Inputs'!$AQ$3&gt;=1,'Pricing Inputs'!$AQ$3&lt;=3),VLOOKUP(A190,ScaledPrice,9),0))</f>
        <v xml:space="preserve"> </v>
      </c>
      <c r="P190" s="320" t="str">
        <f>IF($A190="N/A"," ",IF('Pricing Inputs'!$AN$8=2,(I190-H190),IF('Pricing Inputs'!$AN$3=2,IF((I190-$H190)&gt;0,I190-$H190,0),(_xll.xSPRDOPT(I190,$E190,$BU190,0,$BP190,$BS190,$BT190,($A190-Inputs!$D$1)+15,1,0)))))</f>
        <v xml:space="preserve"> </v>
      </c>
      <c r="Q190" s="320" t="str">
        <f>IF($A190="N/A"," ",IF('Pricing Inputs'!$AN$8=2,(J190-$H190),IF('Pricing Inputs'!$AN$3=2,IF((J190-$H190)&gt;0,J190-$H190,0),(_xll.xSPRDOPT(J190,$E190,$BU190,0,$BP190,$BS190,$BT190,($A190-Inputs!$D$1)+15,1,0)))))</f>
        <v xml:space="preserve"> </v>
      </c>
      <c r="R190" s="320" t="str">
        <f>IF($A190="N/A"," ",IF('Pricing Inputs'!$AN$8=2,(K190-$H190),IF('Pricing Inputs'!$AN$3=2,IF((K190-$H190)&gt;0,K190-$H190,0),(_xll.xSPRDOPT(K190,$E190,$BU190,0,$BP190,$BS190,$BT190,($A190-Inputs!$D$1)+15,1,0)))))</f>
        <v xml:space="preserve"> </v>
      </c>
      <c r="S190" s="320" t="str">
        <f>IF($A190="N/A"," ",IF('Pricing Inputs'!$AN$8=2,(L190-$H190),IF('Pricing Inputs'!$AN$3=2,IF((L190-$H190)&gt;0,L190-$H190,0),(_xll.xSPRDOPT(L190,$E190,$BU190,0,$BP190,$BS190,$BT190,($A190-Inputs!$D$1)+15,1,0)))))</f>
        <v xml:space="preserve"> </v>
      </c>
      <c r="T190" s="320" t="str">
        <f>IF($A190="N/A"," ",IF('Pricing Inputs'!$AN$8=2,(M190-$H190),IF('Pricing Inputs'!$AN$3=2,IF((M190-$H190)&gt;0,M190-$H190,0),(_xll.xSPRDOPT(M190,$E190,$BU190,0,$BP190,$BS190,$BT190,($A190-Inputs!$D$1)+15,1,0)))))</f>
        <v xml:space="preserve"> </v>
      </c>
      <c r="U190" s="320" t="str">
        <f>IF($A190="N/A"," ",IF('Pricing Inputs'!$AN$8=2,(N190-$H190),IF('Pricing Inputs'!$AN$3=2,IF((N190-$H190)&gt;0,N190-$H190,0),(_xll.xSPRDOPT(N190,$E190,$BU190,0,$BP190,$BS190,$BT190,($A190-Inputs!$D$1)+15,1,0)))))</f>
        <v xml:space="preserve"> </v>
      </c>
      <c r="V190" s="259" t="str">
        <f>IF($A190="N/A"," ",(IF('Pricing Inputs'!$AN$8=2,(O190-$H190),IF((O190-$H190)&lt;=0,0,(O190-$H190)))))</f>
        <v xml:space="preserve"> </v>
      </c>
      <c r="W190" s="306" t="str">
        <f>IF($A190="N/A"," ",IF(0&lt;&gt;P190,IF('Pricing Inputs'!$AN$3=2,8*VLOOKUP($A190,NumberofDaysTable,2),(_xll.xSPRDOPT(I190,$E190,$BU190,0,$BP190,$BS190,$BT190,$A190-Inputs!$D$1,1,1))*(8*VLOOKUP($A190,NumberofDaysTable,2))),0))</f>
        <v xml:space="preserve"> </v>
      </c>
      <c r="X190" s="306" t="str">
        <f>IF($A190="N/A"," ",IF(Q190&lt;&gt;0,IF('Pricing Inputs'!$AN$3=2,8*VLOOKUP($A190,NumberofDaysTable,2),(_xll.xSPRDOPT(J190,$E190,$BU190,0,$BP190,$BS190,$BT190,$A190-Inputs!$D$1,1,1))*(8*VLOOKUP($A190,NumberofDaysTable,2))),0))</f>
        <v xml:space="preserve"> </v>
      </c>
      <c r="Y190" s="306" t="str">
        <f>IF($A190="N/A"," ",IF(R190&lt;&gt;0,IF('Pricing Inputs'!$AN$3=2,8*VLOOKUP($A190,NumberofDaysTable,3),(_xll.xSPRDOPT(K190,$E190,$BU190,0,$BP190,$BS190,$BT190,$A190-Inputs!$D$1,1,1))*(8*VLOOKUP($A190,NumberofDaysTable,3))),0))</f>
        <v xml:space="preserve"> </v>
      </c>
      <c r="Z190" s="306" t="str">
        <f>IF($A190="N/A"," ",IF(S190&lt;&gt;0,IF('Pricing Inputs'!$AN$3=2,8*VLOOKUP($A190,NumberofDaysTable,3),(_xll.xSPRDOPT(L190,$E190,$BU190,0,$BP190,$BS190,$BT190,$A190-Inputs!$D$1,1,1))*(8*VLOOKUP($A190,NumberofDaysTable,3))),0))</f>
        <v xml:space="preserve"> </v>
      </c>
      <c r="AA190" s="306" t="str">
        <f>IF($A190="N/A"," ",IF(T190&lt;&gt;0,IF('Pricing Inputs'!$AN$3=2,8*VLOOKUP($A190,NumberofDaysTable,4),(_xll.xSPRDOPT(M190,$E190,$BU190,0,$BP190,$BS190,$BT190,$A190-Inputs!$D$1,1,1))*(8*VLOOKUP($A190,NumberofDaysTable,4))),0))</f>
        <v xml:space="preserve"> </v>
      </c>
      <c r="AB190" s="306" t="str">
        <f>IF($A190="N/A"," ",IF(U190&lt;&gt;0,IF('Pricing Inputs'!$AN$3=2,8*VLOOKUP($A190,NumberofDaysTable,4),(_xll.xSPRDOPT(N190,$E190,$BU190,0,$BP190,$BS190,$BT190,$A190-Inputs!$D$1,1,1))*(8*VLOOKUP($A190,NumberofDaysTable,4))),0))</f>
        <v xml:space="preserve"> </v>
      </c>
      <c r="AC190" s="306" t="str">
        <f t="shared" si="233"/>
        <v xml:space="preserve"> </v>
      </c>
      <c r="AD190" s="274" t="str">
        <f t="shared" si="321"/>
        <v xml:space="preserve"> </v>
      </c>
      <c r="AE190" s="275" t="str">
        <f t="shared" si="322"/>
        <v xml:space="preserve"> </v>
      </c>
      <c r="AF190" s="275" t="str">
        <f t="shared" si="323"/>
        <v xml:space="preserve"> </v>
      </c>
      <c r="AG190" s="275" t="str">
        <f t="shared" si="324"/>
        <v xml:space="preserve"> </v>
      </c>
      <c r="AH190" s="275" t="str">
        <f t="shared" si="325"/>
        <v xml:space="preserve"> </v>
      </c>
      <c r="AI190" s="275" t="str">
        <f t="shared" si="326"/>
        <v xml:space="preserve"> </v>
      </c>
      <c r="AJ190" s="276" t="str">
        <f t="shared" si="327"/>
        <v xml:space="preserve"> </v>
      </c>
      <c r="AK190" s="314" t="str">
        <f t="shared" si="259"/>
        <v xml:space="preserve"> </v>
      </c>
      <c r="AL190" s="315" t="str">
        <f t="shared" si="260"/>
        <v xml:space="preserve"> </v>
      </c>
      <c r="AM190" s="315" t="str">
        <f t="shared" si="261"/>
        <v xml:space="preserve"> </v>
      </c>
      <c r="AN190" s="315" t="str">
        <f t="shared" si="262"/>
        <v xml:space="preserve"> </v>
      </c>
      <c r="AO190" s="315" t="str">
        <f t="shared" si="263"/>
        <v xml:space="preserve"> </v>
      </c>
      <c r="AP190" s="315" t="str">
        <f t="shared" si="264"/>
        <v xml:space="preserve"> </v>
      </c>
      <c r="AQ190" s="315" t="str">
        <f t="shared" si="265"/>
        <v xml:space="preserve"> </v>
      </c>
      <c r="AR190" s="276"/>
      <c r="AS190" s="321" t="str">
        <f t="shared" si="314"/>
        <v xml:space="preserve"> </v>
      </c>
      <c r="AT190" s="324" t="str">
        <f t="shared" si="315"/>
        <v xml:space="preserve"> </v>
      </c>
      <c r="AU190" s="324" t="str">
        <f t="shared" si="316"/>
        <v xml:space="preserve"> </v>
      </c>
      <c r="AV190" s="324" t="str">
        <f t="shared" si="317"/>
        <v xml:space="preserve"> </v>
      </c>
      <c r="AW190" s="324" t="str">
        <f t="shared" si="318"/>
        <v xml:space="preserve"> </v>
      </c>
      <c r="AX190" s="324" t="str">
        <f t="shared" si="319"/>
        <v xml:space="preserve"> </v>
      </c>
      <c r="AY190" s="324" t="str">
        <f t="shared" si="320"/>
        <v xml:space="preserve"> </v>
      </c>
      <c r="AZ190" s="276"/>
      <c r="BA190" s="267" t="str">
        <f>IF($A190="N/A"," ",(IF(MONTH(A190)&gt;=4,IF(MONTH(A190)&lt;=10,Inputs!$F$13,Inputs!$F$14),Inputs!$F$14))*$BW190)</f>
        <v xml:space="preserve"> </v>
      </c>
      <c r="BB190" s="268" t="str">
        <f t="shared" si="266"/>
        <v xml:space="preserve"> </v>
      </c>
      <c r="BC190" s="268" t="str">
        <f t="shared" si="267"/>
        <v xml:space="preserve"> </v>
      </c>
      <c r="BD190" s="268" t="str">
        <f t="shared" si="234"/>
        <v xml:space="preserve"> </v>
      </c>
      <c r="BE190" s="268" t="str">
        <f t="shared" si="235"/>
        <v xml:space="preserve"> </v>
      </c>
      <c r="BF190" s="268" t="str">
        <f t="shared" si="236"/>
        <v xml:space="preserve"> </v>
      </c>
      <c r="BG190" s="268" t="str">
        <f t="shared" si="237"/>
        <v xml:space="preserve"> </v>
      </c>
      <c r="BH190" s="268" t="str">
        <f t="shared" si="258"/>
        <v xml:space="preserve"> </v>
      </c>
      <c r="BI190" s="268" t="str">
        <f t="shared" si="238"/>
        <v xml:space="preserve"> </v>
      </c>
      <c r="BJ190" s="296" t="str">
        <f t="shared" si="239"/>
        <v xml:space="preserve"> </v>
      </c>
      <c r="BK190" s="296" t="str">
        <f t="shared" si="240"/>
        <v xml:space="preserve"> </v>
      </c>
      <c r="BL190" s="296" t="str">
        <f t="shared" si="241"/>
        <v xml:space="preserve"> </v>
      </c>
      <c r="BM190" s="296" t="str">
        <f t="shared" si="242"/>
        <v xml:space="preserve"> </v>
      </c>
      <c r="BN190" s="405" t="str">
        <f>IF(A190="N/A"," ",(VLOOKUP(A190,PowerVolTable,(IF('Pricing Inputs'!$AT$3=2,7,IF('Pricing Inputs'!$AT$3=1,6,8))),FALSE)))</f>
        <v xml:space="preserve"> </v>
      </c>
      <c r="BO190" s="405" t="str">
        <f>IF(A190="N/A"," ",(VLOOKUP(A190,IntraPowerVol,(IF('Pricing Inputs'!$AT$3=2,3,IF('Pricing Inputs'!$AT$3=1,2,4))),FALSE)*VLOOKUP(MONTH($A190),Inputs!$A$28:$B$39,2)))</f>
        <v xml:space="preserve"> </v>
      </c>
      <c r="BP190" s="406" t="str">
        <f t="shared" si="227"/>
        <v xml:space="preserve"> </v>
      </c>
      <c r="BQ190" s="405" t="str">
        <f>IF($A190="N/A"," ",(VLOOKUP($A190,GasVolTable,(IF('Pricing Inputs'!$AT$3=2,6,IF('Pricing Inputs'!$AT$3=1,7,5))),FALSE)))</f>
        <v xml:space="preserve"> </v>
      </c>
      <c r="BR190" s="405" t="str">
        <f>IF($A190="N/A"," ",(VLOOKUP($A190,OmicronVol,(IF('Pricing Inputs'!$AT$3=2,3,IF('Pricing Inputs'!$AT$3=1,4,2))),FALSE)))</f>
        <v xml:space="preserve"> </v>
      </c>
      <c r="BS190" s="406" t="str">
        <f>IF($A190="N/A"," ",IF('Pricing Inputs'!$AN$3=1,(IF(DateToday&gt;$A190,$BR190,((($BQ190^2)*((($A190-1)-DateToday)/((EOMONTH($A190,0)+1)-DateToday-15)))+((($BR190)^2)*((15)/((EOMONTH($A190,0)+1)-DateToday-15))))^0.5)),0.0001))</f>
        <v xml:space="preserve"> </v>
      </c>
      <c r="BT190" s="405" t="str">
        <f>IF($A190="N/A"," ",IF('Pricing Inputs'!$AN$3=1,(VLOOKUP($A190,CorrelationTable,2,FALSE)),0))</f>
        <v xml:space="preserve"> </v>
      </c>
      <c r="BU190" s="407" t="str">
        <f>IF($A190="N/A"," ",F190+G190+(D190*(VLOOKUP($A190,'Gas Curves'!$B$17:$P$310,14,FALSE))))</f>
        <v xml:space="preserve"> </v>
      </c>
      <c r="BV190" s="405" t="str">
        <f>IF($A190="N/A"," ",IF('Pricing Inputs'!$AW$3=1,0,(VLOOKUP($A190,InterestRatesTable,2))))</f>
        <v xml:space="preserve"> </v>
      </c>
      <c r="BW190" s="408" t="str">
        <f t="shared" si="228"/>
        <v xml:space="preserve"> </v>
      </c>
    </row>
    <row r="191" spans="1:75">
      <c r="A191" s="248" t="str">
        <f>IF(A190="N/A","N/A",IF(EDATE(A190,1)&gt;Inputs!$K$3,"N/A",EDATE(A190,1)))</f>
        <v>N/A</v>
      </c>
      <c r="B191" s="262" t="str">
        <f t="shared" si="229"/>
        <v xml:space="preserve"> </v>
      </c>
      <c r="C191" s="249" t="str">
        <f t="shared" si="230"/>
        <v xml:space="preserve"> </v>
      </c>
      <c r="D191" s="250" t="str">
        <f>IF(A191="N/A"," ",(VLOOKUP(MONTH($A191),Inputs!$A$14:$B$25,2))/1000)</f>
        <v xml:space="preserve"> </v>
      </c>
      <c r="E191" s="304" t="str">
        <f t="shared" si="231"/>
        <v xml:space="preserve"> </v>
      </c>
      <c r="F191" s="251" t="str">
        <f>IF(A191="N/A"," ",Inputs!$F$6)</f>
        <v xml:space="preserve"> </v>
      </c>
      <c r="G191" s="251" t="str">
        <f>IF(A191="N/A"," ",Inputs!$F$9/IF(AND('Pricing Inputs'!$AQ$3&gt;=4,'Pricing Inputs'!$AQ$3&lt;=6),16,IF(AND('Pricing Inputs'!$AQ$3&gt;=7,'Pricing Inputs'!$AQ$3&lt;=9),8,24))/(BA191/BW191))</f>
        <v xml:space="preserve"> </v>
      </c>
      <c r="H191" s="252" t="str">
        <f t="shared" si="232"/>
        <v xml:space="preserve"> </v>
      </c>
      <c r="I191" s="255" t="str">
        <f>VLOOKUP(A191,ScaledPrice,(IF(AND('Pricing Inputs'!$AQ$3&gt;=1,'Pricing Inputs'!$AQ$3&lt;=6),2,4)))</f>
        <v xml:space="preserve"> </v>
      </c>
      <c r="J191" s="255" t="str">
        <f>IF(A191="N/A"," ",IF(AND('Pricing Inputs'!$AQ$3&gt;=1,'Pricing Inputs'!$AQ$3&lt;=6),I191,(VLOOKUP(A191,ScaledPrice,2))*(2-(VLOOKUP(A191,ScaledPrice,3)))))</f>
        <v xml:space="preserve"> </v>
      </c>
      <c r="K191" s="255" t="str">
        <f>IF(A191="N/A"," ",IF(OR('Pricing Inputs'!$AQ$3=2,'Pricing Inputs'!$AQ$3=3,'Pricing Inputs'!$AQ$3=5,'Pricing Inputs'!$AQ$3=6,'Pricing Inputs'!$AQ$3=8,'Pricing Inputs'!$AQ$3=9),VLOOKUP(A191,ScaledPrice,IF(AND('Pricing Inputs'!$AQ$3&gt;=2,'Pricing Inputs'!$AQ$3&lt;=6),5,6)),0))</f>
        <v xml:space="preserve"> </v>
      </c>
      <c r="L191" s="255" t="str">
        <f>IF(A191="N/A"," ",IF(OR('Pricing Inputs'!$AQ$3=2,'Pricing Inputs'!$AQ$3=3,'Pricing Inputs'!$AQ$3=5,'Pricing Inputs'!$AQ$3=6,'Pricing Inputs'!$AQ$3=8,'Pricing Inputs'!$AQ$3=9),IF(AND('Pricing Inputs'!$AQ$3&gt;=2,'Pricing Inputs'!$AQ$3&lt;=6),K191,(VLOOKUP(A191,ScaledPrice,5))*(2-(VLOOKUP(A191,ScaledPrice,3)))),0))</f>
        <v xml:space="preserve"> </v>
      </c>
      <c r="M191" s="255" t="str">
        <f>IF(A191="N/A"," ",IF(OR('Pricing Inputs'!$AQ$3=3,'Pricing Inputs'!$AQ$3=6,'Pricing Inputs'!$AQ$3=9),(VLOOKUP(A191,ScaledPrice,IF(AND('Pricing Inputs'!$AQ$3&gt;=3,'Pricing Inputs'!$AQ$3&lt;=6),7,8))),0))</f>
        <v xml:space="preserve"> </v>
      </c>
      <c r="N191" s="255" t="str">
        <f>IF(A191="N/A"," ",IF(OR('Pricing Inputs'!$AQ$3=3,'Pricing Inputs'!$AQ$3=6,'Pricing Inputs'!$AQ$3=9),IF(AND('Pricing Inputs'!$AQ$3&gt;=3,'Pricing Inputs'!$AQ$3&lt;=6),M191,(VLOOKUP(A191,ScaledPrice,7))*(2-(VLOOKUP(A191,ScaledPrice,3)))),0))</f>
        <v xml:space="preserve"> </v>
      </c>
      <c r="O191" s="255" t="str">
        <f>IF(A191="N/A"," ",IF(AND('Pricing Inputs'!$AQ$3&gt;=1,'Pricing Inputs'!$AQ$3&lt;=3),VLOOKUP(A191,ScaledPrice,9),0))</f>
        <v xml:space="preserve"> </v>
      </c>
      <c r="P191" s="320" t="str">
        <f>IF($A191="N/A"," ",IF('Pricing Inputs'!$AN$8=2,(I191-H191),IF('Pricing Inputs'!$AN$3=2,IF((I191-$H191)&gt;0,I191-$H191,0),(_xll.xSPRDOPT(I191,$E191,$BU191,0,$BP191,$BS191,$BT191,($A191-Inputs!$D$1)+15,1,0)))))</f>
        <v xml:space="preserve"> </v>
      </c>
      <c r="Q191" s="320" t="str">
        <f>IF($A191="N/A"," ",IF('Pricing Inputs'!$AN$8=2,(J191-$H191),IF('Pricing Inputs'!$AN$3=2,IF((J191-$H191)&gt;0,J191-$H191,0),(_xll.xSPRDOPT(J191,$E191,$BU191,0,$BP191,$BS191,$BT191,($A191-Inputs!$D$1)+15,1,0)))))</f>
        <v xml:space="preserve"> </v>
      </c>
      <c r="R191" s="320" t="str">
        <f>IF($A191="N/A"," ",IF('Pricing Inputs'!$AN$8=2,(K191-$H191),IF('Pricing Inputs'!$AN$3=2,IF((K191-$H191)&gt;0,K191-$H191,0),(_xll.xSPRDOPT(K191,$E191,$BU191,0,$BP191,$BS191,$BT191,($A191-Inputs!$D$1)+15,1,0)))))</f>
        <v xml:space="preserve"> </v>
      </c>
      <c r="S191" s="320" t="str">
        <f>IF($A191="N/A"," ",IF('Pricing Inputs'!$AN$8=2,(L191-$H191),IF('Pricing Inputs'!$AN$3=2,IF((L191-$H191)&gt;0,L191-$H191,0),(_xll.xSPRDOPT(L191,$E191,$BU191,0,$BP191,$BS191,$BT191,($A191-Inputs!$D$1)+15,1,0)))))</f>
        <v xml:space="preserve"> </v>
      </c>
      <c r="T191" s="320" t="str">
        <f>IF($A191="N/A"," ",IF('Pricing Inputs'!$AN$8=2,(M191-$H191),IF('Pricing Inputs'!$AN$3=2,IF((M191-$H191)&gt;0,M191-$H191,0),(_xll.xSPRDOPT(M191,$E191,$BU191,0,$BP191,$BS191,$BT191,($A191-Inputs!$D$1)+15,1,0)))))</f>
        <v xml:space="preserve"> </v>
      </c>
      <c r="U191" s="320" t="str">
        <f>IF($A191="N/A"," ",IF('Pricing Inputs'!$AN$8=2,(N191-$H191),IF('Pricing Inputs'!$AN$3=2,IF((N191-$H191)&gt;0,N191-$H191,0),(_xll.xSPRDOPT(N191,$E191,$BU191,0,$BP191,$BS191,$BT191,($A191-Inputs!$D$1)+15,1,0)))))</f>
        <v xml:space="preserve"> </v>
      </c>
      <c r="V191" s="259" t="str">
        <f>IF($A191="N/A"," ",(IF('Pricing Inputs'!$AN$8=2,(O191-$H191),IF((O191-$H191)&lt;=0,0,(O191-$H191)))))</f>
        <v xml:space="preserve"> </v>
      </c>
      <c r="W191" s="306" t="str">
        <f>IF($A191="N/A"," ",IF(0&lt;&gt;P191,IF('Pricing Inputs'!$AN$3=2,8*VLOOKUP($A191,NumberofDaysTable,2),(_xll.xSPRDOPT(I191,$E191,$BU191,0,$BP191,$BS191,$BT191,$A191-Inputs!$D$1,1,1))*(8*VLOOKUP($A191,NumberofDaysTable,2))),0))</f>
        <v xml:space="preserve"> </v>
      </c>
      <c r="X191" s="306" t="str">
        <f>IF($A191="N/A"," ",IF(Q191&lt;&gt;0,IF('Pricing Inputs'!$AN$3=2,8*VLOOKUP($A191,NumberofDaysTable,2),(_xll.xSPRDOPT(J191,$E191,$BU191,0,$BP191,$BS191,$BT191,$A191-Inputs!$D$1,1,1))*(8*VLOOKUP($A191,NumberofDaysTable,2))),0))</f>
        <v xml:space="preserve"> </v>
      </c>
      <c r="Y191" s="306" t="str">
        <f>IF($A191="N/A"," ",IF(R191&lt;&gt;0,IF('Pricing Inputs'!$AN$3=2,8*VLOOKUP($A191,NumberofDaysTable,3),(_xll.xSPRDOPT(K191,$E191,$BU191,0,$BP191,$BS191,$BT191,$A191-Inputs!$D$1,1,1))*(8*VLOOKUP($A191,NumberofDaysTable,3))),0))</f>
        <v xml:space="preserve"> </v>
      </c>
      <c r="Z191" s="306" t="str">
        <f>IF($A191="N/A"," ",IF(S191&lt;&gt;0,IF('Pricing Inputs'!$AN$3=2,8*VLOOKUP($A191,NumberofDaysTable,3),(_xll.xSPRDOPT(L191,$E191,$BU191,0,$BP191,$BS191,$BT191,$A191-Inputs!$D$1,1,1))*(8*VLOOKUP($A191,NumberofDaysTable,3))),0))</f>
        <v xml:space="preserve"> </v>
      </c>
      <c r="AA191" s="306" t="str">
        <f>IF($A191="N/A"," ",IF(T191&lt;&gt;0,IF('Pricing Inputs'!$AN$3=2,8*VLOOKUP($A191,NumberofDaysTable,4),(_xll.xSPRDOPT(M191,$E191,$BU191,0,$BP191,$BS191,$BT191,$A191-Inputs!$D$1,1,1))*(8*VLOOKUP($A191,NumberofDaysTable,4))),0))</f>
        <v xml:space="preserve"> </v>
      </c>
      <c r="AB191" s="306" t="str">
        <f>IF($A191="N/A"," ",IF(U191&lt;&gt;0,IF('Pricing Inputs'!$AN$3=2,8*VLOOKUP($A191,NumberofDaysTable,4),(_xll.xSPRDOPT(N191,$E191,$BU191,0,$BP191,$BS191,$BT191,$A191-Inputs!$D$1,1,1))*(8*VLOOKUP($A191,NumberofDaysTable,4))),0))</f>
        <v xml:space="preserve"> </v>
      </c>
      <c r="AC191" s="306" t="str">
        <f t="shared" si="233"/>
        <v xml:space="preserve"> </v>
      </c>
      <c r="AD191" s="274" t="str">
        <f t="shared" si="321"/>
        <v xml:space="preserve"> </v>
      </c>
      <c r="AE191" s="275" t="str">
        <f t="shared" si="322"/>
        <v xml:space="preserve"> </v>
      </c>
      <c r="AF191" s="275" t="str">
        <f t="shared" si="323"/>
        <v xml:space="preserve"> </v>
      </c>
      <c r="AG191" s="275" t="str">
        <f t="shared" si="324"/>
        <v xml:space="preserve"> </v>
      </c>
      <c r="AH191" s="275" t="str">
        <f t="shared" si="325"/>
        <v xml:space="preserve"> </v>
      </c>
      <c r="AI191" s="275" t="str">
        <f t="shared" si="326"/>
        <v xml:space="preserve"> </v>
      </c>
      <c r="AJ191" s="276" t="str">
        <f t="shared" si="327"/>
        <v xml:space="preserve"> </v>
      </c>
      <c r="AK191" s="314" t="str">
        <f t="shared" si="259"/>
        <v xml:space="preserve"> </v>
      </c>
      <c r="AL191" s="315" t="str">
        <f t="shared" si="260"/>
        <v xml:space="preserve"> </v>
      </c>
      <c r="AM191" s="315" t="str">
        <f t="shared" si="261"/>
        <v xml:space="preserve"> </v>
      </c>
      <c r="AN191" s="315" t="str">
        <f t="shared" si="262"/>
        <v xml:space="preserve"> </v>
      </c>
      <c r="AO191" s="315" t="str">
        <f t="shared" si="263"/>
        <v xml:space="preserve"> </v>
      </c>
      <c r="AP191" s="315" t="str">
        <f t="shared" si="264"/>
        <v xml:space="preserve"> </v>
      </c>
      <c r="AQ191" s="315" t="str">
        <f t="shared" si="265"/>
        <v xml:space="preserve"> </v>
      </c>
      <c r="AR191" s="276"/>
      <c r="AS191" s="321" t="str">
        <f t="shared" si="314"/>
        <v xml:space="preserve"> </v>
      </c>
      <c r="AT191" s="324" t="str">
        <f t="shared" si="315"/>
        <v xml:space="preserve"> </v>
      </c>
      <c r="AU191" s="324" t="str">
        <f t="shared" si="316"/>
        <v xml:space="preserve"> </v>
      </c>
      <c r="AV191" s="324" t="str">
        <f t="shared" si="317"/>
        <v xml:space="preserve"> </v>
      </c>
      <c r="AW191" s="324" t="str">
        <f t="shared" si="318"/>
        <v xml:space="preserve"> </v>
      </c>
      <c r="AX191" s="324" t="str">
        <f t="shared" si="319"/>
        <v xml:space="preserve"> </v>
      </c>
      <c r="AY191" s="324" t="str">
        <f t="shared" si="320"/>
        <v xml:space="preserve"> </v>
      </c>
      <c r="AZ191" s="276"/>
      <c r="BA191" s="267" t="str">
        <f>IF($A191="N/A"," ",(IF(MONTH(A191)&gt;=4,IF(MONTH(A191)&lt;=10,Inputs!$F$13,Inputs!$F$14),Inputs!$F$14))*$BW191)</f>
        <v xml:space="preserve"> </v>
      </c>
      <c r="BB191" s="268" t="str">
        <f t="shared" si="266"/>
        <v xml:space="preserve"> </v>
      </c>
      <c r="BC191" s="268" t="str">
        <f t="shared" si="267"/>
        <v xml:space="preserve"> </v>
      </c>
      <c r="BD191" s="268" t="str">
        <f t="shared" si="234"/>
        <v xml:space="preserve"> </v>
      </c>
      <c r="BE191" s="268" t="str">
        <f t="shared" si="235"/>
        <v xml:space="preserve"> </v>
      </c>
      <c r="BF191" s="268" t="str">
        <f t="shared" si="236"/>
        <v xml:space="preserve"> </v>
      </c>
      <c r="BG191" s="268" t="str">
        <f t="shared" si="237"/>
        <v xml:space="preserve"> </v>
      </c>
      <c r="BH191" s="268" t="str">
        <f t="shared" si="258"/>
        <v xml:space="preserve"> </v>
      </c>
      <c r="BI191" s="268" t="str">
        <f t="shared" si="238"/>
        <v xml:space="preserve"> </v>
      </c>
      <c r="BJ191" s="296" t="str">
        <f t="shared" si="239"/>
        <v xml:space="preserve"> </v>
      </c>
      <c r="BK191" s="296" t="str">
        <f t="shared" si="240"/>
        <v xml:space="preserve"> </v>
      </c>
      <c r="BL191" s="296" t="str">
        <f t="shared" si="241"/>
        <v xml:space="preserve"> </v>
      </c>
      <c r="BM191" s="296" t="str">
        <f t="shared" si="242"/>
        <v xml:space="preserve"> </v>
      </c>
      <c r="BN191" s="405" t="str">
        <f>IF(A191="N/A"," ",(VLOOKUP(A191,PowerVolTable,(IF('Pricing Inputs'!$AT$3=2,7,IF('Pricing Inputs'!$AT$3=1,6,8))),FALSE)))</f>
        <v xml:space="preserve"> </v>
      </c>
      <c r="BO191" s="405" t="str">
        <f>IF(A191="N/A"," ",(VLOOKUP(A191,IntraPowerVol,(IF('Pricing Inputs'!$AT$3=2,3,IF('Pricing Inputs'!$AT$3=1,2,4))),FALSE)*VLOOKUP(MONTH($A191),Inputs!$A$28:$B$39,2)))</f>
        <v xml:space="preserve"> </v>
      </c>
      <c r="BP191" s="406" t="str">
        <f t="shared" si="227"/>
        <v xml:space="preserve"> </v>
      </c>
      <c r="BQ191" s="405" t="str">
        <f>IF($A191="N/A"," ",(VLOOKUP($A191,GasVolTable,(IF('Pricing Inputs'!$AT$3=2,6,IF('Pricing Inputs'!$AT$3=1,7,5))),FALSE)))</f>
        <v xml:space="preserve"> </v>
      </c>
      <c r="BR191" s="405" t="str">
        <f>IF($A191="N/A"," ",(VLOOKUP($A191,OmicronVol,(IF('Pricing Inputs'!$AT$3=2,3,IF('Pricing Inputs'!$AT$3=1,4,2))),FALSE)))</f>
        <v xml:space="preserve"> </v>
      </c>
      <c r="BS191" s="406" t="str">
        <f>IF($A191="N/A"," ",IF('Pricing Inputs'!$AN$3=1,(IF(DateToday&gt;$A191,$BR191,((($BQ191^2)*((($A191-1)-DateToday)/((EOMONTH($A191,0)+1)-DateToday-15)))+((($BR191)^2)*((15)/((EOMONTH($A191,0)+1)-DateToday-15))))^0.5)),0.0001))</f>
        <v xml:space="preserve"> </v>
      </c>
      <c r="BT191" s="405" t="str">
        <f>IF($A191="N/A"," ",IF('Pricing Inputs'!$AN$3=1,(VLOOKUP($A191,CorrelationTable,2,FALSE)),0))</f>
        <v xml:space="preserve"> </v>
      </c>
      <c r="BU191" s="407" t="str">
        <f>IF($A191="N/A"," ",F191+G191+(D191*(VLOOKUP($A191,'Gas Curves'!$B$17:$P$310,14,FALSE))))</f>
        <v xml:space="preserve"> </v>
      </c>
      <c r="BV191" s="405" t="str">
        <f>IF($A191="N/A"," ",IF('Pricing Inputs'!$AW$3=1,0,(VLOOKUP($A191,InterestRatesTable,2))))</f>
        <v xml:space="preserve"> </v>
      </c>
      <c r="BW191" s="408" t="str">
        <f t="shared" si="228"/>
        <v xml:space="preserve"> </v>
      </c>
    </row>
    <row r="192" spans="1:75">
      <c r="A192" s="248" t="str">
        <f>IF(A191="N/A","N/A",IF(EDATE(A191,1)&gt;Inputs!$K$3,"N/A",EDATE(A191,1)))</f>
        <v>N/A</v>
      </c>
      <c r="B192" s="262" t="str">
        <f t="shared" si="229"/>
        <v xml:space="preserve"> </v>
      </c>
      <c r="C192" s="249" t="str">
        <f t="shared" si="230"/>
        <v xml:space="preserve"> </v>
      </c>
      <c r="D192" s="250" t="str">
        <f>IF(A192="N/A"," ",(VLOOKUP(MONTH($A192),Inputs!$A$14:$B$25,2))/1000)</f>
        <v xml:space="preserve"> </v>
      </c>
      <c r="E192" s="304" t="str">
        <f t="shared" si="231"/>
        <v xml:space="preserve"> </v>
      </c>
      <c r="F192" s="251" t="str">
        <f>IF(A192="N/A"," ",Inputs!$F$6)</f>
        <v xml:space="preserve"> </v>
      </c>
      <c r="G192" s="251" t="str">
        <f>IF(A192="N/A"," ",Inputs!$F$9/IF(AND('Pricing Inputs'!$AQ$3&gt;=4,'Pricing Inputs'!$AQ$3&lt;=6),16,IF(AND('Pricing Inputs'!$AQ$3&gt;=7,'Pricing Inputs'!$AQ$3&lt;=9),8,24))/(BA192/BW192))</f>
        <v xml:space="preserve"> </v>
      </c>
      <c r="H192" s="252" t="str">
        <f t="shared" si="232"/>
        <v xml:space="preserve"> </v>
      </c>
      <c r="I192" s="255" t="str">
        <f>VLOOKUP(A192,ScaledPrice,(IF(AND('Pricing Inputs'!$AQ$3&gt;=1,'Pricing Inputs'!$AQ$3&lt;=6),2,4)))</f>
        <v xml:space="preserve"> </v>
      </c>
      <c r="J192" s="255" t="str">
        <f>IF(A192="N/A"," ",IF(AND('Pricing Inputs'!$AQ$3&gt;=1,'Pricing Inputs'!$AQ$3&lt;=6),I192,(VLOOKUP(A192,ScaledPrice,2))*(2-(VLOOKUP(A192,ScaledPrice,3)))))</f>
        <v xml:space="preserve"> </v>
      </c>
      <c r="K192" s="255" t="str">
        <f>IF(A192="N/A"," ",IF(OR('Pricing Inputs'!$AQ$3=2,'Pricing Inputs'!$AQ$3=3,'Pricing Inputs'!$AQ$3=5,'Pricing Inputs'!$AQ$3=6,'Pricing Inputs'!$AQ$3=8,'Pricing Inputs'!$AQ$3=9),VLOOKUP(A192,ScaledPrice,IF(AND('Pricing Inputs'!$AQ$3&gt;=2,'Pricing Inputs'!$AQ$3&lt;=6),5,6)),0))</f>
        <v xml:space="preserve"> </v>
      </c>
      <c r="L192" s="255" t="str">
        <f>IF(A192="N/A"," ",IF(OR('Pricing Inputs'!$AQ$3=2,'Pricing Inputs'!$AQ$3=3,'Pricing Inputs'!$AQ$3=5,'Pricing Inputs'!$AQ$3=6,'Pricing Inputs'!$AQ$3=8,'Pricing Inputs'!$AQ$3=9),IF(AND('Pricing Inputs'!$AQ$3&gt;=2,'Pricing Inputs'!$AQ$3&lt;=6),K192,(VLOOKUP(A192,ScaledPrice,5))*(2-(VLOOKUP(A192,ScaledPrice,3)))),0))</f>
        <v xml:space="preserve"> </v>
      </c>
      <c r="M192" s="255" t="str">
        <f>IF(A192="N/A"," ",IF(OR('Pricing Inputs'!$AQ$3=3,'Pricing Inputs'!$AQ$3=6,'Pricing Inputs'!$AQ$3=9),(VLOOKUP(A192,ScaledPrice,IF(AND('Pricing Inputs'!$AQ$3&gt;=3,'Pricing Inputs'!$AQ$3&lt;=6),7,8))),0))</f>
        <v xml:space="preserve"> </v>
      </c>
      <c r="N192" s="255" t="str">
        <f>IF(A192="N/A"," ",IF(OR('Pricing Inputs'!$AQ$3=3,'Pricing Inputs'!$AQ$3=6,'Pricing Inputs'!$AQ$3=9),IF(AND('Pricing Inputs'!$AQ$3&gt;=3,'Pricing Inputs'!$AQ$3&lt;=6),M192,(VLOOKUP(A192,ScaledPrice,7))*(2-(VLOOKUP(A192,ScaledPrice,3)))),0))</f>
        <v xml:space="preserve"> </v>
      </c>
      <c r="O192" s="255" t="str">
        <f>IF(A192="N/A"," ",IF(AND('Pricing Inputs'!$AQ$3&gt;=1,'Pricing Inputs'!$AQ$3&lt;=3),VLOOKUP(A192,ScaledPrice,9),0))</f>
        <v xml:space="preserve"> </v>
      </c>
      <c r="P192" s="320" t="str">
        <f>IF($A192="N/A"," ",IF('Pricing Inputs'!$AN$8=2,(I192-H192),IF('Pricing Inputs'!$AN$3=2,IF((I192-$H192)&gt;0,I192-$H192,0),(_xll.xSPRDOPT(I192,$E192,$BU192,0,$BP192,$BS192,$BT192,($A192-Inputs!$D$1)+15,1,0)))))</f>
        <v xml:space="preserve"> </v>
      </c>
      <c r="Q192" s="320" t="str">
        <f>IF($A192="N/A"," ",IF('Pricing Inputs'!$AN$8=2,(J192-$H192),IF('Pricing Inputs'!$AN$3=2,IF((J192-$H192)&gt;0,J192-$H192,0),(_xll.xSPRDOPT(J192,$E192,$BU192,0,$BP192,$BS192,$BT192,($A192-Inputs!$D$1)+15,1,0)))))</f>
        <v xml:space="preserve"> </v>
      </c>
      <c r="R192" s="320" t="str">
        <f>IF($A192="N/A"," ",IF('Pricing Inputs'!$AN$8=2,(K192-$H192),IF('Pricing Inputs'!$AN$3=2,IF((K192-$H192)&gt;0,K192-$H192,0),(_xll.xSPRDOPT(K192,$E192,$BU192,0,$BP192,$BS192,$BT192,($A192-Inputs!$D$1)+15,1,0)))))</f>
        <v xml:space="preserve"> </v>
      </c>
      <c r="S192" s="320" t="str">
        <f>IF($A192="N/A"," ",IF('Pricing Inputs'!$AN$8=2,(L192-$H192),IF('Pricing Inputs'!$AN$3=2,IF((L192-$H192)&gt;0,L192-$H192,0),(_xll.xSPRDOPT(L192,$E192,$BU192,0,$BP192,$BS192,$BT192,($A192-Inputs!$D$1)+15,1,0)))))</f>
        <v xml:space="preserve"> </v>
      </c>
      <c r="T192" s="320" t="str">
        <f>IF($A192="N/A"," ",IF('Pricing Inputs'!$AN$8=2,(M192-$H192),IF('Pricing Inputs'!$AN$3=2,IF((M192-$H192)&gt;0,M192-$H192,0),(_xll.xSPRDOPT(M192,$E192,$BU192,0,$BP192,$BS192,$BT192,($A192-Inputs!$D$1)+15,1,0)))))</f>
        <v xml:space="preserve"> </v>
      </c>
      <c r="U192" s="320" t="str">
        <f>IF($A192="N/A"," ",IF('Pricing Inputs'!$AN$8=2,(N192-$H192),IF('Pricing Inputs'!$AN$3=2,IF((N192-$H192)&gt;0,N192-$H192,0),(_xll.xSPRDOPT(N192,$E192,$BU192,0,$BP192,$BS192,$BT192,($A192-Inputs!$D$1)+15,1,0)))))</f>
        <v xml:space="preserve"> </v>
      </c>
      <c r="V192" s="259" t="str">
        <f>IF($A192="N/A"," ",(IF('Pricing Inputs'!$AN$8=2,(O192-$H192),IF((O192-$H192)&lt;=0,0,(O192-$H192)))))</f>
        <v xml:space="preserve"> </v>
      </c>
      <c r="W192" s="306" t="str">
        <f>IF($A192="N/A"," ",IF(0&lt;&gt;P192,IF('Pricing Inputs'!$AN$3=2,8*VLOOKUP($A192,NumberofDaysTable,2),(_xll.xSPRDOPT(I192,$E192,$BU192,0,$BP192,$BS192,$BT192,$A192-Inputs!$D$1,1,1))*(8*VLOOKUP($A192,NumberofDaysTable,2))),0))</f>
        <v xml:space="preserve"> </v>
      </c>
      <c r="X192" s="306" t="str">
        <f>IF($A192="N/A"," ",IF(Q192&lt;&gt;0,IF('Pricing Inputs'!$AN$3=2,8*VLOOKUP($A192,NumberofDaysTable,2),(_xll.xSPRDOPT(J192,$E192,$BU192,0,$BP192,$BS192,$BT192,$A192-Inputs!$D$1,1,1))*(8*VLOOKUP($A192,NumberofDaysTable,2))),0))</f>
        <v xml:space="preserve"> </v>
      </c>
      <c r="Y192" s="306" t="str">
        <f>IF($A192="N/A"," ",IF(R192&lt;&gt;0,IF('Pricing Inputs'!$AN$3=2,8*VLOOKUP($A192,NumberofDaysTable,3),(_xll.xSPRDOPT(K192,$E192,$BU192,0,$BP192,$BS192,$BT192,$A192-Inputs!$D$1,1,1))*(8*VLOOKUP($A192,NumberofDaysTable,3))),0))</f>
        <v xml:space="preserve"> </v>
      </c>
      <c r="Z192" s="306" t="str">
        <f>IF($A192="N/A"," ",IF(S192&lt;&gt;0,IF('Pricing Inputs'!$AN$3=2,8*VLOOKUP($A192,NumberofDaysTable,3),(_xll.xSPRDOPT(L192,$E192,$BU192,0,$BP192,$BS192,$BT192,$A192-Inputs!$D$1,1,1))*(8*VLOOKUP($A192,NumberofDaysTable,3))),0))</f>
        <v xml:space="preserve"> </v>
      </c>
      <c r="AA192" s="306" t="str">
        <f>IF($A192="N/A"," ",IF(T192&lt;&gt;0,IF('Pricing Inputs'!$AN$3=2,8*VLOOKUP($A192,NumberofDaysTable,4),(_xll.xSPRDOPT(M192,$E192,$BU192,0,$BP192,$BS192,$BT192,$A192-Inputs!$D$1,1,1))*(8*VLOOKUP($A192,NumberofDaysTable,4))),0))</f>
        <v xml:space="preserve"> </v>
      </c>
      <c r="AB192" s="306" t="str">
        <f>IF($A192="N/A"," ",IF(U192&lt;&gt;0,IF('Pricing Inputs'!$AN$3=2,8*VLOOKUP($A192,NumberofDaysTable,4),(_xll.xSPRDOPT(N192,$E192,$BU192,0,$BP192,$BS192,$BT192,$A192-Inputs!$D$1,1,1))*(8*VLOOKUP($A192,NumberofDaysTable,4))),0))</f>
        <v xml:space="preserve"> </v>
      </c>
      <c r="AC192" s="306" t="str">
        <f t="shared" si="233"/>
        <v xml:space="preserve"> </v>
      </c>
      <c r="AD192" s="274" t="str">
        <f t="shared" si="321"/>
        <v xml:space="preserve"> </v>
      </c>
      <c r="AE192" s="275" t="str">
        <f t="shared" si="322"/>
        <v xml:space="preserve"> </v>
      </c>
      <c r="AF192" s="275" t="str">
        <f t="shared" si="323"/>
        <v xml:space="preserve"> </v>
      </c>
      <c r="AG192" s="275" t="str">
        <f t="shared" si="324"/>
        <v xml:space="preserve"> </v>
      </c>
      <c r="AH192" s="275" t="str">
        <f t="shared" si="325"/>
        <v xml:space="preserve"> </v>
      </c>
      <c r="AI192" s="275" t="str">
        <f t="shared" si="326"/>
        <v xml:space="preserve"> </v>
      </c>
      <c r="AJ192" s="276" t="str">
        <f t="shared" si="327"/>
        <v xml:space="preserve"> </v>
      </c>
      <c r="AK192" s="314" t="str">
        <f t="shared" si="259"/>
        <v xml:space="preserve"> </v>
      </c>
      <c r="AL192" s="315" t="str">
        <f t="shared" si="260"/>
        <v xml:space="preserve"> </v>
      </c>
      <c r="AM192" s="315" t="str">
        <f t="shared" si="261"/>
        <v xml:space="preserve"> </v>
      </c>
      <c r="AN192" s="315" t="str">
        <f t="shared" si="262"/>
        <v xml:space="preserve"> </v>
      </c>
      <c r="AO192" s="315" t="str">
        <f t="shared" si="263"/>
        <v xml:space="preserve"> </v>
      </c>
      <c r="AP192" s="315" t="str">
        <f t="shared" si="264"/>
        <v xml:space="preserve"> </v>
      </c>
      <c r="AQ192" s="315" t="str">
        <f t="shared" si="265"/>
        <v xml:space="preserve"> </v>
      </c>
      <c r="AR192" s="276"/>
      <c r="AS192" s="321" t="str">
        <f t="shared" si="314"/>
        <v xml:space="preserve"> </v>
      </c>
      <c r="AT192" s="324" t="str">
        <f t="shared" si="315"/>
        <v xml:space="preserve"> </v>
      </c>
      <c r="AU192" s="324" t="str">
        <f t="shared" si="316"/>
        <v xml:space="preserve"> </v>
      </c>
      <c r="AV192" s="324" t="str">
        <f t="shared" si="317"/>
        <v xml:space="preserve"> </v>
      </c>
      <c r="AW192" s="324" t="str">
        <f t="shared" si="318"/>
        <v xml:space="preserve"> </v>
      </c>
      <c r="AX192" s="324" t="str">
        <f t="shared" si="319"/>
        <v xml:space="preserve"> </v>
      </c>
      <c r="AY192" s="324" t="str">
        <f t="shared" si="320"/>
        <v xml:space="preserve"> </v>
      </c>
      <c r="AZ192" s="276"/>
      <c r="BA192" s="267" t="str">
        <f>IF($A192="N/A"," ",(IF(MONTH(A192)&gt;=4,IF(MONTH(A192)&lt;=10,Inputs!$F$13,Inputs!$F$14),Inputs!$F$14))*$BW192)</f>
        <v xml:space="preserve"> </v>
      </c>
      <c r="BB192" s="268" t="str">
        <f t="shared" si="266"/>
        <v xml:space="preserve"> </v>
      </c>
      <c r="BC192" s="268" t="str">
        <f t="shared" si="267"/>
        <v xml:space="preserve"> </v>
      </c>
      <c r="BD192" s="268" t="str">
        <f t="shared" si="234"/>
        <v xml:space="preserve"> </v>
      </c>
      <c r="BE192" s="268" t="str">
        <f t="shared" si="235"/>
        <v xml:space="preserve"> </v>
      </c>
      <c r="BF192" s="268" t="str">
        <f t="shared" si="236"/>
        <v xml:space="preserve"> </v>
      </c>
      <c r="BG192" s="268" t="str">
        <f t="shared" si="237"/>
        <v xml:space="preserve"> </v>
      </c>
      <c r="BH192" s="268" t="str">
        <f t="shared" si="258"/>
        <v xml:space="preserve"> </v>
      </c>
      <c r="BI192" s="268" t="str">
        <f t="shared" si="238"/>
        <v xml:space="preserve"> </v>
      </c>
      <c r="BJ192" s="296" t="str">
        <f t="shared" si="239"/>
        <v xml:space="preserve"> </v>
      </c>
      <c r="BK192" s="296" t="str">
        <f t="shared" si="240"/>
        <v xml:space="preserve"> </v>
      </c>
      <c r="BL192" s="296" t="str">
        <f t="shared" si="241"/>
        <v xml:space="preserve"> </v>
      </c>
      <c r="BM192" s="296" t="str">
        <f t="shared" si="242"/>
        <v xml:space="preserve"> </v>
      </c>
      <c r="BN192" s="405" t="str">
        <f>IF(A192="N/A"," ",(VLOOKUP(A192,PowerVolTable,(IF('Pricing Inputs'!$AT$3=2,7,IF('Pricing Inputs'!$AT$3=1,6,8))),FALSE)))</f>
        <v xml:space="preserve"> </v>
      </c>
      <c r="BO192" s="405" t="str">
        <f>IF(A192="N/A"," ",(VLOOKUP(A192,IntraPowerVol,(IF('Pricing Inputs'!$AT$3=2,3,IF('Pricing Inputs'!$AT$3=1,2,4))),FALSE)*VLOOKUP(MONTH($A192),Inputs!$A$28:$B$39,2)))</f>
        <v xml:space="preserve"> </v>
      </c>
      <c r="BP192" s="406" t="str">
        <f t="shared" si="227"/>
        <v xml:space="preserve"> </v>
      </c>
      <c r="BQ192" s="405" t="str">
        <f>IF($A192="N/A"," ",(VLOOKUP($A192,GasVolTable,(IF('Pricing Inputs'!$AT$3=2,6,IF('Pricing Inputs'!$AT$3=1,7,5))),FALSE)))</f>
        <v xml:space="preserve"> </v>
      </c>
      <c r="BR192" s="405" t="str">
        <f>IF($A192="N/A"," ",(VLOOKUP($A192,OmicronVol,(IF('Pricing Inputs'!$AT$3=2,3,IF('Pricing Inputs'!$AT$3=1,4,2))),FALSE)))</f>
        <v xml:space="preserve"> </v>
      </c>
      <c r="BS192" s="406" t="str">
        <f>IF($A192="N/A"," ",IF('Pricing Inputs'!$AN$3=1,(IF(DateToday&gt;$A192,$BR192,((($BQ192^2)*((($A192-1)-DateToday)/((EOMONTH($A192,0)+1)-DateToday-15)))+((($BR192)^2)*((15)/((EOMONTH($A192,0)+1)-DateToday-15))))^0.5)),0.0001))</f>
        <v xml:space="preserve"> </v>
      </c>
      <c r="BT192" s="405" t="str">
        <f>IF($A192="N/A"," ",IF('Pricing Inputs'!$AN$3=1,(VLOOKUP($A192,CorrelationTable,2,FALSE)),0))</f>
        <v xml:space="preserve"> </v>
      </c>
      <c r="BU192" s="407" t="str">
        <f>IF($A192="N/A"," ",F192+G192+(D192*(VLOOKUP($A192,'Gas Curves'!$B$17:$P$310,14,FALSE))))</f>
        <v xml:space="preserve"> </v>
      </c>
      <c r="BV192" s="405" t="str">
        <f>IF($A192="N/A"," ",IF('Pricing Inputs'!$AW$3=1,0,(VLOOKUP($A192,InterestRatesTable,2))))</f>
        <v xml:space="preserve"> </v>
      </c>
      <c r="BW192" s="408" t="str">
        <f t="shared" si="228"/>
        <v xml:space="preserve"> </v>
      </c>
    </row>
    <row r="193" spans="1:75">
      <c r="A193" s="248" t="str">
        <f>IF(A192="N/A","N/A",IF(EDATE(A192,1)&gt;Inputs!$K$3,"N/A",EDATE(A192,1)))</f>
        <v>N/A</v>
      </c>
      <c r="B193" s="262" t="str">
        <f t="shared" si="229"/>
        <v xml:space="preserve"> </v>
      </c>
      <c r="C193" s="249" t="str">
        <f t="shared" si="230"/>
        <v xml:space="preserve"> </v>
      </c>
      <c r="D193" s="250" t="str">
        <f>IF(A193="N/A"," ",(VLOOKUP(MONTH($A193),Inputs!$A$14:$B$25,2))/1000)</f>
        <v xml:space="preserve"> </v>
      </c>
      <c r="E193" s="304" t="str">
        <f t="shared" si="231"/>
        <v xml:space="preserve"> </v>
      </c>
      <c r="F193" s="251" t="str">
        <f>IF(A193="N/A"," ",Inputs!$F$6)</f>
        <v xml:space="preserve"> </v>
      </c>
      <c r="G193" s="251" t="str">
        <f>IF(A193="N/A"," ",Inputs!$F$9/IF(AND('Pricing Inputs'!$AQ$3&gt;=4,'Pricing Inputs'!$AQ$3&lt;=6),16,IF(AND('Pricing Inputs'!$AQ$3&gt;=7,'Pricing Inputs'!$AQ$3&lt;=9),8,24))/(BA193/BW193))</f>
        <v xml:space="preserve"> </v>
      </c>
      <c r="H193" s="252" t="str">
        <f t="shared" si="232"/>
        <v xml:space="preserve"> </v>
      </c>
      <c r="I193" s="255" t="str">
        <f>VLOOKUP(A193,ScaledPrice,(IF(AND('Pricing Inputs'!$AQ$3&gt;=1,'Pricing Inputs'!$AQ$3&lt;=6),2,4)))</f>
        <v xml:space="preserve"> </v>
      </c>
      <c r="J193" s="255" t="str">
        <f>IF(A193="N/A"," ",IF(AND('Pricing Inputs'!$AQ$3&gt;=1,'Pricing Inputs'!$AQ$3&lt;=6),I193,(VLOOKUP(A193,ScaledPrice,2))*(2-(VLOOKUP(A193,ScaledPrice,3)))))</f>
        <v xml:space="preserve"> </v>
      </c>
      <c r="K193" s="255" t="str">
        <f>IF(A193="N/A"," ",IF(OR('Pricing Inputs'!$AQ$3=2,'Pricing Inputs'!$AQ$3=3,'Pricing Inputs'!$AQ$3=5,'Pricing Inputs'!$AQ$3=6,'Pricing Inputs'!$AQ$3=8,'Pricing Inputs'!$AQ$3=9),VLOOKUP(A193,ScaledPrice,IF(AND('Pricing Inputs'!$AQ$3&gt;=2,'Pricing Inputs'!$AQ$3&lt;=6),5,6)),0))</f>
        <v xml:space="preserve"> </v>
      </c>
      <c r="L193" s="255" t="str">
        <f>IF(A193="N/A"," ",IF(OR('Pricing Inputs'!$AQ$3=2,'Pricing Inputs'!$AQ$3=3,'Pricing Inputs'!$AQ$3=5,'Pricing Inputs'!$AQ$3=6,'Pricing Inputs'!$AQ$3=8,'Pricing Inputs'!$AQ$3=9),IF(AND('Pricing Inputs'!$AQ$3&gt;=2,'Pricing Inputs'!$AQ$3&lt;=6),K193,(VLOOKUP(A193,ScaledPrice,5))*(2-(VLOOKUP(A193,ScaledPrice,3)))),0))</f>
        <v xml:space="preserve"> </v>
      </c>
      <c r="M193" s="255" t="str">
        <f>IF(A193="N/A"," ",IF(OR('Pricing Inputs'!$AQ$3=3,'Pricing Inputs'!$AQ$3=6,'Pricing Inputs'!$AQ$3=9),(VLOOKUP(A193,ScaledPrice,IF(AND('Pricing Inputs'!$AQ$3&gt;=3,'Pricing Inputs'!$AQ$3&lt;=6),7,8))),0))</f>
        <v xml:space="preserve"> </v>
      </c>
      <c r="N193" s="255" t="str">
        <f>IF(A193="N/A"," ",IF(OR('Pricing Inputs'!$AQ$3=3,'Pricing Inputs'!$AQ$3=6,'Pricing Inputs'!$AQ$3=9),IF(AND('Pricing Inputs'!$AQ$3&gt;=3,'Pricing Inputs'!$AQ$3&lt;=6),M193,(VLOOKUP(A193,ScaledPrice,7))*(2-(VLOOKUP(A193,ScaledPrice,3)))),0))</f>
        <v xml:space="preserve"> </v>
      </c>
      <c r="O193" s="255" t="str">
        <f>IF(A193="N/A"," ",IF(AND('Pricing Inputs'!$AQ$3&gt;=1,'Pricing Inputs'!$AQ$3&lt;=3),VLOOKUP(A193,ScaledPrice,9),0))</f>
        <v xml:space="preserve"> </v>
      </c>
      <c r="P193" s="320" t="str">
        <f>IF($A193="N/A"," ",IF('Pricing Inputs'!$AN$8=2,(I193-H193),IF('Pricing Inputs'!$AN$3=2,IF((I193-$H193)&gt;0,I193-$H193,0),(_xll.xSPRDOPT(I193,$E193,$BU193,0,$BP193,$BS193,$BT193,($A193-Inputs!$D$1)+15,1,0)))))</f>
        <v xml:space="preserve"> </v>
      </c>
      <c r="Q193" s="320" t="str">
        <f>IF($A193="N/A"," ",IF('Pricing Inputs'!$AN$8=2,(J193-$H193),IF('Pricing Inputs'!$AN$3=2,IF((J193-$H193)&gt;0,J193-$H193,0),(_xll.xSPRDOPT(J193,$E193,$BU193,0,$BP193,$BS193,$BT193,($A193-Inputs!$D$1)+15,1,0)))))</f>
        <v xml:space="preserve"> </v>
      </c>
      <c r="R193" s="320" t="str">
        <f>IF($A193="N/A"," ",IF('Pricing Inputs'!$AN$8=2,(K193-$H193),IF('Pricing Inputs'!$AN$3=2,IF((K193-$H193)&gt;0,K193-$H193,0),(_xll.xSPRDOPT(K193,$E193,$BU193,0,$BP193,$BS193,$BT193,($A193-Inputs!$D$1)+15,1,0)))))</f>
        <v xml:space="preserve"> </v>
      </c>
      <c r="S193" s="320" t="str">
        <f>IF($A193="N/A"," ",IF('Pricing Inputs'!$AN$8=2,(L193-$H193),IF('Pricing Inputs'!$AN$3=2,IF((L193-$H193)&gt;0,L193-$H193,0),(_xll.xSPRDOPT(L193,$E193,$BU193,0,$BP193,$BS193,$BT193,($A193-Inputs!$D$1)+15,1,0)))))</f>
        <v xml:space="preserve"> </v>
      </c>
      <c r="T193" s="320" t="str">
        <f>IF($A193="N/A"," ",IF('Pricing Inputs'!$AN$8=2,(M193-$H193),IF('Pricing Inputs'!$AN$3=2,IF((M193-$H193)&gt;0,M193-$H193,0),(_xll.xSPRDOPT(M193,$E193,$BU193,0,$BP193,$BS193,$BT193,($A193-Inputs!$D$1)+15,1,0)))))</f>
        <v xml:space="preserve"> </v>
      </c>
      <c r="U193" s="320" t="str">
        <f>IF($A193="N/A"," ",IF('Pricing Inputs'!$AN$8=2,(N193-$H193),IF('Pricing Inputs'!$AN$3=2,IF((N193-$H193)&gt;0,N193-$H193,0),(_xll.xSPRDOPT(N193,$E193,$BU193,0,$BP193,$BS193,$BT193,($A193-Inputs!$D$1)+15,1,0)))))</f>
        <v xml:space="preserve"> </v>
      </c>
      <c r="V193" s="259" t="str">
        <f>IF($A193="N/A"," ",(IF('Pricing Inputs'!$AN$8=2,(O193-$H193),IF((O193-$H193)&lt;=0,0,(O193-$H193)))))</f>
        <v xml:space="preserve"> </v>
      </c>
      <c r="W193" s="306" t="str">
        <f>IF($A193="N/A"," ",IF(0&lt;&gt;P193,IF('Pricing Inputs'!$AN$3=2,8*VLOOKUP($A193,NumberofDaysTable,2),(_xll.xSPRDOPT(I193,$E193,$BU193,0,$BP193,$BS193,$BT193,$A193-Inputs!$D$1,1,1))*(8*VLOOKUP($A193,NumberofDaysTable,2))),0))</f>
        <v xml:space="preserve"> </v>
      </c>
      <c r="X193" s="306" t="str">
        <f>IF($A193="N/A"," ",IF(Q193&lt;&gt;0,IF('Pricing Inputs'!$AN$3=2,8*VLOOKUP($A193,NumberofDaysTable,2),(_xll.xSPRDOPT(J193,$E193,$BU193,0,$BP193,$BS193,$BT193,$A193-Inputs!$D$1,1,1))*(8*VLOOKUP($A193,NumberofDaysTable,2))),0))</f>
        <v xml:space="preserve"> </v>
      </c>
      <c r="Y193" s="306" t="str">
        <f>IF($A193="N/A"," ",IF(R193&lt;&gt;0,IF('Pricing Inputs'!$AN$3=2,8*VLOOKUP($A193,NumberofDaysTable,3),(_xll.xSPRDOPT(K193,$E193,$BU193,0,$BP193,$BS193,$BT193,$A193-Inputs!$D$1,1,1))*(8*VLOOKUP($A193,NumberofDaysTable,3))),0))</f>
        <v xml:space="preserve"> </v>
      </c>
      <c r="Z193" s="306" t="str">
        <f>IF($A193="N/A"," ",IF(S193&lt;&gt;0,IF('Pricing Inputs'!$AN$3=2,8*VLOOKUP($A193,NumberofDaysTable,3),(_xll.xSPRDOPT(L193,$E193,$BU193,0,$BP193,$BS193,$BT193,$A193-Inputs!$D$1,1,1))*(8*VLOOKUP($A193,NumberofDaysTable,3))),0))</f>
        <v xml:space="preserve"> </v>
      </c>
      <c r="AA193" s="306" t="str">
        <f>IF($A193="N/A"," ",IF(T193&lt;&gt;0,IF('Pricing Inputs'!$AN$3=2,8*VLOOKUP($A193,NumberofDaysTable,4),(_xll.xSPRDOPT(M193,$E193,$BU193,0,$BP193,$BS193,$BT193,$A193-Inputs!$D$1,1,1))*(8*VLOOKUP($A193,NumberofDaysTable,4))),0))</f>
        <v xml:space="preserve"> </v>
      </c>
      <c r="AB193" s="306" t="str">
        <f>IF($A193="N/A"," ",IF(U193&lt;&gt;0,IF('Pricing Inputs'!$AN$3=2,8*VLOOKUP($A193,NumberofDaysTable,4),(_xll.xSPRDOPT(N193,$E193,$BU193,0,$BP193,$BS193,$BT193,$A193-Inputs!$D$1,1,1))*(8*VLOOKUP($A193,NumberofDaysTable,4))),0))</f>
        <v xml:space="preserve"> </v>
      </c>
      <c r="AC193" s="306" t="str">
        <f t="shared" si="233"/>
        <v xml:space="preserve"> </v>
      </c>
      <c r="AD193" s="274" t="str">
        <f t="shared" si="321"/>
        <v xml:space="preserve"> </v>
      </c>
      <c r="AE193" s="275" t="str">
        <f t="shared" si="322"/>
        <v xml:space="preserve"> </v>
      </c>
      <c r="AF193" s="275" t="str">
        <f t="shared" si="323"/>
        <v xml:space="preserve"> </v>
      </c>
      <c r="AG193" s="275" t="str">
        <f t="shared" si="324"/>
        <v xml:space="preserve"> </v>
      </c>
      <c r="AH193" s="275" t="str">
        <f t="shared" si="325"/>
        <v xml:space="preserve"> </v>
      </c>
      <c r="AI193" s="275" t="str">
        <f t="shared" si="326"/>
        <v xml:space="preserve"> </v>
      </c>
      <c r="AJ193" s="276" t="str">
        <f t="shared" si="327"/>
        <v xml:space="preserve"> </v>
      </c>
      <c r="AK193" s="314" t="str">
        <f t="shared" si="259"/>
        <v xml:space="preserve"> </v>
      </c>
      <c r="AL193" s="315" t="str">
        <f t="shared" si="260"/>
        <v xml:space="preserve"> </v>
      </c>
      <c r="AM193" s="315" t="str">
        <f t="shared" si="261"/>
        <v xml:space="preserve"> </v>
      </c>
      <c r="AN193" s="315" t="str">
        <f t="shared" si="262"/>
        <v xml:space="preserve"> </v>
      </c>
      <c r="AO193" s="315" t="str">
        <f t="shared" si="263"/>
        <v xml:space="preserve"> </v>
      </c>
      <c r="AP193" s="315" t="str">
        <f t="shared" si="264"/>
        <v xml:space="preserve"> </v>
      </c>
      <c r="AQ193" s="315" t="str">
        <f t="shared" si="265"/>
        <v xml:space="preserve"> </v>
      </c>
      <c r="AR193" s="284" t="s">
        <v>1292</v>
      </c>
      <c r="AS193" s="321" t="str">
        <f t="shared" si="314"/>
        <v xml:space="preserve"> </v>
      </c>
      <c r="AT193" s="324" t="str">
        <f t="shared" si="315"/>
        <v xml:space="preserve"> </v>
      </c>
      <c r="AU193" s="324" t="str">
        <f t="shared" si="316"/>
        <v xml:space="preserve"> </v>
      </c>
      <c r="AV193" s="324" t="str">
        <f t="shared" si="317"/>
        <v xml:space="preserve"> </v>
      </c>
      <c r="AW193" s="324" t="str">
        <f t="shared" si="318"/>
        <v xml:space="preserve"> </v>
      </c>
      <c r="AX193" s="324" t="str">
        <f t="shared" si="319"/>
        <v xml:space="preserve"> </v>
      </c>
      <c r="AY193" s="324" t="str">
        <f t="shared" si="320"/>
        <v xml:space="preserve"> </v>
      </c>
      <c r="AZ193" s="283" t="s">
        <v>1304</v>
      </c>
      <c r="BA193" s="267" t="str">
        <f>IF($A193="N/A"," ",(IF(MONTH(A193)&gt;=4,IF(MONTH(A193)&lt;=10,Inputs!$F$13,Inputs!$F$14),Inputs!$F$14))*$BW193)</f>
        <v xml:space="preserve"> </v>
      </c>
      <c r="BB193" s="268" t="str">
        <f t="shared" si="266"/>
        <v xml:space="preserve"> </v>
      </c>
      <c r="BC193" s="268" t="str">
        <f t="shared" si="267"/>
        <v xml:space="preserve"> </v>
      </c>
      <c r="BD193" s="268" t="str">
        <f t="shared" si="234"/>
        <v xml:space="preserve"> </v>
      </c>
      <c r="BE193" s="268" t="str">
        <f t="shared" si="235"/>
        <v xml:space="preserve"> </v>
      </c>
      <c r="BF193" s="268" t="str">
        <f t="shared" si="236"/>
        <v xml:space="preserve"> </v>
      </c>
      <c r="BG193" s="268" t="str">
        <f t="shared" si="237"/>
        <v xml:space="preserve"> </v>
      </c>
      <c r="BH193" s="268" t="str">
        <f t="shared" si="258"/>
        <v xml:space="preserve"> </v>
      </c>
      <c r="BI193" s="268" t="str">
        <f t="shared" si="238"/>
        <v xml:space="preserve"> </v>
      </c>
      <c r="BJ193" s="296" t="str">
        <f t="shared" si="239"/>
        <v xml:space="preserve"> </v>
      </c>
      <c r="BK193" s="296" t="str">
        <f t="shared" si="240"/>
        <v xml:space="preserve"> </v>
      </c>
      <c r="BL193" s="296" t="str">
        <f t="shared" si="241"/>
        <v xml:space="preserve"> </v>
      </c>
      <c r="BM193" s="296" t="str">
        <f t="shared" si="242"/>
        <v xml:space="preserve"> </v>
      </c>
      <c r="BN193" s="405" t="str">
        <f>IF(A193="N/A"," ",(VLOOKUP(A193,PowerVolTable,(IF('Pricing Inputs'!$AT$3=2,7,IF('Pricing Inputs'!$AT$3=1,6,8))),FALSE)))</f>
        <v xml:space="preserve"> </v>
      </c>
      <c r="BO193" s="405" t="str">
        <f>IF(A193="N/A"," ",(VLOOKUP(A193,IntraPowerVol,(IF('Pricing Inputs'!$AT$3=2,3,IF('Pricing Inputs'!$AT$3=1,2,4))),FALSE)*VLOOKUP(MONTH($A193),Inputs!$A$28:$B$39,2)))</f>
        <v xml:space="preserve"> </v>
      </c>
      <c r="BP193" s="406" t="str">
        <f t="shared" si="227"/>
        <v xml:space="preserve"> </v>
      </c>
      <c r="BQ193" s="405" t="str">
        <f>IF($A193="N/A"," ",(VLOOKUP($A193,GasVolTable,(IF('Pricing Inputs'!$AT$3=2,6,IF('Pricing Inputs'!$AT$3=1,7,5))),FALSE)))</f>
        <v xml:space="preserve"> </v>
      </c>
      <c r="BR193" s="405" t="str">
        <f>IF($A193="N/A"," ",(VLOOKUP($A193,OmicronVol,(IF('Pricing Inputs'!$AT$3=2,3,IF('Pricing Inputs'!$AT$3=1,4,2))),FALSE)))</f>
        <v xml:space="preserve"> </v>
      </c>
      <c r="BS193" s="406" t="str">
        <f>IF($A193="N/A"," ",IF('Pricing Inputs'!$AN$3=1,(IF(DateToday&gt;$A193,$BR193,((($BQ193^2)*((($A193-1)-DateToday)/((EOMONTH($A193,0)+1)-DateToday-15)))+((($BR193)^2)*((15)/((EOMONTH($A193,0)+1)-DateToday-15))))^0.5)),0.0001))</f>
        <v xml:space="preserve"> </v>
      </c>
      <c r="BT193" s="405" t="str">
        <f>IF($A193="N/A"," ",IF('Pricing Inputs'!$AN$3=1,(VLOOKUP($A193,CorrelationTable,2,FALSE)),0))</f>
        <v xml:space="preserve"> </v>
      </c>
      <c r="BU193" s="407" t="str">
        <f>IF($A193="N/A"," ",F193+G193+(D193*(VLOOKUP($A193,'Gas Curves'!$B$17:$P$310,14,FALSE))))</f>
        <v xml:space="preserve"> </v>
      </c>
      <c r="BV193" s="405" t="str">
        <f>IF($A193="N/A"," ",IF('Pricing Inputs'!$AW$3=1,0,(VLOOKUP($A193,InterestRatesTable,2))))</f>
        <v xml:space="preserve"> </v>
      </c>
      <c r="BW193" s="408" t="str">
        <f t="shared" si="228"/>
        <v xml:space="preserve"> </v>
      </c>
    </row>
    <row r="194" spans="1:75">
      <c r="A194" s="248" t="str">
        <f>IF(A193="N/A","N/A",IF(EDATE(A193,1)&gt;Inputs!$K$3,"N/A",EDATE(A193,1)))</f>
        <v>N/A</v>
      </c>
      <c r="B194" s="262" t="str">
        <f t="shared" si="229"/>
        <v xml:space="preserve"> </v>
      </c>
      <c r="C194" s="249" t="str">
        <f t="shared" si="230"/>
        <v xml:space="preserve"> </v>
      </c>
      <c r="D194" s="250" t="str">
        <f>IF(A194="N/A"," ",(VLOOKUP(MONTH($A194),Inputs!$A$14:$B$25,2))/1000)</f>
        <v xml:space="preserve"> </v>
      </c>
      <c r="E194" s="304" t="str">
        <f t="shared" si="231"/>
        <v xml:space="preserve"> </v>
      </c>
      <c r="F194" s="251" t="str">
        <f>IF(A194="N/A"," ",Inputs!$F$6)</f>
        <v xml:space="preserve"> </v>
      </c>
      <c r="G194" s="251" t="str">
        <f>IF(A194="N/A"," ",Inputs!$F$9/IF(AND('Pricing Inputs'!$AQ$3&gt;=4,'Pricing Inputs'!$AQ$3&lt;=6),16,IF(AND('Pricing Inputs'!$AQ$3&gt;=7,'Pricing Inputs'!$AQ$3&lt;=9),8,24))/(BA194/BW194))</f>
        <v xml:space="preserve"> </v>
      </c>
      <c r="H194" s="252" t="str">
        <f t="shared" si="232"/>
        <v xml:space="preserve"> </v>
      </c>
      <c r="I194" s="255" t="str">
        <f>VLOOKUP(A194,ScaledPrice,(IF(AND('Pricing Inputs'!$AQ$3&gt;=1,'Pricing Inputs'!$AQ$3&lt;=6),2,4)))</f>
        <v xml:space="preserve"> </v>
      </c>
      <c r="J194" s="255" t="str">
        <f>IF(A194="N/A"," ",IF(AND('Pricing Inputs'!$AQ$3&gt;=1,'Pricing Inputs'!$AQ$3&lt;=6),I194,(VLOOKUP(A194,ScaledPrice,2))*(2-(VLOOKUP(A194,ScaledPrice,3)))))</f>
        <v xml:space="preserve"> </v>
      </c>
      <c r="K194" s="255" t="str">
        <f>IF(A194="N/A"," ",IF(OR('Pricing Inputs'!$AQ$3=2,'Pricing Inputs'!$AQ$3=3,'Pricing Inputs'!$AQ$3=5,'Pricing Inputs'!$AQ$3=6,'Pricing Inputs'!$AQ$3=8,'Pricing Inputs'!$AQ$3=9),VLOOKUP(A194,ScaledPrice,IF(AND('Pricing Inputs'!$AQ$3&gt;=2,'Pricing Inputs'!$AQ$3&lt;=6),5,6)),0))</f>
        <v xml:space="preserve"> </v>
      </c>
      <c r="L194" s="255" t="str">
        <f>IF(A194="N/A"," ",IF(OR('Pricing Inputs'!$AQ$3=2,'Pricing Inputs'!$AQ$3=3,'Pricing Inputs'!$AQ$3=5,'Pricing Inputs'!$AQ$3=6,'Pricing Inputs'!$AQ$3=8,'Pricing Inputs'!$AQ$3=9),IF(AND('Pricing Inputs'!$AQ$3&gt;=2,'Pricing Inputs'!$AQ$3&lt;=6),K194,(VLOOKUP(A194,ScaledPrice,5))*(2-(VLOOKUP(A194,ScaledPrice,3)))),0))</f>
        <v xml:space="preserve"> </v>
      </c>
      <c r="M194" s="255" t="str">
        <f>IF(A194="N/A"," ",IF(OR('Pricing Inputs'!$AQ$3=3,'Pricing Inputs'!$AQ$3=6,'Pricing Inputs'!$AQ$3=9),(VLOOKUP(A194,ScaledPrice,IF(AND('Pricing Inputs'!$AQ$3&gt;=3,'Pricing Inputs'!$AQ$3&lt;=6),7,8))),0))</f>
        <v xml:space="preserve"> </v>
      </c>
      <c r="N194" s="255" t="str">
        <f>IF(A194="N/A"," ",IF(OR('Pricing Inputs'!$AQ$3=3,'Pricing Inputs'!$AQ$3=6,'Pricing Inputs'!$AQ$3=9),IF(AND('Pricing Inputs'!$AQ$3&gt;=3,'Pricing Inputs'!$AQ$3&lt;=6),M194,(VLOOKUP(A194,ScaledPrice,7))*(2-(VLOOKUP(A194,ScaledPrice,3)))),0))</f>
        <v xml:space="preserve"> </v>
      </c>
      <c r="O194" s="255" t="str">
        <f>IF(A194="N/A"," ",IF(AND('Pricing Inputs'!$AQ$3&gt;=1,'Pricing Inputs'!$AQ$3&lt;=3),VLOOKUP(A194,ScaledPrice,9),0))</f>
        <v xml:space="preserve"> </v>
      </c>
      <c r="P194" s="320" t="str">
        <f>IF($A194="N/A"," ",IF('Pricing Inputs'!$AN$8=2,(I194-H194),IF('Pricing Inputs'!$AN$3=2,IF((I194-$H194)&gt;0,I194-$H194,0),(_xll.xSPRDOPT(I194,$E194,$BU194,0,$BP194,$BS194,$BT194,($A194-Inputs!$D$1)+15,1,0)))))</f>
        <v xml:space="preserve"> </v>
      </c>
      <c r="Q194" s="320" t="str">
        <f>IF($A194="N/A"," ",IF('Pricing Inputs'!$AN$8=2,(J194-$H194),IF('Pricing Inputs'!$AN$3=2,IF((J194-$H194)&gt;0,J194-$H194,0),(_xll.xSPRDOPT(J194,$E194,$BU194,0,$BP194,$BS194,$BT194,($A194-Inputs!$D$1)+15,1,0)))))</f>
        <v xml:space="preserve"> </v>
      </c>
      <c r="R194" s="320" t="str">
        <f>IF($A194="N/A"," ",IF('Pricing Inputs'!$AN$8=2,(K194-$H194),IF('Pricing Inputs'!$AN$3=2,IF((K194-$H194)&gt;0,K194-$H194,0),(_xll.xSPRDOPT(K194,$E194,$BU194,0,$BP194,$BS194,$BT194,($A194-Inputs!$D$1)+15,1,0)))))</f>
        <v xml:space="preserve"> </v>
      </c>
      <c r="S194" s="320" t="str">
        <f>IF($A194="N/A"," ",IF('Pricing Inputs'!$AN$8=2,(L194-$H194),IF('Pricing Inputs'!$AN$3=2,IF((L194-$H194)&gt;0,L194-$H194,0),(_xll.xSPRDOPT(L194,$E194,$BU194,0,$BP194,$BS194,$BT194,($A194-Inputs!$D$1)+15,1,0)))))</f>
        <v xml:space="preserve"> </v>
      </c>
      <c r="T194" s="320" t="str">
        <f>IF($A194="N/A"," ",IF('Pricing Inputs'!$AN$8=2,(M194-$H194),IF('Pricing Inputs'!$AN$3=2,IF((M194-$H194)&gt;0,M194-$H194,0),(_xll.xSPRDOPT(M194,$E194,$BU194,0,$BP194,$BS194,$BT194,($A194-Inputs!$D$1)+15,1,0)))))</f>
        <v xml:space="preserve"> </v>
      </c>
      <c r="U194" s="320" t="str">
        <f>IF($A194="N/A"," ",IF('Pricing Inputs'!$AN$8=2,(N194-$H194),IF('Pricing Inputs'!$AN$3=2,IF((N194-$H194)&gt;0,N194-$H194,0),(_xll.xSPRDOPT(N194,$E194,$BU194,0,$BP194,$BS194,$BT194,($A194-Inputs!$D$1)+15,1,0)))))</f>
        <v xml:space="preserve"> </v>
      </c>
      <c r="V194" s="259" t="str">
        <f>IF($A194="N/A"," ",(IF('Pricing Inputs'!$AN$8=2,(O194-$H194),IF((O194-$H194)&lt;=0,0,(O194-$H194)))))</f>
        <v xml:space="preserve"> </v>
      </c>
      <c r="W194" s="306" t="str">
        <f>IF($A194="N/A"," ",IF(0&lt;&gt;P194,IF('Pricing Inputs'!$AN$3=2,8*VLOOKUP($A194,NumberofDaysTable,2),(_xll.xSPRDOPT(I194,$E194,$BU194,0,$BP194,$BS194,$BT194,$A194-Inputs!$D$1,1,1))*(8*VLOOKUP($A194,NumberofDaysTable,2))),0))</f>
        <v xml:space="preserve"> </v>
      </c>
      <c r="X194" s="306" t="str">
        <f>IF($A194="N/A"," ",IF(Q194&lt;&gt;0,IF('Pricing Inputs'!$AN$3=2,8*VLOOKUP($A194,NumberofDaysTable,2),(_xll.xSPRDOPT(J194,$E194,$BU194,0,$BP194,$BS194,$BT194,$A194-Inputs!$D$1,1,1))*(8*VLOOKUP($A194,NumberofDaysTable,2))),0))</f>
        <v xml:space="preserve"> </v>
      </c>
      <c r="Y194" s="306" t="str">
        <f>IF($A194="N/A"," ",IF(R194&lt;&gt;0,IF('Pricing Inputs'!$AN$3=2,8*VLOOKUP($A194,NumberofDaysTable,3),(_xll.xSPRDOPT(K194,$E194,$BU194,0,$BP194,$BS194,$BT194,$A194-Inputs!$D$1,1,1))*(8*VLOOKUP($A194,NumberofDaysTable,3))),0))</f>
        <v xml:space="preserve"> </v>
      </c>
      <c r="Z194" s="306" t="str">
        <f>IF($A194="N/A"," ",IF(S194&lt;&gt;0,IF('Pricing Inputs'!$AN$3=2,8*VLOOKUP($A194,NumberofDaysTable,3),(_xll.xSPRDOPT(L194,$E194,$BU194,0,$BP194,$BS194,$BT194,$A194-Inputs!$D$1,1,1))*(8*VLOOKUP($A194,NumberofDaysTable,3))),0))</f>
        <v xml:space="preserve"> </v>
      </c>
      <c r="AA194" s="306" t="str">
        <f>IF($A194="N/A"," ",IF(T194&lt;&gt;0,IF('Pricing Inputs'!$AN$3=2,8*VLOOKUP($A194,NumberofDaysTable,4),(_xll.xSPRDOPT(M194,$E194,$BU194,0,$BP194,$BS194,$BT194,$A194-Inputs!$D$1,1,1))*(8*VLOOKUP($A194,NumberofDaysTable,4))),0))</f>
        <v xml:space="preserve"> </v>
      </c>
      <c r="AB194" s="306" t="str">
        <f>IF($A194="N/A"," ",IF(U194&lt;&gt;0,IF('Pricing Inputs'!$AN$3=2,8*VLOOKUP($A194,NumberofDaysTable,4),(_xll.xSPRDOPT(N194,$E194,$BU194,0,$BP194,$BS194,$BT194,$A194-Inputs!$D$1,1,1))*(8*VLOOKUP($A194,NumberofDaysTable,4))),0))</f>
        <v xml:space="preserve"> </v>
      </c>
      <c r="AC194" s="306" t="str">
        <f t="shared" si="233"/>
        <v xml:space="preserve"> </v>
      </c>
      <c r="AD194" s="274" t="str">
        <f t="shared" si="321"/>
        <v xml:space="preserve"> </v>
      </c>
      <c r="AE194" s="275" t="str">
        <f t="shared" si="322"/>
        <v xml:space="preserve"> </v>
      </c>
      <c r="AF194" s="275" t="str">
        <f t="shared" si="323"/>
        <v xml:space="preserve"> </v>
      </c>
      <c r="AG194" s="275" t="str">
        <f t="shared" si="324"/>
        <v xml:space="preserve"> </v>
      </c>
      <c r="AH194" s="275" t="str">
        <f t="shared" si="325"/>
        <v xml:space="preserve"> </v>
      </c>
      <c r="AI194" s="275" t="str">
        <f t="shared" si="326"/>
        <v xml:space="preserve"> </v>
      </c>
      <c r="AJ194" s="276" t="str">
        <f t="shared" si="327"/>
        <v xml:space="preserve"> </v>
      </c>
      <c r="AK194" s="314" t="str">
        <f t="shared" si="259"/>
        <v xml:space="preserve"> </v>
      </c>
      <c r="AL194" s="315" t="str">
        <f t="shared" si="260"/>
        <v xml:space="preserve"> </v>
      </c>
      <c r="AM194" s="315" t="str">
        <f t="shared" si="261"/>
        <v xml:space="preserve"> </v>
      </c>
      <c r="AN194" s="315" t="str">
        <f t="shared" si="262"/>
        <v xml:space="preserve"> </v>
      </c>
      <c r="AO194" s="315" t="str">
        <f t="shared" si="263"/>
        <v xml:space="preserve"> </v>
      </c>
      <c r="AP194" s="315" t="str">
        <f t="shared" si="264"/>
        <v xml:space="preserve"> </v>
      </c>
      <c r="AQ194" s="315" t="str">
        <f t="shared" si="265"/>
        <v xml:space="preserve"> </v>
      </c>
      <c r="AR194" s="276">
        <f>SUM(AK184:AQ195)</f>
        <v>0</v>
      </c>
      <c r="AS194" s="321" t="str">
        <f t="shared" si="314"/>
        <v xml:space="preserve"> </v>
      </c>
      <c r="AT194" s="324" t="str">
        <f t="shared" si="315"/>
        <v xml:space="preserve"> </v>
      </c>
      <c r="AU194" s="324" t="str">
        <f t="shared" si="316"/>
        <v xml:space="preserve"> </v>
      </c>
      <c r="AV194" s="324" t="str">
        <f t="shared" si="317"/>
        <v xml:space="preserve"> </v>
      </c>
      <c r="AW194" s="324" t="str">
        <f t="shared" si="318"/>
        <v xml:space="preserve"> </v>
      </c>
      <c r="AX194" s="324" t="str">
        <f t="shared" si="319"/>
        <v xml:space="preserve"> </v>
      </c>
      <c r="AY194" s="324" t="str">
        <f t="shared" si="320"/>
        <v xml:space="preserve"> </v>
      </c>
      <c r="AZ194" s="276">
        <f>SUM(AS184:AY195)</f>
        <v>0</v>
      </c>
      <c r="BA194" s="267" t="str">
        <f>IF($A194="N/A"," ",(IF(MONTH(A194)&gt;=4,IF(MONTH(A194)&lt;=10,Inputs!$F$13,Inputs!$F$14),Inputs!$F$14))*$BW194)</f>
        <v xml:space="preserve"> </v>
      </c>
      <c r="BB194" s="268" t="str">
        <f t="shared" si="266"/>
        <v xml:space="preserve"> </v>
      </c>
      <c r="BC194" s="268" t="str">
        <f t="shared" si="267"/>
        <v xml:space="preserve"> </v>
      </c>
      <c r="BD194" s="268" t="str">
        <f t="shared" si="234"/>
        <v xml:space="preserve"> </v>
      </c>
      <c r="BE194" s="268" t="str">
        <f t="shared" si="235"/>
        <v xml:space="preserve"> </v>
      </c>
      <c r="BF194" s="268" t="str">
        <f t="shared" si="236"/>
        <v xml:space="preserve"> </v>
      </c>
      <c r="BG194" s="268" t="str">
        <f t="shared" si="237"/>
        <v xml:space="preserve"> </v>
      </c>
      <c r="BH194" s="268" t="str">
        <f t="shared" si="258"/>
        <v xml:space="preserve"> </v>
      </c>
      <c r="BI194" s="268" t="str">
        <f t="shared" si="238"/>
        <v xml:space="preserve"> </v>
      </c>
      <c r="BJ194" s="296" t="str">
        <f t="shared" si="239"/>
        <v xml:space="preserve"> </v>
      </c>
      <c r="BK194" s="296" t="str">
        <f t="shared" si="240"/>
        <v xml:space="preserve"> </v>
      </c>
      <c r="BL194" s="296" t="str">
        <f t="shared" si="241"/>
        <v xml:space="preserve"> </v>
      </c>
      <c r="BM194" s="296" t="str">
        <f t="shared" si="242"/>
        <v xml:space="preserve"> </v>
      </c>
      <c r="BN194" s="405" t="str">
        <f>IF(A194="N/A"," ",(VLOOKUP(A194,PowerVolTable,(IF('Pricing Inputs'!$AT$3=2,7,IF('Pricing Inputs'!$AT$3=1,6,8))),FALSE)))</f>
        <v xml:space="preserve"> </v>
      </c>
      <c r="BO194" s="405" t="str">
        <f>IF(A194="N/A"," ",(VLOOKUP(A194,IntraPowerVol,(IF('Pricing Inputs'!$AT$3=2,3,IF('Pricing Inputs'!$AT$3=1,2,4))),FALSE)*VLOOKUP(MONTH($A194),Inputs!$A$28:$B$39,2)))</f>
        <v xml:space="preserve"> </v>
      </c>
      <c r="BP194" s="406" t="str">
        <f t="shared" si="227"/>
        <v xml:space="preserve"> </v>
      </c>
      <c r="BQ194" s="405" t="str">
        <f>IF($A194="N/A"," ",(VLOOKUP($A194,GasVolTable,(IF('Pricing Inputs'!$AT$3=2,6,IF('Pricing Inputs'!$AT$3=1,7,5))),FALSE)))</f>
        <v xml:space="preserve"> </v>
      </c>
      <c r="BR194" s="405" t="str">
        <f>IF($A194="N/A"," ",(VLOOKUP($A194,OmicronVol,(IF('Pricing Inputs'!$AT$3=2,3,IF('Pricing Inputs'!$AT$3=1,4,2))),FALSE)))</f>
        <v xml:space="preserve"> </v>
      </c>
      <c r="BS194" s="406" t="str">
        <f>IF($A194="N/A"," ",IF('Pricing Inputs'!$AN$3=1,(IF(DateToday&gt;$A194,$BR194,((($BQ194^2)*((($A194-1)-DateToday)/((EOMONTH($A194,0)+1)-DateToday-15)))+((($BR194)^2)*((15)/((EOMONTH($A194,0)+1)-DateToday-15))))^0.5)),0.0001))</f>
        <v xml:space="preserve"> </v>
      </c>
      <c r="BT194" s="405" t="str">
        <f>IF($A194="N/A"," ",IF('Pricing Inputs'!$AN$3=1,(VLOOKUP($A194,CorrelationTable,2,FALSE)),0))</f>
        <v xml:space="preserve"> </v>
      </c>
      <c r="BU194" s="407" t="str">
        <f>IF($A194="N/A"," ",F194+G194+(D194*(VLOOKUP($A194,'Gas Curves'!$B$17:$P$310,14,FALSE))))</f>
        <v xml:space="preserve"> </v>
      </c>
      <c r="BV194" s="405" t="str">
        <f>IF($A194="N/A"," ",IF('Pricing Inputs'!$AW$3=1,0,(VLOOKUP($A194,InterestRatesTable,2))))</f>
        <v xml:space="preserve"> </v>
      </c>
      <c r="BW194" s="408" t="str">
        <f t="shared" si="228"/>
        <v xml:space="preserve"> </v>
      </c>
    </row>
    <row r="195" spans="1:75">
      <c r="A195" s="248" t="str">
        <f>IF(A194="N/A","N/A",IF(EDATE(A194,1)&gt;Inputs!$K$3,"N/A",EDATE(A194,1)))</f>
        <v>N/A</v>
      </c>
      <c r="B195" s="262" t="str">
        <f t="shared" si="229"/>
        <v xml:space="preserve"> </v>
      </c>
      <c r="C195" s="249" t="str">
        <f t="shared" si="230"/>
        <v xml:space="preserve"> </v>
      </c>
      <c r="D195" s="250" t="str">
        <f>IF(A195="N/A"," ",(VLOOKUP(MONTH($A195),Inputs!$A$14:$B$25,2))/1000)</f>
        <v xml:space="preserve"> </v>
      </c>
      <c r="E195" s="304" t="str">
        <f t="shared" si="231"/>
        <v xml:space="preserve"> </v>
      </c>
      <c r="F195" s="251" t="str">
        <f>IF(A195="N/A"," ",Inputs!$F$6)</f>
        <v xml:space="preserve"> </v>
      </c>
      <c r="G195" s="251" t="str">
        <f>IF(A195="N/A"," ",Inputs!$F$9/IF(AND('Pricing Inputs'!$AQ$3&gt;=4,'Pricing Inputs'!$AQ$3&lt;=6),16,IF(AND('Pricing Inputs'!$AQ$3&gt;=7,'Pricing Inputs'!$AQ$3&lt;=9),8,24))/(BA195/BW195))</f>
        <v xml:space="preserve"> </v>
      </c>
      <c r="H195" s="252" t="str">
        <f t="shared" si="232"/>
        <v xml:space="preserve"> </v>
      </c>
      <c r="I195" s="255" t="str">
        <f>VLOOKUP(A195,ScaledPrice,(IF(AND('Pricing Inputs'!$AQ$3&gt;=1,'Pricing Inputs'!$AQ$3&lt;=6),2,4)))</f>
        <v xml:space="preserve"> </v>
      </c>
      <c r="J195" s="255" t="str">
        <f>IF(A195="N/A"," ",IF(AND('Pricing Inputs'!$AQ$3&gt;=1,'Pricing Inputs'!$AQ$3&lt;=6),I195,(VLOOKUP(A195,ScaledPrice,2))*(2-(VLOOKUP(A195,ScaledPrice,3)))))</f>
        <v xml:space="preserve"> </v>
      </c>
      <c r="K195" s="255" t="str">
        <f>IF(A195="N/A"," ",IF(OR('Pricing Inputs'!$AQ$3=2,'Pricing Inputs'!$AQ$3=3,'Pricing Inputs'!$AQ$3=5,'Pricing Inputs'!$AQ$3=6,'Pricing Inputs'!$AQ$3=8,'Pricing Inputs'!$AQ$3=9),VLOOKUP(A195,ScaledPrice,IF(AND('Pricing Inputs'!$AQ$3&gt;=2,'Pricing Inputs'!$AQ$3&lt;=6),5,6)),0))</f>
        <v xml:space="preserve"> </v>
      </c>
      <c r="L195" s="255" t="str">
        <f>IF(A195="N/A"," ",IF(OR('Pricing Inputs'!$AQ$3=2,'Pricing Inputs'!$AQ$3=3,'Pricing Inputs'!$AQ$3=5,'Pricing Inputs'!$AQ$3=6,'Pricing Inputs'!$AQ$3=8,'Pricing Inputs'!$AQ$3=9),IF(AND('Pricing Inputs'!$AQ$3&gt;=2,'Pricing Inputs'!$AQ$3&lt;=6),K195,(VLOOKUP(A195,ScaledPrice,5))*(2-(VLOOKUP(A195,ScaledPrice,3)))),0))</f>
        <v xml:space="preserve"> </v>
      </c>
      <c r="M195" s="255" t="str">
        <f>IF(A195="N/A"," ",IF(OR('Pricing Inputs'!$AQ$3=3,'Pricing Inputs'!$AQ$3=6,'Pricing Inputs'!$AQ$3=9),(VLOOKUP(A195,ScaledPrice,IF(AND('Pricing Inputs'!$AQ$3&gt;=3,'Pricing Inputs'!$AQ$3&lt;=6),7,8))),0))</f>
        <v xml:space="preserve"> </v>
      </c>
      <c r="N195" s="255" t="str">
        <f>IF(A195="N/A"," ",IF(OR('Pricing Inputs'!$AQ$3=3,'Pricing Inputs'!$AQ$3=6,'Pricing Inputs'!$AQ$3=9),IF(AND('Pricing Inputs'!$AQ$3&gt;=3,'Pricing Inputs'!$AQ$3&lt;=6),M195,(VLOOKUP(A195,ScaledPrice,7))*(2-(VLOOKUP(A195,ScaledPrice,3)))),0))</f>
        <v xml:space="preserve"> </v>
      </c>
      <c r="O195" s="255" t="str">
        <f>IF(A195="N/A"," ",IF(AND('Pricing Inputs'!$AQ$3&gt;=1,'Pricing Inputs'!$AQ$3&lt;=3),VLOOKUP(A195,ScaledPrice,9),0))</f>
        <v xml:space="preserve"> </v>
      </c>
      <c r="P195" s="320" t="str">
        <f>IF($A195="N/A"," ",IF('Pricing Inputs'!$AN$8=2,(I195-H195),IF('Pricing Inputs'!$AN$3=2,IF((I195-$H195)&gt;0,I195-$H195,0),(_xll.xSPRDOPT(I195,$E195,$BU195,0,$BP195,$BS195,$BT195,($A195-Inputs!$D$1)+15,1,0)))))</f>
        <v xml:space="preserve"> </v>
      </c>
      <c r="Q195" s="320" t="str">
        <f>IF($A195="N/A"," ",IF('Pricing Inputs'!$AN$8=2,(J195-$H195),IF('Pricing Inputs'!$AN$3=2,IF((J195-$H195)&gt;0,J195-$H195,0),(_xll.xSPRDOPT(J195,$E195,$BU195,0,$BP195,$BS195,$BT195,($A195-Inputs!$D$1)+15,1,0)))))</f>
        <v xml:space="preserve"> </v>
      </c>
      <c r="R195" s="320" t="str">
        <f>IF($A195="N/A"," ",IF('Pricing Inputs'!$AN$8=2,(K195-$H195),IF('Pricing Inputs'!$AN$3=2,IF((K195-$H195)&gt;0,K195-$H195,0),(_xll.xSPRDOPT(K195,$E195,$BU195,0,$BP195,$BS195,$BT195,($A195-Inputs!$D$1)+15,1,0)))))</f>
        <v xml:space="preserve"> </v>
      </c>
      <c r="S195" s="320" t="str">
        <f>IF($A195="N/A"," ",IF('Pricing Inputs'!$AN$8=2,(L195-$H195),IF('Pricing Inputs'!$AN$3=2,IF((L195-$H195)&gt;0,L195-$H195,0),(_xll.xSPRDOPT(L195,$E195,$BU195,0,$BP195,$BS195,$BT195,($A195-Inputs!$D$1)+15,1,0)))))</f>
        <v xml:space="preserve"> </v>
      </c>
      <c r="T195" s="320" t="str">
        <f>IF($A195="N/A"," ",IF('Pricing Inputs'!$AN$8=2,(M195-$H195),IF('Pricing Inputs'!$AN$3=2,IF((M195-$H195)&gt;0,M195-$H195,0),(_xll.xSPRDOPT(M195,$E195,$BU195,0,$BP195,$BS195,$BT195,($A195-Inputs!$D$1)+15,1,0)))))</f>
        <v xml:space="preserve"> </v>
      </c>
      <c r="U195" s="320" t="str">
        <f>IF($A195="N/A"," ",IF('Pricing Inputs'!$AN$8=2,(N195-$H195),IF('Pricing Inputs'!$AN$3=2,IF((N195-$H195)&gt;0,N195-$H195,0),(_xll.xSPRDOPT(N195,$E195,$BU195,0,$BP195,$BS195,$BT195,($A195-Inputs!$D$1)+15,1,0)))))</f>
        <v xml:space="preserve"> </v>
      </c>
      <c r="V195" s="259" t="str">
        <f>IF($A195="N/A"," ",(IF('Pricing Inputs'!$AN$8=2,(O195-$H195),IF((O195-$H195)&lt;=0,0,(O195-$H195)))))</f>
        <v xml:space="preserve"> </v>
      </c>
      <c r="W195" s="306" t="str">
        <f>IF($A195="N/A"," ",IF(0&lt;&gt;P195,IF('Pricing Inputs'!$AN$3=2,8*VLOOKUP($A195,NumberofDaysTable,2),(_xll.xSPRDOPT(I195,$E195,$BU195,0,$BP195,$BS195,$BT195,$A195-Inputs!$D$1,1,1))*(8*VLOOKUP($A195,NumberofDaysTable,2))),0))</f>
        <v xml:space="preserve"> </v>
      </c>
      <c r="X195" s="306" t="str">
        <f>IF($A195="N/A"," ",IF(Q195&lt;&gt;0,IF('Pricing Inputs'!$AN$3=2,8*VLOOKUP($A195,NumberofDaysTable,2),(_xll.xSPRDOPT(J195,$E195,$BU195,0,$BP195,$BS195,$BT195,$A195-Inputs!$D$1,1,1))*(8*VLOOKUP($A195,NumberofDaysTable,2))),0))</f>
        <v xml:space="preserve"> </v>
      </c>
      <c r="Y195" s="306" t="str">
        <f>IF($A195="N/A"," ",IF(R195&lt;&gt;0,IF('Pricing Inputs'!$AN$3=2,8*VLOOKUP($A195,NumberofDaysTable,3),(_xll.xSPRDOPT(K195,$E195,$BU195,0,$BP195,$BS195,$BT195,$A195-Inputs!$D$1,1,1))*(8*VLOOKUP($A195,NumberofDaysTable,3))),0))</f>
        <v xml:space="preserve"> </v>
      </c>
      <c r="Z195" s="306" t="str">
        <f>IF($A195="N/A"," ",IF(S195&lt;&gt;0,IF('Pricing Inputs'!$AN$3=2,8*VLOOKUP($A195,NumberofDaysTable,3),(_xll.xSPRDOPT(L195,$E195,$BU195,0,$BP195,$BS195,$BT195,$A195-Inputs!$D$1,1,1))*(8*VLOOKUP($A195,NumberofDaysTable,3))),0))</f>
        <v xml:space="preserve"> </v>
      </c>
      <c r="AA195" s="306" t="str">
        <f>IF($A195="N/A"," ",IF(T195&lt;&gt;0,IF('Pricing Inputs'!$AN$3=2,8*VLOOKUP($A195,NumberofDaysTable,4),(_xll.xSPRDOPT(M195,$E195,$BU195,0,$BP195,$BS195,$BT195,$A195-Inputs!$D$1,1,1))*(8*VLOOKUP($A195,NumberofDaysTable,4))),0))</f>
        <v xml:space="preserve"> </v>
      </c>
      <c r="AB195" s="306" t="str">
        <f>IF($A195="N/A"," ",IF(U195&lt;&gt;0,IF('Pricing Inputs'!$AN$3=2,8*VLOOKUP($A195,NumberofDaysTable,4),(_xll.xSPRDOPT(N195,$E195,$BU195,0,$BP195,$BS195,$BT195,$A195-Inputs!$D$1,1,1))*(8*VLOOKUP($A195,NumberofDaysTable,4))),0))</f>
        <v xml:space="preserve"> </v>
      </c>
      <c r="AC195" s="306" t="str">
        <f t="shared" si="233"/>
        <v xml:space="preserve"> </v>
      </c>
      <c r="AD195" s="277" t="str">
        <f t="shared" si="321"/>
        <v xml:space="preserve"> </v>
      </c>
      <c r="AE195" s="278" t="str">
        <f t="shared" si="322"/>
        <v xml:space="preserve"> </v>
      </c>
      <c r="AF195" s="278" t="str">
        <f t="shared" si="323"/>
        <v xml:space="preserve"> </v>
      </c>
      <c r="AG195" s="278" t="str">
        <f t="shared" si="324"/>
        <v xml:space="preserve"> </v>
      </c>
      <c r="AH195" s="278" t="str">
        <f t="shared" si="325"/>
        <v xml:space="preserve"> </v>
      </c>
      <c r="AI195" s="278" t="str">
        <f t="shared" si="326"/>
        <v xml:space="preserve"> </v>
      </c>
      <c r="AJ195" s="279" t="str">
        <f t="shared" si="327"/>
        <v xml:space="preserve"> </v>
      </c>
      <c r="AK195" s="316" t="str">
        <f t="shared" si="259"/>
        <v xml:space="preserve"> </v>
      </c>
      <c r="AL195" s="317" t="str">
        <f t="shared" si="260"/>
        <v xml:space="preserve"> </v>
      </c>
      <c r="AM195" s="317" t="str">
        <f t="shared" si="261"/>
        <v xml:space="preserve"> </v>
      </c>
      <c r="AN195" s="317" t="str">
        <f t="shared" si="262"/>
        <v xml:space="preserve"> </v>
      </c>
      <c r="AO195" s="317" t="str">
        <f t="shared" si="263"/>
        <v xml:space="preserve"> </v>
      </c>
      <c r="AP195" s="317" t="str">
        <f t="shared" si="264"/>
        <v xml:space="preserve"> </v>
      </c>
      <c r="AQ195" s="317" t="str">
        <f t="shared" si="265"/>
        <v xml:space="preserve"> </v>
      </c>
      <c r="AR195" s="279">
        <f>IF(($AP$2-AR194)&gt;=0,$AP$2-AR194,0)</f>
        <v>1400</v>
      </c>
      <c r="AS195" s="325" t="str">
        <f t="shared" si="314"/>
        <v xml:space="preserve"> </v>
      </c>
      <c r="AT195" s="326" t="str">
        <f t="shared" si="315"/>
        <v xml:space="preserve"> </v>
      </c>
      <c r="AU195" s="326" t="str">
        <f t="shared" si="316"/>
        <v xml:space="preserve"> </v>
      </c>
      <c r="AV195" s="326" t="str">
        <f t="shared" si="317"/>
        <v xml:space="preserve"> </v>
      </c>
      <c r="AW195" s="326" t="str">
        <f t="shared" si="318"/>
        <v xml:space="preserve"> </v>
      </c>
      <c r="AX195" s="326" t="str">
        <f t="shared" si="319"/>
        <v xml:space="preserve"> </v>
      </c>
      <c r="AY195" s="326" t="str">
        <f t="shared" si="320"/>
        <v xml:space="preserve"> </v>
      </c>
      <c r="AZ195" s="285">
        <f>AR194+AZ194</f>
        <v>0</v>
      </c>
      <c r="BA195" s="267" t="str">
        <f>IF($A195="N/A"," ",(IF(MONTH(A195)&gt;=4,IF(MONTH(A195)&lt;=10,Inputs!$F$13,Inputs!$F$14),Inputs!$F$14))*$BW195)</f>
        <v xml:space="preserve"> </v>
      </c>
      <c r="BB195" s="268" t="str">
        <f t="shared" si="266"/>
        <v xml:space="preserve"> </v>
      </c>
      <c r="BC195" s="268" t="str">
        <f t="shared" si="267"/>
        <v xml:space="preserve"> </v>
      </c>
      <c r="BD195" s="268" t="str">
        <f t="shared" si="234"/>
        <v xml:space="preserve"> </v>
      </c>
      <c r="BE195" s="268" t="str">
        <f t="shared" si="235"/>
        <v xml:space="preserve"> </v>
      </c>
      <c r="BF195" s="268" t="str">
        <f t="shared" si="236"/>
        <v xml:space="preserve"> </v>
      </c>
      <c r="BG195" s="268" t="str">
        <f t="shared" si="237"/>
        <v xml:space="preserve"> </v>
      </c>
      <c r="BH195" s="268" t="str">
        <f t="shared" si="258"/>
        <v xml:space="preserve"> </v>
      </c>
      <c r="BI195" s="268" t="str">
        <f t="shared" si="238"/>
        <v xml:space="preserve"> </v>
      </c>
      <c r="BJ195" s="296" t="str">
        <f t="shared" si="239"/>
        <v xml:space="preserve"> </v>
      </c>
      <c r="BK195" s="296" t="str">
        <f t="shared" si="240"/>
        <v xml:space="preserve"> </v>
      </c>
      <c r="BL195" s="296" t="str">
        <f t="shared" si="241"/>
        <v xml:space="preserve"> </v>
      </c>
      <c r="BM195" s="296" t="str">
        <f t="shared" si="242"/>
        <v xml:space="preserve"> </v>
      </c>
      <c r="BN195" s="405" t="str">
        <f>IF(A195="N/A"," ",(VLOOKUP(A195,PowerVolTable,(IF('Pricing Inputs'!$AT$3=2,7,IF('Pricing Inputs'!$AT$3=1,6,8))),FALSE)))</f>
        <v xml:space="preserve"> </v>
      </c>
      <c r="BO195" s="405" t="str">
        <f>IF(A195="N/A"," ",(VLOOKUP(A195,IntraPowerVol,(IF('Pricing Inputs'!$AT$3=2,3,IF('Pricing Inputs'!$AT$3=1,2,4))),FALSE)*VLOOKUP(MONTH($A195),Inputs!$A$28:$B$39,2)))</f>
        <v xml:space="preserve"> </v>
      </c>
      <c r="BP195" s="406" t="str">
        <f t="shared" si="227"/>
        <v xml:space="preserve"> </v>
      </c>
      <c r="BQ195" s="405" t="str">
        <f>IF($A195="N/A"," ",(VLOOKUP($A195,GasVolTable,(IF('Pricing Inputs'!$AT$3=2,6,IF('Pricing Inputs'!$AT$3=1,7,5))),FALSE)))</f>
        <v xml:space="preserve"> </v>
      </c>
      <c r="BR195" s="405" t="str">
        <f>IF($A195="N/A"," ",(VLOOKUP($A195,OmicronVol,(IF('Pricing Inputs'!$AT$3=2,3,IF('Pricing Inputs'!$AT$3=1,4,2))),FALSE)))</f>
        <v xml:space="preserve"> </v>
      </c>
      <c r="BS195" s="406" t="str">
        <f>IF($A195="N/A"," ",IF('Pricing Inputs'!$AN$3=1,(IF(DateToday&gt;$A195,$BR195,((($BQ195^2)*((($A195-1)-DateToday)/((EOMONTH($A195,0)+1)-DateToday-15)))+((($BR195)^2)*((15)/((EOMONTH($A195,0)+1)-DateToday-15))))^0.5)),0.0001))</f>
        <v xml:space="preserve"> </v>
      </c>
      <c r="BT195" s="405" t="str">
        <f>IF($A195="N/A"," ",IF('Pricing Inputs'!$AN$3=1,(VLOOKUP($A195,CorrelationTable,2,FALSE)),0))</f>
        <v xml:space="preserve"> </v>
      </c>
      <c r="BU195" s="407" t="str">
        <f>IF($A195="N/A"," ",F195+G195+(D195*(VLOOKUP($A195,'Gas Curves'!$B$17:$P$310,14,FALSE))))</f>
        <v xml:space="preserve"> </v>
      </c>
      <c r="BV195" s="405" t="str">
        <f>IF($A195="N/A"," ",IF('Pricing Inputs'!$AW$3=1,0,(VLOOKUP($A195,InterestRatesTable,2))))</f>
        <v xml:space="preserve"> </v>
      </c>
      <c r="BW195" s="408" t="str">
        <f t="shared" si="228"/>
        <v xml:space="preserve"> </v>
      </c>
    </row>
    <row r="196" spans="1:75">
      <c r="A196" s="248" t="str">
        <f>IF(A195="N/A","N/A",IF(EDATE(A195,1)&gt;Inputs!$K$3,"N/A",EDATE(A195,1)))</f>
        <v>N/A</v>
      </c>
      <c r="B196" s="262" t="str">
        <f t="shared" si="229"/>
        <v xml:space="preserve"> </v>
      </c>
      <c r="C196" s="249" t="str">
        <f t="shared" si="230"/>
        <v xml:space="preserve"> </v>
      </c>
      <c r="D196" s="250" t="str">
        <f>IF(A196="N/A"," ",(VLOOKUP(MONTH($A196),Inputs!$A$14:$B$25,2))/1000)</f>
        <v xml:space="preserve"> </v>
      </c>
      <c r="E196" s="304" t="str">
        <f t="shared" si="231"/>
        <v xml:space="preserve"> </v>
      </c>
      <c r="F196" s="251" t="str">
        <f>IF(A196="N/A"," ",Inputs!$F$6)</f>
        <v xml:space="preserve"> </v>
      </c>
      <c r="G196" s="251" t="str">
        <f>IF(A196="N/A"," ",Inputs!$F$9/IF(AND('Pricing Inputs'!$AQ$3&gt;=4,'Pricing Inputs'!$AQ$3&lt;=6),16,IF(AND('Pricing Inputs'!$AQ$3&gt;=7,'Pricing Inputs'!$AQ$3&lt;=9),8,24))/(BA196/BW196))</f>
        <v xml:space="preserve"> </v>
      </c>
      <c r="H196" s="252" t="str">
        <f t="shared" si="232"/>
        <v xml:space="preserve"> </v>
      </c>
      <c r="I196" s="255" t="str">
        <f>VLOOKUP(A196,ScaledPrice,(IF(AND('Pricing Inputs'!$AQ$3&gt;=1,'Pricing Inputs'!$AQ$3&lt;=6),2,4)))</f>
        <v xml:space="preserve"> </v>
      </c>
      <c r="J196" s="255" t="str">
        <f>IF(A196="N/A"," ",IF(AND('Pricing Inputs'!$AQ$3&gt;=1,'Pricing Inputs'!$AQ$3&lt;=6),I196,(VLOOKUP(A196,ScaledPrice,2))*(2-(VLOOKUP(A196,ScaledPrice,3)))))</f>
        <v xml:space="preserve"> </v>
      </c>
      <c r="K196" s="255" t="str">
        <f>IF(A196="N/A"," ",IF(OR('Pricing Inputs'!$AQ$3=2,'Pricing Inputs'!$AQ$3=3,'Pricing Inputs'!$AQ$3=5,'Pricing Inputs'!$AQ$3=6,'Pricing Inputs'!$AQ$3=8,'Pricing Inputs'!$AQ$3=9),VLOOKUP(A196,ScaledPrice,IF(AND('Pricing Inputs'!$AQ$3&gt;=2,'Pricing Inputs'!$AQ$3&lt;=6),5,6)),0))</f>
        <v xml:space="preserve"> </v>
      </c>
      <c r="L196" s="255" t="str">
        <f>IF(A196="N/A"," ",IF(OR('Pricing Inputs'!$AQ$3=2,'Pricing Inputs'!$AQ$3=3,'Pricing Inputs'!$AQ$3=5,'Pricing Inputs'!$AQ$3=6,'Pricing Inputs'!$AQ$3=8,'Pricing Inputs'!$AQ$3=9),IF(AND('Pricing Inputs'!$AQ$3&gt;=2,'Pricing Inputs'!$AQ$3&lt;=6),K196,(VLOOKUP(A196,ScaledPrice,5))*(2-(VLOOKUP(A196,ScaledPrice,3)))),0))</f>
        <v xml:space="preserve"> </v>
      </c>
      <c r="M196" s="255" t="str">
        <f>IF(A196="N/A"," ",IF(OR('Pricing Inputs'!$AQ$3=3,'Pricing Inputs'!$AQ$3=6,'Pricing Inputs'!$AQ$3=9),(VLOOKUP(A196,ScaledPrice,IF(AND('Pricing Inputs'!$AQ$3&gt;=3,'Pricing Inputs'!$AQ$3&lt;=6),7,8))),0))</f>
        <v xml:space="preserve"> </v>
      </c>
      <c r="N196" s="255" t="str">
        <f>IF(A196="N/A"," ",IF(OR('Pricing Inputs'!$AQ$3=3,'Pricing Inputs'!$AQ$3=6,'Pricing Inputs'!$AQ$3=9),IF(AND('Pricing Inputs'!$AQ$3&gt;=3,'Pricing Inputs'!$AQ$3&lt;=6),M196,(VLOOKUP(A196,ScaledPrice,7))*(2-(VLOOKUP(A196,ScaledPrice,3)))),0))</f>
        <v xml:space="preserve"> </v>
      </c>
      <c r="O196" s="255" t="str">
        <f>IF(A196="N/A"," ",IF(AND('Pricing Inputs'!$AQ$3&gt;=1,'Pricing Inputs'!$AQ$3&lt;=3),VLOOKUP(A196,ScaledPrice,9),0))</f>
        <v xml:space="preserve"> </v>
      </c>
      <c r="P196" s="320" t="str">
        <f>IF($A196="N/A"," ",IF('Pricing Inputs'!$AN$8=2,(I196-H196),IF('Pricing Inputs'!$AN$3=2,IF((I196-$H196)&gt;0,I196-$H196,0),(_xll.xSPRDOPT(I196,$E196,$BU196,0,$BP196,$BS196,$BT196,($A196-Inputs!$D$1)+15,1,0)))))</f>
        <v xml:space="preserve"> </v>
      </c>
      <c r="Q196" s="320" t="str">
        <f>IF($A196="N/A"," ",IF('Pricing Inputs'!$AN$8=2,(J196-$H196),IF('Pricing Inputs'!$AN$3=2,IF((J196-$H196)&gt;0,J196-$H196,0),(_xll.xSPRDOPT(J196,$E196,$BU196,0,$BP196,$BS196,$BT196,($A196-Inputs!$D$1)+15,1,0)))))</f>
        <v xml:space="preserve"> </v>
      </c>
      <c r="R196" s="320" t="str">
        <f>IF($A196="N/A"," ",IF('Pricing Inputs'!$AN$8=2,(K196-$H196),IF('Pricing Inputs'!$AN$3=2,IF((K196-$H196)&gt;0,K196-$H196,0),(_xll.xSPRDOPT(K196,$E196,$BU196,0,$BP196,$BS196,$BT196,($A196-Inputs!$D$1)+15,1,0)))))</f>
        <v xml:space="preserve"> </v>
      </c>
      <c r="S196" s="320" t="str">
        <f>IF($A196="N/A"," ",IF('Pricing Inputs'!$AN$8=2,(L196-$H196),IF('Pricing Inputs'!$AN$3=2,IF((L196-$H196)&gt;0,L196-$H196,0),(_xll.xSPRDOPT(L196,$E196,$BU196,0,$BP196,$BS196,$BT196,($A196-Inputs!$D$1)+15,1,0)))))</f>
        <v xml:space="preserve"> </v>
      </c>
      <c r="T196" s="320" t="str">
        <f>IF($A196="N/A"," ",IF('Pricing Inputs'!$AN$8=2,(M196-$H196),IF('Pricing Inputs'!$AN$3=2,IF((M196-$H196)&gt;0,M196-$H196,0),(_xll.xSPRDOPT(M196,$E196,$BU196,0,$BP196,$BS196,$BT196,($A196-Inputs!$D$1)+15,1,0)))))</f>
        <v xml:space="preserve"> </v>
      </c>
      <c r="U196" s="320" t="str">
        <f>IF($A196="N/A"," ",IF('Pricing Inputs'!$AN$8=2,(N196-$H196),IF('Pricing Inputs'!$AN$3=2,IF((N196-$H196)&gt;0,N196-$H196,0),(_xll.xSPRDOPT(N196,$E196,$BU196,0,$BP196,$BS196,$BT196,($A196-Inputs!$D$1)+15,1,0)))))</f>
        <v xml:space="preserve"> </v>
      </c>
      <c r="V196" s="259" t="str">
        <f>IF($A196="N/A"," ",(IF('Pricing Inputs'!$AN$8=2,(O196-$H196),IF((O196-$H196)&lt;=0,0,(O196-$H196)))))</f>
        <v xml:space="preserve"> </v>
      </c>
      <c r="W196" s="306" t="str">
        <f>IF($A196="N/A"," ",IF(0&lt;&gt;P196,IF('Pricing Inputs'!$AN$3=2,8*VLOOKUP($A196,NumberofDaysTable,2),(_xll.xSPRDOPT(I196,$E196,$BU196,0,$BP196,$BS196,$BT196,$A196-Inputs!$D$1,1,1))*(8*VLOOKUP($A196,NumberofDaysTable,2))),0))</f>
        <v xml:space="preserve"> </v>
      </c>
      <c r="X196" s="306" t="str">
        <f>IF($A196="N/A"," ",IF(Q196&lt;&gt;0,IF('Pricing Inputs'!$AN$3=2,8*VLOOKUP($A196,NumberofDaysTable,2),(_xll.xSPRDOPT(J196,$E196,$BU196,0,$BP196,$BS196,$BT196,$A196-Inputs!$D$1,1,1))*(8*VLOOKUP($A196,NumberofDaysTable,2))),0))</f>
        <v xml:space="preserve"> </v>
      </c>
      <c r="Y196" s="306" t="str">
        <f>IF($A196="N/A"," ",IF(R196&lt;&gt;0,IF('Pricing Inputs'!$AN$3=2,8*VLOOKUP($A196,NumberofDaysTable,3),(_xll.xSPRDOPT(K196,$E196,$BU196,0,$BP196,$BS196,$BT196,$A196-Inputs!$D$1,1,1))*(8*VLOOKUP($A196,NumberofDaysTable,3))),0))</f>
        <v xml:space="preserve"> </v>
      </c>
      <c r="Z196" s="306" t="str">
        <f>IF($A196="N/A"," ",IF(S196&lt;&gt;0,IF('Pricing Inputs'!$AN$3=2,8*VLOOKUP($A196,NumberofDaysTable,3),(_xll.xSPRDOPT(L196,$E196,$BU196,0,$BP196,$BS196,$BT196,$A196-Inputs!$D$1,1,1))*(8*VLOOKUP($A196,NumberofDaysTable,3))),0))</f>
        <v xml:space="preserve"> </v>
      </c>
      <c r="AA196" s="306" t="str">
        <f>IF($A196="N/A"," ",IF(T196&lt;&gt;0,IF('Pricing Inputs'!$AN$3=2,8*VLOOKUP($A196,NumberofDaysTable,4),(_xll.xSPRDOPT(M196,$E196,$BU196,0,$BP196,$BS196,$BT196,$A196-Inputs!$D$1,1,1))*(8*VLOOKUP($A196,NumberofDaysTable,4))),0))</f>
        <v xml:space="preserve"> </v>
      </c>
      <c r="AB196" s="306" t="str">
        <f>IF($A196="N/A"," ",IF(U196&lt;&gt;0,IF('Pricing Inputs'!$AN$3=2,8*VLOOKUP($A196,NumberofDaysTable,4),(_xll.xSPRDOPT(N196,$E196,$BU196,0,$BP196,$BS196,$BT196,$A196-Inputs!$D$1,1,1))*(8*VLOOKUP($A196,NumberofDaysTable,4))),0))</f>
        <v xml:space="preserve"> </v>
      </c>
      <c r="AC196" s="306" t="str">
        <f t="shared" si="233"/>
        <v xml:space="preserve"> </v>
      </c>
      <c r="AD196" s="271" t="str">
        <f t="shared" ref="AD196:AJ196" si="328">IF($A196="N/A"," ",RANK(P196,$P$196:$V$207))</f>
        <v xml:space="preserve"> </v>
      </c>
      <c r="AE196" s="272" t="str">
        <f t="shared" si="328"/>
        <v xml:space="preserve"> </v>
      </c>
      <c r="AF196" s="272" t="str">
        <f t="shared" si="328"/>
        <v xml:space="preserve"> </v>
      </c>
      <c r="AG196" s="272" t="str">
        <f t="shared" si="328"/>
        <v xml:space="preserve"> </v>
      </c>
      <c r="AH196" s="272" t="str">
        <f t="shared" si="328"/>
        <v xml:space="preserve"> </v>
      </c>
      <c r="AI196" s="272" t="str">
        <f t="shared" si="328"/>
        <v xml:space="preserve"> </v>
      </c>
      <c r="AJ196" s="273" t="str">
        <f t="shared" si="328"/>
        <v xml:space="preserve"> </v>
      </c>
      <c r="AK196" s="312" t="str">
        <f t="shared" si="259"/>
        <v xml:space="preserve"> </v>
      </c>
      <c r="AL196" s="313" t="str">
        <f t="shared" si="260"/>
        <v xml:space="preserve"> </v>
      </c>
      <c r="AM196" s="313" t="str">
        <f t="shared" si="261"/>
        <v xml:space="preserve"> </v>
      </c>
      <c r="AN196" s="313" t="str">
        <f t="shared" si="262"/>
        <v xml:space="preserve"> </v>
      </c>
      <c r="AO196" s="313" t="str">
        <f t="shared" si="263"/>
        <v xml:space="preserve"> </v>
      </c>
      <c r="AP196" s="313" t="str">
        <f t="shared" si="264"/>
        <v xml:space="preserve"> </v>
      </c>
      <c r="AQ196" s="313" t="str">
        <f t="shared" si="265"/>
        <v xml:space="preserve"> </v>
      </c>
      <c r="AR196" s="273"/>
      <c r="AS196" s="327" t="str">
        <f t="shared" ref="AS196:AS207" si="329">IF($A196="N/A"," ",IF(AND(AD196=$AJ$2+1,AK196=0),MIN($AR$207,W196),0))</f>
        <v xml:space="preserve"> </v>
      </c>
      <c r="AT196" s="322" t="str">
        <f t="shared" ref="AT196:AT207" si="330">IF($A196="N/A"," ",IF(AND(AE196=$AJ$2+1,AL196=0),MIN($AR$207,X196),0))</f>
        <v xml:space="preserve"> </v>
      </c>
      <c r="AU196" s="322" t="str">
        <f t="shared" ref="AU196:AU207" si="331">IF($A196="N/A"," ",IF(AND(AF196=$AJ$2+1,AM196=0),MIN($AR$207,Y196),0))</f>
        <v xml:space="preserve"> </v>
      </c>
      <c r="AV196" s="322" t="str">
        <f t="shared" ref="AV196:AV207" si="332">IF($A196="N/A"," ",IF(AND(AG196=$AJ$2+1,AN196=0),MIN($AR$207,Z196),0))</f>
        <v xml:space="preserve"> </v>
      </c>
      <c r="AW196" s="322" t="str">
        <f t="shared" ref="AW196:AW207" si="333">IF($A196="N/A"," ",IF(AND(AH196=$AJ$2+1,AO196=0),MIN($AR$207,AA196),0))</f>
        <v xml:space="preserve"> </v>
      </c>
      <c r="AX196" s="322" t="str">
        <f t="shared" ref="AX196:AX207" si="334">IF($A196="N/A"," ",IF(AND(AI196=$AJ$2+1,AP196=0),MIN($AR$207,AB196),0))</f>
        <v xml:space="preserve"> </v>
      </c>
      <c r="AY196" s="322" t="str">
        <f t="shared" ref="AY196:AY207" si="335">IF($A196="N/A"," ",IF(AND(AJ196=$AJ$2+1,AQ196=0),MIN($AR$207,AC196),0))</f>
        <v xml:space="preserve"> </v>
      </c>
      <c r="AZ196" s="273"/>
      <c r="BA196" s="267" t="str">
        <f>IF($A196="N/A"," ",(IF(MONTH(A196)&gt;=4,IF(MONTH(A196)&lt;=10,Inputs!$F$13,Inputs!$F$14),Inputs!$F$14))*$BW196)</f>
        <v xml:space="preserve"> </v>
      </c>
      <c r="BB196" s="268" t="str">
        <f t="shared" si="266"/>
        <v xml:space="preserve"> </v>
      </c>
      <c r="BC196" s="268" t="str">
        <f t="shared" si="267"/>
        <v xml:space="preserve"> </v>
      </c>
      <c r="BD196" s="268" t="str">
        <f t="shared" si="234"/>
        <v xml:space="preserve"> </v>
      </c>
      <c r="BE196" s="268" t="str">
        <f t="shared" si="235"/>
        <v xml:space="preserve"> </v>
      </c>
      <c r="BF196" s="268" t="str">
        <f t="shared" si="236"/>
        <v xml:space="preserve"> </v>
      </c>
      <c r="BG196" s="268" t="str">
        <f t="shared" si="237"/>
        <v xml:space="preserve"> </v>
      </c>
      <c r="BH196" s="268" t="str">
        <f t="shared" si="258"/>
        <v xml:space="preserve"> </v>
      </c>
      <c r="BI196" s="268" t="str">
        <f t="shared" si="238"/>
        <v xml:space="preserve"> </v>
      </c>
      <c r="BJ196" s="296" t="str">
        <f t="shared" si="239"/>
        <v xml:space="preserve"> </v>
      </c>
      <c r="BK196" s="296" t="str">
        <f t="shared" si="240"/>
        <v xml:space="preserve"> </v>
      </c>
      <c r="BL196" s="296" t="str">
        <f t="shared" si="241"/>
        <v xml:space="preserve"> </v>
      </c>
      <c r="BM196" s="296" t="str">
        <f t="shared" si="242"/>
        <v xml:space="preserve"> </v>
      </c>
      <c r="BN196" s="405" t="str">
        <f>IF(A196="N/A"," ",(VLOOKUP(A196,PowerVolTable,(IF('Pricing Inputs'!$AT$3=2,7,IF('Pricing Inputs'!$AT$3=1,6,8))),FALSE)))</f>
        <v xml:space="preserve"> </v>
      </c>
      <c r="BO196" s="405" t="str">
        <f>IF(A196="N/A"," ",(VLOOKUP(A196,IntraPowerVol,(IF('Pricing Inputs'!$AT$3=2,3,IF('Pricing Inputs'!$AT$3=1,2,4))),FALSE)*VLOOKUP(MONTH($A196),Inputs!$A$28:$B$39,2)))</f>
        <v xml:space="preserve"> </v>
      </c>
      <c r="BP196" s="406" t="str">
        <f t="shared" ref="BP196:BP259" si="336">IF($A196="N/A"," ",(IF(DateToday&gt;$A196,$BO196,((($BN196^2)*((($A196-1)-DateToday)/((EOMONTH($A196,0)+1)-DateToday-15)))+((($BO196)^2)*((15)/((EOMONTH($A196,0)+1)-DateToday-15))))^0.5)))</f>
        <v xml:space="preserve"> </v>
      </c>
      <c r="BQ196" s="405" t="str">
        <f>IF($A196="N/A"," ",(VLOOKUP($A196,GasVolTable,(IF('Pricing Inputs'!$AT$3=2,6,IF('Pricing Inputs'!$AT$3=1,7,5))),FALSE)))</f>
        <v xml:space="preserve"> </v>
      </c>
      <c r="BR196" s="405" t="str">
        <f>IF($A196="N/A"," ",(VLOOKUP($A196,OmicronVol,(IF('Pricing Inputs'!$AT$3=2,3,IF('Pricing Inputs'!$AT$3=1,4,2))),FALSE)))</f>
        <v xml:space="preserve"> </v>
      </c>
      <c r="BS196" s="406" t="str">
        <f>IF($A196="N/A"," ",IF('Pricing Inputs'!$AN$3=1,(IF(DateToday&gt;$A196,$BR196,((($BQ196^2)*((($A196-1)-DateToday)/((EOMONTH($A196,0)+1)-DateToday-15)))+((($BR196)^2)*((15)/((EOMONTH($A196,0)+1)-DateToday-15))))^0.5)),0.0001))</f>
        <v xml:space="preserve"> </v>
      </c>
      <c r="BT196" s="405" t="str">
        <f>IF($A196="N/A"," ",IF('Pricing Inputs'!$AN$3=1,(VLOOKUP($A196,CorrelationTable,2,FALSE)),0))</f>
        <v xml:space="preserve"> </v>
      </c>
      <c r="BU196" s="407" t="str">
        <f>IF($A196="N/A"," ",F196+G196+(D196*(VLOOKUP($A196,'Gas Curves'!$B$17:$P$310,14,FALSE))))</f>
        <v xml:space="preserve"> </v>
      </c>
      <c r="BV196" s="405" t="str">
        <f>IF($A196="N/A"," ",IF('Pricing Inputs'!$AW$3=1,0,(VLOOKUP($A196,InterestRatesTable,2))))</f>
        <v xml:space="preserve"> </v>
      </c>
      <c r="BW196" s="408" t="str">
        <f t="shared" ref="BW196:BW259" si="337">IF($A196="N/A"," ",(1+BV196/2)^(-2*((EOMONTH(A196,0)+20)-DateToday)/365.25))</f>
        <v xml:space="preserve"> </v>
      </c>
    </row>
    <row r="197" spans="1:75">
      <c r="A197" s="248" t="str">
        <f>IF(A196="N/A","N/A",IF(EDATE(A196,1)&gt;Inputs!$K$3,"N/A",EDATE(A196,1)))</f>
        <v>N/A</v>
      </c>
      <c r="B197" s="262" t="str">
        <f t="shared" ref="B197:B260" si="338">IF(A197="N/A"," ",YEAR(A197))</f>
        <v xml:space="preserve"> </v>
      </c>
      <c r="C197" s="249" t="str">
        <f t="shared" ref="C197:C260" si="339">IF(A197="N/A"," ",VLOOKUP(A197,ScaledPrice,10))</f>
        <v xml:space="preserve"> </v>
      </c>
      <c r="D197" s="250" t="str">
        <f>IF(A197="N/A"," ",(VLOOKUP(MONTH($A197),Inputs!$A$14:$B$25,2))/1000)</f>
        <v xml:space="preserve"> </v>
      </c>
      <c r="E197" s="304" t="str">
        <f t="shared" ref="E197:E260" si="340">IF($A197="N/A"," ",C197*D197)</f>
        <v xml:space="preserve"> </v>
      </c>
      <c r="F197" s="251" t="str">
        <f>IF(A197="N/A"," ",Inputs!$F$6)</f>
        <v xml:space="preserve"> </v>
      </c>
      <c r="G197" s="251" t="str">
        <f>IF(A197="N/A"," ",Inputs!$F$9/IF(AND('Pricing Inputs'!$AQ$3&gt;=4,'Pricing Inputs'!$AQ$3&lt;=6),16,IF(AND('Pricing Inputs'!$AQ$3&gt;=7,'Pricing Inputs'!$AQ$3&lt;=9),8,24))/(BA197/BW197))</f>
        <v xml:space="preserve"> </v>
      </c>
      <c r="H197" s="252" t="str">
        <f t="shared" ref="H197:H260" si="341">IF(A197="N/A"," ",(C197*D197)+F197+G197)</f>
        <v xml:space="preserve"> </v>
      </c>
      <c r="I197" s="255" t="str">
        <f>VLOOKUP(A197,ScaledPrice,(IF(AND('Pricing Inputs'!$AQ$3&gt;=1,'Pricing Inputs'!$AQ$3&lt;=6),2,4)))</f>
        <v xml:space="preserve"> </v>
      </c>
      <c r="J197" s="255" t="str">
        <f>IF(A197="N/A"," ",IF(AND('Pricing Inputs'!$AQ$3&gt;=1,'Pricing Inputs'!$AQ$3&lt;=6),I197,(VLOOKUP(A197,ScaledPrice,2))*(2-(VLOOKUP(A197,ScaledPrice,3)))))</f>
        <v xml:space="preserve"> </v>
      </c>
      <c r="K197" s="255" t="str">
        <f>IF(A197="N/A"," ",IF(OR('Pricing Inputs'!$AQ$3=2,'Pricing Inputs'!$AQ$3=3,'Pricing Inputs'!$AQ$3=5,'Pricing Inputs'!$AQ$3=6,'Pricing Inputs'!$AQ$3=8,'Pricing Inputs'!$AQ$3=9),VLOOKUP(A197,ScaledPrice,IF(AND('Pricing Inputs'!$AQ$3&gt;=2,'Pricing Inputs'!$AQ$3&lt;=6),5,6)),0))</f>
        <v xml:space="preserve"> </v>
      </c>
      <c r="L197" s="255" t="str">
        <f>IF(A197="N/A"," ",IF(OR('Pricing Inputs'!$AQ$3=2,'Pricing Inputs'!$AQ$3=3,'Pricing Inputs'!$AQ$3=5,'Pricing Inputs'!$AQ$3=6,'Pricing Inputs'!$AQ$3=8,'Pricing Inputs'!$AQ$3=9),IF(AND('Pricing Inputs'!$AQ$3&gt;=2,'Pricing Inputs'!$AQ$3&lt;=6),K197,(VLOOKUP(A197,ScaledPrice,5))*(2-(VLOOKUP(A197,ScaledPrice,3)))),0))</f>
        <v xml:space="preserve"> </v>
      </c>
      <c r="M197" s="255" t="str">
        <f>IF(A197="N/A"," ",IF(OR('Pricing Inputs'!$AQ$3=3,'Pricing Inputs'!$AQ$3=6,'Pricing Inputs'!$AQ$3=9),(VLOOKUP(A197,ScaledPrice,IF(AND('Pricing Inputs'!$AQ$3&gt;=3,'Pricing Inputs'!$AQ$3&lt;=6),7,8))),0))</f>
        <v xml:space="preserve"> </v>
      </c>
      <c r="N197" s="255" t="str">
        <f>IF(A197="N/A"," ",IF(OR('Pricing Inputs'!$AQ$3=3,'Pricing Inputs'!$AQ$3=6,'Pricing Inputs'!$AQ$3=9),IF(AND('Pricing Inputs'!$AQ$3&gt;=3,'Pricing Inputs'!$AQ$3&lt;=6),M197,(VLOOKUP(A197,ScaledPrice,7))*(2-(VLOOKUP(A197,ScaledPrice,3)))),0))</f>
        <v xml:space="preserve"> </v>
      </c>
      <c r="O197" s="255" t="str">
        <f>IF(A197="N/A"," ",IF(AND('Pricing Inputs'!$AQ$3&gt;=1,'Pricing Inputs'!$AQ$3&lt;=3),VLOOKUP(A197,ScaledPrice,9),0))</f>
        <v xml:space="preserve"> </v>
      </c>
      <c r="P197" s="320" t="str">
        <f>IF($A197="N/A"," ",IF('Pricing Inputs'!$AN$8=2,(I197-H197),IF('Pricing Inputs'!$AN$3=2,IF((I197-$H197)&gt;0,I197-$H197,0),(_xll.xSPRDOPT(I197,$E197,$BU197,0,$BP197,$BS197,$BT197,($A197-Inputs!$D$1)+15,1,0)))))</f>
        <v xml:space="preserve"> </v>
      </c>
      <c r="Q197" s="320" t="str">
        <f>IF($A197="N/A"," ",IF('Pricing Inputs'!$AN$8=2,(J197-$H197),IF('Pricing Inputs'!$AN$3=2,IF((J197-$H197)&gt;0,J197-$H197,0),(_xll.xSPRDOPT(J197,$E197,$BU197,0,$BP197,$BS197,$BT197,($A197-Inputs!$D$1)+15,1,0)))))</f>
        <v xml:space="preserve"> </v>
      </c>
      <c r="R197" s="320" t="str">
        <f>IF($A197="N/A"," ",IF('Pricing Inputs'!$AN$8=2,(K197-$H197),IF('Pricing Inputs'!$AN$3=2,IF((K197-$H197)&gt;0,K197-$H197,0),(_xll.xSPRDOPT(K197,$E197,$BU197,0,$BP197,$BS197,$BT197,($A197-Inputs!$D$1)+15,1,0)))))</f>
        <v xml:space="preserve"> </v>
      </c>
      <c r="S197" s="320" t="str">
        <f>IF($A197="N/A"," ",IF('Pricing Inputs'!$AN$8=2,(L197-$H197),IF('Pricing Inputs'!$AN$3=2,IF((L197-$H197)&gt;0,L197-$H197,0),(_xll.xSPRDOPT(L197,$E197,$BU197,0,$BP197,$BS197,$BT197,($A197-Inputs!$D$1)+15,1,0)))))</f>
        <v xml:space="preserve"> </v>
      </c>
      <c r="T197" s="320" t="str">
        <f>IF($A197="N/A"," ",IF('Pricing Inputs'!$AN$8=2,(M197-$H197),IF('Pricing Inputs'!$AN$3=2,IF((M197-$H197)&gt;0,M197-$H197,0),(_xll.xSPRDOPT(M197,$E197,$BU197,0,$BP197,$BS197,$BT197,($A197-Inputs!$D$1)+15,1,0)))))</f>
        <v xml:space="preserve"> </v>
      </c>
      <c r="U197" s="320" t="str">
        <f>IF($A197="N/A"," ",IF('Pricing Inputs'!$AN$8=2,(N197-$H197),IF('Pricing Inputs'!$AN$3=2,IF((N197-$H197)&gt;0,N197-$H197,0),(_xll.xSPRDOPT(N197,$E197,$BU197,0,$BP197,$BS197,$BT197,($A197-Inputs!$D$1)+15,1,0)))))</f>
        <v xml:space="preserve"> </v>
      </c>
      <c r="V197" s="259" t="str">
        <f>IF($A197="N/A"," ",(IF('Pricing Inputs'!$AN$8=2,(O197-$H197),IF((O197-$H197)&lt;=0,0,(O197-$H197)))))</f>
        <v xml:space="preserve"> </v>
      </c>
      <c r="W197" s="306" t="str">
        <f>IF($A197="N/A"," ",IF(0&lt;&gt;P197,IF('Pricing Inputs'!$AN$3=2,8*VLOOKUP($A197,NumberofDaysTable,2),(_xll.xSPRDOPT(I197,$E197,$BU197,0,$BP197,$BS197,$BT197,$A197-Inputs!$D$1,1,1))*(8*VLOOKUP($A197,NumberofDaysTable,2))),0))</f>
        <v xml:space="preserve"> </v>
      </c>
      <c r="X197" s="306" t="str">
        <f>IF($A197="N/A"," ",IF(Q197&lt;&gt;0,IF('Pricing Inputs'!$AN$3=2,8*VLOOKUP($A197,NumberofDaysTable,2),(_xll.xSPRDOPT(J197,$E197,$BU197,0,$BP197,$BS197,$BT197,$A197-Inputs!$D$1,1,1))*(8*VLOOKUP($A197,NumberofDaysTable,2))),0))</f>
        <v xml:space="preserve"> </v>
      </c>
      <c r="Y197" s="306" t="str">
        <f>IF($A197="N/A"," ",IF(R197&lt;&gt;0,IF('Pricing Inputs'!$AN$3=2,8*VLOOKUP($A197,NumberofDaysTable,3),(_xll.xSPRDOPT(K197,$E197,$BU197,0,$BP197,$BS197,$BT197,$A197-Inputs!$D$1,1,1))*(8*VLOOKUP($A197,NumberofDaysTable,3))),0))</f>
        <v xml:space="preserve"> </v>
      </c>
      <c r="Z197" s="306" t="str">
        <f>IF($A197="N/A"," ",IF(S197&lt;&gt;0,IF('Pricing Inputs'!$AN$3=2,8*VLOOKUP($A197,NumberofDaysTable,3),(_xll.xSPRDOPT(L197,$E197,$BU197,0,$BP197,$BS197,$BT197,$A197-Inputs!$D$1,1,1))*(8*VLOOKUP($A197,NumberofDaysTable,3))),0))</f>
        <v xml:space="preserve"> </v>
      </c>
      <c r="AA197" s="306" t="str">
        <f>IF($A197="N/A"," ",IF(T197&lt;&gt;0,IF('Pricing Inputs'!$AN$3=2,8*VLOOKUP($A197,NumberofDaysTable,4),(_xll.xSPRDOPT(M197,$E197,$BU197,0,$BP197,$BS197,$BT197,$A197-Inputs!$D$1,1,1))*(8*VLOOKUP($A197,NumberofDaysTable,4))),0))</f>
        <v xml:space="preserve"> </v>
      </c>
      <c r="AB197" s="306" t="str">
        <f>IF($A197="N/A"," ",IF(U197&lt;&gt;0,IF('Pricing Inputs'!$AN$3=2,8*VLOOKUP($A197,NumberofDaysTable,4),(_xll.xSPRDOPT(N197,$E197,$BU197,0,$BP197,$BS197,$BT197,$A197-Inputs!$D$1,1,1))*(8*VLOOKUP($A197,NumberofDaysTable,4))),0))</f>
        <v xml:space="preserve"> </v>
      </c>
      <c r="AC197" s="306" t="str">
        <f t="shared" ref="AC197:AC257" si="342">IF($A197="N/A"," ",(IF(V197&lt;&gt;0,(8*VLOOKUP($A197,NumberofDaysTable,6)),0)))</f>
        <v xml:space="preserve"> </v>
      </c>
      <c r="AD197" s="274" t="str">
        <f t="shared" ref="AD197:AD207" si="343">IF($A197="N/A"," ",RANK(P197,$P$196:$V$207))</f>
        <v xml:space="preserve"> </v>
      </c>
      <c r="AE197" s="275" t="str">
        <f t="shared" ref="AE197:AE207" si="344">IF($A197="N/A"," ",RANK(Q197,$P$196:$V$207))</f>
        <v xml:space="preserve"> </v>
      </c>
      <c r="AF197" s="275" t="str">
        <f t="shared" ref="AF197:AF207" si="345">IF($A197="N/A"," ",RANK(R197,$P$196:$V$207))</f>
        <v xml:space="preserve"> </v>
      </c>
      <c r="AG197" s="275" t="str">
        <f t="shared" ref="AG197:AG207" si="346">IF($A197="N/A"," ",RANK(S197,$P$196:$V$207))</f>
        <v xml:space="preserve"> </v>
      </c>
      <c r="AH197" s="275" t="str">
        <f t="shared" ref="AH197:AH207" si="347">IF($A197="N/A"," ",RANK(T197,$P$196:$V$207))</f>
        <v xml:space="preserve"> </v>
      </c>
      <c r="AI197" s="275" t="str">
        <f t="shared" ref="AI197:AI207" si="348">IF($A197="N/A"," ",RANK(U197,$P$196:$V$207))</f>
        <v xml:space="preserve"> </v>
      </c>
      <c r="AJ197" s="276" t="str">
        <f t="shared" ref="AJ197:AJ207" si="349">IF($A197="N/A"," ",RANK(V197,$P$196:$V$207))</f>
        <v xml:space="preserve"> </v>
      </c>
      <c r="AK197" s="314" t="str">
        <f t="shared" si="259"/>
        <v xml:space="preserve"> </v>
      </c>
      <c r="AL197" s="315" t="str">
        <f t="shared" si="260"/>
        <v xml:space="preserve"> </v>
      </c>
      <c r="AM197" s="315" t="str">
        <f t="shared" si="261"/>
        <v xml:space="preserve"> </v>
      </c>
      <c r="AN197" s="315" t="str">
        <f t="shared" si="262"/>
        <v xml:space="preserve"> </v>
      </c>
      <c r="AO197" s="315" t="str">
        <f t="shared" si="263"/>
        <v xml:space="preserve"> </v>
      </c>
      <c r="AP197" s="315" t="str">
        <f t="shared" si="264"/>
        <v xml:space="preserve"> </v>
      </c>
      <c r="AQ197" s="315" t="str">
        <f t="shared" si="265"/>
        <v xml:space="preserve"> </v>
      </c>
      <c r="AR197" s="276"/>
      <c r="AS197" s="321" t="str">
        <f t="shared" si="329"/>
        <v xml:space="preserve"> </v>
      </c>
      <c r="AT197" s="324" t="str">
        <f t="shared" si="330"/>
        <v xml:space="preserve"> </v>
      </c>
      <c r="AU197" s="324" t="str">
        <f t="shared" si="331"/>
        <v xml:space="preserve"> </v>
      </c>
      <c r="AV197" s="324" t="str">
        <f t="shared" si="332"/>
        <v xml:space="preserve"> </v>
      </c>
      <c r="AW197" s="324" t="str">
        <f t="shared" si="333"/>
        <v xml:space="preserve"> </v>
      </c>
      <c r="AX197" s="324" t="str">
        <f t="shared" si="334"/>
        <v xml:space="preserve"> </v>
      </c>
      <c r="AY197" s="324" t="str">
        <f t="shared" si="335"/>
        <v xml:space="preserve"> </v>
      </c>
      <c r="AZ197" s="276"/>
      <c r="BA197" s="267" t="str">
        <f>IF($A197="N/A"," ",(IF(MONTH(A197)&gt;=4,IF(MONTH(A197)&lt;=10,Inputs!$F$13,Inputs!$F$14),Inputs!$F$14))*$BW197)</f>
        <v xml:space="preserve"> </v>
      </c>
      <c r="BB197" s="268" t="str">
        <f t="shared" si="266"/>
        <v xml:space="preserve"> </v>
      </c>
      <c r="BC197" s="268" t="str">
        <f t="shared" si="267"/>
        <v xml:space="preserve"> </v>
      </c>
      <c r="BD197" s="268" t="str">
        <f t="shared" ref="BD197:BD256" si="350">IF($A197="N/A"," ",(IF(AM197&gt;0,($BA197*(8*(VLOOKUP($A197,NumberofDaysTable,3)))*R197),0)+IF(AU197&gt;0,($BA197*((AU197))*R197),0)))</f>
        <v xml:space="preserve"> </v>
      </c>
      <c r="BE197" s="268" t="str">
        <f t="shared" ref="BE197:BE256" si="351">IF($A197="N/A"," ",(IF(AN197&gt;0,($BA197*(8*(VLOOKUP($A197,NumberofDaysTable,3)))*S197),0)+IF(AV197&gt;0,($BA197*((AV197))*S197),0)))</f>
        <v xml:space="preserve"> </v>
      </c>
      <c r="BF197" s="268" t="str">
        <f t="shared" ref="BF197:BF256" si="352">IF($A197="N/A"," ",(IF(AO197&gt;0,($BA197*(8*(VLOOKUP($A197,NumberofDaysTable,4)+VLOOKUP($A197,NumberofDaysTable,5)))*T197),0)+IF(AW197&gt;0,($BA197*((AW197))*T197),0)))</f>
        <v xml:space="preserve"> </v>
      </c>
      <c r="BG197" s="268" t="str">
        <f t="shared" ref="BG197:BG256" si="353">IF($A197="N/A"," ",(IF(AP197&gt;0,($BA197*(8*(VLOOKUP($A197,NumberofDaysTable,4)+VLOOKUP($A197,NumberofDaysTable,5)))*U197),0)+IF(AX197&gt;0,($BA197*((AX197))*U197),0)))</f>
        <v xml:space="preserve"> </v>
      </c>
      <c r="BH197" s="268" t="str">
        <f t="shared" si="258"/>
        <v xml:space="preserve"> </v>
      </c>
      <c r="BI197" s="268" t="str">
        <f t="shared" ref="BI197:BI256" si="354">IF($A197="N/A"," ",SUM(BB197:BH197))</f>
        <v xml:space="preserve"> </v>
      </c>
      <c r="BJ197" s="296" t="str">
        <f t="shared" ref="BJ197:BJ256" si="355">IF($A197="N/A"," ",(H197*(SUM(AK197:AQ197)+SUM(AS197:AY197))*BA197))</f>
        <v xml:space="preserve"> </v>
      </c>
      <c r="BK197" s="296" t="str">
        <f t="shared" ref="BK197:BK256" si="356">IF($A197="N/A"," ",((C197*D197)*(SUM($AK197:$AQ197)+SUM($AS197:$AY197))*$BA197))</f>
        <v xml:space="preserve"> </v>
      </c>
      <c r="BL197" s="296" t="str">
        <f t="shared" ref="BL197:BL256" si="357">IF($A197="N/A"," ",(F197*(SUM($AK197:$AQ197)+SUM($AS197:$AY197))*$BA197))</f>
        <v xml:space="preserve"> </v>
      </c>
      <c r="BM197" s="296" t="str">
        <f t="shared" ref="BM197:BM256" si="358">IF($A197="N/A"," ",(G197*(SUM($AK197:$AQ197)+SUM($AS197:$AY197))*$BA197))</f>
        <v xml:space="preserve"> </v>
      </c>
      <c r="BN197" s="405" t="str">
        <f>IF(A197="N/A"," ",(VLOOKUP(A197,PowerVolTable,(IF('Pricing Inputs'!$AT$3=2,7,IF('Pricing Inputs'!$AT$3=1,6,8))),FALSE)))</f>
        <v xml:space="preserve"> </v>
      </c>
      <c r="BO197" s="405" t="str">
        <f>IF(A197="N/A"," ",(VLOOKUP(A197,IntraPowerVol,(IF('Pricing Inputs'!$AT$3=2,3,IF('Pricing Inputs'!$AT$3=1,2,4))),FALSE)*VLOOKUP(MONTH($A197),Inputs!$A$28:$B$39,2)))</f>
        <v xml:space="preserve"> </v>
      </c>
      <c r="BP197" s="406" t="str">
        <f t="shared" si="336"/>
        <v xml:space="preserve"> </v>
      </c>
      <c r="BQ197" s="405" t="str">
        <f>IF($A197="N/A"," ",(VLOOKUP($A197,GasVolTable,(IF('Pricing Inputs'!$AT$3=2,6,IF('Pricing Inputs'!$AT$3=1,7,5))),FALSE)))</f>
        <v xml:space="preserve"> </v>
      </c>
      <c r="BR197" s="405" t="str">
        <f>IF($A197="N/A"," ",(VLOOKUP($A197,OmicronVol,(IF('Pricing Inputs'!$AT$3=2,3,IF('Pricing Inputs'!$AT$3=1,4,2))),FALSE)))</f>
        <v xml:space="preserve"> </v>
      </c>
      <c r="BS197" s="406" t="str">
        <f>IF($A197="N/A"," ",IF('Pricing Inputs'!$AN$3=1,(IF(DateToday&gt;$A197,$BR197,((($BQ197^2)*((($A197-1)-DateToday)/((EOMONTH($A197,0)+1)-DateToday-15)))+((($BR197)^2)*((15)/((EOMONTH($A197,0)+1)-DateToday-15))))^0.5)),0.0001))</f>
        <v xml:space="preserve"> </v>
      </c>
      <c r="BT197" s="405" t="str">
        <f>IF($A197="N/A"," ",IF('Pricing Inputs'!$AN$3=1,(VLOOKUP($A197,CorrelationTable,2,FALSE)),0))</f>
        <v xml:space="preserve"> </v>
      </c>
      <c r="BU197" s="407" t="str">
        <f>IF($A197="N/A"," ",F197+G197+(D197*(VLOOKUP($A197,'Gas Curves'!$B$17:$P$310,14,FALSE))))</f>
        <v xml:space="preserve"> </v>
      </c>
      <c r="BV197" s="405" t="str">
        <f>IF($A197="N/A"," ",IF('Pricing Inputs'!$AW$3=1,0,(VLOOKUP($A197,InterestRatesTable,2))))</f>
        <v xml:space="preserve"> </v>
      </c>
      <c r="BW197" s="408" t="str">
        <f t="shared" si="337"/>
        <v xml:space="preserve"> </v>
      </c>
    </row>
    <row r="198" spans="1:75">
      <c r="A198" s="248" t="str">
        <f>IF(A197="N/A","N/A",IF(EDATE(A197,1)&gt;Inputs!$K$3,"N/A",EDATE(A197,1)))</f>
        <v>N/A</v>
      </c>
      <c r="B198" s="262" t="str">
        <f t="shared" si="338"/>
        <v xml:space="preserve"> </v>
      </c>
      <c r="C198" s="249" t="str">
        <f t="shared" si="339"/>
        <v xml:space="preserve"> </v>
      </c>
      <c r="D198" s="250" t="str">
        <f>IF(A198="N/A"," ",(VLOOKUP(MONTH($A198),Inputs!$A$14:$B$25,2))/1000)</f>
        <v xml:space="preserve"> </v>
      </c>
      <c r="E198" s="304" t="str">
        <f t="shared" si="340"/>
        <v xml:space="preserve"> </v>
      </c>
      <c r="F198" s="251" t="str">
        <f>IF(A198="N/A"," ",Inputs!$F$6)</f>
        <v xml:space="preserve"> </v>
      </c>
      <c r="G198" s="251" t="str">
        <f>IF(A198="N/A"," ",Inputs!$F$9/IF(AND('Pricing Inputs'!$AQ$3&gt;=4,'Pricing Inputs'!$AQ$3&lt;=6),16,IF(AND('Pricing Inputs'!$AQ$3&gt;=7,'Pricing Inputs'!$AQ$3&lt;=9),8,24))/(BA198/BW198))</f>
        <v xml:space="preserve"> </v>
      </c>
      <c r="H198" s="252" t="str">
        <f t="shared" si="341"/>
        <v xml:space="preserve"> </v>
      </c>
      <c r="I198" s="255" t="str">
        <f>VLOOKUP(A198,ScaledPrice,(IF(AND('Pricing Inputs'!$AQ$3&gt;=1,'Pricing Inputs'!$AQ$3&lt;=6),2,4)))</f>
        <v xml:space="preserve"> </v>
      </c>
      <c r="J198" s="255" t="str">
        <f>IF(A198="N/A"," ",IF(AND('Pricing Inputs'!$AQ$3&gt;=1,'Pricing Inputs'!$AQ$3&lt;=6),I198,(VLOOKUP(A198,ScaledPrice,2))*(2-(VLOOKUP(A198,ScaledPrice,3)))))</f>
        <v xml:space="preserve"> </v>
      </c>
      <c r="K198" s="255" t="str">
        <f>IF(A198="N/A"," ",IF(OR('Pricing Inputs'!$AQ$3=2,'Pricing Inputs'!$AQ$3=3,'Pricing Inputs'!$AQ$3=5,'Pricing Inputs'!$AQ$3=6,'Pricing Inputs'!$AQ$3=8,'Pricing Inputs'!$AQ$3=9),VLOOKUP(A198,ScaledPrice,IF(AND('Pricing Inputs'!$AQ$3&gt;=2,'Pricing Inputs'!$AQ$3&lt;=6),5,6)),0))</f>
        <v xml:space="preserve"> </v>
      </c>
      <c r="L198" s="255" t="str">
        <f>IF(A198="N/A"," ",IF(OR('Pricing Inputs'!$AQ$3=2,'Pricing Inputs'!$AQ$3=3,'Pricing Inputs'!$AQ$3=5,'Pricing Inputs'!$AQ$3=6,'Pricing Inputs'!$AQ$3=8,'Pricing Inputs'!$AQ$3=9),IF(AND('Pricing Inputs'!$AQ$3&gt;=2,'Pricing Inputs'!$AQ$3&lt;=6),K198,(VLOOKUP(A198,ScaledPrice,5))*(2-(VLOOKUP(A198,ScaledPrice,3)))),0))</f>
        <v xml:space="preserve"> </v>
      </c>
      <c r="M198" s="255" t="str">
        <f>IF(A198="N/A"," ",IF(OR('Pricing Inputs'!$AQ$3=3,'Pricing Inputs'!$AQ$3=6,'Pricing Inputs'!$AQ$3=9),(VLOOKUP(A198,ScaledPrice,IF(AND('Pricing Inputs'!$AQ$3&gt;=3,'Pricing Inputs'!$AQ$3&lt;=6),7,8))),0))</f>
        <v xml:space="preserve"> </v>
      </c>
      <c r="N198" s="255" t="str">
        <f>IF(A198="N/A"," ",IF(OR('Pricing Inputs'!$AQ$3=3,'Pricing Inputs'!$AQ$3=6,'Pricing Inputs'!$AQ$3=9),IF(AND('Pricing Inputs'!$AQ$3&gt;=3,'Pricing Inputs'!$AQ$3&lt;=6),M198,(VLOOKUP(A198,ScaledPrice,7))*(2-(VLOOKUP(A198,ScaledPrice,3)))),0))</f>
        <v xml:space="preserve"> </v>
      </c>
      <c r="O198" s="255" t="str">
        <f>IF(A198="N/A"," ",IF(AND('Pricing Inputs'!$AQ$3&gt;=1,'Pricing Inputs'!$AQ$3&lt;=3),VLOOKUP(A198,ScaledPrice,9),0))</f>
        <v xml:space="preserve"> </v>
      </c>
      <c r="P198" s="320" t="str">
        <f>IF($A198="N/A"," ",IF('Pricing Inputs'!$AN$8=2,(I198-H198),IF('Pricing Inputs'!$AN$3=2,IF((I198-$H198)&gt;0,I198-$H198,0),(_xll.xSPRDOPT(I198,$E198,$BU198,0,$BP198,$BS198,$BT198,($A198-Inputs!$D$1)+15,1,0)))))</f>
        <v xml:space="preserve"> </v>
      </c>
      <c r="Q198" s="320" t="str">
        <f>IF($A198="N/A"," ",IF('Pricing Inputs'!$AN$8=2,(J198-$H198),IF('Pricing Inputs'!$AN$3=2,IF((J198-$H198)&gt;0,J198-$H198,0),(_xll.xSPRDOPT(J198,$E198,$BU198,0,$BP198,$BS198,$BT198,($A198-Inputs!$D$1)+15,1,0)))))</f>
        <v xml:space="preserve"> </v>
      </c>
      <c r="R198" s="320" t="str">
        <f>IF($A198="N/A"," ",IF('Pricing Inputs'!$AN$8=2,(K198-$H198),IF('Pricing Inputs'!$AN$3=2,IF((K198-$H198)&gt;0,K198-$H198,0),(_xll.xSPRDOPT(K198,$E198,$BU198,0,$BP198,$BS198,$BT198,($A198-Inputs!$D$1)+15,1,0)))))</f>
        <v xml:space="preserve"> </v>
      </c>
      <c r="S198" s="320" t="str">
        <f>IF($A198="N/A"," ",IF('Pricing Inputs'!$AN$8=2,(L198-$H198),IF('Pricing Inputs'!$AN$3=2,IF((L198-$H198)&gt;0,L198-$H198,0),(_xll.xSPRDOPT(L198,$E198,$BU198,0,$BP198,$BS198,$BT198,($A198-Inputs!$D$1)+15,1,0)))))</f>
        <v xml:space="preserve"> </v>
      </c>
      <c r="T198" s="320" t="str">
        <f>IF($A198="N/A"," ",IF('Pricing Inputs'!$AN$8=2,(M198-$H198),IF('Pricing Inputs'!$AN$3=2,IF((M198-$H198)&gt;0,M198-$H198,0),(_xll.xSPRDOPT(M198,$E198,$BU198,0,$BP198,$BS198,$BT198,($A198-Inputs!$D$1)+15,1,0)))))</f>
        <v xml:space="preserve"> </v>
      </c>
      <c r="U198" s="320" t="str">
        <f>IF($A198="N/A"," ",IF('Pricing Inputs'!$AN$8=2,(N198-$H198),IF('Pricing Inputs'!$AN$3=2,IF((N198-$H198)&gt;0,N198-$H198,0),(_xll.xSPRDOPT(N198,$E198,$BU198,0,$BP198,$BS198,$BT198,($A198-Inputs!$D$1)+15,1,0)))))</f>
        <v xml:space="preserve"> </v>
      </c>
      <c r="V198" s="259" t="str">
        <f>IF($A198="N/A"," ",(IF('Pricing Inputs'!$AN$8=2,(O198-$H198),IF((O198-$H198)&lt;=0,0,(O198-$H198)))))</f>
        <v xml:space="preserve"> </v>
      </c>
      <c r="W198" s="306" t="str">
        <f>IF($A198="N/A"," ",IF(0&lt;&gt;P198,IF('Pricing Inputs'!$AN$3=2,8*VLOOKUP($A198,NumberofDaysTable,2),(_xll.xSPRDOPT(I198,$E198,$BU198,0,$BP198,$BS198,$BT198,$A198-Inputs!$D$1,1,1))*(8*VLOOKUP($A198,NumberofDaysTable,2))),0))</f>
        <v xml:space="preserve"> </v>
      </c>
      <c r="X198" s="306" t="str">
        <f>IF($A198="N/A"," ",IF(Q198&lt;&gt;0,IF('Pricing Inputs'!$AN$3=2,8*VLOOKUP($A198,NumberofDaysTable,2),(_xll.xSPRDOPT(J198,$E198,$BU198,0,$BP198,$BS198,$BT198,$A198-Inputs!$D$1,1,1))*(8*VLOOKUP($A198,NumberofDaysTable,2))),0))</f>
        <v xml:space="preserve"> </v>
      </c>
      <c r="Y198" s="306" t="str">
        <f>IF($A198="N/A"," ",IF(R198&lt;&gt;0,IF('Pricing Inputs'!$AN$3=2,8*VLOOKUP($A198,NumberofDaysTable,3),(_xll.xSPRDOPT(K198,$E198,$BU198,0,$BP198,$BS198,$BT198,$A198-Inputs!$D$1,1,1))*(8*VLOOKUP($A198,NumberofDaysTable,3))),0))</f>
        <v xml:space="preserve"> </v>
      </c>
      <c r="Z198" s="306" t="str">
        <f>IF($A198="N/A"," ",IF(S198&lt;&gt;0,IF('Pricing Inputs'!$AN$3=2,8*VLOOKUP($A198,NumberofDaysTable,3),(_xll.xSPRDOPT(L198,$E198,$BU198,0,$BP198,$BS198,$BT198,$A198-Inputs!$D$1,1,1))*(8*VLOOKUP($A198,NumberofDaysTable,3))),0))</f>
        <v xml:space="preserve"> </v>
      </c>
      <c r="AA198" s="306" t="str">
        <f>IF($A198="N/A"," ",IF(T198&lt;&gt;0,IF('Pricing Inputs'!$AN$3=2,8*VLOOKUP($A198,NumberofDaysTable,4),(_xll.xSPRDOPT(M198,$E198,$BU198,0,$BP198,$BS198,$BT198,$A198-Inputs!$D$1,1,1))*(8*VLOOKUP($A198,NumberofDaysTable,4))),0))</f>
        <v xml:space="preserve"> </v>
      </c>
      <c r="AB198" s="306" t="str">
        <f>IF($A198="N/A"," ",IF(U198&lt;&gt;0,IF('Pricing Inputs'!$AN$3=2,8*VLOOKUP($A198,NumberofDaysTable,4),(_xll.xSPRDOPT(N198,$E198,$BU198,0,$BP198,$BS198,$BT198,$A198-Inputs!$D$1,1,1))*(8*VLOOKUP($A198,NumberofDaysTable,4))),0))</f>
        <v xml:space="preserve"> </v>
      </c>
      <c r="AC198" s="306" t="str">
        <f t="shared" si="342"/>
        <v xml:space="preserve"> </v>
      </c>
      <c r="AD198" s="274" t="str">
        <f t="shared" si="343"/>
        <v xml:space="preserve"> </v>
      </c>
      <c r="AE198" s="275" t="str">
        <f t="shared" si="344"/>
        <v xml:space="preserve"> </v>
      </c>
      <c r="AF198" s="275" t="str">
        <f t="shared" si="345"/>
        <v xml:space="preserve"> </v>
      </c>
      <c r="AG198" s="275" t="str">
        <f t="shared" si="346"/>
        <v xml:space="preserve"> </v>
      </c>
      <c r="AH198" s="275" t="str">
        <f t="shared" si="347"/>
        <v xml:space="preserve"> </v>
      </c>
      <c r="AI198" s="275" t="str">
        <f t="shared" si="348"/>
        <v xml:space="preserve"> </v>
      </c>
      <c r="AJ198" s="276" t="str">
        <f t="shared" si="349"/>
        <v xml:space="preserve"> </v>
      </c>
      <c r="AK198" s="314" t="str">
        <f t="shared" si="259"/>
        <v xml:space="preserve"> </v>
      </c>
      <c r="AL198" s="315" t="str">
        <f t="shared" si="260"/>
        <v xml:space="preserve"> </v>
      </c>
      <c r="AM198" s="315" t="str">
        <f t="shared" si="261"/>
        <v xml:space="preserve"> </v>
      </c>
      <c r="AN198" s="315" t="str">
        <f t="shared" si="262"/>
        <v xml:space="preserve"> </v>
      </c>
      <c r="AO198" s="315" t="str">
        <f t="shared" si="263"/>
        <v xml:space="preserve"> </v>
      </c>
      <c r="AP198" s="315" t="str">
        <f t="shared" si="264"/>
        <v xml:space="preserve"> </v>
      </c>
      <c r="AQ198" s="315" t="str">
        <f t="shared" si="265"/>
        <v xml:space="preserve"> </v>
      </c>
      <c r="AR198" s="276"/>
      <c r="AS198" s="321" t="str">
        <f t="shared" si="329"/>
        <v xml:space="preserve"> </v>
      </c>
      <c r="AT198" s="324" t="str">
        <f t="shared" si="330"/>
        <v xml:space="preserve"> </v>
      </c>
      <c r="AU198" s="324" t="str">
        <f t="shared" si="331"/>
        <v xml:space="preserve"> </v>
      </c>
      <c r="AV198" s="324" t="str">
        <f t="shared" si="332"/>
        <v xml:space="preserve"> </v>
      </c>
      <c r="AW198" s="324" t="str">
        <f t="shared" si="333"/>
        <v xml:space="preserve"> </v>
      </c>
      <c r="AX198" s="324" t="str">
        <f t="shared" si="334"/>
        <v xml:space="preserve"> </v>
      </c>
      <c r="AY198" s="324" t="str">
        <f t="shared" si="335"/>
        <v xml:space="preserve"> </v>
      </c>
      <c r="AZ198" s="276"/>
      <c r="BA198" s="267" t="str">
        <f>IF($A198="N/A"," ",(IF(MONTH(A198)&gt;=4,IF(MONTH(A198)&lt;=10,Inputs!$F$13,Inputs!$F$14),Inputs!$F$14))*$BW198)</f>
        <v xml:space="preserve"> </v>
      </c>
      <c r="BB198" s="268" t="str">
        <f t="shared" si="266"/>
        <v xml:space="preserve"> </v>
      </c>
      <c r="BC198" s="268" t="str">
        <f t="shared" si="267"/>
        <v xml:space="preserve"> </v>
      </c>
      <c r="BD198" s="268" t="str">
        <f t="shared" si="350"/>
        <v xml:space="preserve"> </v>
      </c>
      <c r="BE198" s="268" t="str">
        <f t="shared" si="351"/>
        <v xml:space="preserve"> </v>
      </c>
      <c r="BF198" s="268" t="str">
        <f t="shared" si="352"/>
        <v xml:space="preserve"> </v>
      </c>
      <c r="BG198" s="268" t="str">
        <f t="shared" si="353"/>
        <v xml:space="preserve"> </v>
      </c>
      <c r="BH198" s="268" t="str">
        <f t="shared" si="258"/>
        <v xml:space="preserve"> </v>
      </c>
      <c r="BI198" s="268" t="str">
        <f t="shared" si="354"/>
        <v xml:space="preserve"> </v>
      </c>
      <c r="BJ198" s="296" t="str">
        <f t="shared" si="355"/>
        <v xml:space="preserve"> </v>
      </c>
      <c r="BK198" s="296" t="str">
        <f t="shared" si="356"/>
        <v xml:space="preserve"> </v>
      </c>
      <c r="BL198" s="296" t="str">
        <f t="shared" si="357"/>
        <v xml:space="preserve"> </v>
      </c>
      <c r="BM198" s="296" t="str">
        <f t="shared" si="358"/>
        <v xml:space="preserve"> </v>
      </c>
      <c r="BN198" s="405" t="str">
        <f>IF(A198="N/A"," ",(VLOOKUP(A198,PowerVolTable,(IF('Pricing Inputs'!$AT$3=2,7,IF('Pricing Inputs'!$AT$3=1,6,8))),FALSE)))</f>
        <v xml:space="preserve"> </v>
      </c>
      <c r="BO198" s="405" t="str">
        <f>IF(A198="N/A"," ",(VLOOKUP(A198,IntraPowerVol,(IF('Pricing Inputs'!$AT$3=2,3,IF('Pricing Inputs'!$AT$3=1,2,4))),FALSE)*VLOOKUP(MONTH($A198),Inputs!$A$28:$B$39,2)))</f>
        <v xml:space="preserve"> </v>
      </c>
      <c r="BP198" s="406" t="str">
        <f t="shared" si="336"/>
        <v xml:space="preserve"> </v>
      </c>
      <c r="BQ198" s="405" t="str">
        <f>IF($A198="N/A"," ",(VLOOKUP($A198,GasVolTable,(IF('Pricing Inputs'!$AT$3=2,6,IF('Pricing Inputs'!$AT$3=1,7,5))),FALSE)))</f>
        <v xml:space="preserve"> </v>
      </c>
      <c r="BR198" s="405" t="str">
        <f>IF($A198="N/A"," ",(VLOOKUP($A198,OmicronVol,(IF('Pricing Inputs'!$AT$3=2,3,IF('Pricing Inputs'!$AT$3=1,4,2))),FALSE)))</f>
        <v xml:space="preserve"> </v>
      </c>
      <c r="BS198" s="406" t="str">
        <f>IF($A198="N/A"," ",IF('Pricing Inputs'!$AN$3=1,(IF(DateToday&gt;$A198,$BR198,((($BQ198^2)*((($A198-1)-DateToday)/((EOMONTH($A198,0)+1)-DateToday-15)))+((($BR198)^2)*((15)/((EOMONTH($A198,0)+1)-DateToday-15))))^0.5)),0.0001))</f>
        <v xml:space="preserve"> </v>
      </c>
      <c r="BT198" s="405" t="str">
        <f>IF($A198="N/A"," ",IF('Pricing Inputs'!$AN$3=1,(VLOOKUP($A198,CorrelationTable,2,FALSE)),0))</f>
        <v xml:space="preserve"> </v>
      </c>
      <c r="BU198" s="407" t="str">
        <f>IF($A198="N/A"," ",F198+G198+(D198*(VLOOKUP($A198,'Gas Curves'!$B$17:$P$310,14,FALSE))))</f>
        <v xml:space="preserve"> </v>
      </c>
      <c r="BV198" s="405" t="str">
        <f>IF($A198="N/A"," ",IF('Pricing Inputs'!$AW$3=1,0,(VLOOKUP($A198,InterestRatesTable,2))))</f>
        <v xml:space="preserve"> </v>
      </c>
      <c r="BW198" s="408" t="str">
        <f t="shared" si="337"/>
        <v xml:space="preserve"> </v>
      </c>
    </row>
    <row r="199" spans="1:75">
      <c r="A199" s="248" t="str">
        <f>IF(A198="N/A","N/A",IF(EDATE(A198,1)&gt;Inputs!$K$3,"N/A",EDATE(A198,1)))</f>
        <v>N/A</v>
      </c>
      <c r="B199" s="262" t="str">
        <f t="shared" si="338"/>
        <v xml:space="preserve"> </v>
      </c>
      <c r="C199" s="249" t="str">
        <f t="shared" si="339"/>
        <v xml:space="preserve"> </v>
      </c>
      <c r="D199" s="250" t="str">
        <f>IF(A199="N/A"," ",(VLOOKUP(MONTH($A199),Inputs!$A$14:$B$25,2))/1000)</f>
        <v xml:space="preserve"> </v>
      </c>
      <c r="E199" s="304" t="str">
        <f t="shared" si="340"/>
        <v xml:space="preserve"> </v>
      </c>
      <c r="F199" s="251" t="str">
        <f>IF(A199="N/A"," ",Inputs!$F$6)</f>
        <v xml:space="preserve"> </v>
      </c>
      <c r="G199" s="251" t="str">
        <f>IF(A199="N/A"," ",Inputs!$F$9/IF(AND('Pricing Inputs'!$AQ$3&gt;=4,'Pricing Inputs'!$AQ$3&lt;=6),16,IF(AND('Pricing Inputs'!$AQ$3&gt;=7,'Pricing Inputs'!$AQ$3&lt;=9),8,24))/(BA199/BW199))</f>
        <v xml:space="preserve"> </v>
      </c>
      <c r="H199" s="252" t="str">
        <f t="shared" si="341"/>
        <v xml:space="preserve"> </v>
      </c>
      <c r="I199" s="255" t="str">
        <f>VLOOKUP(A199,ScaledPrice,(IF(AND('Pricing Inputs'!$AQ$3&gt;=1,'Pricing Inputs'!$AQ$3&lt;=6),2,4)))</f>
        <v xml:space="preserve"> </v>
      </c>
      <c r="J199" s="255" t="str">
        <f>IF(A199="N/A"," ",IF(AND('Pricing Inputs'!$AQ$3&gt;=1,'Pricing Inputs'!$AQ$3&lt;=6),I199,(VLOOKUP(A199,ScaledPrice,2))*(2-(VLOOKUP(A199,ScaledPrice,3)))))</f>
        <v xml:space="preserve"> </v>
      </c>
      <c r="K199" s="255" t="str">
        <f>IF(A199="N/A"," ",IF(OR('Pricing Inputs'!$AQ$3=2,'Pricing Inputs'!$AQ$3=3,'Pricing Inputs'!$AQ$3=5,'Pricing Inputs'!$AQ$3=6,'Pricing Inputs'!$AQ$3=8,'Pricing Inputs'!$AQ$3=9),VLOOKUP(A199,ScaledPrice,IF(AND('Pricing Inputs'!$AQ$3&gt;=2,'Pricing Inputs'!$AQ$3&lt;=6),5,6)),0))</f>
        <v xml:space="preserve"> </v>
      </c>
      <c r="L199" s="255" t="str">
        <f>IF(A199="N/A"," ",IF(OR('Pricing Inputs'!$AQ$3=2,'Pricing Inputs'!$AQ$3=3,'Pricing Inputs'!$AQ$3=5,'Pricing Inputs'!$AQ$3=6,'Pricing Inputs'!$AQ$3=8,'Pricing Inputs'!$AQ$3=9),IF(AND('Pricing Inputs'!$AQ$3&gt;=2,'Pricing Inputs'!$AQ$3&lt;=6),K199,(VLOOKUP(A199,ScaledPrice,5))*(2-(VLOOKUP(A199,ScaledPrice,3)))),0))</f>
        <v xml:space="preserve"> </v>
      </c>
      <c r="M199" s="255" t="str">
        <f>IF(A199="N/A"," ",IF(OR('Pricing Inputs'!$AQ$3=3,'Pricing Inputs'!$AQ$3=6,'Pricing Inputs'!$AQ$3=9),(VLOOKUP(A199,ScaledPrice,IF(AND('Pricing Inputs'!$AQ$3&gt;=3,'Pricing Inputs'!$AQ$3&lt;=6),7,8))),0))</f>
        <v xml:space="preserve"> </v>
      </c>
      <c r="N199" s="255" t="str">
        <f>IF(A199="N/A"," ",IF(OR('Pricing Inputs'!$AQ$3=3,'Pricing Inputs'!$AQ$3=6,'Pricing Inputs'!$AQ$3=9),IF(AND('Pricing Inputs'!$AQ$3&gt;=3,'Pricing Inputs'!$AQ$3&lt;=6),M199,(VLOOKUP(A199,ScaledPrice,7))*(2-(VLOOKUP(A199,ScaledPrice,3)))),0))</f>
        <v xml:space="preserve"> </v>
      </c>
      <c r="O199" s="255" t="str">
        <f>IF(A199="N/A"," ",IF(AND('Pricing Inputs'!$AQ$3&gt;=1,'Pricing Inputs'!$AQ$3&lt;=3),VLOOKUP(A199,ScaledPrice,9),0))</f>
        <v xml:space="preserve"> </v>
      </c>
      <c r="P199" s="320" t="str">
        <f>IF($A199="N/A"," ",IF('Pricing Inputs'!$AN$8=2,(I199-H199),IF('Pricing Inputs'!$AN$3=2,IF((I199-$H199)&gt;0,I199-$H199,0),(_xll.xSPRDOPT(I199,$E199,$BU199,0,$BP199,$BS199,$BT199,($A199-Inputs!$D$1)+15,1,0)))))</f>
        <v xml:space="preserve"> </v>
      </c>
      <c r="Q199" s="320" t="str">
        <f>IF($A199="N/A"," ",IF('Pricing Inputs'!$AN$8=2,(J199-$H199),IF('Pricing Inputs'!$AN$3=2,IF((J199-$H199)&gt;0,J199-$H199,0),(_xll.xSPRDOPT(J199,$E199,$BU199,0,$BP199,$BS199,$BT199,($A199-Inputs!$D$1)+15,1,0)))))</f>
        <v xml:space="preserve"> </v>
      </c>
      <c r="R199" s="320" t="str">
        <f>IF($A199="N/A"," ",IF('Pricing Inputs'!$AN$8=2,(K199-$H199),IF('Pricing Inputs'!$AN$3=2,IF((K199-$H199)&gt;0,K199-$H199,0),(_xll.xSPRDOPT(K199,$E199,$BU199,0,$BP199,$BS199,$BT199,($A199-Inputs!$D$1)+15,1,0)))))</f>
        <v xml:space="preserve"> </v>
      </c>
      <c r="S199" s="320" t="str">
        <f>IF($A199="N/A"," ",IF('Pricing Inputs'!$AN$8=2,(L199-$H199),IF('Pricing Inputs'!$AN$3=2,IF((L199-$H199)&gt;0,L199-$H199,0),(_xll.xSPRDOPT(L199,$E199,$BU199,0,$BP199,$BS199,$BT199,($A199-Inputs!$D$1)+15,1,0)))))</f>
        <v xml:space="preserve"> </v>
      </c>
      <c r="T199" s="320" t="str">
        <f>IF($A199="N/A"," ",IF('Pricing Inputs'!$AN$8=2,(M199-$H199),IF('Pricing Inputs'!$AN$3=2,IF((M199-$H199)&gt;0,M199-$H199,0),(_xll.xSPRDOPT(M199,$E199,$BU199,0,$BP199,$BS199,$BT199,($A199-Inputs!$D$1)+15,1,0)))))</f>
        <v xml:space="preserve"> </v>
      </c>
      <c r="U199" s="320" t="str">
        <f>IF($A199="N/A"," ",IF('Pricing Inputs'!$AN$8=2,(N199-$H199),IF('Pricing Inputs'!$AN$3=2,IF((N199-$H199)&gt;0,N199-$H199,0),(_xll.xSPRDOPT(N199,$E199,$BU199,0,$BP199,$BS199,$BT199,($A199-Inputs!$D$1)+15,1,0)))))</f>
        <v xml:space="preserve"> </v>
      </c>
      <c r="V199" s="259" t="str">
        <f>IF($A199="N/A"," ",(IF('Pricing Inputs'!$AN$8=2,(O199-$H199),IF((O199-$H199)&lt;=0,0,(O199-$H199)))))</f>
        <v xml:space="preserve"> </v>
      </c>
      <c r="W199" s="306" t="str">
        <f>IF($A199="N/A"," ",IF(0&lt;&gt;P199,IF('Pricing Inputs'!$AN$3=2,8*VLOOKUP($A199,NumberofDaysTable,2),(_xll.xSPRDOPT(I199,$E199,$BU199,0,$BP199,$BS199,$BT199,$A199-Inputs!$D$1,1,1))*(8*VLOOKUP($A199,NumberofDaysTable,2))),0))</f>
        <v xml:space="preserve"> </v>
      </c>
      <c r="X199" s="306" t="str">
        <f>IF($A199="N/A"," ",IF(Q199&lt;&gt;0,IF('Pricing Inputs'!$AN$3=2,8*VLOOKUP($A199,NumberofDaysTable,2),(_xll.xSPRDOPT(J199,$E199,$BU199,0,$BP199,$BS199,$BT199,$A199-Inputs!$D$1,1,1))*(8*VLOOKUP($A199,NumberofDaysTable,2))),0))</f>
        <v xml:space="preserve"> </v>
      </c>
      <c r="Y199" s="306" t="str">
        <f>IF($A199="N/A"," ",IF(R199&lt;&gt;0,IF('Pricing Inputs'!$AN$3=2,8*VLOOKUP($A199,NumberofDaysTable,3),(_xll.xSPRDOPT(K199,$E199,$BU199,0,$BP199,$BS199,$BT199,$A199-Inputs!$D$1,1,1))*(8*VLOOKUP($A199,NumberofDaysTable,3))),0))</f>
        <v xml:space="preserve"> </v>
      </c>
      <c r="Z199" s="306" t="str">
        <f>IF($A199="N/A"," ",IF(S199&lt;&gt;0,IF('Pricing Inputs'!$AN$3=2,8*VLOOKUP($A199,NumberofDaysTable,3),(_xll.xSPRDOPT(L199,$E199,$BU199,0,$BP199,$BS199,$BT199,$A199-Inputs!$D$1,1,1))*(8*VLOOKUP($A199,NumberofDaysTable,3))),0))</f>
        <v xml:space="preserve"> </v>
      </c>
      <c r="AA199" s="306" t="str">
        <f>IF($A199="N/A"," ",IF(T199&lt;&gt;0,IF('Pricing Inputs'!$AN$3=2,8*VLOOKUP($A199,NumberofDaysTable,4),(_xll.xSPRDOPT(M199,$E199,$BU199,0,$BP199,$BS199,$BT199,$A199-Inputs!$D$1,1,1))*(8*VLOOKUP($A199,NumberofDaysTable,4))),0))</f>
        <v xml:space="preserve"> </v>
      </c>
      <c r="AB199" s="306" t="str">
        <f>IF($A199="N/A"," ",IF(U199&lt;&gt;0,IF('Pricing Inputs'!$AN$3=2,8*VLOOKUP($A199,NumberofDaysTable,4),(_xll.xSPRDOPT(N199,$E199,$BU199,0,$BP199,$BS199,$BT199,$A199-Inputs!$D$1,1,1))*(8*VLOOKUP($A199,NumberofDaysTable,4))),0))</f>
        <v xml:space="preserve"> </v>
      </c>
      <c r="AC199" s="306" t="str">
        <f t="shared" si="342"/>
        <v xml:space="preserve"> </v>
      </c>
      <c r="AD199" s="274" t="str">
        <f t="shared" si="343"/>
        <v xml:space="preserve"> </v>
      </c>
      <c r="AE199" s="275" t="str">
        <f t="shared" si="344"/>
        <v xml:space="preserve"> </v>
      </c>
      <c r="AF199" s="275" t="str">
        <f t="shared" si="345"/>
        <v xml:space="preserve"> </v>
      </c>
      <c r="AG199" s="275" t="str">
        <f t="shared" si="346"/>
        <v xml:space="preserve"> </v>
      </c>
      <c r="AH199" s="275" t="str">
        <f t="shared" si="347"/>
        <v xml:space="preserve"> </v>
      </c>
      <c r="AI199" s="275" t="str">
        <f t="shared" si="348"/>
        <v xml:space="preserve"> </v>
      </c>
      <c r="AJ199" s="276" t="str">
        <f t="shared" si="349"/>
        <v xml:space="preserve"> </v>
      </c>
      <c r="AK199" s="314" t="str">
        <f t="shared" si="259"/>
        <v xml:space="preserve"> </v>
      </c>
      <c r="AL199" s="315" t="str">
        <f t="shared" si="260"/>
        <v xml:space="preserve"> </v>
      </c>
      <c r="AM199" s="315" t="str">
        <f t="shared" si="261"/>
        <v xml:space="preserve"> </v>
      </c>
      <c r="AN199" s="315" t="str">
        <f t="shared" si="262"/>
        <v xml:space="preserve"> </v>
      </c>
      <c r="AO199" s="315" t="str">
        <f t="shared" si="263"/>
        <v xml:space="preserve"> </v>
      </c>
      <c r="AP199" s="315" t="str">
        <f t="shared" si="264"/>
        <v xml:space="preserve"> </v>
      </c>
      <c r="AQ199" s="315" t="str">
        <f t="shared" si="265"/>
        <v xml:space="preserve"> </v>
      </c>
      <c r="AR199" s="276"/>
      <c r="AS199" s="321" t="str">
        <f t="shared" si="329"/>
        <v xml:space="preserve"> </v>
      </c>
      <c r="AT199" s="324" t="str">
        <f t="shared" si="330"/>
        <v xml:space="preserve"> </v>
      </c>
      <c r="AU199" s="324" t="str">
        <f t="shared" si="331"/>
        <v xml:space="preserve"> </v>
      </c>
      <c r="AV199" s="324" t="str">
        <f t="shared" si="332"/>
        <v xml:space="preserve"> </v>
      </c>
      <c r="AW199" s="324" t="str">
        <f t="shared" si="333"/>
        <v xml:space="preserve"> </v>
      </c>
      <c r="AX199" s="324" t="str">
        <f t="shared" si="334"/>
        <v xml:space="preserve"> </v>
      </c>
      <c r="AY199" s="324" t="str">
        <f t="shared" si="335"/>
        <v xml:space="preserve"> </v>
      </c>
      <c r="AZ199" s="276"/>
      <c r="BA199" s="267" t="str">
        <f>IF($A199="N/A"," ",(IF(MONTH(A199)&gt;=4,IF(MONTH(A199)&lt;=10,Inputs!$F$13,Inputs!$F$14),Inputs!$F$14))*$BW199)</f>
        <v xml:space="preserve"> </v>
      </c>
      <c r="BB199" s="268" t="str">
        <f t="shared" si="266"/>
        <v xml:space="preserve"> </v>
      </c>
      <c r="BC199" s="268" t="str">
        <f t="shared" si="267"/>
        <v xml:space="preserve"> </v>
      </c>
      <c r="BD199" s="268" t="str">
        <f t="shared" si="350"/>
        <v xml:space="preserve"> </v>
      </c>
      <c r="BE199" s="268" t="str">
        <f t="shared" si="351"/>
        <v xml:space="preserve"> </v>
      </c>
      <c r="BF199" s="268" t="str">
        <f t="shared" si="352"/>
        <v xml:space="preserve"> </v>
      </c>
      <c r="BG199" s="268" t="str">
        <f t="shared" si="353"/>
        <v xml:space="preserve"> </v>
      </c>
      <c r="BH199" s="268" t="str">
        <f t="shared" si="258"/>
        <v xml:space="preserve"> </v>
      </c>
      <c r="BI199" s="268" t="str">
        <f t="shared" si="354"/>
        <v xml:space="preserve"> </v>
      </c>
      <c r="BJ199" s="296" t="str">
        <f t="shared" si="355"/>
        <v xml:space="preserve"> </v>
      </c>
      <c r="BK199" s="296" t="str">
        <f t="shared" si="356"/>
        <v xml:space="preserve"> </v>
      </c>
      <c r="BL199" s="296" t="str">
        <f t="shared" si="357"/>
        <v xml:space="preserve"> </v>
      </c>
      <c r="BM199" s="296" t="str">
        <f t="shared" si="358"/>
        <v xml:space="preserve"> </v>
      </c>
      <c r="BN199" s="405" t="str">
        <f>IF(A199="N/A"," ",(VLOOKUP(A199,PowerVolTable,(IF('Pricing Inputs'!$AT$3=2,7,IF('Pricing Inputs'!$AT$3=1,6,8))),FALSE)))</f>
        <v xml:space="preserve"> </v>
      </c>
      <c r="BO199" s="405" t="str">
        <f>IF(A199="N/A"," ",(VLOOKUP(A199,IntraPowerVol,(IF('Pricing Inputs'!$AT$3=2,3,IF('Pricing Inputs'!$AT$3=1,2,4))),FALSE)*VLOOKUP(MONTH($A199),Inputs!$A$28:$B$39,2)))</f>
        <v xml:space="preserve"> </v>
      </c>
      <c r="BP199" s="406" t="str">
        <f t="shared" si="336"/>
        <v xml:space="preserve"> </v>
      </c>
      <c r="BQ199" s="405" t="str">
        <f>IF($A199="N/A"," ",(VLOOKUP($A199,GasVolTable,(IF('Pricing Inputs'!$AT$3=2,6,IF('Pricing Inputs'!$AT$3=1,7,5))),FALSE)))</f>
        <v xml:space="preserve"> </v>
      </c>
      <c r="BR199" s="405" t="str">
        <f>IF($A199="N/A"," ",(VLOOKUP($A199,OmicronVol,(IF('Pricing Inputs'!$AT$3=2,3,IF('Pricing Inputs'!$AT$3=1,4,2))),FALSE)))</f>
        <v xml:space="preserve"> </v>
      </c>
      <c r="BS199" s="406" t="str">
        <f>IF($A199="N/A"," ",IF('Pricing Inputs'!$AN$3=1,(IF(DateToday&gt;$A199,$BR199,((($BQ199^2)*((($A199-1)-DateToday)/((EOMONTH($A199,0)+1)-DateToday-15)))+((($BR199)^2)*((15)/((EOMONTH($A199,0)+1)-DateToday-15))))^0.5)),0.0001))</f>
        <v xml:space="preserve"> </v>
      </c>
      <c r="BT199" s="405" t="str">
        <f>IF($A199="N/A"," ",IF('Pricing Inputs'!$AN$3=1,(VLOOKUP($A199,CorrelationTable,2,FALSE)),0))</f>
        <v xml:space="preserve"> </v>
      </c>
      <c r="BU199" s="407" t="str">
        <f>IF($A199="N/A"," ",F199+G199+(D199*(VLOOKUP($A199,'Gas Curves'!$B$17:$P$310,14,FALSE))))</f>
        <v xml:space="preserve"> </v>
      </c>
      <c r="BV199" s="405" t="str">
        <f>IF($A199="N/A"," ",IF('Pricing Inputs'!$AW$3=1,0,(VLOOKUP($A199,InterestRatesTable,2))))</f>
        <v xml:space="preserve"> </v>
      </c>
      <c r="BW199" s="408" t="str">
        <f t="shared" si="337"/>
        <v xml:space="preserve"> </v>
      </c>
    </row>
    <row r="200" spans="1:75">
      <c r="A200" s="248" t="str">
        <f>IF(A199="N/A","N/A",IF(EDATE(A199,1)&gt;Inputs!$K$3,"N/A",EDATE(A199,1)))</f>
        <v>N/A</v>
      </c>
      <c r="B200" s="262" t="str">
        <f t="shared" si="338"/>
        <v xml:space="preserve"> </v>
      </c>
      <c r="C200" s="249" t="str">
        <f t="shared" si="339"/>
        <v xml:space="preserve"> </v>
      </c>
      <c r="D200" s="250" t="str">
        <f>IF(A200="N/A"," ",(VLOOKUP(MONTH($A200),Inputs!$A$14:$B$25,2))/1000)</f>
        <v xml:space="preserve"> </v>
      </c>
      <c r="E200" s="304" t="str">
        <f t="shared" si="340"/>
        <v xml:space="preserve"> </v>
      </c>
      <c r="F200" s="251" t="str">
        <f>IF(A200="N/A"," ",Inputs!$F$6)</f>
        <v xml:space="preserve"> </v>
      </c>
      <c r="G200" s="251" t="str">
        <f>IF(A200="N/A"," ",Inputs!$F$9/IF(AND('Pricing Inputs'!$AQ$3&gt;=4,'Pricing Inputs'!$AQ$3&lt;=6),16,IF(AND('Pricing Inputs'!$AQ$3&gt;=7,'Pricing Inputs'!$AQ$3&lt;=9),8,24))/(BA200/BW200))</f>
        <v xml:space="preserve"> </v>
      </c>
      <c r="H200" s="252" t="str">
        <f t="shared" si="341"/>
        <v xml:space="preserve"> </v>
      </c>
      <c r="I200" s="255" t="str">
        <f>VLOOKUP(A200,ScaledPrice,(IF(AND('Pricing Inputs'!$AQ$3&gt;=1,'Pricing Inputs'!$AQ$3&lt;=6),2,4)))</f>
        <v xml:space="preserve"> </v>
      </c>
      <c r="J200" s="255" t="str">
        <f>IF(A200="N/A"," ",IF(AND('Pricing Inputs'!$AQ$3&gt;=1,'Pricing Inputs'!$AQ$3&lt;=6),I200,(VLOOKUP(A200,ScaledPrice,2))*(2-(VLOOKUP(A200,ScaledPrice,3)))))</f>
        <v xml:space="preserve"> </v>
      </c>
      <c r="K200" s="255" t="str">
        <f>IF(A200="N/A"," ",IF(OR('Pricing Inputs'!$AQ$3=2,'Pricing Inputs'!$AQ$3=3,'Pricing Inputs'!$AQ$3=5,'Pricing Inputs'!$AQ$3=6,'Pricing Inputs'!$AQ$3=8,'Pricing Inputs'!$AQ$3=9),VLOOKUP(A200,ScaledPrice,IF(AND('Pricing Inputs'!$AQ$3&gt;=2,'Pricing Inputs'!$AQ$3&lt;=6),5,6)),0))</f>
        <v xml:space="preserve"> </v>
      </c>
      <c r="L200" s="255" t="str">
        <f>IF(A200="N/A"," ",IF(OR('Pricing Inputs'!$AQ$3=2,'Pricing Inputs'!$AQ$3=3,'Pricing Inputs'!$AQ$3=5,'Pricing Inputs'!$AQ$3=6,'Pricing Inputs'!$AQ$3=8,'Pricing Inputs'!$AQ$3=9),IF(AND('Pricing Inputs'!$AQ$3&gt;=2,'Pricing Inputs'!$AQ$3&lt;=6),K200,(VLOOKUP(A200,ScaledPrice,5))*(2-(VLOOKUP(A200,ScaledPrice,3)))),0))</f>
        <v xml:space="preserve"> </v>
      </c>
      <c r="M200" s="255" t="str">
        <f>IF(A200="N/A"," ",IF(OR('Pricing Inputs'!$AQ$3=3,'Pricing Inputs'!$AQ$3=6,'Pricing Inputs'!$AQ$3=9),(VLOOKUP(A200,ScaledPrice,IF(AND('Pricing Inputs'!$AQ$3&gt;=3,'Pricing Inputs'!$AQ$3&lt;=6),7,8))),0))</f>
        <v xml:space="preserve"> </v>
      </c>
      <c r="N200" s="255" t="str">
        <f>IF(A200="N/A"," ",IF(OR('Pricing Inputs'!$AQ$3=3,'Pricing Inputs'!$AQ$3=6,'Pricing Inputs'!$AQ$3=9),IF(AND('Pricing Inputs'!$AQ$3&gt;=3,'Pricing Inputs'!$AQ$3&lt;=6),M200,(VLOOKUP(A200,ScaledPrice,7))*(2-(VLOOKUP(A200,ScaledPrice,3)))),0))</f>
        <v xml:space="preserve"> </v>
      </c>
      <c r="O200" s="255" t="str">
        <f>IF(A200="N/A"," ",IF(AND('Pricing Inputs'!$AQ$3&gt;=1,'Pricing Inputs'!$AQ$3&lt;=3),VLOOKUP(A200,ScaledPrice,9),0))</f>
        <v xml:space="preserve"> </v>
      </c>
      <c r="P200" s="320" t="str">
        <f>IF($A200="N/A"," ",IF('Pricing Inputs'!$AN$8=2,(I200-H200),IF('Pricing Inputs'!$AN$3=2,IF((I200-$H200)&gt;0,I200-$H200,0),(_xll.xSPRDOPT(I200,$E200,$BU200,0,$BP200,$BS200,$BT200,($A200-Inputs!$D$1)+15,1,0)))))</f>
        <v xml:space="preserve"> </v>
      </c>
      <c r="Q200" s="320" t="str">
        <f>IF($A200="N/A"," ",IF('Pricing Inputs'!$AN$8=2,(J200-$H200),IF('Pricing Inputs'!$AN$3=2,IF((J200-$H200)&gt;0,J200-$H200,0),(_xll.xSPRDOPT(J200,$E200,$BU200,0,$BP200,$BS200,$BT200,($A200-Inputs!$D$1)+15,1,0)))))</f>
        <v xml:space="preserve"> </v>
      </c>
      <c r="R200" s="320" t="str">
        <f>IF($A200="N/A"," ",IF('Pricing Inputs'!$AN$8=2,(K200-$H200),IF('Pricing Inputs'!$AN$3=2,IF((K200-$H200)&gt;0,K200-$H200,0),(_xll.xSPRDOPT(K200,$E200,$BU200,0,$BP200,$BS200,$BT200,($A200-Inputs!$D$1)+15,1,0)))))</f>
        <v xml:space="preserve"> </v>
      </c>
      <c r="S200" s="320" t="str">
        <f>IF($A200="N/A"," ",IF('Pricing Inputs'!$AN$8=2,(L200-$H200),IF('Pricing Inputs'!$AN$3=2,IF((L200-$H200)&gt;0,L200-$H200,0),(_xll.xSPRDOPT(L200,$E200,$BU200,0,$BP200,$BS200,$BT200,($A200-Inputs!$D$1)+15,1,0)))))</f>
        <v xml:space="preserve"> </v>
      </c>
      <c r="T200" s="320" t="str">
        <f>IF($A200="N/A"," ",IF('Pricing Inputs'!$AN$8=2,(M200-$H200),IF('Pricing Inputs'!$AN$3=2,IF((M200-$H200)&gt;0,M200-$H200,0),(_xll.xSPRDOPT(M200,$E200,$BU200,0,$BP200,$BS200,$BT200,($A200-Inputs!$D$1)+15,1,0)))))</f>
        <v xml:space="preserve"> </v>
      </c>
      <c r="U200" s="320" t="str">
        <f>IF($A200="N/A"," ",IF('Pricing Inputs'!$AN$8=2,(N200-$H200),IF('Pricing Inputs'!$AN$3=2,IF((N200-$H200)&gt;0,N200-$H200,0),(_xll.xSPRDOPT(N200,$E200,$BU200,0,$BP200,$BS200,$BT200,($A200-Inputs!$D$1)+15,1,0)))))</f>
        <v xml:space="preserve"> </v>
      </c>
      <c r="V200" s="259" t="str">
        <f>IF($A200="N/A"," ",(IF('Pricing Inputs'!$AN$8=2,(O200-$H200),IF((O200-$H200)&lt;=0,0,(O200-$H200)))))</f>
        <v xml:space="preserve"> </v>
      </c>
      <c r="W200" s="306" t="str">
        <f>IF($A200="N/A"," ",IF(0&lt;&gt;P200,IF('Pricing Inputs'!$AN$3=2,8*VLOOKUP($A200,NumberofDaysTable,2),(_xll.xSPRDOPT(I200,$E200,$BU200,0,$BP200,$BS200,$BT200,$A200-Inputs!$D$1,1,1))*(8*VLOOKUP($A200,NumberofDaysTable,2))),0))</f>
        <v xml:space="preserve"> </v>
      </c>
      <c r="X200" s="306" t="str">
        <f>IF($A200="N/A"," ",IF(Q200&lt;&gt;0,IF('Pricing Inputs'!$AN$3=2,8*VLOOKUP($A200,NumberofDaysTable,2),(_xll.xSPRDOPT(J200,$E200,$BU200,0,$BP200,$BS200,$BT200,$A200-Inputs!$D$1,1,1))*(8*VLOOKUP($A200,NumberofDaysTable,2))),0))</f>
        <v xml:space="preserve"> </v>
      </c>
      <c r="Y200" s="306" t="str">
        <f>IF($A200="N/A"," ",IF(R200&lt;&gt;0,IF('Pricing Inputs'!$AN$3=2,8*VLOOKUP($A200,NumberofDaysTable,3),(_xll.xSPRDOPT(K200,$E200,$BU200,0,$BP200,$BS200,$BT200,$A200-Inputs!$D$1,1,1))*(8*VLOOKUP($A200,NumberofDaysTable,3))),0))</f>
        <v xml:space="preserve"> </v>
      </c>
      <c r="Z200" s="306" t="str">
        <f>IF($A200="N/A"," ",IF(S200&lt;&gt;0,IF('Pricing Inputs'!$AN$3=2,8*VLOOKUP($A200,NumberofDaysTable,3),(_xll.xSPRDOPT(L200,$E200,$BU200,0,$BP200,$BS200,$BT200,$A200-Inputs!$D$1,1,1))*(8*VLOOKUP($A200,NumberofDaysTable,3))),0))</f>
        <v xml:space="preserve"> </v>
      </c>
      <c r="AA200" s="306" t="str">
        <f>IF($A200="N/A"," ",IF(T200&lt;&gt;0,IF('Pricing Inputs'!$AN$3=2,8*VLOOKUP($A200,NumberofDaysTable,4),(_xll.xSPRDOPT(M200,$E200,$BU200,0,$BP200,$BS200,$BT200,$A200-Inputs!$D$1,1,1))*(8*VLOOKUP($A200,NumberofDaysTable,4))),0))</f>
        <v xml:space="preserve"> </v>
      </c>
      <c r="AB200" s="306" t="str">
        <f>IF($A200="N/A"," ",IF(U200&lt;&gt;0,IF('Pricing Inputs'!$AN$3=2,8*VLOOKUP($A200,NumberofDaysTable,4),(_xll.xSPRDOPT(N200,$E200,$BU200,0,$BP200,$BS200,$BT200,$A200-Inputs!$D$1,1,1))*(8*VLOOKUP($A200,NumberofDaysTable,4))),0))</f>
        <v xml:space="preserve"> </v>
      </c>
      <c r="AC200" s="306" t="str">
        <f t="shared" si="342"/>
        <v xml:space="preserve"> </v>
      </c>
      <c r="AD200" s="274" t="str">
        <f t="shared" si="343"/>
        <v xml:space="preserve"> </v>
      </c>
      <c r="AE200" s="275" t="str">
        <f t="shared" si="344"/>
        <v xml:space="preserve"> </v>
      </c>
      <c r="AF200" s="275" t="str">
        <f t="shared" si="345"/>
        <v xml:space="preserve"> </v>
      </c>
      <c r="AG200" s="275" t="str">
        <f t="shared" si="346"/>
        <v xml:space="preserve"> </v>
      </c>
      <c r="AH200" s="275" t="str">
        <f t="shared" si="347"/>
        <v xml:space="preserve"> </v>
      </c>
      <c r="AI200" s="275" t="str">
        <f t="shared" si="348"/>
        <v xml:space="preserve"> </v>
      </c>
      <c r="AJ200" s="276" t="str">
        <f t="shared" si="349"/>
        <v xml:space="preserve"> </v>
      </c>
      <c r="AK200" s="314" t="str">
        <f t="shared" si="259"/>
        <v xml:space="preserve"> </v>
      </c>
      <c r="AL200" s="315" t="str">
        <f t="shared" si="260"/>
        <v xml:space="preserve"> </v>
      </c>
      <c r="AM200" s="315" t="str">
        <f t="shared" si="261"/>
        <v xml:space="preserve"> </v>
      </c>
      <c r="AN200" s="315" t="str">
        <f t="shared" si="262"/>
        <v xml:space="preserve"> </v>
      </c>
      <c r="AO200" s="315" t="str">
        <f t="shared" si="263"/>
        <v xml:space="preserve"> </v>
      </c>
      <c r="AP200" s="315" t="str">
        <f t="shared" si="264"/>
        <v xml:space="preserve"> </v>
      </c>
      <c r="AQ200" s="315" t="str">
        <f t="shared" si="265"/>
        <v xml:space="preserve"> </v>
      </c>
      <c r="AR200" s="276"/>
      <c r="AS200" s="321" t="str">
        <f t="shared" si="329"/>
        <v xml:space="preserve"> </v>
      </c>
      <c r="AT200" s="324" t="str">
        <f t="shared" si="330"/>
        <v xml:space="preserve"> </v>
      </c>
      <c r="AU200" s="324" t="str">
        <f t="shared" si="331"/>
        <v xml:space="preserve"> </v>
      </c>
      <c r="AV200" s="324" t="str">
        <f t="shared" si="332"/>
        <v xml:space="preserve"> </v>
      </c>
      <c r="AW200" s="324" t="str">
        <f t="shared" si="333"/>
        <v xml:space="preserve"> </v>
      </c>
      <c r="AX200" s="324" t="str">
        <f t="shared" si="334"/>
        <v xml:space="preserve"> </v>
      </c>
      <c r="AY200" s="324" t="str">
        <f t="shared" si="335"/>
        <v xml:space="preserve"> </v>
      </c>
      <c r="AZ200" s="276"/>
      <c r="BA200" s="267" t="str">
        <f>IF($A200="N/A"," ",(IF(MONTH(A200)&gt;=4,IF(MONTH(A200)&lt;=10,Inputs!$F$13,Inputs!$F$14),Inputs!$F$14))*$BW200)</f>
        <v xml:space="preserve"> </v>
      </c>
      <c r="BB200" s="268" t="str">
        <f t="shared" si="266"/>
        <v xml:space="preserve"> </v>
      </c>
      <c r="BC200" s="268" t="str">
        <f t="shared" si="267"/>
        <v xml:space="preserve"> </v>
      </c>
      <c r="BD200" s="268" t="str">
        <f t="shared" si="350"/>
        <v xml:space="preserve"> </v>
      </c>
      <c r="BE200" s="268" t="str">
        <f t="shared" si="351"/>
        <v xml:space="preserve"> </v>
      </c>
      <c r="BF200" s="268" t="str">
        <f t="shared" si="352"/>
        <v xml:space="preserve"> </v>
      </c>
      <c r="BG200" s="268" t="str">
        <f t="shared" si="353"/>
        <v xml:space="preserve"> </v>
      </c>
      <c r="BH200" s="268" t="str">
        <f t="shared" si="258"/>
        <v xml:space="preserve"> </v>
      </c>
      <c r="BI200" s="268" t="str">
        <f t="shared" si="354"/>
        <v xml:space="preserve"> </v>
      </c>
      <c r="BJ200" s="296" t="str">
        <f t="shared" si="355"/>
        <v xml:space="preserve"> </v>
      </c>
      <c r="BK200" s="296" t="str">
        <f t="shared" si="356"/>
        <v xml:space="preserve"> </v>
      </c>
      <c r="BL200" s="296" t="str">
        <f t="shared" si="357"/>
        <v xml:space="preserve"> </v>
      </c>
      <c r="BM200" s="296" t="str">
        <f t="shared" si="358"/>
        <v xml:space="preserve"> </v>
      </c>
      <c r="BN200" s="405" t="str">
        <f>IF(A200="N/A"," ",(VLOOKUP(A200,PowerVolTable,(IF('Pricing Inputs'!$AT$3=2,7,IF('Pricing Inputs'!$AT$3=1,6,8))),FALSE)))</f>
        <v xml:space="preserve"> </v>
      </c>
      <c r="BO200" s="405" t="str">
        <f>IF(A200="N/A"," ",(VLOOKUP(A200,IntraPowerVol,(IF('Pricing Inputs'!$AT$3=2,3,IF('Pricing Inputs'!$AT$3=1,2,4))),FALSE)*VLOOKUP(MONTH($A200),Inputs!$A$28:$B$39,2)))</f>
        <v xml:space="preserve"> </v>
      </c>
      <c r="BP200" s="406" t="str">
        <f t="shared" si="336"/>
        <v xml:space="preserve"> </v>
      </c>
      <c r="BQ200" s="405" t="str">
        <f>IF($A200="N/A"," ",(VLOOKUP($A200,GasVolTable,(IF('Pricing Inputs'!$AT$3=2,6,IF('Pricing Inputs'!$AT$3=1,7,5))),FALSE)))</f>
        <v xml:space="preserve"> </v>
      </c>
      <c r="BR200" s="405" t="str">
        <f>IF($A200="N/A"," ",(VLOOKUP($A200,OmicronVol,(IF('Pricing Inputs'!$AT$3=2,3,IF('Pricing Inputs'!$AT$3=1,4,2))),FALSE)))</f>
        <v xml:space="preserve"> </v>
      </c>
      <c r="BS200" s="406" t="str">
        <f>IF($A200="N/A"," ",IF('Pricing Inputs'!$AN$3=1,(IF(DateToday&gt;$A200,$BR200,((($BQ200^2)*((($A200-1)-DateToday)/((EOMONTH($A200,0)+1)-DateToday-15)))+((($BR200)^2)*((15)/((EOMONTH($A200,0)+1)-DateToday-15))))^0.5)),0.0001))</f>
        <v xml:space="preserve"> </v>
      </c>
      <c r="BT200" s="405" t="str">
        <f>IF($A200="N/A"," ",IF('Pricing Inputs'!$AN$3=1,(VLOOKUP($A200,CorrelationTable,2,FALSE)),0))</f>
        <v xml:space="preserve"> </v>
      </c>
      <c r="BU200" s="407" t="str">
        <f>IF($A200="N/A"," ",F200+G200+(D200*(VLOOKUP($A200,'Gas Curves'!$B$17:$P$310,14,FALSE))))</f>
        <v xml:space="preserve"> </v>
      </c>
      <c r="BV200" s="405" t="str">
        <f>IF($A200="N/A"," ",IF('Pricing Inputs'!$AW$3=1,0,(VLOOKUP($A200,InterestRatesTable,2))))</f>
        <v xml:space="preserve"> </v>
      </c>
      <c r="BW200" s="408" t="str">
        <f t="shared" si="337"/>
        <v xml:space="preserve"> </v>
      </c>
    </row>
    <row r="201" spans="1:75">
      <c r="A201" s="248" t="str">
        <f>IF(A200="N/A","N/A",IF(EDATE(A200,1)&gt;Inputs!$K$3,"N/A",EDATE(A200,1)))</f>
        <v>N/A</v>
      </c>
      <c r="B201" s="262" t="str">
        <f t="shared" si="338"/>
        <v xml:space="preserve"> </v>
      </c>
      <c r="C201" s="249" t="str">
        <f t="shared" si="339"/>
        <v xml:space="preserve"> </v>
      </c>
      <c r="D201" s="250" t="str">
        <f>IF(A201="N/A"," ",(VLOOKUP(MONTH($A201),Inputs!$A$14:$B$25,2))/1000)</f>
        <v xml:space="preserve"> </v>
      </c>
      <c r="E201" s="304" t="str">
        <f t="shared" si="340"/>
        <v xml:space="preserve"> </v>
      </c>
      <c r="F201" s="251" t="str">
        <f>IF(A201="N/A"," ",Inputs!$F$6)</f>
        <v xml:space="preserve"> </v>
      </c>
      <c r="G201" s="251" t="str">
        <f>IF(A201="N/A"," ",Inputs!$F$9/IF(AND('Pricing Inputs'!$AQ$3&gt;=4,'Pricing Inputs'!$AQ$3&lt;=6),16,IF(AND('Pricing Inputs'!$AQ$3&gt;=7,'Pricing Inputs'!$AQ$3&lt;=9),8,24))/(BA201/BW201))</f>
        <v xml:space="preserve"> </v>
      </c>
      <c r="H201" s="252" t="str">
        <f t="shared" si="341"/>
        <v xml:space="preserve"> </v>
      </c>
      <c r="I201" s="255" t="str">
        <f>VLOOKUP(A201,ScaledPrice,(IF(AND('Pricing Inputs'!$AQ$3&gt;=1,'Pricing Inputs'!$AQ$3&lt;=6),2,4)))</f>
        <v xml:space="preserve"> </v>
      </c>
      <c r="J201" s="255" t="str">
        <f>IF(A201="N/A"," ",IF(AND('Pricing Inputs'!$AQ$3&gt;=1,'Pricing Inputs'!$AQ$3&lt;=6),I201,(VLOOKUP(A201,ScaledPrice,2))*(2-(VLOOKUP(A201,ScaledPrice,3)))))</f>
        <v xml:space="preserve"> </v>
      </c>
      <c r="K201" s="255" t="str">
        <f>IF(A201="N/A"," ",IF(OR('Pricing Inputs'!$AQ$3=2,'Pricing Inputs'!$AQ$3=3,'Pricing Inputs'!$AQ$3=5,'Pricing Inputs'!$AQ$3=6,'Pricing Inputs'!$AQ$3=8,'Pricing Inputs'!$AQ$3=9),VLOOKUP(A201,ScaledPrice,IF(AND('Pricing Inputs'!$AQ$3&gt;=2,'Pricing Inputs'!$AQ$3&lt;=6),5,6)),0))</f>
        <v xml:space="preserve"> </v>
      </c>
      <c r="L201" s="255" t="str">
        <f>IF(A201="N/A"," ",IF(OR('Pricing Inputs'!$AQ$3=2,'Pricing Inputs'!$AQ$3=3,'Pricing Inputs'!$AQ$3=5,'Pricing Inputs'!$AQ$3=6,'Pricing Inputs'!$AQ$3=8,'Pricing Inputs'!$AQ$3=9),IF(AND('Pricing Inputs'!$AQ$3&gt;=2,'Pricing Inputs'!$AQ$3&lt;=6),K201,(VLOOKUP(A201,ScaledPrice,5))*(2-(VLOOKUP(A201,ScaledPrice,3)))),0))</f>
        <v xml:space="preserve"> </v>
      </c>
      <c r="M201" s="255" t="str">
        <f>IF(A201="N/A"," ",IF(OR('Pricing Inputs'!$AQ$3=3,'Pricing Inputs'!$AQ$3=6,'Pricing Inputs'!$AQ$3=9),(VLOOKUP(A201,ScaledPrice,IF(AND('Pricing Inputs'!$AQ$3&gt;=3,'Pricing Inputs'!$AQ$3&lt;=6),7,8))),0))</f>
        <v xml:space="preserve"> </v>
      </c>
      <c r="N201" s="255" t="str">
        <f>IF(A201="N/A"," ",IF(OR('Pricing Inputs'!$AQ$3=3,'Pricing Inputs'!$AQ$3=6,'Pricing Inputs'!$AQ$3=9),IF(AND('Pricing Inputs'!$AQ$3&gt;=3,'Pricing Inputs'!$AQ$3&lt;=6),M201,(VLOOKUP(A201,ScaledPrice,7))*(2-(VLOOKUP(A201,ScaledPrice,3)))),0))</f>
        <v xml:space="preserve"> </v>
      </c>
      <c r="O201" s="255" t="str">
        <f>IF(A201="N/A"," ",IF(AND('Pricing Inputs'!$AQ$3&gt;=1,'Pricing Inputs'!$AQ$3&lt;=3),VLOOKUP(A201,ScaledPrice,9),0))</f>
        <v xml:space="preserve"> </v>
      </c>
      <c r="P201" s="320" t="str">
        <f>IF($A201="N/A"," ",IF('Pricing Inputs'!$AN$8=2,(I201-H201),IF('Pricing Inputs'!$AN$3=2,IF((I201-$H201)&gt;0,I201-$H201,0),(_xll.xSPRDOPT(I201,$E201,$BU201,0,$BP201,$BS201,$BT201,($A201-Inputs!$D$1)+15,1,0)))))</f>
        <v xml:space="preserve"> </v>
      </c>
      <c r="Q201" s="320" t="str">
        <f>IF($A201="N/A"," ",IF('Pricing Inputs'!$AN$8=2,(J201-$H201),IF('Pricing Inputs'!$AN$3=2,IF((J201-$H201)&gt;0,J201-$H201,0),(_xll.xSPRDOPT(J201,$E201,$BU201,0,$BP201,$BS201,$BT201,($A201-Inputs!$D$1)+15,1,0)))))</f>
        <v xml:space="preserve"> </v>
      </c>
      <c r="R201" s="320" t="str">
        <f>IF($A201="N/A"," ",IF('Pricing Inputs'!$AN$8=2,(K201-$H201),IF('Pricing Inputs'!$AN$3=2,IF((K201-$H201)&gt;0,K201-$H201,0),(_xll.xSPRDOPT(K201,$E201,$BU201,0,$BP201,$BS201,$BT201,($A201-Inputs!$D$1)+15,1,0)))))</f>
        <v xml:space="preserve"> </v>
      </c>
      <c r="S201" s="320" t="str">
        <f>IF($A201="N/A"," ",IF('Pricing Inputs'!$AN$8=2,(L201-$H201),IF('Pricing Inputs'!$AN$3=2,IF((L201-$H201)&gt;0,L201-$H201,0),(_xll.xSPRDOPT(L201,$E201,$BU201,0,$BP201,$BS201,$BT201,($A201-Inputs!$D$1)+15,1,0)))))</f>
        <v xml:space="preserve"> </v>
      </c>
      <c r="T201" s="320" t="str">
        <f>IF($A201="N/A"," ",IF('Pricing Inputs'!$AN$8=2,(M201-$H201),IF('Pricing Inputs'!$AN$3=2,IF((M201-$H201)&gt;0,M201-$H201,0),(_xll.xSPRDOPT(M201,$E201,$BU201,0,$BP201,$BS201,$BT201,($A201-Inputs!$D$1)+15,1,0)))))</f>
        <v xml:space="preserve"> </v>
      </c>
      <c r="U201" s="320" t="str">
        <f>IF($A201="N/A"," ",IF('Pricing Inputs'!$AN$8=2,(N201-$H201),IF('Pricing Inputs'!$AN$3=2,IF((N201-$H201)&gt;0,N201-$H201,0),(_xll.xSPRDOPT(N201,$E201,$BU201,0,$BP201,$BS201,$BT201,($A201-Inputs!$D$1)+15,1,0)))))</f>
        <v xml:space="preserve"> </v>
      </c>
      <c r="V201" s="259" t="str">
        <f>IF($A201="N/A"," ",(IF('Pricing Inputs'!$AN$8=2,(O201-$H201),IF((O201-$H201)&lt;=0,0,(O201-$H201)))))</f>
        <v xml:space="preserve"> </v>
      </c>
      <c r="W201" s="306" t="str">
        <f>IF($A201="N/A"," ",IF(0&lt;&gt;P201,IF('Pricing Inputs'!$AN$3=2,8*VLOOKUP($A201,NumberofDaysTable,2),(_xll.xSPRDOPT(I201,$E201,$BU201,0,$BP201,$BS201,$BT201,$A201-Inputs!$D$1,1,1))*(8*VLOOKUP($A201,NumberofDaysTable,2))),0))</f>
        <v xml:space="preserve"> </v>
      </c>
      <c r="X201" s="306" t="str">
        <f>IF($A201="N/A"," ",IF(Q201&lt;&gt;0,IF('Pricing Inputs'!$AN$3=2,8*VLOOKUP($A201,NumberofDaysTable,2),(_xll.xSPRDOPT(J201,$E201,$BU201,0,$BP201,$BS201,$BT201,$A201-Inputs!$D$1,1,1))*(8*VLOOKUP($A201,NumberofDaysTable,2))),0))</f>
        <v xml:space="preserve"> </v>
      </c>
      <c r="Y201" s="306" t="str">
        <f>IF($A201="N/A"," ",IF(R201&lt;&gt;0,IF('Pricing Inputs'!$AN$3=2,8*VLOOKUP($A201,NumberofDaysTable,3),(_xll.xSPRDOPT(K201,$E201,$BU201,0,$BP201,$BS201,$BT201,$A201-Inputs!$D$1,1,1))*(8*VLOOKUP($A201,NumberofDaysTable,3))),0))</f>
        <v xml:space="preserve"> </v>
      </c>
      <c r="Z201" s="306" t="str">
        <f>IF($A201="N/A"," ",IF(S201&lt;&gt;0,IF('Pricing Inputs'!$AN$3=2,8*VLOOKUP($A201,NumberofDaysTable,3),(_xll.xSPRDOPT(L201,$E201,$BU201,0,$BP201,$BS201,$BT201,$A201-Inputs!$D$1,1,1))*(8*VLOOKUP($A201,NumberofDaysTable,3))),0))</f>
        <v xml:space="preserve"> </v>
      </c>
      <c r="AA201" s="306" t="str">
        <f>IF($A201="N/A"," ",IF(T201&lt;&gt;0,IF('Pricing Inputs'!$AN$3=2,8*VLOOKUP($A201,NumberofDaysTable,4),(_xll.xSPRDOPT(M201,$E201,$BU201,0,$BP201,$BS201,$BT201,$A201-Inputs!$D$1,1,1))*(8*VLOOKUP($A201,NumberofDaysTable,4))),0))</f>
        <v xml:space="preserve"> </v>
      </c>
      <c r="AB201" s="306" t="str">
        <f>IF($A201="N/A"," ",IF(U201&lt;&gt;0,IF('Pricing Inputs'!$AN$3=2,8*VLOOKUP($A201,NumberofDaysTable,4),(_xll.xSPRDOPT(N201,$E201,$BU201,0,$BP201,$BS201,$BT201,$A201-Inputs!$D$1,1,1))*(8*VLOOKUP($A201,NumberofDaysTable,4))),0))</f>
        <v xml:space="preserve"> </v>
      </c>
      <c r="AC201" s="306" t="str">
        <f t="shared" si="342"/>
        <v xml:space="preserve"> </v>
      </c>
      <c r="AD201" s="274" t="str">
        <f t="shared" si="343"/>
        <v xml:space="preserve"> </v>
      </c>
      <c r="AE201" s="275" t="str">
        <f t="shared" si="344"/>
        <v xml:space="preserve"> </v>
      </c>
      <c r="AF201" s="275" t="str">
        <f t="shared" si="345"/>
        <v xml:space="preserve"> </v>
      </c>
      <c r="AG201" s="275" t="str">
        <f t="shared" si="346"/>
        <v xml:space="preserve"> </v>
      </c>
      <c r="AH201" s="275" t="str">
        <f t="shared" si="347"/>
        <v xml:space="preserve"> </v>
      </c>
      <c r="AI201" s="275" t="str">
        <f t="shared" si="348"/>
        <v xml:space="preserve"> </v>
      </c>
      <c r="AJ201" s="276" t="str">
        <f t="shared" si="349"/>
        <v xml:space="preserve"> </v>
      </c>
      <c r="AK201" s="314" t="str">
        <f t="shared" si="259"/>
        <v xml:space="preserve"> </v>
      </c>
      <c r="AL201" s="315" t="str">
        <f t="shared" si="260"/>
        <v xml:space="preserve"> </v>
      </c>
      <c r="AM201" s="315" t="str">
        <f t="shared" si="261"/>
        <v xml:space="preserve"> </v>
      </c>
      <c r="AN201" s="315" t="str">
        <f t="shared" si="262"/>
        <v xml:space="preserve"> </v>
      </c>
      <c r="AO201" s="315" t="str">
        <f t="shared" si="263"/>
        <v xml:space="preserve"> </v>
      </c>
      <c r="AP201" s="315" t="str">
        <f t="shared" si="264"/>
        <v xml:space="preserve"> </v>
      </c>
      <c r="AQ201" s="315" t="str">
        <f t="shared" si="265"/>
        <v xml:space="preserve"> </v>
      </c>
      <c r="AR201" s="276"/>
      <c r="AS201" s="321" t="str">
        <f t="shared" si="329"/>
        <v xml:space="preserve"> </v>
      </c>
      <c r="AT201" s="324" t="str">
        <f t="shared" si="330"/>
        <v xml:space="preserve"> </v>
      </c>
      <c r="AU201" s="324" t="str">
        <f t="shared" si="331"/>
        <v xml:space="preserve"> </v>
      </c>
      <c r="AV201" s="324" t="str">
        <f t="shared" si="332"/>
        <v xml:space="preserve"> </v>
      </c>
      <c r="AW201" s="324" t="str">
        <f t="shared" si="333"/>
        <v xml:space="preserve"> </v>
      </c>
      <c r="AX201" s="324" t="str">
        <f t="shared" si="334"/>
        <v xml:space="preserve"> </v>
      </c>
      <c r="AY201" s="324" t="str">
        <f t="shared" si="335"/>
        <v xml:space="preserve"> </v>
      </c>
      <c r="AZ201" s="276"/>
      <c r="BA201" s="267" t="str">
        <f>IF($A201="N/A"," ",(IF(MONTH(A201)&gt;=4,IF(MONTH(A201)&lt;=10,Inputs!$F$13,Inputs!$F$14),Inputs!$F$14))*$BW201)</f>
        <v xml:space="preserve"> </v>
      </c>
      <c r="BB201" s="268" t="str">
        <f t="shared" si="266"/>
        <v xml:space="preserve"> </v>
      </c>
      <c r="BC201" s="268" t="str">
        <f t="shared" si="267"/>
        <v xml:space="preserve"> </v>
      </c>
      <c r="BD201" s="268" t="str">
        <f t="shared" si="350"/>
        <v xml:space="preserve"> </v>
      </c>
      <c r="BE201" s="268" t="str">
        <f t="shared" si="351"/>
        <v xml:space="preserve"> </v>
      </c>
      <c r="BF201" s="268" t="str">
        <f t="shared" si="352"/>
        <v xml:space="preserve"> </v>
      </c>
      <c r="BG201" s="268" t="str">
        <f t="shared" si="353"/>
        <v xml:space="preserve"> </v>
      </c>
      <c r="BH201" s="268" t="str">
        <f t="shared" si="258"/>
        <v xml:space="preserve"> </v>
      </c>
      <c r="BI201" s="268" t="str">
        <f t="shared" si="354"/>
        <v xml:space="preserve"> </v>
      </c>
      <c r="BJ201" s="296" t="str">
        <f t="shared" si="355"/>
        <v xml:space="preserve"> </v>
      </c>
      <c r="BK201" s="296" t="str">
        <f t="shared" si="356"/>
        <v xml:space="preserve"> </v>
      </c>
      <c r="BL201" s="296" t="str">
        <f t="shared" si="357"/>
        <v xml:space="preserve"> </v>
      </c>
      <c r="BM201" s="296" t="str">
        <f t="shared" si="358"/>
        <v xml:space="preserve"> </v>
      </c>
      <c r="BN201" s="405" t="str">
        <f>IF(A201="N/A"," ",(VLOOKUP(A201,PowerVolTable,(IF('Pricing Inputs'!$AT$3=2,7,IF('Pricing Inputs'!$AT$3=1,6,8))),FALSE)))</f>
        <v xml:space="preserve"> </v>
      </c>
      <c r="BO201" s="405" t="str">
        <f>IF(A201="N/A"," ",(VLOOKUP(A201,IntraPowerVol,(IF('Pricing Inputs'!$AT$3=2,3,IF('Pricing Inputs'!$AT$3=1,2,4))),FALSE)*VLOOKUP(MONTH($A201),Inputs!$A$28:$B$39,2)))</f>
        <v xml:space="preserve"> </v>
      </c>
      <c r="BP201" s="406" t="str">
        <f t="shared" si="336"/>
        <v xml:space="preserve"> </v>
      </c>
      <c r="BQ201" s="405" t="str">
        <f>IF($A201="N/A"," ",(VLOOKUP($A201,GasVolTable,(IF('Pricing Inputs'!$AT$3=2,6,IF('Pricing Inputs'!$AT$3=1,7,5))),FALSE)))</f>
        <v xml:space="preserve"> </v>
      </c>
      <c r="BR201" s="405" t="str">
        <f>IF($A201="N/A"," ",(VLOOKUP($A201,OmicronVol,(IF('Pricing Inputs'!$AT$3=2,3,IF('Pricing Inputs'!$AT$3=1,4,2))),FALSE)))</f>
        <v xml:space="preserve"> </v>
      </c>
      <c r="BS201" s="406" t="str">
        <f>IF($A201="N/A"," ",IF('Pricing Inputs'!$AN$3=1,(IF(DateToday&gt;$A201,$BR201,((($BQ201^2)*((($A201-1)-DateToday)/((EOMONTH($A201,0)+1)-DateToday-15)))+((($BR201)^2)*((15)/((EOMONTH($A201,0)+1)-DateToday-15))))^0.5)),0.0001))</f>
        <v xml:space="preserve"> </v>
      </c>
      <c r="BT201" s="405" t="str">
        <f>IF($A201="N/A"," ",IF('Pricing Inputs'!$AN$3=1,(VLOOKUP($A201,CorrelationTable,2,FALSE)),0))</f>
        <v xml:space="preserve"> </v>
      </c>
      <c r="BU201" s="407" t="str">
        <f>IF($A201="N/A"," ",F201+G201+(D201*(VLOOKUP($A201,'Gas Curves'!$B$17:$P$310,14,FALSE))))</f>
        <v xml:space="preserve"> </v>
      </c>
      <c r="BV201" s="405" t="str">
        <f>IF($A201="N/A"," ",IF('Pricing Inputs'!$AW$3=1,0,(VLOOKUP($A201,InterestRatesTable,2))))</f>
        <v xml:space="preserve"> </v>
      </c>
      <c r="BW201" s="408" t="str">
        <f t="shared" si="337"/>
        <v xml:space="preserve"> </v>
      </c>
    </row>
    <row r="202" spans="1:75">
      <c r="A202" s="248" t="str">
        <f>IF(A201="N/A","N/A",IF(EDATE(A201,1)&gt;Inputs!$K$3,"N/A",EDATE(A201,1)))</f>
        <v>N/A</v>
      </c>
      <c r="B202" s="262" t="str">
        <f t="shared" si="338"/>
        <v xml:space="preserve"> </v>
      </c>
      <c r="C202" s="249" t="str">
        <f t="shared" si="339"/>
        <v xml:space="preserve"> </v>
      </c>
      <c r="D202" s="250" t="str">
        <f>IF(A202="N/A"," ",(VLOOKUP(MONTH($A202),Inputs!$A$14:$B$25,2))/1000)</f>
        <v xml:space="preserve"> </v>
      </c>
      <c r="E202" s="304" t="str">
        <f t="shared" si="340"/>
        <v xml:space="preserve"> </v>
      </c>
      <c r="F202" s="251" t="str">
        <f>IF(A202="N/A"," ",Inputs!$F$6)</f>
        <v xml:space="preserve"> </v>
      </c>
      <c r="G202" s="251" t="str">
        <f>IF(A202="N/A"," ",Inputs!$F$9/IF(AND('Pricing Inputs'!$AQ$3&gt;=4,'Pricing Inputs'!$AQ$3&lt;=6),16,IF(AND('Pricing Inputs'!$AQ$3&gt;=7,'Pricing Inputs'!$AQ$3&lt;=9),8,24))/(BA202/BW202))</f>
        <v xml:space="preserve"> </v>
      </c>
      <c r="H202" s="252" t="str">
        <f t="shared" si="341"/>
        <v xml:space="preserve"> </v>
      </c>
      <c r="I202" s="255" t="str">
        <f>VLOOKUP(A202,ScaledPrice,(IF(AND('Pricing Inputs'!$AQ$3&gt;=1,'Pricing Inputs'!$AQ$3&lt;=6),2,4)))</f>
        <v xml:space="preserve"> </v>
      </c>
      <c r="J202" s="255" t="str">
        <f>IF(A202="N/A"," ",IF(AND('Pricing Inputs'!$AQ$3&gt;=1,'Pricing Inputs'!$AQ$3&lt;=6),I202,(VLOOKUP(A202,ScaledPrice,2))*(2-(VLOOKUP(A202,ScaledPrice,3)))))</f>
        <v xml:space="preserve"> </v>
      </c>
      <c r="K202" s="255" t="str">
        <f>IF(A202="N/A"," ",IF(OR('Pricing Inputs'!$AQ$3=2,'Pricing Inputs'!$AQ$3=3,'Pricing Inputs'!$AQ$3=5,'Pricing Inputs'!$AQ$3=6,'Pricing Inputs'!$AQ$3=8,'Pricing Inputs'!$AQ$3=9),VLOOKUP(A202,ScaledPrice,IF(AND('Pricing Inputs'!$AQ$3&gt;=2,'Pricing Inputs'!$AQ$3&lt;=6),5,6)),0))</f>
        <v xml:space="preserve"> </v>
      </c>
      <c r="L202" s="255" t="str">
        <f>IF(A202="N/A"," ",IF(OR('Pricing Inputs'!$AQ$3=2,'Pricing Inputs'!$AQ$3=3,'Pricing Inputs'!$AQ$3=5,'Pricing Inputs'!$AQ$3=6,'Pricing Inputs'!$AQ$3=8,'Pricing Inputs'!$AQ$3=9),IF(AND('Pricing Inputs'!$AQ$3&gt;=2,'Pricing Inputs'!$AQ$3&lt;=6),K202,(VLOOKUP(A202,ScaledPrice,5))*(2-(VLOOKUP(A202,ScaledPrice,3)))),0))</f>
        <v xml:space="preserve"> </v>
      </c>
      <c r="M202" s="255" t="str">
        <f>IF(A202="N/A"," ",IF(OR('Pricing Inputs'!$AQ$3=3,'Pricing Inputs'!$AQ$3=6,'Pricing Inputs'!$AQ$3=9),(VLOOKUP(A202,ScaledPrice,IF(AND('Pricing Inputs'!$AQ$3&gt;=3,'Pricing Inputs'!$AQ$3&lt;=6),7,8))),0))</f>
        <v xml:space="preserve"> </v>
      </c>
      <c r="N202" s="255" t="str">
        <f>IF(A202="N/A"," ",IF(OR('Pricing Inputs'!$AQ$3=3,'Pricing Inputs'!$AQ$3=6,'Pricing Inputs'!$AQ$3=9),IF(AND('Pricing Inputs'!$AQ$3&gt;=3,'Pricing Inputs'!$AQ$3&lt;=6),M202,(VLOOKUP(A202,ScaledPrice,7))*(2-(VLOOKUP(A202,ScaledPrice,3)))),0))</f>
        <v xml:space="preserve"> </v>
      </c>
      <c r="O202" s="255" t="str">
        <f>IF(A202="N/A"," ",IF(AND('Pricing Inputs'!$AQ$3&gt;=1,'Pricing Inputs'!$AQ$3&lt;=3),VLOOKUP(A202,ScaledPrice,9),0))</f>
        <v xml:space="preserve"> </v>
      </c>
      <c r="P202" s="320" t="str">
        <f>IF($A202="N/A"," ",IF('Pricing Inputs'!$AN$8=2,(I202-H202),IF('Pricing Inputs'!$AN$3=2,IF((I202-$H202)&gt;0,I202-$H202,0),(_xll.xSPRDOPT(I202,$E202,$BU202,0,$BP202,$BS202,$BT202,($A202-Inputs!$D$1)+15,1,0)))))</f>
        <v xml:space="preserve"> </v>
      </c>
      <c r="Q202" s="320" t="str">
        <f>IF($A202="N/A"," ",IF('Pricing Inputs'!$AN$8=2,(J202-$H202),IF('Pricing Inputs'!$AN$3=2,IF((J202-$H202)&gt;0,J202-$H202,0),(_xll.xSPRDOPT(J202,$E202,$BU202,0,$BP202,$BS202,$BT202,($A202-Inputs!$D$1)+15,1,0)))))</f>
        <v xml:space="preserve"> </v>
      </c>
      <c r="R202" s="320" t="str">
        <f>IF($A202="N/A"," ",IF('Pricing Inputs'!$AN$8=2,(K202-$H202),IF('Pricing Inputs'!$AN$3=2,IF((K202-$H202)&gt;0,K202-$H202,0),(_xll.xSPRDOPT(K202,$E202,$BU202,0,$BP202,$BS202,$BT202,($A202-Inputs!$D$1)+15,1,0)))))</f>
        <v xml:space="preserve"> </v>
      </c>
      <c r="S202" s="320" t="str">
        <f>IF($A202="N/A"," ",IF('Pricing Inputs'!$AN$8=2,(L202-$H202),IF('Pricing Inputs'!$AN$3=2,IF((L202-$H202)&gt;0,L202-$H202,0),(_xll.xSPRDOPT(L202,$E202,$BU202,0,$BP202,$BS202,$BT202,($A202-Inputs!$D$1)+15,1,0)))))</f>
        <v xml:space="preserve"> </v>
      </c>
      <c r="T202" s="320" t="str">
        <f>IF($A202="N/A"," ",IF('Pricing Inputs'!$AN$8=2,(M202-$H202),IF('Pricing Inputs'!$AN$3=2,IF((M202-$H202)&gt;0,M202-$H202,0),(_xll.xSPRDOPT(M202,$E202,$BU202,0,$BP202,$BS202,$BT202,($A202-Inputs!$D$1)+15,1,0)))))</f>
        <v xml:space="preserve"> </v>
      </c>
      <c r="U202" s="320" t="str">
        <f>IF($A202="N/A"," ",IF('Pricing Inputs'!$AN$8=2,(N202-$H202),IF('Pricing Inputs'!$AN$3=2,IF((N202-$H202)&gt;0,N202-$H202,0),(_xll.xSPRDOPT(N202,$E202,$BU202,0,$BP202,$BS202,$BT202,($A202-Inputs!$D$1)+15,1,0)))))</f>
        <v xml:space="preserve"> </v>
      </c>
      <c r="V202" s="259" t="str">
        <f>IF($A202="N/A"," ",(IF('Pricing Inputs'!$AN$8=2,(O202-$H202),IF((O202-$H202)&lt;=0,0,(O202-$H202)))))</f>
        <v xml:space="preserve"> </v>
      </c>
      <c r="W202" s="306" t="str">
        <f>IF($A202="N/A"," ",IF(0&lt;&gt;P202,IF('Pricing Inputs'!$AN$3=2,8*VLOOKUP($A202,NumberofDaysTable,2),(_xll.xSPRDOPT(I202,$E202,$BU202,0,$BP202,$BS202,$BT202,$A202-Inputs!$D$1,1,1))*(8*VLOOKUP($A202,NumberofDaysTable,2))),0))</f>
        <v xml:space="preserve"> </v>
      </c>
      <c r="X202" s="306" t="str">
        <f>IF($A202="N/A"," ",IF(Q202&lt;&gt;0,IF('Pricing Inputs'!$AN$3=2,8*VLOOKUP($A202,NumberofDaysTable,2),(_xll.xSPRDOPT(J202,$E202,$BU202,0,$BP202,$BS202,$BT202,$A202-Inputs!$D$1,1,1))*(8*VLOOKUP($A202,NumberofDaysTable,2))),0))</f>
        <v xml:space="preserve"> </v>
      </c>
      <c r="Y202" s="306" t="str">
        <f>IF($A202="N/A"," ",IF(R202&lt;&gt;0,IF('Pricing Inputs'!$AN$3=2,8*VLOOKUP($A202,NumberofDaysTable,3),(_xll.xSPRDOPT(K202,$E202,$BU202,0,$BP202,$BS202,$BT202,$A202-Inputs!$D$1,1,1))*(8*VLOOKUP($A202,NumberofDaysTable,3))),0))</f>
        <v xml:space="preserve"> </v>
      </c>
      <c r="Z202" s="306" t="str">
        <f>IF($A202="N/A"," ",IF(S202&lt;&gt;0,IF('Pricing Inputs'!$AN$3=2,8*VLOOKUP($A202,NumberofDaysTable,3),(_xll.xSPRDOPT(L202,$E202,$BU202,0,$BP202,$BS202,$BT202,$A202-Inputs!$D$1,1,1))*(8*VLOOKUP($A202,NumberofDaysTable,3))),0))</f>
        <v xml:space="preserve"> </v>
      </c>
      <c r="AA202" s="306" t="str">
        <f>IF($A202="N/A"," ",IF(T202&lt;&gt;0,IF('Pricing Inputs'!$AN$3=2,8*VLOOKUP($A202,NumberofDaysTable,4),(_xll.xSPRDOPT(M202,$E202,$BU202,0,$BP202,$BS202,$BT202,$A202-Inputs!$D$1,1,1))*(8*VLOOKUP($A202,NumberofDaysTable,4))),0))</f>
        <v xml:space="preserve"> </v>
      </c>
      <c r="AB202" s="306" t="str">
        <f>IF($A202="N/A"," ",IF(U202&lt;&gt;0,IF('Pricing Inputs'!$AN$3=2,8*VLOOKUP($A202,NumberofDaysTable,4),(_xll.xSPRDOPT(N202,$E202,$BU202,0,$BP202,$BS202,$BT202,$A202-Inputs!$D$1,1,1))*(8*VLOOKUP($A202,NumberofDaysTable,4))),0))</f>
        <v xml:space="preserve"> </v>
      </c>
      <c r="AC202" s="306" t="str">
        <f t="shared" si="342"/>
        <v xml:space="preserve"> </v>
      </c>
      <c r="AD202" s="274" t="str">
        <f t="shared" si="343"/>
        <v xml:space="preserve"> </v>
      </c>
      <c r="AE202" s="275" t="str">
        <f t="shared" si="344"/>
        <v xml:space="preserve"> </v>
      </c>
      <c r="AF202" s="275" t="str">
        <f t="shared" si="345"/>
        <v xml:space="preserve"> </v>
      </c>
      <c r="AG202" s="275" t="str">
        <f t="shared" si="346"/>
        <v xml:space="preserve"> </v>
      </c>
      <c r="AH202" s="275" t="str">
        <f t="shared" si="347"/>
        <v xml:space="preserve"> </v>
      </c>
      <c r="AI202" s="275" t="str">
        <f t="shared" si="348"/>
        <v xml:space="preserve"> </v>
      </c>
      <c r="AJ202" s="276" t="str">
        <f t="shared" si="349"/>
        <v xml:space="preserve"> </v>
      </c>
      <c r="AK202" s="314" t="str">
        <f t="shared" si="259"/>
        <v xml:space="preserve"> </v>
      </c>
      <c r="AL202" s="315" t="str">
        <f t="shared" si="260"/>
        <v xml:space="preserve"> </v>
      </c>
      <c r="AM202" s="315" t="str">
        <f t="shared" si="261"/>
        <v xml:space="preserve"> </v>
      </c>
      <c r="AN202" s="315" t="str">
        <f t="shared" si="262"/>
        <v xml:space="preserve"> </v>
      </c>
      <c r="AO202" s="315" t="str">
        <f t="shared" si="263"/>
        <v xml:space="preserve"> </v>
      </c>
      <c r="AP202" s="315" t="str">
        <f t="shared" si="264"/>
        <v xml:space="preserve"> </v>
      </c>
      <c r="AQ202" s="315" t="str">
        <f t="shared" si="265"/>
        <v xml:space="preserve"> </v>
      </c>
      <c r="AR202" s="276"/>
      <c r="AS202" s="321" t="str">
        <f t="shared" si="329"/>
        <v xml:space="preserve"> </v>
      </c>
      <c r="AT202" s="324" t="str">
        <f t="shared" si="330"/>
        <v xml:space="preserve"> </v>
      </c>
      <c r="AU202" s="324" t="str">
        <f t="shared" si="331"/>
        <v xml:space="preserve"> </v>
      </c>
      <c r="AV202" s="324" t="str">
        <f t="shared" si="332"/>
        <v xml:space="preserve"> </v>
      </c>
      <c r="AW202" s="324" t="str">
        <f t="shared" si="333"/>
        <v xml:space="preserve"> </v>
      </c>
      <c r="AX202" s="324" t="str">
        <f t="shared" si="334"/>
        <v xml:space="preserve"> </v>
      </c>
      <c r="AY202" s="324" t="str">
        <f t="shared" si="335"/>
        <v xml:space="preserve"> </v>
      </c>
      <c r="AZ202" s="276"/>
      <c r="BA202" s="267" t="str">
        <f>IF($A202="N/A"," ",(IF(MONTH(A202)&gt;=4,IF(MONTH(A202)&lt;=10,Inputs!$F$13,Inputs!$F$14),Inputs!$F$14))*$BW202)</f>
        <v xml:space="preserve"> </v>
      </c>
      <c r="BB202" s="268" t="str">
        <f t="shared" si="266"/>
        <v xml:space="preserve"> </v>
      </c>
      <c r="BC202" s="268" t="str">
        <f t="shared" si="267"/>
        <v xml:space="preserve"> </v>
      </c>
      <c r="BD202" s="268" t="str">
        <f t="shared" si="350"/>
        <v xml:space="preserve"> </v>
      </c>
      <c r="BE202" s="268" t="str">
        <f t="shared" si="351"/>
        <v xml:space="preserve"> </v>
      </c>
      <c r="BF202" s="268" t="str">
        <f t="shared" si="352"/>
        <v xml:space="preserve"> </v>
      </c>
      <c r="BG202" s="268" t="str">
        <f t="shared" si="353"/>
        <v xml:space="preserve"> </v>
      </c>
      <c r="BH202" s="268" t="str">
        <f t="shared" si="258"/>
        <v xml:space="preserve"> </v>
      </c>
      <c r="BI202" s="268" t="str">
        <f t="shared" si="354"/>
        <v xml:space="preserve"> </v>
      </c>
      <c r="BJ202" s="296" t="str">
        <f t="shared" si="355"/>
        <v xml:space="preserve"> </v>
      </c>
      <c r="BK202" s="296" t="str">
        <f t="shared" si="356"/>
        <v xml:space="preserve"> </v>
      </c>
      <c r="BL202" s="296" t="str">
        <f t="shared" si="357"/>
        <v xml:space="preserve"> </v>
      </c>
      <c r="BM202" s="296" t="str">
        <f t="shared" si="358"/>
        <v xml:space="preserve"> </v>
      </c>
      <c r="BN202" s="405" t="str">
        <f>IF(A202="N/A"," ",(VLOOKUP(A202,PowerVolTable,(IF('Pricing Inputs'!$AT$3=2,7,IF('Pricing Inputs'!$AT$3=1,6,8))),FALSE)))</f>
        <v xml:space="preserve"> </v>
      </c>
      <c r="BO202" s="405" t="str">
        <f>IF(A202="N/A"," ",(VLOOKUP(A202,IntraPowerVol,(IF('Pricing Inputs'!$AT$3=2,3,IF('Pricing Inputs'!$AT$3=1,2,4))),FALSE)*VLOOKUP(MONTH($A202),Inputs!$A$28:$B$39,2)))</f>
        <v xml:space="preserve"> </v>
      </c>
      <c r="BP202" s="406" t="str">
        <f t="shared" si="336"/>
        <v xml:space="preserve"> </v>
      </c>
      <c r="BQ202" s="405" t="str">
        <f>IF($A202="N/A"," ",(VLOOKUP($A202,GasVolTable,(IF('Pricing Inputs'!$AT$3=2,6,IF('Pricing Inputs'!$AT$3=1,7,5))),FALSE)))</f>
        <v xml:space="preserve"> </v>
      </c>
      <c r="BR202" s="405" t="str">
        <f>IF($A202="N/A"," ",(VLOOKUP($A202,OmicronVol,(IF('Pricing Inputs'!$AT$3=2,3,IF('Pricing Inputs'!$AT$3=1,4,2))),FALSE)))</f>
        <v xml:space="preserve"> </v>
      </c>
      <c r="BS202" s="406" t="str">
        <f>IF($A202="N/A"," ",IF('Pricing Inputs'!$AN$3=1,(IF(DateToday&gt;$A202,$BR202,((($BQ202^2)*((($A202-1)-DateToday)/((EOMONTH($A202,0)+1)-DateToday-15)))+((($BR202)^2)*((15)/((EOMONTH($A202,0)+1)-DateToday-15))))^0.5)),0.0001))</f>
        <v xml:space="preserve"> </v>
      </c>
      <c r="BT202" s="405" t="str">
        <f>IF($A202="N/A"," ",IF('Pricing Inputs'!$AN$3=1,(VLOOKUP($A202,CorrelationTable,2,FALSE)),0))</f>
        <v xml:space="preserve"> </v>
      </c>
      <c r="BU202" s="407" t="str">
        <f>IF($A202="N/A"," ",F202+G202+(D202*(VLOOKUP($A202,'Gas Curves'!$B$17:$P$310,14,FALSE))))</f>
        <v xml:space="preserve"> </v>
      </c>
      <c r="BV202" s="405" t="str">
        <f>IF($A202="N/A"," ",IF('Pricing Inputs'!$AW$3=1,0,(VLOOKUP($A202,InterestRatesTable,2))))</f>
        <v xml:space="preserve"> </v>
      </c>
      <c r="BW202" s="408" t="str">
        <f t="shared" si="337"/>
        <v xml:space="preserve"> </v>
      </c>
    </row>
    <row r="203" spans="1:75">
      <c r="A203" s="248" t="str">
        <f>IF(A202="N/A","N/A",IF(EDATE(A202,1)&gt;Inputs!$K$3,"N/A",EDATE(A202,1)))</f>
        <v>N/A</v>
      </c>
      <c r="B203" s="262" t="str">
        <f t="shared" si="338"/>
        <v xml:space="preserve"> </v>
      </c>
      <c r="C203" s="249" t="str">
        <f t="shared" si="339"/>
        <v xml:space="preserve"> </v>
      </c>
      <c r="D203" s="250" t="str">
        <f>IF(A203="N/A"," ",(VLOOKUP(MONTH($A203),Inputs!$A$14:$B$25,2))/1000)</f>
        <v xml:space="preserve"> </v>
      </c>
      <c r="E203" s="304" t="str">
        <f t="shared" si="340"/>
        <v xml:space="preserve"> </v>
      </c>
      <c r="F203" s="251" t="str">
        <f>IF(A203="N/A"," ",Inputs!$F$6)</f>
        <v xml:space="preserve"> </v>
      </c>
      <c r="G203" s="251" t="str">
        <f>IF(A203="N/A"," ",Inputs!$F$9/IF(AND('Pricing Inputs'!$AQ$3&gt;=4,'Pricing Inputs'!$AQ$3&lt;=6),16,IF(AND('Pricing Inputs'!$AQ$3&gt;=7,'Pricing Inputs'!$AQ$3&lt;=9),8,24))/(BA203/BW203))</f>
        <v xml:space="preserve"> </v>
      </c>
      <c r="H203" s="252" t="str">
        <f t="shared" si="341"/>
        <v xml:space="preserve"> </v>
      </c>
      <c r="I203" s="255" t="str">
        <f>VLOOKUP(A203,ScaledPrice,(IF(AND('Pricing Inputs'!$AQ$3&gt;=1,'Pricing Inputs'!$AQ$3&lt;=6),2,4)))</f>
        <v xml:space="preserve"> </v>
      </c>
      <c r="J203" s="255" t="str">
        <f>IF(A203="N/A"," ",IF(AND('Pricing Inputs'!$AQ$3&gt;=1,'Pricing Inputs'!$AQ$3&lt;=6),I203,(VLOOKUP(A203,ScaledPrice,2))*(2-(VLOOKUP(A203,ScaledPrice,3)))))</f>
        <v xml:space="preserve"> </v>
      </c>
      <c r="K203" s="255" t="str">
        <f>IF(A203="N/A"," ",IF(OR('Pricing Inputs'!$AQ$3=2,'Pricing Inputs'!$AQ$3=3,'Pricing Inputs'!$AQ$3=5,'Pricing Inputs'!$AQ$3=6,'Pricing Inputs'!$AQ$3=8,'Pricing Inputs'!$AQ$3=9),VLOOKUP(A203,ScaledPrice,IF(AND('Pricing Inputs'!$AQ$3&gt;=2,'Pricing Inputs'!$AQ$3&lt;=6),5,6)),0))</f>
        <v xml:space="preserve"> </v>
      </c>
      <c r="L203" s="255" t="str">
        <f>IF(A203="N/A"," ",IF(OR('Pricing Inputs'!$AQ$3=2,'Pricing Inputs'!$AQ$3=3,'Pricing Inputs'!$AQ$3=5,'Pricing Inputs'!$AQ$3=6,'Pricing Inputs'!$AQ$3=8,'Pricing Inputs'!$AQ$3=9),IF(AND('Pricing Inputs'!$AQ$3&gt;=2,'Pricing Inputs'!$AQ$3&lt;=6),K203,(VLOOKUP(A203,ScaledPrice,5))*(2-(VLOOKUP(A203,ScaledPrice,3)))),0))</f>
        <v xml:space="preserve"> </v>
      </c>
      <c r="M203" s="255" t="str">
        <f>IF(A203="N/A"," ",IF(OR('Pricing Inputs'!$AQ$3=3,'Pricing Inputs'!$AQ$3=6,'Pricing Inputs'!$AQ$3=9),(VLOOKUP(A203,ScaledPrice,IF(AND('Pricing Inputs'!$AQ$3&gt;=3,'Pricing Inputs'!$AQ$3&lt;=6),7,8))),0))</f>
        <v xml:space="preserve"> </v>
      </c>
      <c r="N203" s="255" t="str">
        <f>IF(A203="N/A"," ",IF(OR('Pricing Inputs'!$AQ$3=3,'Pricing Inputs'!$AQ$3=6,'Pricing Inputs'!$AQ$3=9),IF(AND('Pricing Inputs'!$AQ$3&gt;=3,'Pricing Inputs'!$AQ$3&lt;=6),M203,(VLOOKUP(A203,ScaledPrice,7))*(2-(VLOOKUP(A203,ScaledPrice,3)))),0))</f>
        <v xml:space="preserve"> </v>
      </c>
      <c r="O203" s="255" t="str">
        <f>IF(A203="N/A"," ",IF(AND('Pricing Inputs'!$AQ$3&gt;=1,'Pricing Inputs'!$AQ$3&lt;=3),VLOOKUP(A203,ScaledPrice,9),0))</f>
        <v xml:space="preserve"> </v>
      </c>
      <c r="P203" s="320" t="str">
        <f>IF($A203="N/A"," ",IF('Pricing Inputs'!$AN$8=2,(I203-H203),IF('Pricing Inputs'!$AN$3=2,IF((I203-$H203)&gt;0,I203-$H203,0),(_xll.xSPRDOPT(I203,$E203,$BU203,0,$BP203,$BS203,$BT203,($A203-Inputs!$D$1)+15,1,0)))))</f>
        <v xml:space="preserve"> </v>
      </c>
      <c r="Q203" s="320" t="str">
        <f>IF($A203="N/A"," ",IF('Pricing Inputs'!$AN$8=2,(J203-$H203),IF('Pricing Inputs'!$AN$3=2,IF((J203-$H203)&gt;0,J203-$H203,0),(_xll.xSPRDOPT(J203,$E203,$BU203,0,$BP203,$BS203,$BT203,($A203-Inputs!$D$1)+15,1,0)))))</f>
        <v xml:space="preserve"> </v>
      </c>
      <c r="R203" s="320" t="str">
        <f>IF($A203="N/A"," ",IF('Pricing Inputs'!$AN$8=2,(K203-$H203),IF('Pricing Inputs'!$AN$3=2,IF((K203-$H203)&gt;0,K203-$H203,0),(_xll.xSPRDOPT(K203,$E203,$BU203,0,$BP203,$BS203,$BT203,($A203-Inputs!$D$1)+15,1,0)))))</f>
        <v xml:space="preserve"> </v>
      </c>
      <c r="S203" s="320" t="str">
        <f>IF($A203="N/A"," ",IF('Pricing Inputs'!$AN$8=2,(L203-$H203),IF('Pricing Inputs'!$AN$3=2,IF((L203-$H203)&gt;0,L203-$H203,0),(_xll.xSPRDOPT(L203,$E203,$BU203,0,$BP203,$BS203,$BT203,($A203-Inputs!$D$1)+15,1,0)))))</f>
        <v xml:space="preserve"> </v>
      </c>
      <c r="T203" s="320" t="str">
        <f>IF($A203="N/A"," ",IF('Pricing Inputs'!$AN$8=2,(M203-$H203),IF('Pricing Inputs'!$AN$3=2,IF((M203-$H203)&gt;0,M203-$H203,0),(_xll.xSPRDOPT(M203,$E203,$BU203,0,$BP203,$BS203,$BT203,($A203-Inputs!$D$1)+15,1,0)))))</f>
        <v xml:space="preserve"> </v>
      </c>
      <c r="U203" s="320" t="str">
        <f>IF($A203="N/A"," ",IF('Pricing Inputs'!$AN$8=2,(N203-$H203),IF('Pricing Inputs'!$AN$3=2,IF((N203-$H203)&gt;0,N203-$H203,0),(_xll.xSPRDOPT(N203,$E203,$BU203,0,$BP203,$BS203,$BT203,($A203-Inputs!$D$1)+15,1,0)))))</f>
        <v xml:space="preserve"> </v>
      </c>
      <c r="V203" s="259" t="str">
        <f>IF($A203="N/A"," ",(IF('Pricing Inputs'!$AN$8=2,(O203-$H203),IF((O203-$H203)&lt;=0,0,(O203-$H203)))))</f>
        <v xml:space="preserve"> </v>
      </c>
      <c r="W203" s="306" t="str">
        <f>IF($A203="N/A"," ",IF(0&lt;&gt;P203,IF('Pricing Inputs'!$AN$3=2,8*VLOOKUP($A203,NumberofDaysTable,2),(_xll.xSPRDOPT(I203,$E203,$BU203,0,$BP203,$BS203,$BT203,$A203-Inputs!$D$1,1,1))*(8*VLOOKUP($A203,NumberofDaysTable,2))),0))</f>
        <v xml:space="preserve"> </v>
      </c>
      <c r="X203" s="306" t="str">
        <f>IF($A203="N/A"," ",IF(Q203&lt;&gt;0,IF('Pricing Inputs'!$AN$3=2,8*VLOOKUP($A203,NumberofDaysTable,2),(_xll.xSPRDOPT(J203,$E203,$BU203,0,$BP203,$BS203,$BT203,$A203-Inputs!$D$1,1,1))*(8*VLOOKUP($A203,NumberofDaysTable,2))),0))</f>
        <v xml:space="preserve"> </v>
      </c>
      <c r="Y203" s="306" t="str">
        <f>IF($A203="N/A"," ",IF(R203&lt;&gt;0,IF('Pricing Inputs'!$AN$3=2,8*VLOOKUP($A203,NumberofDaysTable,3),(_xll.xSPRDOPT(K203,$E203,$BU203,0,$BP203,$BS203,$BT203,$A203-Inputs!$D$1,1,1))*(8*VLOOKUP($A203,NumberofDaysTable,3))),0))</f>
        <v xml:space="preserve"> </v>
      </c>
      <c r="Z203" s="306" t="str">
        <f>IF($A203="N/A"," ",IF(S203&lt;&gt;0,IF('Pricing Inputs'!$AN$3=2,8*VLOOKUP($A203,NumberofDaysTable,3),(_xll.xSPRDOPT(L203,$E203,$BU203,0,$BP203,$BS203,$BT203,$A203-Inputs!$D$1,1,1))*(8*VLOOKUP($A203,NumberofDaysTable,3))),0))</f>
        <v xml:space="preserve"> </v>
      </c>
      <c r="AA203" s="306" t="str">
        <f>IF($A203="N/A"," ",IF(T203&lt;&gt;0,IF('Pricing Inputs'!$AN$3=2,8*VLOOKUP($A203,NumberofDaysTable,4),(_xll.xSPRDOPT(M203,$E203,$BU203,0,$BP203,$BS203,$BT203,$A203-Inputs!$D$1,1,1))*(8*VLOOKUP($A203,NumberofDaysTable,4))),0))</f>
        <v xml:space="preserve"> </v>
      </c>
      <c r="AB203" s="306" t="str">
        <f>IF($A203="N/A"," ",IF(U203&lt;&gt;0,IF('Pricing Inputs'!$AN$3=2,8*VLOOKUP($A203,NumberofDaysTable,4),(_xll.xSPRDOPT(N203,$E203,$BU203,0,$BP203,$BS203,$BT203,$A203-Inputs!$D$1,1,1))*(8*VLOOKUP($A203,NumberofDaysTable,4))),0))</f>
        <v xml:space="preserve"> </v>
      </c>
      <c r="AC203" s="306" t="str">
        <f t="shared" si="342"/>
        <v xml:space="preserve"> </v>
      </c>
      <c r="AD203" s="274" t="str">
        <f t="shared" si="343"/>
        <v xml:space="preserve"> </v>
      </c>
      <c r="AE203" s="275" t="str">
        <f t="shared" si="344"/>
        <v xml:space="preserve"> </v>
      </c>
      <c r="AF203" s="275" t="str">
        <f t="shared" si="345"/>
        <v xml:space="preserve"> </v>
      </c>
      <c r="AG203" s="275" t="str">
        <f t="shared" si="346"/>
        <v xml:space="preserve"> </v>
      </c>
      <c r="AH203" s="275" t="str">
        <f t="shared" si="347"/>
        <v xml:space="preserve"> </v>
      </c>
      <c r="AI203" s="275" t="str">
        <f t="shared" si="348"/>
        <v xml:space="preserve"> </v>
      </c>
      <c r="AJ203" s="276" t="str">
        <f t="shared" si="349"/>
        <v xml:space="preserve"> </v>
      </c>
      <c r="AK203" s="314" t="str">
        <f t="shared" si="259"/>
        <v xml:space="preserve"> </v>
      </c>
      <c r="AL203" s="315" t="str">
        <f t="shared" si="260"/>
        <v xml:space="preserve"> </v>
      </c>
      <c r="AM203" s="315" t="str">
        <f t="shared" si="261"/>
        <v xml:space="preserve"> </v>
      </c>
      <c r="AN203" s="315" t="str">
        <f t="shared" si="262"/>
        <v xml:space="preserve"> </v>
      </c>
      <c r="AO203" s="315" t="str">
        <f t="shared" si="263"/>
        <v xml:space="preserve"> </v>
      </c>
      <c r="AP203" s="315" t="str">
        <f t="shared" si="264"/>
        <v xml:space="preserve"> </v>
      </c>
      <c r="AQ203" s="315" t="str">
        <f t="shared" si="265"/>
        <v xml:space="preserve"> </v>
      </c>
      <c r="AR203" s="276"/>
      <c r="AS203" s="321" t="str">
        <f t="shared" si="329"/>
        <v xml:space="preserve"> </v>
      </c>
      <c r="AT203" s="324" t="str">
        <f t="shared" si="330"/>
        <v xml:space="preserve"> </v>
      </c>
      <c r="AU203" s="324" t="str">
        <f t="shared" si="331"/>
        <v xml:space="preserve"> </v>
      </c>
      <c r="AV203" s="324" t="str">
        <f t="shared" si="332"/>
        <v xml:space="preserve"> </v>
      </c>
      <c r="AW203" s="324" t="str">
        <f t="shared" si="333"/>
        <v xml:space="preserve"> </v>
      </c>
      <c r="AX203" s="324" t="str">
        <f t="shared" si="334"/>
        <v xml:space="preserve"> </v>
      </c>
      <c r="AY203" s="324" t="str">
        <f t="shared" si="335"/>
        <v xml:space="preserve"> </v>
      </c>
      <c r="AZ203" s="276"/>
      <c r="BA203" s="267" t="str">
        <f>IF($A203="N/A"," ",(IF(MONTH(A203)&gt;=4,IF(MONTH(A203)&lt;=10,Inputs!$F$13,Inputs!$F$14),Inputs!$F$14))*$BW203)</f>
        <v xml:space="preserve"> </v>
      </c>
      <c r="BB203" s="268" t="str">
        <f t="shared" si="266"/>
        <v xml:space="preserve"> </v>
      </c>
      <c r="BC203" s="268" t="str">
        <f t="shared" si="267"/>
        <v xml:space="preserve"> </v>
      </c>
      <c r="BD203" s="268" t="str">
        <f t="shared" si="350"/>
        <v xml:space="preserve"> </v>
      </c>
      <c r="BE203" s="268" t="str">
        <f t="shared" si="351"/>
        <v xml:space="preserve"> </v>
      </c>
      <c r="BF203" s="268" t="str">
        <f t="shared" si="352"/>
        <v xml:space="preserve"> </v>
      </c>
      <c r="BG203" s="268" t="str">
        <f t="shared" si="353"/>
        <v xml:space="preserve"> </v>
      </c>
      <c r="BH203" s="268" t="str">
        <f t="shared" si="258"/>
        <v xml:space="preserve"> </v>
      </c>
      <c r="BI203" s="268" t="str">
        <f t="shared" si="354"/>
        <v xml:space="preserve"> </v>
      </c>
      <c r="BJ203" s="296" t="str">
        <f t="shared" si="355"/>
        <v xml:space="preserve"> </v>
      </c>
      <c r="BK203" s="296" t="str">
        <f t="shared" si="356"/>
        <v xml:space="preserve"> </v>
      </c>
      <c r="BL203" s="296" t="str">
        <f t="shared" si="357"/>
        <v xml:space="preserve"> </v>
      </c>
      <c r="BM203" s="296" t="str">
        <f t="shared" si="358"/>
        <v xml:space="preserve"> </v>
      </c>
      <c r="BN203" s="405" t="str">
        <f>IF(A203="N/A"," ",(VLOOKUP(A203,PowerVolTable,(IF('Pricing Inputs'!$AT$3=2,7,IF('Pricing Inputs'!$AT$3=1,6,8))),FALSE)))</f>
        <v xml:space="preserve"> </v>
      </c>
      <c r="BO203" s="405" t="str">
        <f>IF(A203="N/A"," ",(VLOOKUP(A203,IntraPowerVol,(IF('Pricing Inputs'!$AT$3=2,3,IF('Pricing Inputs'!$AT$3=1,2,4))),FALSE)*VLOOKUP(MONTH($A203),Inputs!$A$28:$B$39,2)))</f>
        <v xml:space="preserve"> </v>
      </c>
      <c r="BP203" s="406" t="str">
        <f t="shared" si="336"/>
        <v xml:space="preserve"> </v>
      </c>
      <c r="BQ203" s="405" t="str">
        <f>IF($A203="N/A"," ",(VLOOKUP($A203,GasVolTable,(IF('Pricing Inputs'!$AT$3=2,6,IF('Pricing Inputs'!$AT$3=1,7,5))),FALSE)))</f>
        <v xml:space="preserve"> </v>
      </c>
      <c r="BR203" s="405" t="str">
        <f>IF($A203="N/A"," ",(VLOOKUP($A203,OmicronVol,(IF('Pricing Inputs'!$AT$3=2,3,IF('Pricing Inputs'!$AT$3=1,4,2))),FALSE)))</f>
        <v xml:space="preserve"> </v>
      </c>
      <c r="BS203" s="406" t="str">
        <f>IF($A203="N/A"," ",IF('Pricing Inputs'!$AN$3=1,(IF(DateToday&gt;$A203,$BR203,((($BQ203^2)*((($A203-1)-DateToday)/((EOMONTH($A203,0)+1)-DateToday-15)))+((($BR203)^2)*((15)/((EOMONTH($A203,0)+1)-DateToday-15))))^0.5)),0.0001))</f>
        <v xml:space="preserve"> </v>
      </c>
      <c r="BT203" s="405" t="str">
        <f>IF($A203="N/A"," ",IF('Pricing Inputs'!$AN$3=1,(VLOOKUP($A203,CorrelationTable,2,FALSE)),0))</f>
        <v xml:space="preserve"> </v>
      </c>
      <c r="BU203" s="407" t="str">
        <f>IF($A203="N/A"," ",F203+G203+(D203*(VLOOKUP($A203,'Gas Curves'!$B$17:$P$310,14,FALSE))))</f>
        <v xml:space="preserve"> </v>
      </c>
      <c r="BV203" s="405" t="str">
        <f>IF($A203="N/A"," ",IF('Pricing Inputs'!$AW$3=1,0,(VLOOKUP($A203,InterestRatesTable,2))))</f>
        <v xml:space="preserve"> </v>
      </c>
      <c r="BW203" s="408" t="str">
        <f t="shared" si="337"/>
        <v xml:space="preserve"> </v>
      </c>
    </row>
    <row r="204" spans="1:75">
      <c r="A204" s="248" t="str">
        <f>IF(A203="N/A","N/A",IF(EDATE(A203,1)&gt;Inputs!$K$3,"N/A",EDATE(A203,1)))</f>
        <v>N/A</v>
      </c>
      <c r="B204" s="262" t="str">
        <f t="shared" si="338"/>
        <v xml:space="preserve"> </v>
      </c>
      <c r="C204" s="249" t="str">
        <f t="shared" si="339"/>
        <v xml:space="preserve"> </v>
      </c>
      <c r="D204" s="250" t="str">
        <f>IF(A204="N/A"," ",(VLOOKUP(MONTH($A204),Inputs!$A$14:$B$25,2))/1000)</f>
        <v xml:space="preserve"> </v>
      </c>
      <c r="E204" s="304" t="str">
        <f t="shared" si="340"/>
        <v xml:space="preserve"> </v>
      </c>
      <c r="F204" s="251" t="str">
        <f>IF(A204="N/A"," ",Inputs!$F$6)</f>
        <v xml:space="preserve"> </v>
      </c>
      <c r="G204" s="251" t="str">
        <f>IF(A204="N/A"," ",Inputs!$F$9/IF(AND('Pricing Inputs'!$AQ$3&gt;=4,'Pricing Inputs'!$AQ$3&lt;=6),16,IF(AND('Pricing Inputs'!$AQ$3&gt;=7,'Pricing Inputs'!$AQ$3&lt;=9),8,24))/(BA204/BW204))</f>
        <v xml:space="preserve"> </v>
      </c>
      <c r="H204" s="252" t="str">
        <f t="shared" si="341"/>
        <v xml:space="preserve"> </v>
      </c>
      <c r="I204" s="255" t="str">
        <f>VLOOKUP(A204,ScaledPrice,(IF(AND('Pricing Inputs'!$AQ$3&gt;=1,'Pricing Inputs'!$AQ$3&lt;=6),2,4)))</f>
        <v xml:space="preserve"> </v>
      </c>
      <c r="J204" s="255" t="str">
        <f>IF(A204="N/A"," ",IF(AND('Pricing Inputs'!$AQ$3&gt;=1,'Pricing Inputs'!$AQ$3&lt;=6),I204,(VLOOKUP(A204,ScaledPrice,2))*(2-(VLOOKUP(A204,ScaledPrice,3)))))</f>
        <v xml:space="preserve"> </v>
      </c>
      <c r="K204" s="255" t="str">
        <f>IF(A204="N/A"," ",IF(OR('Pricing Inputs'!$AQ$3=2,'Pricing Inputs'!$AQ$3=3,'Pricing Inputs'!$AQ$3=5,'Pricing Inputs'!$AQ$3=6,'Pricing Inputs'!$AQ$3=8,'Pricing Inputs'!$AQ$3=9),VLOOKUP(A204,ScaledPrice,IF(AND('Pricing Inputs'!$AQ$3&gt;=2,'Pricing Inputs'!$AQ$3&lt;=6),5,6)),0))</f>
        <v xml:space="preserve"> </v>
      </c>
      <c r="L204" s="255" t="str">
        <f>IF(A204="N/A"," ",IF(OR('Pricing Inputs'!$AQ$3=2,'Pricing Inputs'!$AQ$3=3,'Pricing Inputs'!$AQ$3=5,'Pricing Inputs'!$AQ$3=6,'Pricing Inputs'!$AQ$3=8,'Pricing Inputs'!$AQ$3=9),IF(AND('Pricing Inputs'!$AQ$3&gt;=2,'Pricing Inputs'!$AQ$3&lt;=6),K204,(VLOOKUP(A204,ScaledPrice,5))*(2-(VLOOKUP(A204,ScaledPrice,3)))),0))</f>
        <v xml:space="preserve"> </v>
      </c>
      <c r="M204" s="255" t="str">
        <f>IF(A204="N/A"," ",IF(OR('Pricing Inputs'!$AQ$3=3,'Pricing Inputs'!$AQ$3=6,'Pricing Inputs'!$AQ$3=9),(VLOOKUP(A204,ScaledPrice,IF(AND('Pricing Inputs'!$AQ$3&gt;=3,'Pricing Inputs'!$AQ$3&lt;=6),7,8))),0))</f>
        <v xml:space="preserve"> </v>
      </c>
      <c r="N204" s="255" t="str">
        <f>IF(A204="N/A"," ",IF(OR('Pricing Inputs'!$AQ$3=3,'Pricing Inputs'!$AQ$3=6,'Pricing Inputs'!$AQ$3=9),IF(AND('Pricing Inputs'!$AQ$3&gt;=3,'Pricing Inputs'!$AQ$3&lt;=6),M204,(VLOOKUP(A204,ScaledPrice,7))*(2-(VLOOKUP(A204,ScaledPrice,3)))),0))</f>
        <v xml:space="preserve"> </v>
      </c>
      <c r="O204" s="255" t="str">
        <f>IF(A204="N/A"," ",IF(AND('Pricing Inputs'!$AQ$3&gt;=1,'Pricing Inputs'!$AQ$3&lt;=3),VLOOKUP(A204,ScaledPrice,9),0))</f>
        <v xml:space="preserve"> </v>
      </c>
      <c r="P204" s="320" t="str">
        <f>IF($A204="N/A"," ",IF('Pricing Inputs'!$AN$8=2,(I204-H204),IF('Pricing Inputs'!$AN$3=2,IF((I204-$H204)&gt;0,I204-$H204,0),(_xll.xSPRDOPT(I204,$E204,$BU204,0,$BP204,$BS204,$BT204,($A204-Inputs!$D$1)+15,1,0)))))</f>
        <v xml:space="preserve"> </v>
      </c>
      <c r="Q204" s="320" t="str">
        <f>IF($A204="N/A"," ",IF('Pricing Inputs'!$AN$8=2,(J204-$H204),IF('Pricing Inputs'!$AN$3=2,IF((J204-$H204)&gt;0,J204-$H204,0),(_xll.xSPRDOPT(J204,$E204,$BU204,0,$BP204,$BS204,$BT204,($A204-Inputs!$D$1)+15,1,0)))))</f>
        <v xml:space="preserve"> </v>
      </c>
      <c r="R204" s="320" t="str">
        <f>IF($A204="N/A"," ",IF('Pricing Inputs'!$AN$8=2,(K204-$H204),IF('Pricing Inputs'!$AN$3=2,IF((K204-$H204)&gt;0,K204-$H204,0),(_xll.xSPRDOPT(K204,$E204,$BU204,0,$BP204,$BS204,$BT204,($A204-Inputs!$D$1)+15,1,0)))))</f>
        <v xml:space="preserve"> </v>
      </c>
      <c r="S204" s="320" t="str">
        <f>IF($A204="N/A"," ",IF('Pricing Inputs'!$AN$8=2,(L204-$H204),IF('Pricing Inputs'!$AN$3=2,IF((L204-$H204)&gt;0,L204-$H204,0),(_xll.xSPRDOPT(L204,$E204,$BU204,0,$BP204,$BS204,$BT204,($A204-Inputs!$D$1)+15,1,0)))))</f>
        <v xml:space="preserve"> </v>
      </c>
      <c r="T204" s="320" t="str">
        <f>IF($A204="N/A"," ",IF('Pricing Inputs'!$AN$8=2,(M204-$H204),IF('Pricing Inputs'!$AN$3=2,IF((M204-$H204)&gt;0,M204-$H204,0),(_xll.xSPRDOPT(M204,$E204,$BU204,0,$BP204,$BS204,$BT204,($A204-Inputs!$D$1)+15,1,0)))))</f>
        <v xml:space="preserve"> </v>
      </c>
      <c r="U204" s="320" t="str">
        <f>IF($A204="N/A"," ",IF('Pricing Inputs'!$AN$8=2,(N204-$H204),IF('Pricing Inputs'!$AN$3=2,IF((N204-$H204)&gt;0,N204-$H204,0),(_xll.xSPRDOPT(N204,$E204,$BU204,0,$BP204,$BS204,$BT204,($A204-Inputs!$D$1)+15,1,0)))))</f>
        <v xml:space="preserve"> </v>
      </c>
      <c r="V204" s="259" t="str">
        <f>IF($A204="N/A"," ",(IF('Pricing Inputs'!$AN$8=2,(O204-$H204),IF((O204-$H204)&lt;=0,0,(O204-$H204)))))</f>
        <v xml:space="preserve"> </v>
      </c>
      <c r="W204" s="306" t="str">
        <f>IF($A204="N/A"," ",IF(0&lt;&gt;P204,IF('Pricing Inputs'!$AN$3=2,8*VLOOKUP($A204,NumberofDaysTable,2),(_xll.xSPRDOPT(I204,$E204,$BU204,0,$BP204,$BS204,$BT204,$A204-Inputs!$D$1,1,1))*(8*VLOOKUP($A204,NumberofDaysTable,2))),0))</f>
        <v xml:space="preserve"> </v>
      </c>
      <c r="X204" s="306" t="str">
        <f>IF($A204="N/A"," ",IF(Q204&lt;&gt;0,IF('Pricing Inputs'!$AN$3=2,8*VLOOKUP($A204,NumberofDaysTable,2),(_xll.xSPRDOPT(J204,$E204,$BU204,0,$BP204,$BS204,$BT204,$A204-Inputs!$D$1,1,1))*(8*VLOOKUP($A204,NumberofDaysTable,2))),0))</f>
        <v xml:space="preserve"> </v>
      </c>
      <c r="Y204" s="306" t="str">
        <f>IF($A204="N/A"," ",IF(R204&lt;&gt;0,IF('Pricing Inputs'!$AN$3=2,8*VLOOKUP($A204,NumberofDaysTable,3),(_xll.xSPRDOPT(K204,$E204,$BU204,0,$BP204,$BS204,$BT204,$A204-Inputs!$D$1,1,1))*(8*VLOOKUP($A204,NumberofDaysTable,3))),0))</f>
        <v xml:space="preserve"> </v>
      </c>
      <c r="Z204" s="306" t="str">
        <f>IF($A204="N/A"," ",IF(S204&lt;&gt;0,IF('Pricing Inputs'!$AN$3=2,8*VLOOKUP($A204,NumberofDaysTable,3),(_xll.xSPRDOPT(L204,$E204,$BU204,0,$BP204,$BS204,$BT204,$A204-Inputs!$D$1,1,1))*(8*VLOOKUP($A204,NumberofDaysTable,3))),0))</f>
        <v xml:space="preserve"> </v>
      </c>
      <c r="AA204" s="306" t="str">
        <f>IF($A204="N/A"," ",IF(T204&lt;&gt;0,IF('Pricing Inputs'!$AN$3=2,8*VLOOKUP($A204,NumberofDaysTable,4),(_xll.xSPRDOPT(M204,$E204,$BU204,0,$BP204,$BS204,$BT204,$A204-Inputs!$D$1,1,1))*(8*VLOOKUP($A204,NumberofDaysTable,4))),0))</f>
        <v xml:space="preserve"> </v>
      </c>
      <c r="AB204" s="306" t="str">
        <f>IF($A204="N/A"," ",IF(U204&lt;&gt;0,IF('Pricing Inputs'!$AN$3=2,8*VLOOKUP($A204,NumberofDaysTable,4),(_xll.xSPRDOPT(N204,$E204,$BU204,0,$BP204,$BS204,$BT204,$A204-Inputs!$D$1,1,1))*(8*VLOOKUP($A204,NumberofDaysTable,4))),0))</f>
        <v xml:space="preserve"> </v>
      </c>
      <c r="AC204" s="306" t="str">
        <f t="shared" si="342"/>
        <v xml:space="preserve"> </v>
      </c>
      <c r="AD204" s="274" t="str">
        <f t="shared" si="343"/>
        <v xml:space="preserve"> </v>
      </c>
      <c r="AE204" s="275" t="str">
        <f t="shared" si="344"/>
        <v xml:space="preserve"> </v>
      </c>
      <c r="AF204" s="275" t="str">
        <f t="shared" si="345"/>
        <v xml:space="preserve"> </v>
      </c>
      <c r="AG204" s="275" t="str">
        <f t="shared" si="346"/>
        <v xml:space="preserve"> </v>
      </c>
      <c r="AH204" s="275" t="str">
        <f t="shared" si="347"/>
        <v xml:space="preserve"> </v>
      </c>
      <c r="AI204" s="275" t="str">
        <f t="shared" si="348"/>
        <v xml:space="preserve"> </v>
      </c>
      <c r="AJ204" s="276" t="str">
        <f t="shared" si="349"/>
        <v xml:space="preserve"> </v>
      </c>
      <c r="AK204" s="314" t="str">
        <f t="shared" si="259"/>
        <v xml:space="preserve"> </v>
      </c>
      <c r="AL204" s="315" t="str">
        <f t="shared" si="260"/>
        <v xml:space="preserve"> </v>
      </c>
      <c r="AM204" s="315" t="str">
        <f t="shared" si="261"/>
        <v xml:space="preserve"> </v>
      </c>
      <c r="AN204" s="315" t="str">
        <f t="shared" si="262"/>
        <v xml:space="preserve"> </v>
      </c>
      <c r="AO204" s="315" t="str">
        <f t="shared" si="263"/>
        <v xml:space="preserve"> </v>
      </c>
      <c r="AP204" s="315" t="str">
        <f t="shared" si="264"/>
        <v xml:space="preserve"> </v>
      </c>
      <c r="AQ204" s="315" t="str">
        <f t="shared" si="265"/>
        <v xml:space="preserve"> </v>
      </c>
      <c r="AR204" s="276"/>
      <c r="AS204" s="321" t="str">
        <f t="shared" si="329"/>
        <v xml:space="preserve"> </v>
      </c>
      <c r="AT204" s="324" t="str">
        <f t="shared" si="330"/>
        <v xml:space="preserve"> </v>
      </c>
      <c r="AU204" s="324" t="str">
        <f t="shared" si="331"/>
        <v xml:space="preserve"> </v>
      </c>
      <c r="AV204" s="324" t="str">
        <f t="shared" si="332"/>
        <v xml:space="preserve"> </v>
      </c>
      <c r="AW204" s="324" t="str">
        <f t="shared" si="333"/>
        <v xml:space="preserve"> </v>
      </c>
      <c r="AX204" s="324" t="str">
        <f t="shared" si="334"/>
        <v xml:space="preserve"> </v>
      </c>
      <c r="AY204" s="324" t="str">
        <f t="shared" si="335"/>
        <v xml:space="preserve"> </v>
      </c>
      <c r="AZ204" s="276"/>
      <c r="BA204" s="267" t="str">
        <f>IF($A204="N/A"," ",(IF(MONTH(A204)&gt;=4,IF(MONTH(A204)&lt;=10,Inputs!$F$13,Inputs!$F$14),Inputs!$F$14))*$BW204)</f>
        <v xml:space="preserve"> </v>
      </c>
      <c r="BB204" s="268" t="str">
        <f t="shared" si="266"/>
        <v xml:space="preserve"> </v>
      </c>
      <c r="BC204" s="268" t="str">
        <f t="shared" si="267"/>
        <v xml:space="preserve"> </v>
      </c>
      <c r="BD204" s="268" t="str">
        <f t="shared" si="350"/>
        <v xml:space="preserve"> </v>
      </c>
      <c r="BE204" s="268" t="str">
        <f t="shared" si="351"/>
        <v xml:space="preserve"> </v>
      </c>
      <c r="BF204" s="268" t="str">
        <f t="shared" si="352"/>
        <v xml:space="preserve"> </v>
      </c>
      <c r="BG204" s="268" t="str">
        <f t="shared" si="353"/>
        <v xml:space="preserve"> </v>
      </c>
      <c r="BH204" s="268" t="str">
        <f t="shared" si="258"/>
        <v xml:space="preserve"> </v>
      </c>
      <c r="BI204" s="268" t="str">
        <f t="shared" si="354"/>
        <v xml:space="preserve"> </v>
      </c>
      <c r="BJ204" s="296" t="str">
        <f t="shared" si="355"/>
        <v xml:space="preserve"> </v>
      </c>
      <c r="BK204" s="296" t="str">
        <f t="shared" si="356"/>
        <v xml:space="preserve"> </v>
      </c>
      <c r="BL204" s="296" t="str">
        <f t="shared" si="357"/>
        <v xml:space="preserve"> </v>
      </c>
      <c r="BM204" s="296" t="str">
        <f t="shared" si="358"/>
        <v xml:space="preserve"> </v>
      </c>
      <c r="BN204" s="405" t="str">
        <f>IF(A204="N/A"," ",(VLOOKUP(A204,PowerVolTable,(IF('Pricing Inputs'!$AT$3=2,7,IF('Pricing Inputs'!$AT$3=1,6,8))),FALSE)))</f>
        <v xml:space="preserve"> </v>
      </c>
      <c r="BO204" s="405" t="str">
        <f>IF(A204="N/A"," ",(VLOOKUP(A204,IntraPowerVol,(IF('Pricing Inputs'!$AT$3=2,3,IF('Pricing Inputs'!$AT$3=1,2,4))),FALSE)*VLOOKUP(MONTH($A204),Inputs!$A$28:$B$39,2)))</f>
        <v xml:space="preserve"> </v>
      </c>
      <c r="BP204" s="406" t="str">
        <f t="shared" si="336"/>
        <v xml:space="preserve"> </v>
      </c>
      <c r="BQ204" s="405" t="str">
        <f>IF($A204="N/A"," ",(VLOOKUP($A204,GasVolTable,(IF('Pricing Inputs'!$AT$3=2,6,IF('Pricing Inputs'!$AT$3=1,7,5))),FALSE)))</f>
        <v xml:space="preserve"> </v>
      </c>
      <c r="BR204" s="405" t="str">
        <f>IF($A204="N/A"," ",(VLOOKUP($A204,OmicronVol,(IF('Pricing Inputs'!$AT$3=2,3,IF('Pricing Inputs'!$AT$3=1,4,2))),FALSE)))</f>
        <v xml:space="preserve"> </v>
      </c>
      <c r="BS204" s="406" t="str">
        <f>IF($A204="N/A"," ",IF('Pricing Inputs'!$AN$3=1,(IF(DateToday&gt;$A204,$BR204,((($BQ204^2)*((($A204-1)-DateToday)/((EOMONTH($A204,0)+1)-DateToday-15)))+((($BR204)^2)*((15)/((EOMONTH($A204,0)+1)-DateToday-15))))^0.5)),0.0001))</f>
        <v xml:space="preserve"> </v>
      </c>
      <c r="BT204" s="405" t="str">
        <f>IF($A204="N/A"," ",IF('Pricing Inputs'!$AN$3=1,(VLOOKUP($A204,CorrelationTable,2,FALSE)),0))</f>
        <v xml:space="preserve"> </v>
      </c>
      <c r="BU204" s="407" t="str">
        <f>IF($A204="N/A"," ",F204+G204+(D204*(VLOOKUP($A204,'Gas Curves'!$B$17:$P$310,14,FALSE))))</f>
        <v xml:space="preserve"> </v>
      </c>
      <c r="BV204" s="405" t="str">
        <f>IF($A204="N/A"," ",IF('Pricing Inputs'!$AW$3=1,0,(VLOOKUP($A204,InterestRatesTable,2))))</f>
        <v xml:space="preserve"> </v>
      </c>
      <c r="BW204" s="408" t="str">
        <f t="shared" si="337"/>
        <v xml:space="preserve"> </v>
      </c>
    </row>
    <row r="205" spans="1:75">
      <c r="A205" s="248" t="str">
        <f>IF(A204="N/A","N/A",IF(EDATE(A204,1)&gt;Inputs!$K$3,"N/A",EDATE(A204,1)))</f>
        <v>N/A</v>
      </c>
      <c r="B205" s="262" t="str">
        <f t="shared" si="338"/>
        <v xml:space="preserve"> </v>
      </c>
      <c r="C205" s="249" t="str">
        <f t="shared" si="339"/>
        <v xml:space="preserve"> </v>
      </c>
      <c r="D205" s="250" t="str">
        <f>IF(A205="N/A"," ",(VLOOKUP(MONTH($A205),Inputs!$A$14:$B$25,2))/1000)</f>
        <v xml:space="preserve"> </v>
      </c>
      <c r="E205" s="304" t="str">
        <f t="shared" si="340"/>
        <v xml:space="preserve"> </v>
      </c>
      <c r="F205" s="251" t="str">
        <f>IF(A205="N/A"," ",Inputs!$F$6)</f>
        <v xml:space="preserve"> </v>
      </c>
      <c r="G205" s="251" t="str">
        <f>IF(A205="N/A"," ",Inputs!$F$9/IF(AND('Pricing Inputs'!$AQ$3&gt;=4,'Pricing Inputs'!$AQ$3&lt;=6),16,IF(AND('Pricing Inputs'!$AQ$3&gt;=7,'Pricing Inputs'!$AQ$3&lt;=9),8,24))/(BA205/BW205))</f>
        <v xml:space="preserve"> </v>
      </c>
      <c r="H205" s="252" t="str">
        <f t="shared" si="341"/>
        <v xml:space="preserve"> </v>
      </c>
      <c r="I205" s="255" t="str">
        <f>VLOOKUP(A205,ScaledPrice,(IF(AND('Pricing Inputs'!$AQ$3&gt;=1,'Pricing Inputs'!$AQ$3&lt;=6),2,4)))</f>
        <v xml:space="preserve"> </v>
      </c>
      <c r="J205" s="255" t="str">
        <f>IF(A205="N/A"," ",IF(AND('Pricing Inputs'!$AQ$3&gt;=1,'Pricing Inputs'!$AQ$3&lt;=6),I205,(VLOOKUP(A205,ScaledPrice,2))*(2-(VLOOKUP(A205,ScaledPrice,3)))))</f>
        <v xml:space="preserve"> </v>
      </c>
      <c r="K205" s="255" t="str">
        <f>IF(A205="N/A"," ",IF(OR('Pricing Inputs'!$AQ$3=2,'Pricing Inputs'!$AQ$3=3,'Pricing Inputs'!$AQ$3=5,'Pricing Inputs'!$AQ$3=6,'Pricing Inputs'!$AQ$3=8,'Pricing Inputs'!$AQ$3=9),VLOOKUP(A205,ScaledPrice,IF(AND('Pricing Inputs'!$AQ$3&gt;=2,'Pricing Inputs'!$AQ$3&lt;=6),5,6)),0))</f>
        <v xml:space="preserve"> </v>
      </c>
      <c r="L205" s="255" t="str">
        <f>IF(A205="N/A"," ",IF(OR('Pricing Inputs'!$AQ$3=2,'Pricing Inputs'!$AQ$3=3,'Pricing Inputs'!$AQ$3=5,'Pricing Inputs'!$AQ$3=6,'Pricing Inputs'!$AQ$3=8,'Pricing Inputs'!$AQ$3=9),IF(AND('Pricing Inputs'!$AQ$3&gt;=2,'Pricing Inputs'!$AQ$3&lt;=6),K205,(VLOOKUP(A205,ScaledPrice,5))*(2-(VLOOKUP(A205,ScaledPrice,3)))),0))</f>
        <v xml:space="preserve"> </v>
      </c>
      <c r="M205" s="255" t="str">
        <f>IF(A205="N/A"," ",IF(OR('Pricing Inputs'!$AQ$3=3,'Pricing Inputs'!$AQ$3=6,'Pricing Inputs'!$AQ$3=9),(VLOOKUP(A205,ScaledPrice,IF(AND('Pricing Inputs'!$AQ$3&gt;=3,'Pricing Inputs'!$AQ$3&lt;=6),7,8))),0))</f>
        <v xml:space="preserve"> </v>
      </c>
      <c r="N205" s="255" t="str">
        <f>IF(A205="N/A"," ",IF(OR('Pricing Inputs'!$AQ$3=3,'Pricing Inputs'!$AQ$3=6,'Pricing Inputs'!$AQ$3=9),IF(AND('Pricing Inputs'!$AQ$3&gt;=3,'Pricing Inputs'!$AQ$3&lt;=6),M205,(VLOOKUP(A205,ScaledPrice,7))*(2-(VLOOKUP(A205,ScaledPrice,3)))),0))</f>
        <v xml:space="preserve"> </v>
      </c>
      <c r="O205" s="255" t="str">
        <f>IF(A205="N/A"," ",IF(AND('Pricing Inputs'!$AQ$3&gt;=1,'Pricing Inputs'!$AQ$3&lt;=3),VLOOKUP(A205,ScaledPrice,9),0))</f>
        <v xml:space="preserve"> </v>
      </c>
      <c r="P205" s="320" t="str">
        <f>IF($A205="N/A"," ",IF('Pricing Inputs'!$AN$8=2,(I205-H205),IF('Pricing Inputs'!$AN$3=2,IF((I205-$H205)&gt;0,I205-$H205,0),(_xll.xSPRDOPT(I205,$E205,$BU205,0,$BP205,$BS205,$BT205,($A205-Inputs!$D$1)+15,1,0)))))</f>
        <v xml:space="preserve"> </v>
      </c>
      <c r="Q205" s="320" t="str">
        <f>IF($A205="N/A"," ",IF('Pricing Inputs'!$AN$8=2,(J205-$H205),IF('Pricing Inputs'!$AN$3=2,IF((J205-$H205)&gt;0,J205-$H205,0),(_xll.xSPRDOPT(J205,$E205,$BU205,0,$BP205,$BS205,$BT205,($A205-Inputs!$D$1)+15,1,0)))))</f>
        <v xml:space="preserve"> </v>
      </c>
      <c r="R205" s="320" t="str">
        <f>IF($A205="N/A"," ",IF('Pricing Inputs'!$AN$8=2,(K205-$H205),IF('Pricing Inputs'!$AN$3=2,IF((K205-$H205)&gt;0,K205-$H205,0),(_xll.xSPRDOPT(K205,$E205,$BU205,0,$BP205,$BS205,$BT205,($A205-Inputs!$D$1)+15,1,0)))))</f>
        <v xml:space="preserve"> </v>
      </c>
      <c r="S205" s="320" t="str">
        <f>IF($A205="N/A"," ",IF('Pricing Inputs'!$AN$8=2,(L205-$H205),IF('Pricing Inputs'!$AN$3=2,IF((L205-$H205)&gt;0,L205-$H205,0),(_xll.xSPRDOPT(L205,$E205,$BU205,0,$BP205,$BS205,$BT205,($A205-Inputs!$D$1)+15,1,0)))))</f>
        <v xml:space="preserve"> </v>
      </c>
      <c r="T205" s="320" t="str">
        <f>IF($A205="N/A"," ",IF('Pricing Inputs'!$AN$8=2,(M205-$H205),IF('Pricing Inputs'!$AN$3=2,IF((M205-$H205)&gt;0,M205-$H205,0),(_xll.xSPRDOPT(M205,$E205,$BU205,0,$BP205,$BS205,$BT205,($A205-Inputs!$D$1)+15,1,0)))))</f>
        <v xml:space="preserve"> </v>
      </c>
      <c r="U205" s="320" t="str">
        <f>IF($A205="N/A"," ",IF('Pricing Inputs'!$AN$8=2,(N205-$H205),IF('Pricing Inputs'!$AN$3=2,IF((N205-$H205)&gt;0,N205-$H205,0),(_xll.xSPRDOPT(N205,$E205,$BU205,0,$BP205,$BS205,$BT205,($A205-Inputs!$D$1)+15,1,0)))))</f>
        <v xml:space="preserve"> </v>
      </c>
      <c r="V205" s="259" t="str">
        <f>IF($A205="N/A"," ",(IF('Pricing Inputs'!$AN$8=2,(O205-$H205),IF((O205-$H205)&lt;=0,0,(O205-$H205)))))</f>
        <v xml:space="preserve"> </v>
      </c>
      <c r="W205" s="306" t="str">
        <f>IF($A205="N/A"," ",IF(0&lt;&gt;P205,IF('Pricing Inputs'!$AN$3=2,8*VLOOKUP($A205,NumberofDaysTable,2),(_xll.xSPRDOPT(I205,$E205,$BU205,0,$BP205,$BS205,$BT205,$A205-Inputs!$D$1,1,1))*(8*VLOOKUP($A205,NumberofDaysTable,2))),0))</f>
        <v xml:space="preserve"> </v>
      </c>
      <c r="X205" s="306" t="str">
        <f>IF($A205="N/A"," ",IF(Q205&lt;&gt;0,IF('Pricing Inputs'!$AN$3=2,8*VLOOKUP($A205,NumberofDaysTable,2),(_xll.xSPRDOPT(J205,$E205,$BU205,0,$BP205,$BS205,$BT205,$A205-Inputs!$D$1,1,1))*(8*VLOOKUP($A205,NumberofDaysTable,2))),0))</f>
        <v xml:space="preserve"> </v>
      </c>
      <c r="Y205" s="306" t="str">
        <f>IF($A205="N/A"," ",IF(R205&lt;&gt;0,IF('Pricing Inputs'!$AN$3=2,8*VLOOKUP($A205,NumberofDaysTable,3),(_xll.xSPRDOPT(K205,$E205,$BU205,0,$BP205,$BS205,$BT205,$A205-Inputs!$D$1,1,1))*(8*VLOOKUP($A205,NumberofDaysTable,3))),0))</f>
        <v xml:space="preserve"> </v>
      </c>
      <c r="Z205" s="306" t="str">
        <f>IF($A205="N/A"," ",IF(S205&lt;&gt;0,IF('Pricing Inputs'!$AN$3=2,8*VLOOKUP($A205,NumberofDaysTable,3),(_xll.xSPRDOPT(L205,$E205,$BU205,0,$BP205,$BS205,$BT205,$A205-Inputs!$D$1,1,1))*(8*VLOOKUP($A205,NumberofDaysTable,3))),0))</f>
        <v xml:space="preserve"> </v>
      </c>
      <c r="AA205" s="306" t="str">
        <f>IF($A205="N/A"," ",IF(T205&lt;&gt;0,IF('Pricing Inputs'!$AN$3=2,8*VLOOKUP($A205,NumberofDaysTable,4),(_xll.xSPRDOPT(M205,$E205,$BU205,0,$BP205,$BS205,$BT205,$A205-Inputs!$D$1,1,1))*(8*VLOOKUP($A205,NumberofDaysTable,4))),0))</f>
        <v xml:space="preserve"> </v>
      </c>
      <c r="AB205" s="306" t="str">
        <f>IF($A205="N/A"," ",IF(U205&lt;&gt;0,IF('Pricing Inputs'!$AN$3=2,8*VLOOKUP($A205,NumberofDaysTable,4),(_xll.xSPRDOPT(N205,$E205,$BU205,0,$BP205,$BS205,$BT205,$A205-Inputs!$D$1,1,1))*(8*VLOOKUP($A205,NumberofDaysTable,4))),0))</f>
        <v xml:space="preserve"> </v>
      </c>
      <c r="AC205" s="306" t="str">
        <f t="shared" si="342"/>
        <v xml:space="preserve"> </v>
      </c>
      <c r="AD205" s="274" t="str">
        <f t="shared" si="343"/>
        <v xml:space="preserve"> </v>
      </c>
      <c r="AE205" s="275" t="str">
        <f t="shared" si="344"/>
        <v xml:space="preserve"> </v>
      </c>
      <c r="AF205" s="275" t="str">
        <f t="shared" si="345"/>
        <v xml:space="preserve"> </v>
      </c>
      <c r="AG205" s="275" t="str">
        <f t="shared" si="346"/>
        <v xml:space="preserve"> </v>
      </c>
      <c r="AH205" s="275" t="str">
        <f t="shared" si="347"/>
        <v xml:space="preserve"> </v>
      </c>
      <c r="AI205" s="275" t="str">
        <f t="shared" si="348"/>
        <v xml:space="preserve"> </v>
      </c>
      <c r="AJ205" s="276" t="str">
        <f t="shared" si="349"/>
        <v xml:space="preserve"> </v>
      </c>
      <c r="AK205" s="314" t="str">
        <f t="shared" si="259"/>
        <v xml:space="preserve"> </v>
      </c>
      <c r="AL205" s="315" t="str">
        <f t="shared" si="260"/>
        <v xml:space="preserve"> </v>
      </c>
      <c r="AM205" s="315" t="str">
        <f t="shared" si="261"/>
        <v xml:space="preserve"> </v>
      </c>
      <c r="AN205" s="315" t="str">
        <f t="shared" si="262"/>
        <v xml:space="preserve"> </v>
      </c>
      <c r="AO205" s="315" t="str">
        <f t="shared" si="263"/>
        <v xml:space="preserve"> </v>
      </c>
      <c r="AP205" s="315" t="str">
        <f t="shared" si="264"/>
        <v xml:space="preserve"> </v>
      </c>
      <c r="AQ205" s="315" t="str">
        <f t="shared" si="265"/>
        <v xml:space="preserve"> </v>
      </c>
      <c r="AR205" s="284" t="s">
        <v>1292</v>
      </c>
      <c r="AS205" s="321" t="str">
        <f t="shared" si="329"/>
        <v xml:space="preserve"> </v>
      </c>
      <c r="AT205" s="324" t="str">
        <f t="shared" si="330"/>
        <v xml:space="preserve"> </v>
      </c>
      <c r="AU205" s="324" t="str">
        <f t="shared" si="331"/>
        <v xml:space="preserve"> </v>
      </c>
      <c r="AV205" s="324" t="str">
        <f t="shared" si="332"/>
        <v xml:space="preserve"> </v>
      </c>
      <c r="AW205" s="324" t="str">
        <f t="shared" si="333"/>
        <v xml:space="preserve"> </v>
      </c>
      <c r="AX205" s="324" t="str">
        <f t="shared" si="334"/>
        <v xml:space="preserve"> </v>
      </c>
      <c r="AY205" s="324" t="str">
        <f t="shared" si="335"/>
        <v xml:space="preserve"> </v>
      </c>
      <c r="AZ205" s="283" t="s">
        <v>1304</v>
      </c>
      <c r="BA205" s="267" t="str">
        <f>IF($A205="N/A"," ",(IF(MONTH(A205)&gt;=4,IF(MONTH(A205)&lt;=10,Inputs!$F$13,Inputs!$F$14),Inputs!$F$14))*$BW205)</f>
        <v xml:space="preserve"> </v>
      </c>
      <c r="BB205" s="268" t="str">
        <f t="shared" si="266"/>
        <v xml:space="preserve"> </v>
      </c>
      <c r="BC205" s="268" t="str">
        <f t="shared" si="267"/>
        <v xml:space="preserve"> </v>
      </c>
      <c r="BD205" s="268" t="str">
        <f t="shared" si="350"/>
        <v xml:space="preserve"> </v>
      </c>
      <c r="BE205" s="268" t="str">
        <f t="shared" si="351"/>
        <v xml:space="preserve"> </v>
      </c>
      <c r="BF205" s="268" t="str">
        <f t="shared" si="352"/>
        <v xml:space="preserve"> </v>
      </c>
      <c r="BG205" s="268" t="str">
        <f t="shared" si="353"/>
        <v xml:space="preserve"> </v>
      </c>
      <c r="BH205" s="268" t="str">
        <f t="shared" ref="BH205:BH256" si="359">IF($A205="N/A"," ",($BA205*AQ205*V205))</f>
        <v xml:space="preserve"> </v>
      </c>
      <c r="BI205" s="268" t="str">
        <f t="shared" si="354"/>
        <v xml:space="preserve"> </v>
      </c>
      <c r="BJ205" s="296" t="str">
        <f t="shared" si="355"/>
        <v xml:space="preserve"> </v>
      </c>
      <c r="BK205" s="296" t="str">
        <f t="shared" si="356"/>
        <v xml:space="preserve"> </v>
      </c>
      <c r="BL205" s="296" t="str">
        <f t="shared" si="357"/>
        <v xml:space="preserve"> </v>
      </c>
      <c r="BM205" s="296" t="str">
        <f t="shared" si="358"/>
        <v xml:space="preserve"> </v>
      </c>
      <c r="BN205" s="405" t="str">
        <f>IF(A205="N/A"," ",(VLOOKUP(A205,PowerVolTable,(IF('Pricing Inputs'!$AT$3=2,7,IF('Pricing Inputs'!$AT$3=1,6,8))),FALSE)))</f>
        <v xml:space="preserve"> </v>
      </c>
      <c r="BO205" s="405" t="str">
        <f>IF(A205="N/A"," ",(VLOOKUP(A205,IntraPowerVol,(IF('Pricing Inputs'!$AT$3=2,3,IF('Pricing Inputs'!$AT$3=1,2,4))),FALSE)*VLOOKUP(MONTH($A205),Inputs!$A$28:$B$39,2)))</f>
        <v xml:space="preserve"> </v>
      </c>
      <c r="BP205" s="406" t="str">
        <f t="shared" si="336"/>
        <v xml:space="preserve"> </v>
      </c>
      <c r="BQ205" s="405" t="str">
        <f>IF($A205="N/A"," ",(VLOOKUP($A205,GasVolTable,(IF('Pricing Inputs'!$AT$3=2,6,IF('Pricing Inputs'!$AT$3=1,7,5))),FALSE)))</f>
        <v xml:space="preserve"> </v>
      </c>
      <c r="BR205" s="405" t="str">
        <f>IF($A205="N/A"," ",(VLOOKUP($A205,OmicronVol,(IF('Pricing Inputs'!$AT$3=2,3,IF('Pricing Inputs'!$AT$3=1,4,2))),FALSE)))</f>
        <v xml:space="preserve"> </v>
      </c>
      <c r="BS205" s="406" t="str">
        <f>IF($A205="N/A"," ",IF('Pricing Inputs'!$AN$3=1,(IF(DateToday&gt;$A205,$BR205,((($BQ205^2)*((($A205-1)-DateToday)/((EOMONTH($A205,0)+1)-DateToday-15)))+((($BR205)^2)*((15)/((EOMONTH($A205,0)+1)-DateToday-15))))^0.5)),0.0001))</f>
        <v xml:space="preserve"> </v>
      </c>
      <c r="BT205" s="405" t="str">
        <f>IF($A205="N/A"," ",IF('Pricing Inputs'!$AN$3=1,(VLOOKUP($A205,CorrelationTable,2,FALSE)),0))</f>
        <v xml:space="preserve"> </v>
      </c>
      <c r="BU205" s="407" t="str">
        <f>IF($A205="N/A"," ",F205+G205+(D205*(VLOOKUP($A205,'Gas Curves'!$B$17:$P$310,14,FALSE))))</f>
        <v xml:space="preserve"> </v>
      </c>
      <c r="BV205" s="405" t="str">
        <f>IF($A205="N/A"," ",IF('Pricing Inputs'!$AW$3=1,0,(VLOOKUP($A205,InterestRatesTable,2))))</f>
        <v xml:space="preserve"> </v>
      </c>
      <c r="BW205" s="408" t="str">
        <f t="shared" si="337"/>
        <v xml:space="preserve"> </v>
      </c>
    </row>
    <row r="206" spans="1:75">
      <c r="A206" s="248" t="str">
        <f>IF(A205="N/A","N/A",IF(EDATE(A205,1)&gt;Inputs!$K$3,"N/A",EDATE(A205,1)))</f>
        <v>N/A</v>
      </c>
      <c r="B206" s="262" t="str">
        <f t="shared" si="338"/>
        <v xml:space="preserve"> </v>
      </c>
      <c r="C206" s="249" t="str">
        <f t="shared" si="339"/>
        <v xml:space="preserve"> </v>
      </c>
      <c r="D206" s="250" t="str">
        <f>IF(A206="N/A"," ",(VLOOKUP(MONTH($A206),Inputs!$A$14:$B$25,2))/1000)</f>
        <v xml:space="preserve"> </v>
      </c>
      <c r="E206" s="304" t="str">
        <f t="shared" si="340"/>
        <v xml:space="preserve"> </v>
      </c>
      <c r="F206" s="251" t="str">
        <f>IF(A206="N/A"," ",Inputs!$F$6)</f>
        <v xml:space="preserve"> </v>
      </c>
      <c r="G206" s="251" t="str">
        <f>IF(A206="N/A"," ",Inputs!$F$9/IF(AND('Pricing Inputs'!$AQ$3&gt;=4,'Pricing Inputs'!$AQ$3&lt;=6),16,IF(AND('Pricing Inputs'!$AQ$3&gt;=7,'Pricing Inputs'!$AQ$3&lt;=9),8,24))/(BA206/BW206))</f>
        <v xml:space="preserve"> </v>
      </c>
      <c r="H206" s="252" t="str">
        <f t="shared" si="341"/>
        <v xml:space="preserve"> </v>
      </c>
      <c r="I206" s="255" t="str">
        <f>VLOOKUP(A206,ScaledPrice,(IF(AND('Pricing Inputs'!$AQ$3&gt;=1,'Pricing Inputs'!$AQ$3&lt;=6),2,4)))</f>
        <v xml:space="preserve"> </v>
      </c>
      <c r="J206" s="255" t="str">
        <f>IF(A206="N/A"," ",IF(AND('Pricing Inputs'!$AQ$3&gt;=1,'Pricing Inputs'!$AQ$3&lt;=6),I206,(VLOOKUP(A206,ScaledPrice,2))*(2-(VLOOKUP(A206,ScaledPrice,3)))))</f>
        <v xml:space="preserve"> </v>
      </c>
      <c r="K206" s="255" t="str">
        <f>IF(A206="N/A"," ",IF(OR('Pricing Inputs'!$AQ$3=2,'Pricing Inputs'!$AQ$3=3,'Pricing Inputs'!$AQ$3=5,'Pricing Inputs'!$AQ$3=6,'Pricing Inputs'!$AQ$3=8,'Pricing Inputs'!$AQ$3=9),VLOOKUP(A206,ScaledPrice,IF(AND('Pricing Inputs'!$AQ$3&gt;=2,'Pricing Inputs'!$AQ$3&lt;=6),5,6)),0))</f>
        <v xml:space="preserve"> </v>
      </c>
      <c r="L206" s="255" t="str">
        <f>IF(A206="N/A"," ",IF(OR('Pricing Inputs'!$AQ$3=2,'Pricing Inputs'!$AQ$3=3,'Pricing Inputs'!$AQ$3=5,'Pricing Inputs'!$AQ$3=6,'Pricing Inputs'!$AQ$3=8,'Pricing Inputs'!$AQ$3=9),IF(AND('Pricing Inputs'!$AQ$3&gt;=2,'Pricing Inputs'!$AQ$3&lt;=6),K206,(VLOOKUP(A206,ScaledPrice,5))*(2-(VLOOKUP(A206,ScaledPrice,3)))),0))</f>
        <v xml:space="preserve"> </v>
      </c>
      <c r="M206" s="255" t="str">
        <f>IF(A206="N/A"," ",IF(OR('Pricing Inputs'!$AQ$3=3,'Pricing Inputs'!$AQ$3=6,'Pricing Inputs'!$AQ$3=9),(VLOOKUP(A206,ScaledPrice,IF(AND('Pricing Inputs'!$AQ$3&gt;=3,'Pricing Inputs'!$AQ$3&lt;=6),7,8))),0))</f>
        <v xml:space="preserve"> </v>
      </c>
      <c r="N206" s="255" t="str">
        <f>IF(A206="N/A"," ",IF(OR('Pricing Inputs'!$AQ$3=3,'Pricing Inputs'!$AQ$3=6,'Pricing Inputs'!$AQ$3=9),IF(AND('Pricing Inputs'!$AQ$3&gt;=3,'Pricing Inputs'!$AQ$3&lt;=6),M206,(VLOOKUP(A206,ScaledPrice,7))*(2-(VLOOKUP(A206,ScaledPrice,3)))),0))</f>
        <v xml:space="preserve"> </v>
      </c>
      <c r="O206" s="255" t="str">
        <f>IF(A206="N/A"," ",IF(AND('Pricing Inputs'!$AQ$3&gt;=1,'Pricing Inputs'!$AQ$3&lt;=3),VLOOKUP(A206,ScaledPrice,9),0))</f>
        <v xml:space="preserve"> </v>
      </c>
      <c r="P206" s="320" t="str">
        <f>IF($A206="N/A"," ",IF('Pricing Inputs'!$AN$8=2,(I206-H206),IF('Pricing Inputs'!$AN$3=2,IF((I206-$H206)&gt;0,I206-$H206,0),(_xll.xSPRDOPT(I206,$E206,$BU206,0,$BP206,$BS206,$BT206,($A206-Inputs!$D$1)+15,1,0)))))</f>
        <v xml:space="preserve"> </v>
      </c>
      <c r="Q206" s="320" t="str">
        <f>IF($A206="N/A"," ",IF('Pricing Inputs'!$AN$8=2,(J206-$H206),IF('Pricing Inputs'!$AN$3=2,IF((J206-$H206)&gt;0,J206-$H206,0),(_xll.xSPRDOPT(J206,$E206,$BU206,0,$BP206,$BS206,$BT206,($A206-Inputs!$D$1)+15,1,0)))))</f>
        <v xml:space="preserve"> </v>
      </c>
      <c r="R206" s="320" t="str">
        <f>IF($A206="N/A"," ",IF('Pricing Inputs'!$AN$8=2,(K206-$H206),IF('Pricing Inputs'!$AN$3=2,IF((K206-$H206)&gt;0,K206-$H206,0),(_xll.xSPRDOPT(K206,$E206,$BU206,0,$BP206,$BS206,$BT206,($A206-Inputs!$D$1)+15,1,0)))))</f>
        <v xml:space="preserve"> </v>
      </c>
      <c r="S206" s="320" t="str">
        <f>IF($A206="N/A"," ",IF('Pricing Inputs'!$AN$8=2,(L206-$H206),IF('Pricing Inputs'!$AN$3=2,IF((L206-$H206)&gt;0,L206-$H206,0),(_xll.xSPRDOPT(L206,$E206,$BU206,0,$BP206,$BS206,$BT206,($A206-Inputs!$D$1)+15,1,0)))))</f>
        <v xml:space="preserve"> </v>
      </c>
      <c r="T206" s="320" t="str">
        <f>IF($A206="N/A"," ",IF('Pricing Inputs'!$AN$8=2,(M206-$H206),IF('Pricing Inputs'!$AN$3=2,IF((M206-$H206)&gt;0,M206-$H206,0),(_xll.xSPRDOPT(M206,$E206,$BU206,0,$BP206,$BS206,$BT206,($A206-Inputs!$D$1)+15,1,0)))))</f>
        <v xml:space="preserve"> </v>
      </c>
      <c r="U206" s="320" t="str">
        <f>IF($A206="N/A"," ",IF('Pricing Inputs'!$AN$8=2,(N206-$H206),IF('Pricing Inputs'!$AN$3=2,IF((N206-$H206)&gt;0,N206-$H206,0),(_xll.xSPRDOPT(N206,$E206,$BU206,0,$BP206,$BS206,$BT206,($A206-Inputs!$D$1)+15,1,0)))))</f>
        <v xml:space="preserve"> </v>
      </c>
      <c r="V206" s="259" t="str">
        <f>IF($A206="N/A"," ",(IF('Pricing Inputs'!$AN$8=2,(O206-$H206),IF((O206-$H206)&lt;=0,0,(O206-$H206)))))</f>
        <v xml:space="preserve"> </v>
      </c>
      <c r="W206" s="306" t="str">
        <f>IF($A206="N/A"," ",IF(0&lt;&gt;P206,IF('Pricing Inputs'!$AN$3=2,8*VLOOKUP($A206,NumberofDaysTable,2),(_xll.xSPRDOPT(I206,$E206,$BU206,0,$BP206,$BS206,$BT206,$A206-Inputs!$D$1,1,1))*(8*VLOOKUP($A206,NumberofDaysTable,2))),0))</f>
        <v xml:space="preserve"> </v>
      </c>
      <c r="X206" s="306" t="str">
        <f>IF($A206="N/A"," ",IF(Q206&lt;&gt;0,IF('Pricing Inputs'!$AN$3=2,8*VLOOKUP($A206,NumberofDaysTable,2),(_xll.xSPRDOPT(J206,$E206,$BU206,0,$BP206,$BS206,$BT206,$A206-Inputs!$D$1,1,1))*(8*VLOOKUP($A206,NumberofDaysTable,2))),0))</f>
        <v xml:space="preserve"> </v>
      </c>
      <c r="Y206" s="306" t="str">
        <f>IF($A206="N/A"," ",IF(R206&lt;&gt;0,IF('Pricing Inputs'!$AN$3=2,8*VLOOKUP($A206,NumberofDaysTable,3),(_xll.xSPRDOPT(K206,$E206,$BU206,0,$BP206,$BS206,$BT206,$A206-Inputs!$D$1,1,1))*(8*VLOOKUP($A206,NumberofDaysTable,3))),0))</f>
        <v xml:space="preserve"> </v>
      </c>
      <c r="Z206" s="306" t="str">
        <f>IF($A206="N/A"," ",IF(S206&lt;&gt;0,IF('Pricing Inputs'!$AN$3=2,8*VLOOKUP($A206,NumberofDaysTable,3),(_xll.xSPRDOPT(L206,$E206,$BU206,0,$BP206,$BS206,$BT206,$A206-Inputs!$D$1,1,1))*(8*VLOOKUP($A206,NumberofDaysTable,3))),0))</f>
        <v xml:space="preserve"> </v>
      </c>
      <c r="AA206" s="306" t="str">
        <f>IF($A206="N/A"," ",IF(T206&lt;&gt;0,IF('Pricing Inputs'!$AN$3=2,8*VLOOKUP($A206,NumberofDaysTable,4),(_xll.xSPRDOPT(M206,$E206,$BU206,0,$BP206,$BS206,$BT206,$A206-Inputs!$D$1,1,1))*(8*VLOOKUP($A206,NumberofDaysTable,4))),0))</f>
        <v xml:space="preserve"> </v>
      </c>
      <c r="AB206" s="306" t="str">
        <f>IF($A206="N/A"," ",IF(U206&lt;&gt;0,IF('Pricing Inputs'!$AN$3=2,8*VLOOKUP($A206,NumberofDaysTable,4),(_xll.xSPRDOPT(N206,$E206,$BU206,0,$BP206,$BS206,$BT206,$A206-Inputs!$D$1,1,1))*(8*VLOOKUP($A206,NumberofDaysTable,4))),0))</f>
        <v xml:space="preserve"> </v>
      </c>
      <c r="AC206" s="306" t="str">
        <f t="shared" si="342"/>
        <v xml:space="preserve"> </v>
      </c>
      <c r="AD206" s="274" t="str">
        <f t="shared" si="343"/>
        <v xml:space="preserve"> </v>
      </c>
      <c r="AE206" s="275" t="str">
        <f t="shared" si="344"/>
        <v xml:space="preserve"> </v>
      </c>
      <c r="AF206" s="275" t="str">
        <f t="shared" si="345"/>
        <v xml:space="preserve"> </v>
      </c>
      <c r="AG206" s="275" t="str">
        <f t="shared" si="346"/>
        <v xml:space="preserve"> </v>
      </c>
      <c r="AH206" s="275" t="str">
        <f t="shared" si="347"/>
        <v xml:space="preserve"> </v>
      </c>
      <c r="AI206" s="275" t="str">
        <f t="shared" si="348"/>
        <v xml:space="preserve"> </v>
      </c>
      <c r="AJ206" s="276" t="str">
        <f t="shared" si="349"/>
        <v xml:space="preserve"> </v>
      </c>
      <c r="AK206" s="314" t="str">
        <f t="shared" si="259"/>
        <v xml:space="preserve"> </v>
      </c>
      <c r="AL206" s="315" t="str">
        <f t="shared" si="260"/>
        <v xml:space="preserve"> </v>
      </c>
      <c r="AM206" s="315" t="str">
        <f t="shared" si="261"/>
        <v xml:space="preserve"> </v>
      </c>
      <c r="AN206" s="315" t="str">
        <f t="shared" si="262"/>
        <v xml:space="preserve"> </v>
      </c>
      <c r="AO206" s="315" t="str">
        <f t="shared" si="263"/>
        <v xml:space="preserve"> </v>
      </c>
      <c r="AP206" s="315" t="str">
        <f t="shared" si="264"/>
        <v xml:space="preserve"> </v>
      </c>
      <c r="AQ206" s="315" t="str">
        <f t="shared" si="265"/>
        <v xml:space="preserve"> </v>
      </c>
      <c r="AR206" s="276">
        <f>SUM(AK196:AQ207)</f>
        <v>0</v>
      </c>
      <c r="AS206" s="321" t="str">
        <f t="shared" si="329"/>
        <v xml:space="preserve"> </v>
      </c>
      <c r="AT206" s="324" t="str">
        <f t="shared" si="330"/>
        <v xml:space="preserve"> </v>
      </c>
      <c r="AU206" s="324" t="str">
        <f t="shared" si="331"/>
        <v xml:space="preserve"> </v>
      </c>
      <c r="AV206" s="324" t="str">
        <f t="shared" si="332"/>
        <v xml:space="preserve"> </v>
      </c>
      <c r="AW206" s="324" t="str">
        <f t="shared" si="333"/>
        <v xml:space="preserve"> </v>
      </c>
      <c r="AX206" s="324" t="str">
        <f t="shared" si="334"/>
        <v xml:space="preserve"> </v>
      </c>
      <c r="AY206" s="324" t="str">
        <f t="shared" si="335"/>
        <v xml:space="preserve"> </v>
      </c>
      <c r="AZ206" s="276">
        <f>SUM(AS196:AY207)</f>
        <v>0</v>
      </c>
      <c r="BA206" s="267" t="str">
        <f>IF($A206="N/A"," ",(IF(MONTH(A206)&gt;=4,IF(MONTH(A206)&lt;=10,Inputs!$F$13,Inputs!$F$14),Inputs!$F$14))*$BW206)</f>
        <v xml:space="preserve"> </v>
      </c>
      <c r="BB206" s="268" t="str">
        <f t="shared" si="266"/>
        <v xml:space="preserve"> </v>
      </c>
      <c r="BC206" s="268" t="str">
        <f t="shared" si="267"/>
        <v xml:space="preserve"> </v>
      </c>
      <c r="BD206" s="268" t="str">
        <f t="shared" si="350"/>
        <v xml:space="preserve"> </v>
      </c>
      <c r="BE206" s="268" t="str">
        <f t="shared" si="351"/>
        <v xml:space="preserve"> </v>
      </c>
      <c r="BF206" s="268" t="str">
        <f t="shared" si="352"/>
        <v xml:space="preserve"> </v>
      </c>
      <c r="BG206" s="268" t="str">
        <f t="shared" si="353"/>
        <v xml:space="preserve"> </v>
      </c>
      <c r="BH206" s="268" t="str">
        <f t="shared" si="359"/>
        <v xml:space="preserve"> </v>
      </c>
      <c r="BI206" s="268" t="str">
        <f t="shared" si="354"/>
        <v xml:space="preserve"> </v>
      </c>
      <c r="BJ206" s="296" t="str">
        <f t="shared" si="355"/>
        <v xml:space="preserve"> </v>
      </c>
      <c r="BK206" s="296" t="str">
        <f t="shared" si="356"/>
        <v xml:space="preserve"> </v>
      </c>
      <c r="BL206" s="296" t="str">
        <f t="shared" si="357"/>
        <v xml:space="preserve"> </v>
      </c>
      <c r="BM206" s="296" t="str">
        <f t="shared" si="358"/>
        <v xml:space="preserve"> </v>
      </c>
      <c r="BN206" s="405" t="str">
        <f>IF(A206="N/A"," ",(VLOOKUP(A206,PowerVolTable,(IF('Pricing Inputs'!$AT$3=2,7,IF('Pricing Inputs'!$AT$3=1,6,8))),FALSE)))</f>
        <v xml:space="preserve"> </v>
      </c>
      <c r="BO206" s="405" t="str">
        <f>IF(A206="N/A"," ",(VLOOKUP(A206,IntraPowerVol,(IF('Pricing Inputs'!$AT$3=2,3,IF('Pricing Inputs'!$AT$3=1,2,4))),FALSE)*VLOOKUP(MONTH($A206),Inputs!$A$28:$B$39,2)))</f>
        <v xml:space="preserve"> </v>
      </c>
      <c r="BP206" s="406" t="str">
        <f t="shared" si="336"/>
        <v xml:space="preserve"> </v>
      </c>
      <c r="BQ206" s="405" t="str">
        <f>IF($A206="N/A"," ",(VLOOKUP($A206,GasVolTable,(IF('Pricing Inputs'!$AT$3=2,6,IF('Pricing Inputs'!$AT$3=1,7,5))),FALSE)))</f>
        <v xml:space="preserve"> </v>
      </c>
      <c r="BR206" s="405" t="str">
        <f>IF($A206="N/A"," ",(VLOOKUP($A206,OmicronVol,(IF('Pricing Inputs'!$AT$3=2,3,IF('Pricing Inputs'!$AT$3=1,4,2))),FALSE)))</f>
        <v xml:space="preserve"> </v>
      </c>
      <c r="BS206" s="406" t="str">
        <f>IF($A206="N/A"," ",IF('Pricing Inputs'!$AN$3=1,(IF(DateToday&gt;$A206,$BR206,((($BQ206^2)*((($A206-1)-DateToday)/((EOMONTH($A206,0)+1)-DateToday-15)))+((($BR206)^2)*((15)/((EOMONTH($A206,0)+1)-DateToday-15))))^0.5)),0.0001))</f>
        <v xml:space="preserve"> </v>
      </c>
      <c r="BT206" s="405" t="str">
        <f>IF($A206="N/A"," ",IF('Pricing Inputs'!$AN$3=1,(VLOOKUP($A206,CorrelationTable,2,FALSE)),0))</f>
        <v xml:space="preserve"> </v>
      </c>
      <c r="BU206" s="407" t="str">
        <f>IF($A206="N/A"," ",F206+G206+(D206*(VLOOKUP($A206,'Gas Curves'!$B$17:$P$310,14,FALSE))))</f>
        <v xml:space="preserve"> </v>
      </c>
      <c r="BV206" s="405" t="str">
        <f>IF($A206="N/A"," ",IF('Pricing Inputs'!$AW$3=1,0,(VLOOKUP($A206,InterestRatesTable,2))))</f>
        <v xml:space="preserve"> </v>
      </c>
      <c r="BW206" s="408" t="str">
        <f t="shared" si="337"/>
        <v xml:space="preserve"> </v>
      </c>
    </row>
    <row r="207" spans="1:75">
      <c r="A207" s="248" t="str">
        <f>IF(A206="N/A","N/A",IF(EDATE(A206,1)&gt;Inputs!$K$3,"N/A",EDATE(A206,1)))</f>
        <v>N/A</v>
      </c>
      <c r="B207" s="262" t="str">
        <f t="shared" si="338"/>
        <v xml:space="preserve"> </v>
      </c>
      <c r="C207" s="249" t="str">
        <f t="shared" si="339"/>
        <v xml:space="preserve"> </v>
      </c>
      <c r="D207" s="250" t="str">
        <f>IF(A207="N/A"," ",(VLOOKUP(MONTH($A207),Inputs!$A$14:$B$25,2))/1000)</f>
        <v xml:space="preserve"> </v>
      </c>
      <c r="E207" s="304" t="str">
        <f t="shared" si="340"/>
        <v xml:space="preserve"> </v>
      </c>
      <c r="F207" s="251" t="str">
        <f>IF(A207="N/A"," ",Inputs!$F$6)</f>
        <v xml:space="preserve"> </v>
      </c>
      <c r="G207" s="251" t="str">
        <f>IF(A207="N/A"," ",Inputs!$F$9/IF(AND('Pricing Inputs'!$AQ$3&gt;=4,'Pricing Inputs'!$AQ$3&lt;=6),16,IF(AND('Pricing Inputs'!$AQ$3&gt;=7,'Pricing Inputs'!$AQ$3&lt;=9),8,24))/(BA207/BW207))</f>
        <v xml:space="preserve"> </v>
      </c>
      <c r="H207" s="252" t="str">
        <f t="shared" si="341"/>
        <v xml:space="preserve"> </v>
      </c>
      <c r="I207" s="255" t="str">
        <f>VLOOKUP(A207,ScaledPrice,(IF(AND('Pricing Inputs'!$AQ$3&gt;=1,'Pricing Inputs'!$AQ$3&lt;=6),2,4)))</f>
        <v xml:space="preserve"> </v>
      </c>
      <c r="J207" s="255" t="str">
        <f>IF(A207="N/A"," ",IF(AND('Pricing Inputs'!$AQ$3&gt;=1,'Pricing Inputs'!$AQ$3&lt;=6),I207,(VLOOKUP(A207,ScaledPrice,2))*(2-(VLOOKUP(A207,ScaledPrice,3)))))</f>
        <v xml:space="preserve"> </v>
      </c>
      <c r="K207" s="255" t="str">
        <f>IF(A207="N/A"," ",IF(OR('Pricing Inputs'!$AQ$3=2,'Pricing Inputs'!$AQ$3=3,'Pricing Inputs'!$AQ$3=5,'Pricing Inputs'!$AQ$3=6,'Pricing Inputs'!$AQ$3=8,'Pricing Inputs'!$AQ$3=9),VLOOKUP(A207,ScaledPrice,IF(AND('Pricing Inputs'!$AQ$3&gt;=2,'Pricing Inputs'!$AQ$3&lt;=6),5,6)),0))</f>
        <v xml:space="preserve"> </v>
      </c>
      <c r="L207" s="255" t="str">
        <f>IF(A207="N/A"," ",IF(OR('Pricing Inputs'!$AQ$3=2,'Pricing Inputs'!$AQ$3=3,'Pricing Inputs'!$AQ$3=5,'Pricing Inputs'!$AQ$3=6,'Pricing Inputs'!$AQ$3=8,'Pricing Inputs'!$AQ$3=9),IF(AND('Pricing Inputs'!$AQ$3&gt;=2,'Pricing Inputs'!$AQ$3&lt;=6),K207,(VLOOKUP(A207,ScaledPrice,5))*(2-(VLOOKUP(A207,ScaledPrice,3)))),0))</f>
        <v xml:space="preserve"> </v>
      </c>
      <c r="M207" s="255" t="str">
        <f>IF(A207="N/A"," ",IF(OR('Pricing Inputs'!$AQ$3=3,'Pricing Inputs'!$AQ$3=6,'Pricing Inputs'!$AQ$3=9),(VLOOKUP(A207,ScaledPrice,IF(AND('Pricing Inputs'!$AQ$3&gt;=3,'Pricing Inputs'!$AQ$3&lt;=6),7,8))),0))</f>
        <v xml:space="preserve"> </v>
      </c>
      <c r="N207" s="255" t="str">
        <f>IF(A207="N/A"," ",IF(OR('Pricing Inputs'!$AQ$3=3,'Pricing Inputs'!$AQ$3=6,'Pricing Inputs'!$AQ$3=9),IF(AND('Pricing Inputs'!$AQ$3&gt;=3,'Pricing Inputs'!$AQ$3&lt;=6),M207,(VLOOKUP(A207,ScaledPrice,7))*(2-(VLOOKUP(A207,ScaledPrice,3)))),0))</f>
        <v xml:space="preserve"> </v>
      </c>
      <c r="O207" s="255" t="str">
        <f>IF(A207="N/A"," ",IF(AND('Pricing Inputs'!$AQ$3&gt;=1,'Pricing Inputs'!$AQ$3&lt;=3),VLOOKUP(A207,ScaledPrice,9),0))</f>
        <v xml:space="preserve"> </v>
      </c>
      <c r="P207" s="320" t="str">
        <f>IF($A207="N/A"," ",IF('Pricing Inputs'!$AN$8=2,(I207-H207),IF('Pricing Inputs'!$AN$3=2,IF((I207-$H207)&gt;0,I207-$H207,0),(_xll.xSPRDOPT(I207,$E207,$BU207,0,$BP207,$BS207,$BT207,($A207-Inputs!$D$1)+15,1,0)))))</f>
        <v xml:space="preserve"> </v>
      </c>
      <c r="Q207" s="320" t="str">
        <f>IF($A207="N/A"," ",IF('Pricing Inputs'!$AN$8=2,(J207-$H207),IF('Pricing Inputs'!$AN$3=2,IF((J207-$H207)&gt;0,J207-$H207,0),(_xll.xSPRDOPT(J207,$E207,$BU207,0,$BP207,$BS207,$BT207,($A207-Inputs!$D$1)+15,1,0)))))</f>
        <v xml:space="preserve"> </v>
      </c>
      <c r="R207" s="320" t="str">
        <f>IF($A207="N/A"," ",IF('Pricing Inputs'!$AN$8=2,(K207-$H207),IF('Pricing Inputs'!$AN$3=2,IF((K207-$H207)&gt;0,K207-$H207,0),(_xll.xSPRDOPT(K207,$E207,$BU207,0,$BP207,$BS207,$BT207,($A207-Inputs!$D$1)+15,1,0)))))</f>
        <v xml:space="preserve"> </v>
      </c>
      <c r="S207" s="320" t="str">
        <f>IF($A207="N/A"," ",IF('Pricing Inputs'!$AN$8=2,(L207-$H207),IF('Pricing Inputs'!$AN$3=2,IF((L207-$H207)&gt;0,L207-$H207,0),(_xll.xSPRDOPT(L207,$E207,$BU207,0,$BP207,$BS207,$BT207,($A207-Inputs!$D$1)+15,1,0)))))</f>
        <v xml:space="preserve"> </v>
      </c>
      <c r="T207" s="320" t="str">
        <f>IF($A207="N/A"," ",IF('Pricing Inputs'!$AN$8=2,(M207-$H207),IF('Pricing Inputs'!$AN$3=2,IF((M207-$H207)&gt;0,M207-$H207,0),(_xll.xSPRDOPT(M207,$E207,$BU207,0,$BP207,$BS207,$BT207,($A207-Inputs!$D$1)+15,1,0)))))</f>
        <v xml:space="preserve"> </v>
      </c>
      <c r="U207" s="320" t="str">
        <f>IF($A207="N/A"," ",IF('Pricing Inputs'!$AN$8=2,(N207-$H207),IF('Pricing Inputs'!$AN$3=2,IF((N207-$H207)&gt;0,N207-$H207,0),(_xll.xSPRDOPT(N207,$E207,$BU207,0,$BP207,$BS207,$BT207,($A207-Inputs!$D$1)+15,1,0)))))</f>
        <v xml:space="preserve"> </v>
      </c>
      <c r="V207" s="259" t="str">
        <f>IF($A207="N/A"," ",(IF('Pricing Inputs'!$AN$8=2,(O207-$H207),IF((O207-$H207)&lt;=0,0,(O207-$H207)))))</f>
        <v xml:space="preserve"> </v>
      </c>
      <c r="W207" s="306" t="str">
        <f>IF($A207="N/A"," ",IF(0&lt;&gt;P207,IF('Pricing Inputs'!$AN$3=2,8*VLOOKUP($A207,NumberofDaysTable,2),(_xll.xSPRDOPT(I207,$E207,$BU207,0,$BP207,$BS207,$BT207,$A207-Inputs!$D$1,1,1))*(8*VLOOKUP($A207,NumberofDaysTable,2))),0))</f>
        <v xml:space="preserve"> </v>
      </c>
      <c r="X207" s="306" t="str">
        <f>IF($A207="N/A"," ",IF(Q207&lt;&gt;0,IF('Pricing Inputs'!$AN$3=2,8*VLOOKUP($A207,NumberofDaysTable,2),(_xll.xSPRDOPT(J207,$E207,$BU207,0,$BP207,$BS207,$BT207,$A207-Inputs!$D$1,1,1))*(8*VLOOKUP($A207,NumberofDaysTable,2))),0))</f>
        <v xml:space="preserve"> </v>
      </c>
      <c r="Y207" s="306" t="str">
        <f>IF($A207="N/A"," ",IF(R207&lt;&gt;0,IF('Pricing Inputs'!$AN$3=2,8*VLOOKUP($A207,NumberofDaysTable,3),(_xll.xSPRDOPT(K207,$E207,$BU207,0,$BP207,$BS207,$BT207,$A207-Inputs!$D$1,1,1))*(8*VLOOKUP($A207,NumberofDaysTable,3))),0))</f>
        <v xml:space="preserve"> </v>
      </c>
      <c r="Z207" s="306" t="str">
        <f>IF($A207="N/A"," ",IF(S207&lt;&gt;0,IF('Pricing Inputs'!$AN$3=2,8*VLOOKUP($A207,NumberofDaysTable,3),(_xll.xSPRDOPT(L207,$E207,$BU207,0,$BP207,$BS207,$BT207,$A207-Inputs!$D$1,1,1))*(8*VLOOKUP($A207,NumberofDaysTable,3))),0))</f>
        <v xml:space="preserve"> </v>
      </c>
      <c r="AA207" s="306" t="str">
        <f>IF($A207="N/A"," ",IF(T207&lt;&gt;0,IF('Pricing Inputs'!$AN$3=2,8*VLOOKUP($A207,NumberofDaysTable,4),(_xll.xSPRDOPT(M207,$E207,$BU207,0,$BP207,$BS207,$BT207,$A207-Inputs!$D$1,1,1))*(8*VLOOKUP($A207,NumberofDaysTable,4))),0))</f>
        <v xml:space="preserve"> </v>
      </c>
      <c r="AB207" s="306" t="str">
        <f>IF($A207="N/A"," ",IF(U207&lt;&gt;0,IF('Pricing Inputs'!$AN$3=2,8*VLOOKUP($A207,NumberofDaysTable,4),(_xll.xSPRDOPT(N207,$E207,$BU207,0,$BP207,$BS207,$BT207,$A207-Inputs!$D$1,1,1))*(8*VLOOKUP($A207,NumberofDaysTable,4))),0))</f>
        <v xml:space="preserve"> </v>
      </c>
      <c r="AC207" s="306" t="str">
        <f t="shared" si="342"/>
        <v xml:space="preserve"> </v>
      </c>
      <c r="AD207" s="277" t="str">
        <f t="shared" si="343"/>
        <v xml:space="preserve"> </v>
      </c>
      <c r="AE207" s="278" t="str">
        <f t="shared" si="344"/>
        <v xml:space="preserve"> </v>
      </c>
      <c r="AF207" s="278" t="str">
        <f t="shared" si="345"/>
        <v xml:space="preserve"> </v>
      </c>
      <c r="AG207" s="278" t="str">
        <f t="shared" si="346"/>
        <v xml:space="preserve"> </v>
      </c>
      <c r="AH207" s="278" t="str">
        <f t="shared" si="347"/>
        <v xml:space="preserve"> </v>
      </c>
      <c r="AI207" s="278" t="str">
        <f t="shared" si="348"/>
        <v xml:space="preserve"> </v>
      </c>
      <c r="AJ207" s="279" t="str">
        <f t="shared" si="349"/>
        <v xml:space="preserve"> </v>
      </c>
      <c r="AK207" s="316" t="str">
        <f t="shared" si="259"/>
        <v xml:space="preserve"> </v>
      </c>
      <c r="AL207" s="317" t="str">
        <f t="shared" si="260"/>
        <v xml:space="preserve"> </v>
      </c>
      <c r="AM207" s="317" t="str">
        <f t="shared" si="261"/>
        <v xml:space="preserve"> </v>
      </c>
      <c r="AN207" s="317" t="str">
        <f t="shared" si="262"/>
        <v xml:space="preserve"> </v>
      </c>
      <c r="AO207" s="317" t="str">
        <f t="shared" si="263"/>
        <v xml:space="preserve"> </v>
      </c>
      <c r="AP207" s="317" t="str">
        <f t="shared" si="264"/>
        <v xml:space="preserve"> </v>
      </c>
      <c r="AQ207" s="317" t="str">
        <f t="shared" si="265"/>
        <v xml:space="preserve"> </v>
      </c>
      <c r="AR207" s="279">
        <f>IF(($AP$2-AR206)&gt;=0,$AP$2-AR206,0)</f>
        <v>1400</v>
      </c>
      <c r="AS207" s="325" t="str">
        <f t="shared" si="329"/>
        <v xml:space="preserve"> </v>
      </c>
      <c r="AT207" s="326" t="str">
        <f t="shared" si="330"/>
        <v xml:space="preserve"> </v>
      </c>
      <c r="AU207" s="326" t="str">
        <f t="shared" si="331"/>
        <v xml:space="preserve"> </v>
      </c>
      <c r="AV207" s="326" t="str">
        <f t="shared" si="332"/>
        <v xml:space="preserve"> </v>
      </c>
      <c r="AW207" s="326" t="str">
        <f t="shared" si="333"/>
        <v xml:space="preserve"> </v>
      </c>
      <c r="AX207" s="326" t="str">
        <f t="shared" si="334"/>
        <v xml:space="preserve"> </v>
      </c>
      <c r="AY207" s="326" t="str">
        <f t="shared" si="335"/>
        <v xml:space="preserve"> </v>
      </c>
      <c r="AZ207" s="285">
        <f>AR206+AZ206</f>
        <v>0</v>
      </c>
      <c r="BA207" s="267" t="str">
        <f>IF($A207="N/A"," ",(IF(MONTH(A207)&gt;=4,IF(MONTH(A207)&lt;=10,Inputs!$F$13,Inputs!$F$14),Inputs!$F$14))*$BW207)</f>
        <v xml:space="preserve"> </v>
      </c>
      <c r="BB207" s="268" t="str">
        <f t="shared" si="266"/>
        <v xml:space="preserve"> </v>
      </c>
      <c r="BC207" s="268" t="str">
        <f t="shared" si="267"/>
        <v xml:space="preserve"> </v>
      </c>
      <c r="BD207" s="268" t="str">
        <f t="shared" si="350"/>
        <v xml:space="preserve"> </v>
      </c>
      <c r="BE207" s="268" t="str">
        <f t="shared" si="351"/>
        <v xml:space="preserve"> </v>
      </c>
      <c r="BF207" s="268" t="str">
        <f t="shared" si="352"/>
        <v xml:space="preserve"> </v>
      </c>
      <c r="BG207" s="268" t="str">
        <f t="shared" si="353"/>
        <v xml:space="preserve"> </v>
      </c>
      <c r="BH207" s="268" t="str">
        <f t="shared" si="359"/>
        <v xml:space="preserve"> </v>
      </c>
      <c r="BI207" s="268" t="str">
        <f t="shared" si="354"/>
        <v xml:space="preserve"> </v>
      </c>
      <c r="BJ207" s="296" t="str">
        <f t="shared" si="355"/>
        <v xml:space="preserve"> </v>
      </c>
      <c r="BK207" s="296" t="str">
        <f t="shared" si="356"/>
        <v xml:space="preserve"> </v>
      </c>
      <c r="BL207" s="296" t="str">
        <f t="shared" si="357"/>
        <v xml:space="preserve"> </v>
      </c>
      <c r="BM207" s="296" t="str">
        <f t="shared" si="358"/>
        <v xml:space="preserve"> </v>
      </c>
      <c r="BN207" s="405" t="str">
        <f>IF(A207="N/A"," ",(VLOOKUP(A207,PowerVolTable,(IF('Pricing Inputs'!$AT$3=2,7,IF('Pricing Inputs'!$AT$3=1,6,8))),FALSE)))</f>
        <v xml:space="preserve"> </v>
      </c>
      <c r="BO207" s="405" t="str">
        <f>IF(A207="N/A"," ",(VLOOKUP(A207,IntraPowerVol,(IF('Pricing Inputs'!$AT$3=2,3,IF('Pricing Inputs'!$AT$3=1,2,4))),FALSE)*VLOOKUP(MONTH($A207),Inputs!$A$28:$B$39,2)))</f>
        <v xml:space="preserve"> </v>
      </c>
      <c r="BP207" s="406" t="str">
        <f t="shared" si="336"/>
        <v xml:space="preserve"> </v>
      </c>
      <c r="BQ207" s="405" t="str">
        <f>IF($A207="N/A"," ",(VLOOKUP($A207,GasVolTable,(IF('Pricing Inputs'!$AT$3=2,6,IF('Pricing Inputs'!$AT$3=1,7,5))),FALSE)))</f>
        <v xml:space="preserve"> </v>
      </c>
      <c r="BR207" s="405" t="str">
        <f>IF($A207="N/A"," ",(VLOOKUP($A207,OmicronVol,(IF('Pricing Inputs'!$AT$3=2,3,IF('Pricing Inputs'!$AT$3=1,4,2))),FALSE)))</f>
        <v xml:space="preserve"> </v>
      </c>
      <c r="BS207" s="406" t="str">
        <f>IF($A207="N/A"," ",IF('Pricing Inputs'!$AN$3=1,(IF(DateToday&gt;$A207,$BR207,((($BQ207^2)*((($A207-1)-DateToday)/((EOMONTH($A207,0)+1)-DateToday-15)))+((($BR207)^2)*((15)/((EOMONTH($A207,0)+1)-DateToday-15))))^0.5)),0.0001))</f>
        <v xml:space="preserve"> </v>
      </c>
      <c r="BT207" s="405" t="str">
        <f>IF($A207="N/A"," ",IF('Pricing Inputs'!$AN$3=1,(VLOOKUP($A207,CorrelationTable,2,FALSE)),0))</f>
        <v xml:space="preserve"> </v>
      </c>
      <c r="BU207" s="407" t="str">
        <f>IF($A207="N/A"," ",F207+G207+(D207*(VLOOKUP($A207,'Gas Curves'!$B$17:$P$310,14,FALSE))))</f>
        <v xml:space="preserve"> </v>
      </c>
      <c r="BV207" s="405" t="str">
        <f>IF($A207="N/A"," ",IF('Pricing Inputs'!$AW$3=1,0,(VLOOKUP($A207,InterestRatesTable,2))))</f>
        <v xml:space="preserve"> </v>
      </c>
      <c r="BW207" s="408" t="str">
        <f t="shared" si="337"/>
        <v xml:space="preserve"> </v>
      </c>
    </row>
    <row r="208" spans="1:75">
      <c r="A208" s="248" t="str">
        <f>IF(A207="N/A","N/A",IF(EDATE(A207,1)&gt;Inputs!$K$3,"N/A",EDATE(A207,1)))</f>
        <v>N/A</v>
      </c>
      <c r="B208" s="262" t="str">
        <f t="shared" si="338"/>
        <v xml:space="preserve"> </v>
      </c>
      <c r="C208" s="249" t="str">
        <f t="shared" si="339"/>
        <v xml:space="preserve"> </v>
      </c>
      <c r="D208" s="250" t="str">
        <f>IF(A208="N/A"," ",(VLOOKUP(MONTH($A208),Inputs!$A$14:$B$25,2))/1000)</f>
        <v xml:space="preserve"> </v>
      </c>
      <c r="E208" s="304" t="str">
        <f t="shared" si="340"/>
        <v xml:space="preserve"> </v>
      </c>
      <c r="F208" s="251" t="str">
        <f>IF(A208="N/A"," ",Inputs!$F$6)</f>
        <v xml:space="preserve"> </v>
      </c>
      <c r="G208" s="251" t="str">
        <f>IF(A208="N/A"," ",Inputs!$F$9/IF(AND('Pricing Inputs'!$AQ$3&gt;=4,'Pricing Inputs'!$AQ$3&lt;=6),16,IF(AND('Pricing Inputs'!$AQ$3&gt;=7,'Pricing Inputs'!$AQ$3&lt;=9),8,24))/(BA208/BW208))</f>
        <v xml:space="preserve"> </v>
      </c>
      <c r="H208" s="252" t="str">
        <f t="shared" si="341"/>
        <v xml:space="preserve"> </v>
      </c>
      <c r="I208" s="255" t="str">
        <f>VLOOKUP(A208,ScaledPrice,(IF(AND('Pricing Inputs'!$AQ$3&gt;=1,'Pricing Inputs'!$AQ$3&lt;=6),2,4)))</f>
        <v xml:space="preserve"> </v>
      </c>
      <c r="J208" s="255" t="str">
        <f>IF(A208="N/A"," ",IF(AND('Pricing Inputs'!$AQ$3&gt;=1,'Pricing Inputs'!$AQ$3&lt;=6),I208,(VLOOKUP(A208,ScaledPrice,2))*(2-(VLOOKUP(A208,ScaledPrice,3)))))</f>
        <v xml:space="preserve"> </v>
      </c>
      <c r="K208" s="255" t="str">
        <f>IF(A208="N/A"," ",IF(OR('Pricing Inputs'!$AQ$3=2,'Pricing Inputs'!$AQ$3=3,'Pricing Inputs'!$AQ$3=5,'Pricing Inputs'!$AQ$3=6,'Pricing Inputs'!$AQ$3=8,'Pricing Inputs'!$AQ$3=9),VLOOKUP(A208,ScaledPrice,IF(AND('Pricing Inputs'!$AQ$3&gt;=2,'Pricing Inputs'!$AQ$3&lt;=6),5,6)),0))</f>
        <v xml:space="preserve"> </v>
      </c>
      <c r="L208" s="255" t="str">
        <f>IF(A208="N/A"," ",IF(OR('Pricing Inputs'!$AQ$3=2,'Pricing Inputs'!$AQ$3=3,'Pricing Inputs'!$AQ$3=5,'Pricing Inputs'!$AQ$3=6,'Pricing Inputs'!$AQ$3=8,'Pricing Inputs'!$AQ$3=9),IF(AND('Pricing Inputs'!$AQ$3&gt;=2,'Pricing Inputs'!$AQ$3&lt;=6),K208,(VLOOKUP(A208,ScaledPrice,5))*(2-(VLOOKUP(A208,ScaledPrice,3)))),0))</f>
        <v xml:space="preserve"> </v>
      </c>
      <c r="M208" s="255" t="str">
        <f>IF(A208="N/A"," ",IF(OR('Pricing Inputs'!$AQ$3=3,'Pricing Inputs'!$AQ$3=6,'Pricing Inputs'!$AQ$3=9),(VLOOKUP(A208,ScaledPrice,IF(AND('Pricing Inputs'!$AQ$3&gt;=3,'Pricing Inputs'!$AQ$3&lt;=6),7,8))),0))</f>
        <v xml:space="preserve"> </v>
      </c>
      <c r="N208" s="255" t="str">
        <f>IF(A208="N/A"," ",IF(OR('Pricing Inputs'!$AQ$3=3,'Pricing Inputs'!$AQ$3=6,'Pricing Inputs'!$AQ$3=9),IF(AND('Pricing Inputs'!$AQ$3&gt;=3,'Pricing Inputs'!$AQ$3&lt;=6),M208,(VLOOKUP(A208,ScaledPrice,7))*(2-(VLOOKUP(A208,ScaledPrice,3)))),0))</f>
        <v xml:space="preserve"> </v>
      </c>
      <c r="O208" s="255" t="str">
        <f>IF(A208="N/A"," ",IF(AND('Pricing Inputs'!$AQ$3&gt;=1,'Pricing Inputs'!$AQ$3&lt;=3),VLOOKUP(A208,ScaledPrice,9),0))</f>
        <v xml:space="preserve"> </v>
      </c>
      <c r="P208" s="320" t="str">
        <f>IF($A208="N/A"," ",IF('Pricing Inputs'!$AN$8=2,(I208-H208),IF('Pricing Inputs'!$AN$3=2,IF((I208-$H208)&gt;0,I208-$H208,0),(_xll.xSPRDOPT(I208,$E208,$BU208,0,$BP208,$BS208,$BT208,($A208-Inputs!$D$1)+15,1,0)))))</f>
        <v xml:space="preserve"> </v>
      </c>
      <c r="Q208" s="320" t="str">
        <f>IF($A208="N/A"," ",IF('Pricing Inputs'!$AN$8=2,(J208-$H208),IF('Pricing Inputs'!$AN$3=2,IF((J208-$H208)&gt;0,J208-$H208,0),(_xll.xSPRDOPT(J208,$E208,$BU208,0,$BP208,$BS208,$BT208,($A208-Inputs!$D$1)+15,1,0)))))</f>
        <v xml:space="preserve"> </v>
      </c>
      <c r="R208" s="320" t="str">
        <f>IF($A208="N/A"," ",IF('Pricing Inputs'!$AN$8=2,(K208-$H208),IF('Pricing Inputs'!$AN$3=2,IF((K208-$H208)&gt;0,K208-$H208,0),(_xll.xSPRDOPT(K208,$E208,$BU208,0,$BP208,$BS208,$BT208,($A208-Inputs!$D$1)+15,1,0)))))</f>
        <v xml:space="preserve"> </v>
      </c>
      <c r="S208" s="320" t="str">
        <f>IF($A208="N/A"," ",IF('Pricing Inputs'!$AN$8=2,(L208-$H208),IF('Pricing Inputs'!$AN$3=2,IF((L208-$H208)&gt;0,L208-$H208,0),(_xll.xSPRDOPT(L208,$E208,$BU208,0,$BP208,$BS208,$BT208,($A208-Inputs!$D$1)+15,1,0)))))</f>
        <v xml:space="preserve"> </v>
      </c>
      <c r="T208" s="320" t="str">
        <f>IF($A208="N/A"," ",IF('Pricing Inputs'!$AN$8=2,(M208-$H208),IF('Pricing Inputs'!$AN$3=2,IF((M208-$H208)&gt;0,M208-$H208,0),(_xll.xSPRDOPT(M208,$E208,$BU208,0,$BP208,$BS208,$BT208,($A208-Inputs!$D$1)+15,1,0)))))</f>
        <v xml:space="preserve"> </v>
      </c>
      <c r="U208" s="320" t="str">
        <f>IF($A208="N/A"," ",IF('Pricing Inputs'!$AN$8=2,(N208-$H208),IF('Pricing Inputs'!$AN$3=2,IF((N208-$H208)&gt;0,N208-$H208,0),(_xll.xSPRDOPT(N208,$E208,$BU208,0,$BP208,$BS208,$BT208,($A208-Inputs!$D$1)+15,1,0)))))</f>
        <v xml:space="preserve"> </v>
      </c>
      <c r="V208" s="259" t="str">
        <f>IF($A208="N/A"," ",(IF('Pricing Inputs'!$AN$8=2,(O208-$H208),IF((O208-$H208)&lt;=0,0,(O208-$H208)))))</f>
        <v xml:space="preserve"> </v>
      </c>
      <c r="W208" s="306" t="str">
        <f>IF($A208="N/A"," ",IF(0&lt;&gt;P208,IF('Pricing Inputs'!$AN$3=2,8*VLOOKUP($A208,NumberofDaysTable,2),(_xll.xSPRDOPT(I208,$E208,$BU208,0,$BP208,$BS208,$BT208,$A208-Inputs!$D$1,1,1))*(8*VLOOKUP($A208,NumberofDaysTable,2))),0))</f>
        <v xml:space="preserve"> </v>
      </c>
      <c r="X208" s="306" t="str">
        <f>IF($A208="N/A"," ",IF(Q208&lt;&gt;0,IF('Pricing Inputs'!$AN$3=2,8*VLOOKUP($A208,NumberofDaysTable,2),(_xll.xSPRDOPT(J208,$E208,$BU208,0,$BP208,$BS208,$BT208,$A208-Inputs!$D$1,1,1))*(8*VLOOKUP($A208,NumberofDaysTable,2))),0))</f>
        <v xml:space="preserve"> </v>
      </c>
      <c r="Y208" s="306" t="str">
        <f>IF($A208="N/A"," ",IF(R208&lt;&gt;0,IF('Pricing Inputs'!$AN$3=2,8*VLOOKUP($A208,NumberofDaysTable,3),(_xll.xSPRDOPT(K208,$E208,$BU208,0,$BP208,$BS208,$BT208,$A208-Inputs!$D$1,1,1))*(8*VLOOKUP($A208,NumberofDaysTable,3))),0))</f>
        <v xml:space="preserve"> </v>
      </c>
      <c r="Z208" s="306" t="str">
        <f>IF($A208="N/A"," ",IF(S208&lt;&gt;0,IF('Pricing Inputs'!$AN$3=2,8*VLOOKUP($A208,NumberofDaysTable,3),(_xll.xSPRDOPT(L208,$E208,$BU208,0,$BP208,$BS208,$BT208,$A208-Inputs!$D$1,1,1))*(8*VLOOKUP($A208,NumberofDaysTable,3))),0))</f>
        <v xml:space="preserve"> </v>
      </c>
      <c r="AA208" s="306" t="str">
        <f>IF($A208="N/A"," ",IF(T208&lt;&gt;0,IF('Pricing Inputs'!$AN$3=2,8*VLOOKUP($A208,NumberofDaysTable,4),(_xll.xSPRDOPT(M208,$E208,$BU208,0,$BP208,$BS208,$BT208,$A208-Inputs!$D$1,1,1))*(8*VLOOKUP($A208,NumberofDaysTable,4))),0))</f>
        <v xml:space="preserve"> </v>
      </c>
      <c r="AB208" s="306" t="str">
        <f>IF($A208="N/A"," ",IF(U208&lt;&gt;0,IF('Pricing Inputs'!$AN$3=2,8*VLOOKUP($A208,NumberofDaysTable,4),(_xll.xSPRDOPT(N208,$E208,$BU208,0,$BP208,$BS208,$BT208,$A208-Inputs!$D$1,1,1))*(8*VLOOKUP($A208,NumberofDaysTable,4))),0))</f>
        <v xml:space="preserve"> </v>
      </c>
      <c r="AC208" s="306" t="str">
        <f t="shared" si="342"/>
        <v xml:space="preserve"> </v>
      </c>
      <c r="AD208" s="271" t="str">
        <f t="shared" ref="AD208:AJ208" si="360">IF($A208="N/A"," ",RANK(P208,$P$208:$V$219))</f>
        <v xml:space="preserve"> </v>
      </c>
      <c r="AE208" s="272" t="str">
        <f t="shared" si="360"/>
        <v xml:space="preserve"> </v>
      </c>
      <c r="AF208" s="272" t="str">
        <f t="shared" si="360"/>
        <v xml:space="preserve"> </v>
      </c>
      <c r="AG208" s="272" t="str">
        <f t="shared" si="360"/>
        <v xml:space="preserve"> </v>
      </c>
      <c r="AH208" s="272" t="str">
        <f t="shared" si="360"/>
        <v xml:space="preserve"> </v>
      </c>
      <c r="AI208" s="272" t="str">
        <f t="shared" si="360"/>
        <v xml:space="preserve"> </v>
      </c>
      <c r="AJ208" s="273" t="str">
        <f t="shared" si="360"/>
        <v xml:space="preserve"> </v>
      </c>
      <c r="AK208" s="312" t="str">
        <f t="shared" ref="AK208:AK256" si="361">IF($A208="N/A"," ",IF(AD208&lt;=$AJ$2,W208,0))</f>
        <v xml:space="preserve"> </v>
      </c>
      <c r="AL208" s="313" t="str">
        <f t="shared" ref="AL208:AL256" si="362">IF($A208="N/A"," ",IF(AE208&lt;=$AJ$2,X208,0))</f>
        <v xml:space="preserve"> </v>
      </c>
      <c r="AM208" s="313" t="str">
        <f t="shared" ref="AM208:AM256" si="363">IF($A208="N/A"," ",IF(AF208&lt;=$AJ$2,Y208,0))</f>
        <v xml:space="preserve"> </v>
      </c>
      <c r="AN208" s="313" t="str">
        <f t="shared" ref="AN208:AN256" si="364">IF($A208="N/A"," ",IF(AG208&lt;=$AJ$2,Z208,0))</f>
        <v xml:space="preserve"> </v>
      </c>
      <c r="AO208" s="313" t="str">
        <f t="shared" ref="AO208:AO256" si="365">IF($A208="N/A"," ",IF(AH208&lt;=$AJ$2,AA208,0))</f>
        <v xml:space="preserve"> </v>
      </c>
      <c r="AP208" s="313" t="str">
        <f t="shared" ref="AP208:AP256" si="366">IF($A208="N/A"," ",IF(AI208&lt;=$AJ$2,AB208,0))</f>
        <v xml:space="preserve"> </v>
      </c>
      <c r="AQ208" s="313" t="str">
        <f t="shared" ref="AQ208:AQ256" si="367">IF($A208="N/A"," ",IF(AJ208&lt;=$AJ$2,AC208,0))</f>
        <v xml:space="preserve"> </v>
      </c>
      <c r="AR208" s="273"/>
      <c r="AS208" s="327" t="str">
        <f t="shared" ref="AS208:AS219" si="368">IF($A208="N/A"," ",IF(AND(AD208=$AJ$2+1,AK208=0),MIN($AR$219,W208),0))</f>
        <v xml:space="preserve"> </v>
      </c>
      <c r="AT208" s="322" t="str">
        <f t="shared" ref="AT208:AT219" si="369">IF($A208="N/A"," ",IF(AND(AE208=$AJ$2+1,AL208=0),MIN($AR$219,X208),0))</f>
        <v xml:space="preserve"> </v>
      </c>
      <c r="AU208" s="322" t="str">
        <f t="shared" ref="AU208:AU219" si="370">IF($A208="N/A"," ",IF(AND(AF208=$AJ$2+1,AM208=0),MIN($AR$219,Y208),0))</f>
        <v xml:space="preserve"> </v>
      </c>
      <c r="AV208" s="322" t="str">
        <f t="shared" ref="AV208:AV219" si="371">IF($A208="N/A"," ",IF(AND(AG208=$AJ$2+1,AN208=0),MIN($AR$219,Z208),0))</f>
        <v xml:space="preserve"> </v>
      </c>
      <c r="AW208" s="322" t="str">
        <f t="shared" ref="AW208:AW219" si="372">IF($A208="N/A"," ",IF(AND(AH208=$AJ$2+1,AO208=0),MIN($AR$219,AA208),0))</f>
        <v xml:space="preserve"> </v>
      </c>
      <c r="AX208" s="322" t="str">
        <f t="shared" ref="AX208:AX219" si="373">IF($A208="N/A"," ",IF(AND(AI208=$AJ$2+1,AP208=0),MIN($AR$219,AB208),0))</f>
        <v xml:space="preserve"> </v>
      </c>
      <c r="AY208" s="322" t="str">
        <f t="shared" ref="AY208:AY219" si="374">IF($A208="N/A"," ",IF(AND(AJ208=$AJ$2+1,AQ208=0),MIN($AR$219,AC208),0))</f>
        <v xml:space="preserve"> </v>
      </c>
      <c r="AZ208" s="273"/>
      <c r="BA208" s="267" t="str">
        <f>IF($A208="N/A"," ",(IF(MONTH(A208)&gt;=4,IF(MONTH(A208)&lt;=10,Inputs!$F$13,Inputs!$F$14),Inputs!$F$14))*$BW208)</f>
        <v xml:space="preserve"> </v>
      </c>
      <c r="BB208" s="268" t="str">
        <f t="shared" si="266"/>
        <v xml:space="preserve"> </v>
      </c>
      <c r="BC208" s="268" t="str">
        <f t="shared" si="267"/>
        <v xml:space="preserve"> </v>
      </c>
      <c r="BD208" s="268" t="str">
        <f t="shared" si="350"/>
        <v xml:space="preserve"> </v>
      </c>
      <c r="BE208" s="268" t="str">
        <f t="shared" si="351"/>
        <v xml:space="preserve"> </v>
      </c>
      <c r="BF208" s="268" t="str">
        <f t="shared" si="352"/>
        <v xml:space="preserve"> </v>
      </c>
      <c r="BG208" s="268" t="str">
        <f t="shared" si="353"/>
        <v xml:space="preserve"> </v>
      </c>
      <c r="BH208" s="268" t="str">
        <f t="shared" si="359"/>
        <v xml:space="preserve"> </v>
      </c>
      <c r="BI208" s="268" t="str">
        <f t="shared" si="354"/>
        <v xml:space="preserve"> </v>
      </c>
      <c r="BJ208" s="296" t="str">
        <f t="shared" si="355"/>
        <v xml:space="preserve"> </v>
      </c>
      <c r="BK208" s="296" t="str">
        <f t="shared" si="356"/>
        <v xml:space="preserve"> </v>
      </c>
      <c r="BL208" s="296" t="str">
        <f t="shared" si="357"/>
        <v xml:space="preserve"> </v>
      </c>
      <c r="BM208" s="296" t="str">
        <f t="shared" si="358"/>
        <v xml:space="preserve"> </v>
      </c>
      <c r="BN208" s="405" t="str">
        <f>IF(A208="N/A"," ",(VLOOKUP(A208,PowerVolTable,(IF('Pricing Inputs'!$AT$3=2,7,IF('Pricing Inputs'!$AT$3=1,6,8))),FALSE)))</f>
        <v xml:space="preserve"> </v>
      </c>
      <c r="BO208" s="405" t="str">
        <f>IF(A208="N/A"," ",(VLOOKUP(A208,IntraPowerVol,(IF('Pricing Inputs'!$AT$3=2,3,IF('Pricing Inputs'!$AT$3=1,2,4))),FALSE)*VLOOKUP(MONTH($A208),Inputs!$A$28:$B$39,2)))</f>
        <v xml:space="preserve"> </v>
      </c>
      <c r="BP208" s="406" t="str">
        <f t="shared" si="336"/>
        <v xml:space="preserve"> </v>
      </c>
      <c r="BQ208" s="405" t="str">
        <f>IF($A208="N/A"," ",(VLOOKUP($A208,GasVolTable,(IF('Pricing Inputs'!$AT$3=2,6,IF('Pricing Inputs'!$AT$3=1,7,5))),FALSE)))</f>
        <v xml:space="preserve"> </v>
      </c>
      <c r="BR208" s="405" t="str">
        <f>IF($A208="N/A"," ",(VLOOKUP($A208,OmicronVol,(IF('Pricing Inputs'!$AT$3=2,3,IF('Pricing Inputs'!$AT$3=1,4,2))),FALSE)))</f>
        <v xml:space="preserve"> </v>
      </c>
      <c r="BS208" s="406" t="str">
        <f>IF($A208="N/A"," ",IF('Pricing Inputs'!$AN$3=1,(IF(DateToday&gt;$A208,$BR208,((($BQ208^2)*((($A208-1)-DateToday)/((EOMONTH($A208,0)+1)-DateToday-15)))+((($BR208)^2)*((15)/((EOMONTH($A208,0)+1)-DateToday-15))))^0.5)),0.0001))</f>
        <v xml:space="preserve"> </v>
      </c>
      <c r="BT208" s="405" t="str">
        <f>IF($A208="N/A"," ",IF('Pricing Inputs'!$AN$3=1,(VLOOKUP($A208,CorrelationTable,2,FALSE)),0))</f>
        <v xml:space="preserve"> </v>
      </c>
      <c r="BU208" s="407" t="str">
        <f>IF($A208="N/A"," ",F208+G208+(D208*(VLOOKUP($A208,'Gas Curves'!$B$17:$P$310,14,FALSE))))</f>
        <v xml:space="preserve"> </v>
      </c>
      <c r="BV208" s="405" t="str">
        <f>IF($A208="N/A"," ",IF('Pricing Inputs'!$AW$3=1,0,(VLOOKUP($A208,InterestRatesTable,2))))</f>
        <v xml:space="preserve"> </v>
      </c>
      <c r="BW208" s="408" t="str">
        <f t="shared" si="337"/>
        <v xml:space="preserve"> </v>
      </c>
    </row>
    <row r="209" spans="1:75">
      <c r="A209" s="248" t="str">
        <f>IF(A208="N/A","N/A",IF(EDATE(A208,1)&gt;Inputs!$K$3,"N/A",EDATE(A208,1)))</f>
        <v>N/A</v>
      </c>
      <c r="B209" s="262" t="str">
        <f t="shared" si="338"/>
        <v xml:space="preserve"> </v>
      </c>
      <c r="C209" s="249" t="str">
        <f t="shared" si="339"/>
        <v xml:space="preserve"> </v>
      </c>
      <c r="D209" s="250" t="str">
        <f>IF(A209="N/A"," ",(VLOOKUP(MONTH($A209),Inputs!$A$14:$B$25,2))/1000)</f>
        <v xml:space="preserve"> </v>
      </c>
      <c r="E209" s="304" t="str">
        <f t="shared" si="340"/>
        <v xml:space="preserve"> </v>
      </c>
      <c r="F209" s="251" t="str">
        <f>IF(A209="N/A"," ",Inputs!$F$6)</f>
        <v xml:space="preserve"> </v>
      </c>
      <c r="G209" s="251" t="str">
        <f>IF(A209="N/A"," ",Inputs!$F$9/IF(AND('Pricing Inputs'!$AQ$3&gt;=4,'Pricing Inputs'!$AQ$3&lt;=6),16,IF(AND('Pricing Inputs'!$AQ$3&gt;=7,'Pricing Inputs'!$AQ$3&lt;=9),8,24))/(BA209/BW209))</f>
        <v xml:space="preserve"> </v>
      </c>
      <c r="H209" s="252" t="str">
        <f t="shared" si="341"/>
        <v xml:space="preserve"> </v>
      </c>
      <c r="I209" s="255" t="str">
        <f>VLOOKUP(A209,ScaledPrice,(IF(AND('Pricing Inputs'!$AQ$3&gt;=1,'Pricing Inputs'!$AQ$3&lt;=6),2,4)))</f>
        <v xml:space="preserve"> </v>
      </c>
      <c r="J209" s="255" t="str">
        <f>IF(A209="N/A"," ",IF(AND('Pricing Inputs'!$AQ$3&gt;=1,'Pricing Inputs'!$AQ$3&lt;=6),I209,(VLOOKUP(A209,ScaledPrice,2))*(2-(VLOOKUP(A209,ScaledPrice,3)))))</f>
        <v xml:space="preserve"> </v>
      </c>
      <c r="K209" s="255" t="str">
        <f>IF(A209="N/A"," ",IF(OR('Pricing Inputs'!$AQ$3=2,'Pricing Inputs'!$AQ$3=3,'Pricing Inputs'!$AQ$3=5,'Pricing Inputs'!$AQ$3=6,'Pricing Inputs'!$AQ$3=8,'Pricing Inputs'!$AQ$3=9),VLOOKUP(A209,ScaledPrice,IF(AND('Pricing Inputs'!$AQ$3&gt;=2,'Pricing Inputs'!$AQ$3&lt;=6),5,6)),0))</f>
        <v xml:space="preserve"> </v>
      </c>
      <c r="L209" s="255" t="str">
        <f>IF(A209="N/A"," ",IF(OR('Pricing Inputs'!$AQ$3=2,'Pricing Inputs'!$AQ$3=3,'Pricing Inputs'!$AQ$3=5,'Pricing Inputs'!$AQ$3=6,'Pricing Inputs'!$AQ$3=8,'Pricing Inputs'!$AQ$3=9),IF(AND('Pricing Inputs'!$AQ$3&gt;=2,'Pricing Inputs'!$AQ$3&lt;=6),K209,(VLOOKUP(A209,ScaledPrice,5))*(2-(VLOOKUP(A209,ScaledPrice,3)))),0))</f>
        <v xml:space="preserve"> </v>
      </c>
      <c r="M209" s="255" t="str">
        <f>IF(A209="N/A"," ",IF(OR('Pricing Inputs'!$AQ$3=3,'Pricing Inputs'!$AQ$3=6,'Pricing Inputs'!$AQ$3=9),(VLOOKUP(A209,ScaledPrice,IF(AND('Pricing Inputs'!$AQ$3&gt;=3,'Pricing Inputs'!$AQ$3&lt;=6),7,8))),0))</f>
        <v xml:space="preserve"> </v>
      </c>
      <c r="N209" s="255" t="str">
        <f>IF(A209="N/A"," ",IF(OR('Pricing Inputs'!$AQ$3=3,'Pricing Inputs'!$AQ$3=6,'Pricing Inputs'!$AQ$3=9),IF(AND('Pricing Inputs'!$AQ$3&gt;=3,'Pricing Inputs'!$AQ$3&lt;=6),M209,(VLOOKUP(A209,ScaledPrice,7))*(2-(VLOOKUP(A209,ScaledPrice,3)))),0))</f>
        <v xml:space="preserve"> </v>
      </c>
      <c r="O209" s="255" t="str">
        <f>IF(A209="N/A"," ",IF(AND('Pricing Inputs'!$AQ$3&gt;=1,'Pricing Inputs'!$AQ$3&lt;=3),VLOOKUP(A209,ScaledPrice,9),0))</f>
        <v xml:space="preserve"> </v>
      </c>
      <c r="P209" s="320" t="str">
        <f>IF($A209="N/A"," ",IF('Pricing Inputs'!$AN$8=2,(I209-H209),IF('Pricing Inputs'!$AN$3=2,IF((I209-$H209)&gt;0,I209-$H209,0),(_xll.xSPRDOPT(I209,$E209,$BU209,0,$BP209,$BS209,$BT209,($A209-Inputs!$D$1)+15,1,0)))))</f>
        <v xml:space="preserve"> </v>
      </c>
      <c r="Q209" s="320" t="str">
        <f>IF($A209="N/A"," ",IF('Pricing Inputs'!$AN$8=2,(J209-$H209),IF('Pricing Inputs'!$AN$3=2,IF((J209-$H209)&gt;0,J209-$H209,0),(_xll.xSPRDOPT(J209,$E209,$BU209,0,$BP209,$BS209,$BT209,($A209-Inputs!$D$1)+15,1,0)))))</f>
        <v xml:space="preserve"> </v>
      </c>
      <c r="R209" s="320" t="str">
        <f>IF($A209="N/A"," ",IF('Pricing Inputs'!$AN$8=2,(K209-$H209),IF('Pricing Inputs'!$AN$3=2,IF((K209-$H209)&gt;0,K209-$H209,0),(_xll.xSPRDOPT(K209,$E209,$BU209,0,$BP209,$BS209,$BT209,($A209-Inputs!$D$1)+15,1,0)))))</f>
        <v xml:space="preserve"> </v>
      </c>
      <c r="S209" s="320" t="str">
        <f>IF($A209="N/A"," ",IF('Pricing Inputs'!$AN$8=2,(L209-$H209),IF('Pricing Inputs'!$AN$3=2,IF((L209-$H209)&gt;0,L209-$H209,0),(_xll.xSPRDOPT(L209,$E209,$BU209,0,$BP209,$BS209,$BT209,($A209-Inputs!$D$1)+15,1,0)))))</f>
        <v xml:space="preserve"> </v>
      </c>
      <c r="T209" s="320" t="str">
        <f>IF($A209="N/A"," ",IF('Pricing Inputs'!$AN$8=2,(M209-$H209),IF('Pricing Inputs'!$AN$3=2,IF((M209-$H209)&gt;0,M209-$H209,0),(_xll.xSPRDOPT(M209,$E209,$BU209,0,$BP209,$BS209,$BT209,($A209-Inputs!$D$1)+15,1,0)))))</f>
        <v xml:space="preserve"> </v>
      </c>
      <c r="U209" s="320" t="str">
        <f>IF($A209="N/A"," ",IF('Pricing Inputs'!$AN$8=2,(N209-$H209),IF('Pricing Inputs'!$AN$3=2,IF((N209-$H209)&gt;0,N209-$H209,0),(_xll.xSPRDOPT(N209,$E209,$BU209,0,$BP209,$BS209,$BT209,($A209-Inputs!$D$1)+15,1,0)))))</f>
        <v xml:space="preserve"> </v>
      </c>
      <c r="V209" s="259" t="str">
        <f>IF($A209="N/A"," ",(IF('Pricing Inputs'!$AN$8=2,(O209-$H209),IF((O209-$H209)&lt;=0,0,(O209-$H209)))))</f>
        <v xml:space="preserve"> </v>
      </c>
      <c r="W209" s="306" t="str">
        <f>IF($A209="N/A"," ",IF(0&lt;&gt;P209,IF('Pricing Inputs'!$AN$3=2,8*VLOOKUP($A209,NumberofDaysTable,2),(_xll.xSPRDOPT(I209,$E209,$BU209,0,$BP209,$BS209,$BT209,$A209-Inputs!$D$1,1,1))*(8*VLOOKUP($A209,NumberofDaysTable,2))),0))</f>
        <v xml:space="preserve"> </v>
      </c>
      <c r="X209" s="306" t="str">
        <f>IF($A209="N/A"," ",IF(Q209&lt;&gt;0,IF('Pricing Inputs'!$AN$3=2,8*VLOOKUP($A209,NumberofDaysTable,2),(_xll.xSPRDOPT(J209,$E209,$BU209,0,$BP209,$BS209,$BT209,$A209-Inputs!$D$1,1,1))*(8*VLOOKUP($A209,NumberofDaysTable,2))),0))</f>
        <v xml:space="preserve"> </v>
      </c>
      <c r="Y209" s="306" t="str">
        <f>IF($A209="N/A"," ",IF(R209&lt;&gt;0,IF('Pricing Inputs'!$AN$3=2,8*VLOOKUP($A209,NumberofDaysTable,3),(_xll.xSPRDOPT(K209,$E209,$BU209,0,$BP209,$BS209,$BT209,$A209-Inputs!$D$1,1,1))*(8*VLOOKUP($A209,NumberofDaysTable,3))),0))</f>
        <v xml:space="preserve"> </v>
      </c>
      <c r="Z209" s="306" t="str">
        <f>IF($A209="N/A"," ",IF(S209&lt;&gt;0,IF('Pricing Inputs'!$AN$3=2,8*VLOOKUP($A209,NumberofDaysTable,3),(_xll.xSPRDOPT(L209,$E209,$BU209,0,$BP209,$BS209,$BT209,$A209-Inputs!$D$1,1,1))*(8*VLOOKUP($A209,NumberofDaysTable,3))),0))</f>
        <v xml:space="preserve"> </v>
      </c>
      <c r="AA209" s="306" t="str">
        <f>IF($A209="N/A"," ",IF(T209&lt;&gt;0,IF('Pricing Inputs'!$AN$3=2,8*VLOOKUP($A209,NumberofDaysTable,4),(_xll.xSPRDOPT(M209,$E209,$BU209,0,$BP209,$BS209,$BT209,$A209-Inputs!$D$1,1,1))*(8*VLOOKUP($A209,NumberofDaysTable,4))),0))</f>
        <v xml:space="preserve"> </v>
      </c>
      <c r="AB209" s="306" t="str">
        <f>IF($A209="N/A"," ",IF(U209&lt;&gt;0,IF('Pricing Inputs'!$AN$3=2,8*VLOOKUP($A209,NumberofDaysTable,4),(_xll.xSPRDOPT(N209,$E209,$BU209,0,$BP209,$BS209,$BT209,$A209-Inputs!$D$1,1,1))*(8*VLOOKUP($A209,NumberofDaysTable,4))),0))</f>
        <v xml:space="preserve"> </v>
      </c>
      <c r="AC209" s="306" t="str">
        <f t="shared" si="342"/>
        <v xml:space="preserve"> </v>
      </c>
      <c r="AD209" s="274" t="str">
        <f t="shared" ref="AD209:AD219" si="375">IF($A209="N/A"," ",RANK(P209,$P$208:$V$219))</f>
        <v xml:space="preserve"> </v>
      </c>
      <c r="AE209" s="275" t="str">
        <f t="shared" ref="AE209:AE219" si="376">IF($A209="N/A"," ",RANK(Q209,$P$208:$V$219))</f>
        <v xml:space="preserve"> </v>
      </c>
      <c r="AF209" s="275" t="str">
        <f t="shared" ref="AF209:AF219" si="377">IF($A209="N/A"," ",RANK(R209,$P$208:$V$219))</f>
        <v xml:space="preserve"> </v>
      </c>
      <c r="AG209" s="275" t="str">
        <f t="shared" ref="AG209:AG219" si="378">IF($A209="N/A"," ",RANK(S209,$P$208:$V$219))</f>
        <v xml:space="preserve"> </v>
      </c>
      <c r="AH209" s="275" t="str">
        <f t="shared" ref="AH209:AH219" si="379">IF($A209="N/A"," ",RANK(T209,$P$208:$V$219))</f>
        <v xml:space="preserve"> </v>
      </c>
      <c r="AI209" s="275" t="str">
        <f t="shared" ref="AI209:AI219" si="380">IF($A209="N/A"," ",RANK(U209,$P$208:$V$219))</f>
        <v xml:space="preserve"> </v>
      </c>
      <c r="AJ209" s="276" t="str">
        <f t="shared" ref="AJ209:AJ219" si="381">IF($A209="N/A"," ",RANK(V209,$P$208:$V$219))</f>
        <v xml:space="preserve"> </v>
      </c>
      <c r="AK209" s="314" t="str">
        <f t="shared" si="361"/>
        <v xml:space="preserve"> </v>
      </c>
      <c r="AL209" s="315" t="str">
        <f t="shared" si="362"/>
        <v xml:space="preserve"> </v>
      </c>
      <c r="AM209" s="315" t="str">
        <f t="shared" si="363"/>
        <v xml:space="preserve"> </v>
      </c>
      <c r="AN209" s="315" t="str">
        <f t="shared" si="364"/>
        <v xml:space="preserve"> </v>
      </c>
      <c r="AO209" s="315" t="str">
        <f t="shared" si="365"/>
        <v xml:space="preserve"> </v>
      </c>
      <c r="AP209" s="315" t="str">
        <f t="shared" si="366"/>
        <v xml:space="preserve"> </v>
      </c>
      <c r="AQ209" s="315" t="str">
        <f t="shared" si="367"/>
        <v xml:space="preserve"> </v>
      </c>
      <c r="AR209" s="276"/>
      <c r="AS209" s="321" t="str">
        <f t="shared" si="368"/>
        <v xml:space="preserve"> </v>
      </c>
      <c r="AT209" s="324" t="str">
        <f t="shared" si="369"/>
        <v xml:space="preserve"> </v>
      </c>
      <c r="AU209" s="324" t="str">
        <f t="shared" si="370"/>
        <v xml:space="preserve"> </v>
      </c>
      <c r="AV209" s="324" t="str">
        <f t="shared" si="371"/>
        <v xml:space="preserve"> </v>
      </c>
      <c r="AW209" s="324" t="str">
        <f t="shared" si="372"/>
        <v xml:space="preserve"> </v>
      </c>
      <c r="AX209" s="324" t="str">
        <f t="shared" si="373"/>
        <v xml:space="preserve"> </v>
      </c>
      <c r="AY209" s="324" t="str">
        <f t="shared" si="374"/>
        <v xml:space="preserve"> </v>
      </c>
      <c r="AZ209" s="276"/>
      <c r="BA209" s="267" t="str">
        <f>IF($A209="N/A"," ",(IF(MONTH(A209)&gt;=4,IF(MONTH(A209)&lt;=10,Inputs!$F$13,Inputs!$F$14),Inputs!$F$14))*$BW209)</f>
        <v xml:space="preserve"> </v>
      </c>
      <c r="BB209" s="268" t="str">
        <f t="shared" ref="BB209:BB256" si="382">IF($A209="N/A"," ",(IF(AK209&gt;0,($BA209*(8*(VLOOKUP($A209,NumberofDaysTable,2)))*P209),0)+IF(AS209&gt;0,($BA209*((AS209))*P209),0)))</f>
        <v xml:space="preserve"> </v>
      </c>
      <c r="BC209" s="268" t="str">
        <f t="shared" ref="BC209:BC256" si="383">IF($A209="N/A"," ",(IF(AL209&gt;0,($BA209*(8*(VLOOKUP($A209,NumberofDaysTable,2)))*Q209),0)+IF(AT209&gt;0,($BA209*((AT209))*Q209),0)))</f>
        <v xml:space="preserve"> </v>
      </c>
      <c r="BD209" s="268" t="str">
        <f t="shared" si="350"/>
        <v xml:space="preserve"> </v>
      </c>
      <c r="BE209" s="268" t="str">
        <f t="shared" si="351"/>
        <v xml:space="preserve"> </v>
      </c>
      <c r="BF209" s="268" t="str">
        <f t="shared" si="352"/>
        <v xml:space="preserve"> </v>
      </c>
      <c r="BG209" s="268" t="str">
        <f t="shared" si="353"/>
        <v xml:space="preserve"> </v>
      </c>
      <c r="BH209" s="268" t="str">
        <f t="shared" si="359"/>
        <v xml:space="preserve"> </v>
      </c>
      <c r="BI209" s="268" t="str">
        <f t="shared" si="354"/>
        <v xml:space="preserve"> </v>
      </c>
      <c r="BJ209" s="296" t="str">
        <f t="shared" si="355"/>
        <v xml:space="preserve"> </v>
      </c>
      <c r="BK209" s="296" t="str">
        <f t="shared" si="356"/>
        <v xml:space="preserve"> </v>
      </c>
      <c r="BL209" s="296" t="str">
        <f t="shared" si="357"/>
        <v xml:space="preserve"> </v>
      </c>
      <c r="BM209" s="296" t="str">
        <f t="shared" si="358"/>
        <v xml:space="preserve"> </v>
      </c>
      <c r="BN209" s="405" t="str">
        <f>IF(A209="N/A"," ",(VLOOKUP(A209,PowerVolTable,(IF('Pricing Inputs'!$AT$3=2,7,IF('Pricing Inputs'!$AT$3=1,6,8))),FALSE)))</f>
        <v xml:space="preserve"> </v>
      </c>
      <c r="BO209" s="405" t="str">
        <f>IF(A209="N/A"," ",(VLOOKUP(A209,IntraPowerVol,(IF('Pricing Inputs'!$AT$3=2,3,IF('Pricing Inputs'!$AT$3=1,2,4))),FALSE)*VLOOKUP(MONTH($A209),Inputs!$A$28:$B$39,2)))</f>
        <v xml:space="preserve"> </v>
      </c>
      <c r="BP209" s="406" t="str">
        <f t="shared" si="336"/>
        <v xml:space="preserve"> </v>
      </c>
      <c r="BQ209" s="405" t="str">
        <f>IF($A209="N/A"," ",(VLOOKUP($A209,GasVolTable,(IF('Pricing Inputs'!$AT$3=2,6,IF('Pricing Inputs'!$AT$3=1,7,5))),FALSE)))</f>
        <v xml:space="preserve"> </v>
      </c>
      <c r="BR209" s="405" t="str">
        <f>IF($A209="N/A"," ",(VLOOKUP($A209,OmicronVol,(IF('Pricing Inputs'!$AT$3=2,3,IF('Pricing Inputs'!$AT$3=1,4,2))),FALSE)))</f>
        <v xml:space="preserve"> </v>
      </c>
      <c r="BS209" s="406" t="str">
        <f>IF($A209="N/A"," ",IF('Pricing Inputs'!$AN$3=1,(IF(DateToday&gt;$A209,$BR209,((($BQ209^2)*((($A209-1)-DateToday)/((EOMONTH($A209,0)+1)-DateToday-15)))+((($BR209)^2)*((15)/((EOMONTH($A209,0)+1)-DateToday-15))))^0.5)),0.0001))</f>
        <v xml:space="preserve"> </v>
      </c>
      <c r="BT209" s="405" t="str">
        <f>IF($A209="N/A"," ",IF('Pricing Inputs'!$AN$3=1,(VLOOKUP($A209,CorrelationTable,2,FALSE)),0))</f>
        <v xml:space="preserve"> </v>
      </c>
      <c r="BU209" s="407" t="str">
        <f>IF($A209="N/A"," ",F209+G209+(D209*(VLOOKUP($A209,'Gas Curves'!$B$17:$P$310,14,FALSE))))</f>
        <v xml:space="preserve"> </v>
      </c>
      <c r="BV209" s="405" t="str">
        <f>IF($A209="N/A"," ",IF('Pricing Inputs'!$AW$3=1,0,(VLOOKUP($A209,InterestRatesTable,2))))</f>
        <v xml:space="preserve"> </v>
      </c>
      <c r="BW209" s="408" t="str">
        <f t="shared" si="337"/>
        <v xml:space="preserve"> </v>
      </c>
    </row>
    <row r="210" spans="1:75">
      <c r="A210" s="248" t="str">
        <f>IF(A209="N/A","N/A",IF(EDATE(A209,1)&gt;Inputs!$K$3,"N/A",EDATE(A209,1)))</f>
        <v>N/A</v>
      </c>
      <c r="B210" s="262" t="str">
        <f t="shared" si="338"/>
        <v xml:space="preserve"> </v>
      </c>
      <c r="C210" s="249" t="str">
        <f t="shared" si="339"/>
        <v xml:space="preserve"> </v>
      </c>
      <c r="D210" s="250" t="str">
        <f>IF(A210="N/A"," ",(VLOOKUP(MONTH($A210),Inputs!$A$14:$B$25,2))/1000)</f>
        <v xml:space="preserve"> </v>
      </c>
      <c r="E210" s="304" t="str">
        <f t="shared" si="340"/>
        <v xml:space="preserve"> </v>
      </c>
      <c r="F210" s="251" t="str">
        <f>IF(A210="N/A"," ",Inputs!$F$6)</f>
        <v xml:space="preserve"> </v>
      </c>
      <c r="G210" s="251" t="str">
        <f>IF(A210="N/A"," ",Inputs!$F$9/IF(AND('Pricing Inputs'!$AQ$3&gt;=4,'Pricing Inputs'!$AQ$3&lt;=6),16,IF(AND('Pricing Inputs'!$AQ$3&gt;=7,'Pricing Inputs'!$AQ$3&lt;=9),8,24))/(BA210/BW210))</f>
        <v xml:space="preserve"> </v>
      </c>
      <c r="H210" s="252" t="str">
        <f t="shared" si="341"/>
        <v xml:space="preserve"> </v>
      </c>
      <c r="I210" s="255" t="str">
        <f>VLOOKUP(A210,ScaledPrice,(IF(AND('Pricing Inputs'!$AQ$3&gt;=1,'Pricing Inputs'!$AQ$3&lt;=6),2,4)))</f>
        <v xml:space="preserve"> </v>
      </c>
      <c r="J210" s="255" t="str">
        <f>IF(A210="N/A"," ",IF(AND('Pricing Inputs'!$AQ$3&gt;=1,'Pricing Inputs'!$AQ$3&lt;=6),I210,(VLOOKUP(A210,ScaledPrice,2))*(2-(VLOOKUP(A210,ScaledPrice,3)))))</f>
        <v xml:space="preserve"> </v>
      </c>
      <c r="K210" s="255" t="str">
        <f>IF(A210="N/A"," ",IF(OR('Pricing Inputs'!$AQ$3=2,'Pricing Inputs'!$AQ$3=3,'Pricing Inputs'!$AQ$3=5,'Pricing Inputs'!$AQ$3=6,'Pricing Inputs'!$AQ$3=8,'Pricing Inputs'!$AQ$3=9),VLOOKUP(A210,ScaledPrice,IF(AND('Pricing Inputs'!$AQ$3&gt;=2,'Pricing Inputs'!$AQ$3&lt;=6),5,6)),0))</f>
        <v xml:space="preserve"> </v>
      </c>
      <c r="L210" s="255" t="str">
        <f>IF(A210="N/A"," ",IF(OR('Pricing Inputs'!$AQ$3=2,'Pricing Inputs'!$AQ$3=3,'Pricing Inputs'!$AQ$3=5,'Pricing Inputs'!$AQ$3=6,'Pricing Inputs'!$AQ$3=8,'Pricing Inputs'!$AQ$3=9),IF(AND('Pricing Inputs'!$AQ$3&gt;=2,'Pricing Inputs'!$AQ$3&lt;=6),K210,(VLOOKUP(A210,ScaledPrice,5))*(2-(VLOOKUP(A210,ScaledPrice,3)))),0))</f>
        <v xml:space="preserve"> </v>
      </c>
      <c r="M210" s="255" t="str">
        <f>IF(A210="N/A"," ",IF(OR('Pricing Inputs'!$AQ$3=3,'Pricing Inputs'!$AQ$3=6,'Pricing Inputs'!$AQ$3=9),(VLOOKUP(A210,ScaledPrice,IF(AND('Pricing Inputs'!$AQ$3&gt;=3,'Pricing Inputs'!$AQ$3&lt;=6),7,8))),0))</f>
        <v xml:space="preserve"> </v>
      </c>
      <c r="N210" s="255" t="str">
        <f>IF(A210="N/A"," ",IF(OR('Pricing Inputs'!$AQ$3=3,'Pricing Inputs'!$AQ$3=6,'Pricing Inputs'!$AQ$3=9),IF(AND('Pricing Inputs'!$AQ$3&gt;=3,'Pricing Inputs'!$AQ$3&lt;=6),M210,(VLOOKUP(A210,ScaledPrice,7))*(2-(VLOOKUP(A210,ScaledPrice,3)))),0))</f>
        <v xml:space="preserve"> </v>
      </c>
      <c r="O210" s="255" t="str">
        <f>IF(A210="N/A"," ",IF(AND('Pricing Inputs'!$AQ$3&gt;=1,'Pricing Inputs'!$AQ$3&lt;=3),VLOOKUP(A210,ScaledPrice,9),0))</f>
        <v xml:space="preserve"> </v>
      </c>
      <c r="P210" s="320" t="str">
        <f>IF($A210="N/A"," ",IF('Pricing Inputs'!$AN$8=2,(I210-H210),IF('Pricing Inputs'!$AN$3=2,IF((I210-$H210)&gt;0,I210-$H210,0),(_xll.xSPRDOPT(I210,$E210,$BU210,0,$BP210,$BS210,$BT210,($A210-Inputs!$D$1)+15,1,0)))))</f>
        <v xml:space="preserve"> </v>
      </c>
      <c r="Q210" s="320" t="str">
        <f>IF($A210="N/A"," ",IF('Pricing Inputs'!$AN$8=2,(J210-$H210),IF('Pricing Inputs'!$AN$3=2,IF((J210-$H210)&gt;0,J210-$H210,0),(_xll.xSPRDOPT(J210,$E210,$BU210,0,$BP210,$BS210,$BT210,($A210-Inputs!$D$1)+15,1,0)))))</f>
        <v xml:space="preserve"> </v>
      </c>
      <c r="R210" s="320" t="str">
        <f>IF($A210="N/A"," ",IF('Pricing Inputs'!$AN$8=2,(K210-$H210),IF('Pricing Inputs'!$AN$3=2,IF((K210-$H210)&gt;0,K210-$H210,0),(_xll.xSPRDOPT(K210,$E210,$BU210,0,$BP210,$BS210,$BT210,($A210-Inputs!$D$1)+15,1,0)))))</f>
        <v xml:space="preserve"> </v>
      </c>
      <c r="S210" s="320" t="str">
        <f>IF($A210="N/A"," ",IF('Pricing Inputs'!$AN$8=2,(L210-$H210),IF('Pricing Inputs'!$AN$3=2,IF((L210-$H210)&gt;0,L210-$H210,0),(_xll.xSPRDOPT(L210,$E210,$BU210,0,$BP210,$BS210,$BT210,($A210-Inputs!$D$1)+15,1,0)))))</f>
        <v xml:space="preserve"> </v>
      </c>
      <c r="T210" s="320" t="str">
        <f>IF($A210="N/A"," ",IF('Pricing Inputs'!$AN$8=2,(M210-$H210),IF('Pricing Inputs'!$AN$3=2,IF((M210-$H210)&gt;0,M210-$H210,0),(_xll.xSPRDOPT(M210,$E210,$BU210,0,$BP210,$BS210,$BT210,($A210-Inputs!$D$1)+15,1,0)))))</f>
        <v xml:space="preserve"> </v>
      </c>
      <c r="U210" s="320" t="str">
        <f>IF($A210="N/A"," ",IF('Pricing Inputs'!$AN$8=2,(N210-$H210),IF('Pricing Inputs'!$AN$3=2,IF((N210-$H210)&gt;0,N210-$H210,0),(_xll.xSPRDOPT(N210,$E210,$BU210,0,$BP210,$BS210,$BT210,($A210-Inputs!$D$1)+15,1,0)))))</f>
        <v xml:space="preserve"> </v>
      </c>
      <c r="V210" s="259" t="str">
        <f>IF($A210="N/A"," ",(IF('Pricing Inputs'!$AN$8=2,(O210-$H210),IF((O210-$H210)&lt;=0,0,(O210-$H210)))))</f>
        <v xml:space="preserve"> </v>
      </c>
      <c r="W210" s="306" t="str">
        <f>IF($A210="N/A"," ",IF(0&lt;&gt;P210,IF('Pricing Inputs'!$AN$3=2,8*VLOOKUP($A210,NumberofDaysTable,2),(_xll.xSPRDOPT(I210,$E210,$BU210,0,$BP210,$BS210,$BT210,$A210-Inputs!$D$1,1,1))*(8*VLOOKUP($A210,NumberofDaysTable,2))),0))</f>
        <v xml:space="preserve"> </v>
      </c>
      <c r="X210" s="306" t="str">
        <f>IF($A210="N/A"," ",IF(Q210&lt;&gt;0,IF('Pricing Inputs'!$AN$3=2,8*VLOOKUP($A210,NumberofDaysTable,2),(_xll.xSPRDOPT(J210,$E210,$BU210,0,$BP210,$BS210,$BT210,$A210-Inputs!$D$1,1,1))*(8*VLOOKUP($A210,NumberofDaysTable,2))),0))</f>
        <v xml:space="preserve"> </v>
      </c>
      <c r="Y210" s="306" t="str">
        <f>IF($A210="N/A"," ",IF(R210&lt;&gt;0,IF('Pricing Inputs'!$AN$3=2,8*VLOOKUP($A210,NumberofDaysTable,3),(_xll.xSPRDOPT(K210,$E210,$BU210,0,$BP210,$BS210,$BT210,$A210-Inputs!$D$1,1,1))*(8*VLOOKUP($A210,NumberofDaysTable,3))),0))</f>
        <v xml:space="preserve"> </v>
      </c>
      <c r="Z210" s="306" t="str">
        <f>IF($A210="N/A"," ",IF(S210&lt;&gt;0,IF('Pricing Inputs'!$AN$3=2,8*VLOOKUP($A210,NumberofDaysTable,3),(_xll.xSPRDOPT(L210,$E210,$BU210,0,$BP210,$BS210,$BT210,$A210-Inputs!$D$1,1,1))*(8*VLOOKUP($A210,NumberofDaysTable,3))),0))</f>
        <v xml:space="preserve"> </v>
      </c>
      <c r="AA210" s="306" t="str">
        <f>IF($A210="N/A"," ",IF(T210&lt;&gt;0,IF('Pricing Inputs'!$AN$3=2,8*VLOOKUP($A210,NumberofDaysTable,4),(_xll.xSPRDOPT(M210,$E210,$BU210,0,$BP210,$BS210,$BT210,$A210-Inputs!$D$1,1,1))*(8*VLOOKUP($A210,NumberofDaysTable,4))),0))</f>
        <v xml:space="preserve"> </v>
      </c>
      <c r="AB210" s="306" t="str">
        <f>IF($A210="N/A"," ",IF(U210&lt;&gt;0,IF('Pricing Inputs'!$AN$3=2,8*VLOOKUP($A210,NumberofDaysTable,4),(_xll.xSPRDOPT(N210,$E210,$BU210,0,$BP210,$BS210,$BT210,$A210-Inputs!$D$1,1,1))*(8*VLOOKUP($A210,NumberofDaysTable,4))),0))</f>
        <v xml:space="preserve"> </v>
      </c>
      <c r="AC210" s="306" t="str">
        <f t="shared" si="342"/>
        <v xml:space="preserve"> </v>
      </c>
      <c r="AD210" s="274" t="str">
        <f t="shared" si="375"/>
        <v xml:space="preserve"> </v>
      </c>
      <c r="AE210" s="275" t="str">
        <f t="shared" si="376"/>
        <v xml:space="preserve"> </v>
      </c>
      <c r="AF210" s="275" t="str">
        <f t="shared" si="377"/>
        <v xml:space="preserve"> </v>
      </c>
      <c r="AG210" s="275" t="str">
        <f t="shared" si="378"/>
        <v xml:space="preserve"> </v>
      </c>
      <c r="AH210" s="275" t="str">
        <f t="shared" si="379"/>
        <v xml:space="preserve"> </v>
      </c>
      <c r="AI210" s="275" t="str">
        <f t="shared" si="380"/>
        <v xml:space="preserve"> </v>
      </c>
      <c r="AJ210" s="276" t="str">
        <f t="shared" si="381"/>
        <v xml:space="preserve"> </v>
      </c>
      <c r="AK210" s="314" t="str">
        <f t="shared" si="361"/>
        <v xml:space="preserve"> </v>
      </c>
      <c r="AL210" s="315" t="str">
        <f t="shared" si="362"/>
        <v xml:space="preserve"> </v>
      </c>
      <c r="AM210" s="315" t="str">
        <f t="shared" si="363"/>
        <v xml:space="preserve"> </v>
      </c>
      <c r="AN210" s="315" t="str">
        <f t="shared" si="364"/>
        <v xml:space="preserve"> </v>
      </c>
      <c r="AO210" s="315" t="str">
        <f t="shared" si="365"/>
        <v xml:space="preserve"> </v>
      </c>
      <c r="AP210" s="315" t="str">
        <f t="shared" si="366"/>
        <v xml:space="preserve"> </v>
      </c>
      <c r="AQ210" s="315" t="str">
        <f t="shared" si="367"/>
        <v xml:space="preserve"> </v>
      </c>
      <c r="AR210" s="276"/>
      <c r="AS210" s="321" t="str">
        <f t="shared" si="368"/>
        <v xml:space="preserve"> </v>
      </c>
      <c r="AT210" s="324" t="str">
        <f t="shared" si="369"/>
        <v xml:space="preserve"> </v>
      </c>
      <c r="AU210" s="324" t="str">
        <f t="shared" si="370"/>
        <v xml:space="preserve"> </v>
      </c>
      <c r="AV210" s="324" t="str">
        <f t="shared" si="371"/>
        <v xml:space="preserve"> </v>
      </c>
      <c r="AW210" s="324" t="str">
        <f t="shared" si="372"/>
        <v xml:space="preserve"> </v>
      </c>
      <c r="AX210" s="324" t="str">
        <f t="shared" si="373"/>
        <v xml:space="preserve"> </v>
      </c>
      <c r="AY210" s="324" t="str">
        <f t="shared" si="374"/>
        <v xml:space="preserve"> </v>
      </c>
      <c r="AZ210" s="276"/>
      <c r="BA210" s="267" t="str">
        <f>IF($A210="N/A"," ",(IF(MONTH(A210)&gt;=4,IF(MONTH(A210)&lt;=10,Inputs!$F$13,Inputs!$F$14),Inputs!$F$14))*$BW210)</f>
        <v xml:space="preserve"> </v>
      </c>
      <c r="BB210" s="268" t="str">
        <f t="shared" si="382"/>
        <v xml:space="preserve"> </v>
      </c>
      <c r="BC210" s="268" t="str">
        <f t="shared" si="383"/>
        <v xml:space="preserve"> </v>
      </c>
      <c r="BD210" s="268" t="str">
        <f t="shared" si="350"/>
        <v xml:space="preserve"> </v>
      </c>
      <c r="BE210" s="268" t="str">
        <f t="shared" si="351"/>
        <v xml:space="preserve"> </v>
      </c>
      <c r="BF210" s="268" t="str">
        <f t="shared" si="352"/>
        <v xml:space="preserve"> </v>
      </c>
      <c r="BG210" s="268" t="str">
        <f t="shared" si="353"/>
        <v xml:space="preserve"> </v>
      </c>
      <c r="BH210" s="268" t="str">
        <f t="shared" si="359"/>
        <v xml:space="preserve"> </v>
      </c>
      <c r="BI210" s="268" t="str">
        <f t="shared" si="354"/>
        <v xml:space="preserve"> </v>
      </c>
      <c r="BJ210" s="296" t="str">
        <f t="shared" si="355"/>
        <v xml:space="preserve"> </v>
      </c>
      <c r="BK210" s="296" t="str">
        <f t="shared" si="356"/>
        <v xml:space="preserve"> </v>
      </c>
      <c r="BL210" s="296" t="str">
        <f t="shared" si="357"/>
        <v xml:space="preserve"> </v>
      </c>
      <c r="BM210" s="296" t="str">
        <f t="shared" si="358"/>
        <v xml:space="preserve"> </v>
      </c>
      <c r="BN210" s="405" t="str">
        <f>IF(A210="N/A"," ",(VLOOKUP(A210,PowerVolTable,(IF('Pricing Inputs'!$AT$3=2,7,IF('Pricing Inputs'!$AT$3=1,6,8))),FALSE)))</f>
        <v xml:space="preserve"> </v>
      </c>
      <c r="BO210" s="405" t="str">
        <f>IF(A210="N/A"," ",(VLOOKUP(A210,IntraPowerVol,(IF('Pricing Inputs'!$AT$3=2,3,IF('Pricing Inputs'!$AT$3=1,2,4))),FALSE)*VLOOKUP(MONTH($A210),Inputs!$A$28:$B$39,2)))</f>
        <v xml:space="preserve"> </v>
      </c>
      <c r="BP210" s="406" t="str">
        <f t="shared" si="336"/>
        <v xml:space="preserve"> </v>
      </c>
      <c r="BQ210" s="405" t="str">
        <f>IF($A210="N/A"," ",(VLOOKUP($A210,GasVolTable,(IF('Pricing Inputs'!$AT$3=2,6,IF('Pricing Inputs'!$AT$3=1,7,5))),FALSE)))</f>
        <v xml:space="preserve"> </v>
      </c>
      <c r="BR210" s="405" t="str">
        <f>IF($A210="N/A"," ",(VLOOKUP($A210,OmicronVol,(IF('Pricing Inputs'!$AT$3=2,3,IF('Pricing Inputs'!$AT$3=1,4,2))),FALSE)))</f>
        <v xml:space="preserve"> </v>
      </c>
      <c r="BS210" s="406" t="str">
        <f>IF($A210="N/A"," ",IF('Pricing Inputs'!$AN$3=1,(IF(DateToday&gt;$A210,$BR210,((($BQ210^2)*((($A210-1)-DateToday)/((EOMONTH($A210,0)+1)-DateToday-15)))+((($BR210)^2)*((15)/((EOMONTH($A210,0)+1)-DateToday-15))))^0.5)),0.0001))</f>
        <v xml:space="preserve"> </v>
      </c>
      <c r="BT210" s="405" t="str">
        <f>IF($A210="N/A"," ",IF('Pricing Inputs'!$AN$3=1,(VLOOKUP($A210,CorrelationTable,2,FALSE)),0))</f>
        <v xml:space="preserve"> </v>
      </c>
      <c r="BU210" s="407" t="str">
        <f>IF($A210="N/A"," ",F210+G210+(D210*(VLOOKUP($A210,'Gas Curves'!$B$17:$P$310,14,FALSE))))</f>
        <v xml:space="preserve"> </v>
      </c>
      <c r="BV210" s="405" t="str">
        <f>IF($A210="N/A"," ",IF('Pricing Inputs'!$AW$3=1,0,(VLOOKUP($A210,InterestRatesTable,2))))</f>
        <v xml:space="preserve"> </v>
      </c>
      <c r="BW210" s="408" t="str">
        <f t="shared" si="337"/>
        <v xml:space="preserve"> </v>
      </c>
    </row>
    <row r="211" spans="1:75">
      <c r="A211" s="248" t="str">
        <f>IF(A210="N/A","N/A",IF(EDATE(A210,1)&gt;Inputs!$K$3,"N/A",EDATE(A210,1)))</f>
        <v>N/A</v>
      </c>
      <c r="B211" s="262" t="str">
        <f t="shared" si="338"/>
        <v xml:space="preserve"> </v>
      </c>
      <c r="C211" s="249" t="str">
        <f t="shared" si="339"/>
        <v xml:space="preserve"> </v>
      </c>
      <c r="D211" s="250" t="str">
        <f>IF(A211="N/A"," ",(VLOOKUP(MONTH($A211),Inputs!$A$14:$B$25,2))/1000)</f>
        <v xml:space="preserve"> </v>
      </c>
      <c r="E211" s="304" t="str">
        <f t="shared" si="340"/>
        <v xml:space="preserve"> </v>
      </c>
      <c r="F211" s="251" t="str">
        <f>IF(A211="N/A"," ",Inputs!$F$6)</f>
        <v xml:space="preserve"> </v>
      </c>
      <c r="G211" s="251" t="str">
        <f>IF(A211="N/A"," ",Inputs!$F$9/IF(AND('Pricing Inputs'!$AQ$3&gt;=4,'Pricing Inputs'!$AQ$3&lt;=6),16,IF(AND('Pricing Inputs'!$AQ$3&gt;=7,'Pricing Inputs'!$AQ$3&lt;=9),8,24))/(BA211/BW211))</f>
        <v xml:space="preserve"> </v>
      </c>
      <c r="H211" s="252" t="str">
        <f t="shared" si="341"/>
        <v xml:space="preserve"> </v>
      </c>
      <c r="I211" s="255" t="str">
        <f>VLOOKUP(A211,ScaledPrice,(IF(AND('Pricing Inputs'!$AQ$3&gt;=1,'Pricing Inputs'!$AQ$3&lt;=6),2,4)))</f>
        <v xml:space="preserve"> </v>
      </c>
      <c r="J211" s="255" t="str">
        <f>IF(A211="N/A"," ",IF(AND('Pricing Inputs'!$AQ$3&gt;=1,'Pricing Inputs'!$AQ$3&lt;=6),I211,(VLOOKUP(A211,ScaledPrice,2))*(2-(VLOOKUP(A211,ScaledPrice,3)))))</f>
        <v xml:space="preserve"> </v>
      </c>
      <c r="K211" s="255" t="str">
        <f>IF(A211="N/A"," ",IF(OR('Pricing Inputs'!$AQ$3=2,'Pricing Inputs'!$AQ$3=3,'Pricing Inputs'!$AQ$3=5,'Pricing Inputs'!$AQ$3=6,'Pricing Inputs'!$AQ$3=8,'Pricing Inputs'!$AQ$3=9),VLOOKUP(A211,ScaledPrice,IF(AND('Pricing Inputs'!$AQ$3&gt;=2,'Pricing Inputs'!$AQ$3&lt;=6),5,6)),0))</f>
        <v xml:space="preserve"> </v>
      </c>
      <c r="L211" s="255" t="str">
        <f>IF(A211="N/A"," ",IF(OR('Pricing Inputs'!$AQ$3=2,'Pricing Inputs'!$AQ$3=3,'Pricing Inputs'!$AQ$3=5,'Pricing Inputs'!$AQ$3=6,'Pricing Inputs'!$AQ$3=8,'Pricing Inputs'!$AQ$3=9),IF(AND('Pricing Inputs'!$AQ$3&gt;=2,'Pricing Inputs'!$AQ$3&lt;=6),K211,(VLOOKUP(A211,ScaledPrice,5))*(2-(VLOOKUP(A211,ScaledPrice,3)))),0))</f>
        <v xml:space="preserve"> </v>
      </c>
      <c r="M211" s="255" t="str">
        <f>IF(A211="N/A"," ",IF(OR('Pricing Inputs'!$AQ$3=3,'Pricing Inputs'!$AQ$3=6,'Pricing Inputs'!$AQ$3=9),(VLOOKUP(A211,ScaledPrice,IF(AND('Pricing Inputs'!$AQ$3&gt;=3,'Pricing Inputs'!$AQ$3&lt;=6),7,8))),0))</f>
        <v xml:space="preserve"> </v>
      </c>
      <c r="N211" s="255" t="str">
        <f>IF(A211="N/A"," ",IF(OR('Pricing Inputs'!$AQ$3=3,'Pricing Inputs'!$AQ$3=6,'Pricing Inputs'!$AQ$3=9),IF(AND('Pricing Inputs'!$AQ$3&gt;=3,'Pricing Inputs'!$AQ$3&lt;=6),M211,(VLOOKUP(A211,ScaledPrice,7))*(2-(VLOOKUP(A211,ScaledPrice,3)))),0))</f>
        <v xml:space="preserve"> </v>
      </c>
      <c r="O211" s="255" t="str">
        <f>IF(A211="N/A"," ",IF(AND('Pricing Inputs'!$AQ$3&gt;=1,'Pricing Inputs'!$AQ$3&lt;=3),VLOOKUP(A211,ScaledPrice,9),0))</f>
        <v xml:space="preserve"> </v>
      </c>
      <c r="P211" s="320" t="str">
        <f>IF($A211="N/A"," ",IF('Pricing Inputs'!$AN$8=2,(I211-H211),IF('Pricing Inputs'!$AN$3=2,IF((I211-$H211)&gt;0,I211-$H211,0),(_xll.xSPRDOPT(I211,$E211,$BU211,0,$BP211,$BS211,$BT211,($A211-Inputs!$D$1)+15,1,0)))))</f>
        <v xml:space="preserve"> </v>
      </c>
      <c r="Q211" s="320" t="str">
        <f>IF($A211="N/A"," ",IF('Pricing Inputs'!$AN$8=2,(J211-$H211),IF('Pricing Inputs'!$AN$3=2,IF((J211-$H211)&gt;0,J211-$H211,0),(_xll.xSPRDOPT(J211,$E211,$BU211,0,$BP211,$BS211,$BT211,($A211-Inputs!$D$1)+15,1,0)))))</f>
        <v xml:space="preserve"> </v>
      </c>
      <c r="R211" s="320" t="str">
        <f>IF($A211="N/A"," ",IF('Pricing Inputs'!$AN$8=2,(K211-$H211),IF('Pricing Inputs'!$AN$3=2,IF((K211-$H211)&gt;0,K211-$H211,0),(_xll.xSPRDOPT(K211,$E211,$BU211,0,$BP211,$BS211,$BT211,($A211-Inputs!$D$1)+15,1,0)))))</f>
        <v xml:space="preserve"> </v>
      </c>
      <c r="S211" s="320" t="str">
        <f>IF($A211="N/A"," ",IF('Pricing Inputs'!$AN$8=2,(L211-$H211),IF('Pricing Inputs'!$AN$3=2,IF((L211-$H211)&gt;0,L211-$H211,0),(_xll.xSPRDOPT(L211,$E211,$BU211,0,$BP211,$BS211,$BT211,($A211-Inputs!$D$1)+15,1,0)))))</f>
        <v xml:space="preserve"> </v>
      </c>
      <c r="T211" s="320" t="str">
        <f>IF($A211="N/A"," ",IF('Pricing Inputs'!$AN$8=2,(M211-$H211),IF('Pricing Inputs'!$AN$3=2,IF((M211-$H211)&gt;0,M211-$H211,0),(_xll.xSPRDOPT(M211,$E211,$BU211,0,$BP211,$BS211,$BT211,($A211-Inputs!$D$1)+15,1,0)))))</f>
        <v xml:space="preserve"> </v>
      </c>
      <c r="U211" s="320" t="str">
        <f>IF($A211="N/A"," ",IF('Pricing Inputs'!$AN$8=2,(N211-$H211),IF('Pricing Inputs'!$AN$3=2,IF((N211-$H211)&gt;0,N211-$H211,0),(_xll.xSPRDOPT(N211,$E211,$BU211,0,$BP211,$BS211,$BT211,($A211-Inputs!$D$1)+15,1,0)))))</f>
        <v xml:space="preserve"> </v>
      </c>
      <c r="V211" s="259" t="str">
        <f>IF($A211="N/A"," ",(IF('Pricing Inputs'!$AN$8=2,(O211-$H211),IF((O211-$H211)&lt;=0,0,(O211-$H211)))))</f>
        <v xml:space="preserve"> </v>
      </c>
      <c r="W211" s="306" t="str">
        <f>IF($A211="N/A"," ",IF(0&lt;&gt;P211,IF('Pricing Inputs'!$AN$3=2,8*VLOOKUP($A211,NumberofDaysTable,2),(_xll.xSPRDOPT(I211,$E211,$BU211,0,$BP211,$BS211,$BT211,$A211-Inputs!$D$1,1,1))*(8*VLOOKUP($A211,NumberofDaysTable,2))),0))</f>
        <v xml:space="preserve"> </v>
      </c>
      <c r="X211" s="306" t="str">
        <f>IF($A211="N/A"," ",IF(Q211&lt;&gt;0,IF('Pricing Inputs'!$AN$3=2,8*VLOOKUP($A211,NumberofDaysTable,2),(_xll.xSPRDOPT(J211,$E211,$BU211,0,$BP211,$BS211,$BT211,$A211-Inputs!$D$1,1,1))*(8*VLOOKUP($A211,NumberofDaysTable,2))),0))</f>
        <v xml:space="preserve"> </v>
      </c>
      <c r="Y211" s="306" t="str">
        <f>IF($A211="N/A"," ",IF(R211&lt;&gt;0,IF('Pricing Inputs'!$AN$3=2,8*VLOOKUP($A211,NumberofDaysTable,3),(_xll.xSPRDOPT(K211,$E211,$BU211,0,$BP211,$BS211,$BT211,$A211-Inputs!$D$1,1,1))*(8*VLOOKUP($A211,NumberofDaysTable,3))),0))</f>
        <v xml:space="preserve"> </v>
      </c>
      <c r="Z211" s="306" t="str">
        <f>IF($A211="N/A"," ",IF(S211&lt;&gt;0,IF('Pricing Inputs'!$AN$3=2,8*VLOOKUP($A211,NumberofDaysTable,3),(_xll.xSPRDOPT(L211,$E211,$BU211,0,$BP211,$BS211,$BT211,$A211-Inputs!$D$1,1,1))*(8*VLOOKUP($A211,NumberofDaysTable,3))),0))</f>
        <v xml:space="preserve"> </v>
      </c>
      <c r="AA211" s="306" t="str">
        <f>IF($A211="N/A"," ",IF(T211&lt;&gt;0,IF('Pricing Inputs'!$AN$3=2,8*VLOOKUP($A211,NumberofDaysTable,4),(_xll.xSPRDOPT(M211,$E211,$BU211,0,$BP211,$BS211,$BT211,$A211-Inputs!$D$1,1,1))*(8*VLOOKUP($A211,NumberofDaysTable,4))),0))</f>
        <v xml:space="preserve"> </v>
      </c>
      <c r="AB211" s="306" t="str">
        <f>IF($A211="N/A"," ",IF(U211&lt;&gt;0,IF('Pricing Inputs'!$AN$3=2,8*VLOOKUP($A211,NumberofDaysTable,4),(_xll.xSPRDOPT(N211,$E211,$BU211,0,$BP211,$BS211,$BT211,$A211-Inputs!$D$1,1,1))*(8*VLOOKUP($A211,NumberofDaysTable,4))),0))</f>
        <v xml:space="preserve"> </v>
      </c>
      <c r="AC211" s="306" t="str">
        <f t="shared" si="342"/>
        <v xml:space="preserve"> </v>
      </c>
      <c r="AD211" s="274" t="str">
        <f t="shared" si="375"/>
        <v xml:space="preserve"> </v>
      </c>
      <c r="AE211" s="275" t="str">
        <f t="shared" si="376"/>
        <v xml:space="preserve"> </v>
      </c>
      <c r="AF211" s="275" t="str">
        <f t="shared" si="377"/>
        <v xml:space="preserve"> </v>
      </c>
      <c r="AG211" s="275" t="str">
        <f t="shared" si="378"/>
        <v xml:space="preserve"> </v>
      </c>
      <c r="AH211" s="275" t="str">
        <f t="shared" si="379"/>
        <v xml:space="preserve"> </v>
      </c>
      <c r="AI211" s="275" t="str">
        <f t="shared" si="380"/>
        <v xml:space="preserve"> </v>
      </c>
      <c r="AJ211" s="276" t="str">
        <f t="shared" si="381"/>
        <v xml:space="preserve"> </v>
      </c>
      <c r="AK211" s="314" t="str">
        <f t="shared" si="361"/>
        <v xml:space="preserve"> </v>
      </c>
      <c r="AL211" s="315" t="str">
        <f t="shared" si="362"/>
        <v xml:space="preserve"> </v>
      </c>
      <c r="AM211" s="315" t="str">
        <f t="shared" si="363"/>
        <v xml:space="preserve"> </v>
      </c>
      <c r="AN211" s="315" t="str">
        <f t="shared" si="364"/>
        <v xml:space="preserve"> </v>
      </c>
      <c r="AO211" s="315" t="str">
        <f t="shared" si="365"/>
        <v xml:space="preserve"> </v>
      </c>
      <c r="AP211" s="315" t="str">
        <f t="shared" si="366"/>
        <v xml:space="preserve"> </v>
      </c>
      <c r="AQ211" s="315" t="str">
        <f t="shared" si="367"/>
        <v xml:space="preserve"> </v>
      </c>
      <c r="AR211" s="276"/>
      <c r="AS211" s="321" t="str">
        <f t="shared" si="368"/>
        <v xml:space="preserve"> </v>
      </c>
      <c r="AT211" s="324" t="str">
        <f t="shared" si="369"/>
        <v xml:space="preserve"> </v>
      </c>
      <c r="AU211" s="324" t="str">
        <f t="shared" si="370"/>
        <v xml:space="preserve"> </v>
      </c>
      <c r="AV211" s="324" t="str">
        <f t="shared" si="371"/>
        <v xml:space="preserve"> </v>
      </c>
      <c r="AW211" s="324" t="str">
        <f t="shared" si="372"/>
        <v xml:space="preserve"> </v>
      </c>
      <c r="AX211" s="324" t="str">
        <f t="shared" si="373"/>
        <v xml:space="preserve"> </v>
      </c>
      <c r="AY211" s="324" t="str">
        <f t="shared" si="374"/>
        <v xml:space="preserve"> </v>
      </c>
      <c r="AZ211" s="276"/>
      <c r="BA211" s="267" t="str">
        <f>IF($A211="N/A"," ",(IF(MONTH(A211)&gt;=4,IF(MONTH(A211)&lt;=10,Inputs!$F$13,Inputs!$F$14),Inputs!$F$14))*$BW211)</f>
        <v xml:space="preserve"> </v>
      </c>
      <c r="BB211" s="268" t="str">
        <f t="shared" si="382"/>
        <v xml:space="preserve"> </v>
      </c>
      <c r="BC211" s="268" t="str">
        <f t="shared" si="383"/>
        <v xml:space="preserve"> </v>
      </c>
      <c r="BD211" s="268" t="str">
        <f t="shared" si="350"/>
        <v xml:space="preserve"> </v>
      </c>
      <c r="BE211" s="268" t="str">
        <f t="shared" si="351"/>
        <v xml:space="preserve"> </v>
      </c>
      <c r="BF211" s="268" t="str">
        <f t="shared" si="352"/>
        <v xml:space="preserve"> </v>
      </c>
      <c r="BG211" s="268" t="str">
        <f t="shared" si="353"/>
        <v xml:space="preserve"> </v>
      </c>
      <c r="BH211" s="268" t="str">
        <f t="shared" si="359"/>
        <v xml:space="preserve"> </v>
      </c>
      <c r="BI211" s="268" t="str">
        <f t="shared" si="354"/>
        <v xml:space="preserve"> </v>
      </c>
      <c r="BJ211" s="296" t="str">
        <f t="shared" si="355"/>
        <v xml:space="preserve"> </v>
      </c>
      <c r="BK211" s="296" t="str">
        <f t="shared" si="356"/>
        <v xml:space="preserve"> </v>
      </c>
      <c r="BL211" s="296" t="str">
        <f t="shared" si="357"/>
        <v xml:space="preserve"> </v>
      </c>
      <c r="BM211" s="296" t="str">
        <f t="shared" si="358"/>
        <v xml:space="preserve"> </v>
      </c>
      <c r="BN211" s="405" t="str">
        <f>IF(A211="N/A"," ",(VLOOKUP(A211,PowerVolTable,(IF('Pricing Inputs'!$AT$3=2,7,IF('Pricing Inputs'!$AT$3=1,6,8))),FALSE)))</f>
        <v xml:space="preserve"> </v>
      </c>
      <c r="BO211" s="405" t="str">
        <f>IF(A211="N/A"," ",(VLOOKUP(A211,IntraPowerVol,(IF('Pricing Inputs'!$AT$3=2,3,IF('Pricing Inputs'!$AT$3=1,2,4))),FALSE)*VLOOKUP(MONTH($A211),Inputs!$A$28:$B$39,2)))</f>
        <v xml:space="preserve"> </v>
      </c>
      <c r="BP211" s="406" t="str">
        <f t="shared" si="336"/>
        <v xml:space="preserve"> </v>
      </c>
      <c r="BQ211" s="405" t="str">
        <f>IF($A211="N/A"," ",(VLOOKUP($A211,GasVolTable,(IF('Pricing Inputs'!$AT$3=2,6,IF('Pricing Inputs'!$AT$3=1,7,5))),FALSE)))</f>
        <v xml:space="preserve"> </v>
      </c>
      <c r="BR211" s="405" t="str">
        <f>IF($A211="N/A"," ",(VLOOKUP($A211,OmicronVol,(IF('Pricing Inputs'!$AT$3=2,3,IF('Pricing Inputs'!$AT$3=1,4,2))),FALSE)))</f>
        <v xml:space="preserve"> </v>
      </c>
      <c r="BS211" s="406" t="str">
        <f>IF($A211="N/A"," ",IF('Pricing Inputs'!$AN$3=1,(IF(DateToday&gt;$A211,$BR211,((($BQ211^2)*((($A211-1)-DateToday)/((EOMONTH($A211,0)+1)-DateToday-15)))+((($BR211)^2)*((15)/((EOMONTH($A211,0)+1)-DateToday-15))))^0.5)),0.0001))</f>
        <v xml:space="preserve"> </v>
      </c>
      <c r="BT211" s="405" t="str">
        <f>IF($A211="N/A"," ",IF('Pricing Inputs'!$AN$3=1,(VLOOKUP($A211,CorrelationTable,2,FALSE)),0))</f>
        <v xml:space="preserve"> </v>
      </c>
      <c r="BU211" s="407" t="str">
        <f>IF($A211="N/A"," ",F211+G211+(D211*(VLOOKUP($A211,'Gas Curves'!$B$17:$P$310,14,FALSE))))</f>
        <v xml:space="preserve"> </v>
      </c>
      <c r="BV211" s="405" t="str">
        <f>IF($A211="N/A"," ",IF('Pricing Inputs'!$AW$3=1,0,(VLOOKUP($A211,InterestRatesTable,2))))</f>
        <v xml:space="preserve"> </v>
      </c>
      <c r="BW211" s="408" t="str">
        <f t="shared" si="337"/>
        <v xml:space="preserve"> </v>
      </c>
    </row>
    <row r="212" spans="1:75">
      <c r="A212" s="248" t="str">
        <f>IF(A211="N/A","N/A",IF(EDATE(A211,1)&gt;Inputs!$K$3,"N/A",EDATE(A211,1)))</f>
        <v>N/A</v>
      </c>
      <c r="B212" s="262" t="str">
        <f t="shared" si="338"/>
        <v xml:space="preserve"> </v>
      </c>
      <c r="C212" s="249" t="str">
        <f t="shared" si="339"/>
        <v xml:space="preserve"> </v>
      </c>
      <c r="D212" s="250" t="str">
        <f>IF(A212="N/A"," ",(VLOOKUP(MONTH($A212),Inputs!$A$14:$B$25,2))/1000)</f>
        <v xml:space="preserve"> </v>
      </c>
      <c r="E212" s="304" t="str">
        <f t="shared" si="340"/>
        <v xml:space="preserve"> </v>
      </c>
      <c r="F212" s="251" t="str">
        <f>IF(A212="N/A"," ",Inputs!$F$6)</f>
        <v xml:space="preserve"> </v>
      </c>
      <c r="G212" s="251" t="str">
        <f>IF(A212="N/A"," ",Inputs!$F$9/IF(AND('Pricing Inputs'!$AQ$3&gt;=4,'Pricing Inputs'!$AQ$3&lt;=6),16,IF(AND('Pricing Inputs'!$AQ$3&gt;=7,'Pricing Inputs'!$AQ$3&lt;=9),8,24))/(BA212/BW212))</f>
        <v xml:space="preserve"> </v>
      </c>
      <c r="H212" s="252" t="str">
        <f t="shared" si="341"/>
        <v xml:space="preserve"> </v>
      </c>
      <c r="I212" s="255" t="str">
        <f>VLOOKUP(A212,ScaledPrice,(IF(AND('Pricing Inputs'!$AQ$3&gt;=1,'Pricing Inputs'!$AQ$3&lt;=6),2,4)))</f>
        <v xml:space="preserve"> </v>
      </c>
      <c r="J212" s="255" t="str">
        <f>IF(A212="N/A"," ",IF(AND('Pricing Inputs'!$AQ$3&gt;=1,'Pricing Inputs'!$AQ$3&lt;=6),I212,(VLOOKUP(A212,ScaledPrice,2))*(2-(VLOOKUP(A212,ScaledPrice,3)))))</f>
        <v xml:space="preserve"> </v>
      </c>
      <c r="K212" s="255" t="str">
        <f>IF(A212="N/A"," ",IF(OR('Pricing Inputs'!$AQ$3=2,'Pricing Inputs'!$AQ$3=3,'Pricing Inputs'!$AQ$3=5,'Pricing Inputs'!$AQ$3=6,'Pricing Inputs'!$AQ$3=8,'Pricing Inputs'!$AQ$3=9),VLOOKUP(A212,ScaledPrice,IF(AND('Pricing Inputs'!$AQ$3&gt;=2,'Pricing Inputs'!$AQ$3&lt;=6),5,6)),0))</f>
        <v xml:space="preserve"> </v>
      </c>
      <c r="L212" s="255" t="str">
        <f>IF(A212="N/A"," ",IF(OR('Pricing Inputs'!$AQ$3=2,'Pricing Inputs'!$AQ$3=3,'Pricing Inputs'!$AQ$3=5,'Pricing Inputs'!$AQ$3=6,'Pricing Inputs'!$AQ$3=8,'Pricing Inputs'!$AQ$3=9),IF(AND('Pricing Inputs'!$AQ$3&gt;=2,'Pricing Inputs'!$AQ$3&lt;=6),K212,(VLOOKUP(A212,ScaledPrice,5))*(2-(VLOOKUP(A212,ScaledPrice,3)))),0))</f>
        <v xml:space="preserve"> </v>
      </c>
      <c r="M212" s="255" t="str">
        <f>IF(A212="N/A"," ",IF(OR('Pricing Inputs'!$AQ$3=3,'Pricing Inputs'!$AQ$3=6,'Pricing Inputs'!$AQ$3=9),(VLOOKUP(A212,ScaledPrice,IF(AND('Pricing Inputs'!$AQ$3&gt;=3,'Pricing Inputs'!$AQ$3&lt;=6),7,8))),0))</f>
        <v xml:space="preserve"> </v>
      </c>
      <c r="N212" s="255" t="str">
        <f>IF(A212="N/A"," ",IF(OR('Pricing Inputs'!$AQ$3=3,'Pricing Inputs'!$AQ$3=6,'Pricing Inputs'!$AQ$3=9),IF(AND('Pricing Inputs'!$AQ$3&gt;=3,'Pricing Inputs'!$AQ$3&lt;=6),M212,(VLOOKUP(A212,ScaledPrice,7))*(2-(VLOOKUP(A212,ScaledPrice,3)))),0))</f>
        <v xml:space="preserve"> </v>
      </c>
      <c r="O212" s="255" t="str">
        <f>IF(A212="N/A"," ",IF(AND('Pricing Inputs'!$AQ$3&gt;=1,'Pricing Inputs'!$AQ$3&lt;=3),VLOOKUP(A212,ScaledPrice,9),0))</f>
        <v xml:space="preserve"> </v>
      </c>
      <c r="P212" s="320" t="str">
        <f>IF($A212="N/A"," ",IF('Pricing Inputs'!$AN$8=2,(I212-H212),IF('Pricing Inputs'!$AN$3=2,IF((I212-$H212)&gt;0,I212-$H212,0),(_xll.xSPRDOPT(I212,$E212,$BU212,0,$BP212,$BS212,$BT212,($A212-Inputs!$D$1)+15,1,0)))))</f>
        <v xml:space="preserve"> </v>
      </c>
      <c r="Q212" s="320" t="str">
        <f>IF($A212="N/A"," ",IF('Pricing Inputs'!$AN$8=2,(J212-$H212),IF('Pricing Inputs'!$AN$3=2,IF((J212-$H212)&gt;0,J212-$H212,0),(_xll.xSPRDOPT(J212,$E212,$BU212,0,$BP212,$BS212,$BT212,($A212-Inputs!$D$1)+15,1,0)))))</f>
        <v xml:space="preserve"> </v>
      </c>
      <c r="R212" s="320" t="str">
        <f>IF($A212="N/A"," ",IF('Pricing Inputs'!$AN$8=2,(K212-$H212),IF('Pricing Inputs'!$AN$3=2,IF((K212-$H212)&gt;0,K212-$H212,0),(_xll.xSPRDOPT(K212,$E212,$BU212,0,$BP212,$BS212,$BT212,($A212-Inputs!$D$1)+15,1,0)))))</f>
        <v xml:space="preserve"> </v>
      </c>
      <c r="S212" s="320" t="str">
        <f>IF($A212="N/A"," ",IF('Pricing Inputs'!$AN$8=2,(L212-$H212),IF('Pricing Inputs'!$AN$3=2,IF((L212-$H212)&gt;0,L212-$H212,0),(_xll.xSPRDOPT(L212,$E212,$BU212,0,$BP212,$BS212,$BT212,($A212-Inputs!$D$1)+15,1,0)))))</f>
        <v xml:space="preserve"> </v>
      </c>
      <c r="T212" s="320" t="str">
        <f>IF($A212="N/A"," ",IF('Pricing Inputs'!$AN$8=2,(M212-$H212),IF('Pricing Inputs'!$AN$3=2,IF((M212-$H212)&gt;0,M212-$H212,0),(_xll.xSPRDOPT(M212,$E212,$BU212,0,$BP212,$BS212,$BT212,($A212-Inputs!$D$1)+15,1,0)))))</f>
        <v xml:space="preserve"> </v>
      </c>
      <c r="U212" s="320" t="str">
        <f>IF($A212="N/A"," ",IF('Pricing Inputs'!$AN$8=2,(N212-$H212),IF('Pricing Inputs'!$AN$3=2,IF((N212-$H212)&gt;0,N212-$H212,0),(_xll.xSPRDOPT(N212,$E212,$BU212,0,$BP212,$BS212,$BT212,($A212-Inputs!$D$1)+15,1,0)))))</f>
        <v xml:space="preserve"> </v>
      </c>
      <c r="V212" s="259" t="str">
        <f>IF($A212="N/A"," ",(IF('Pricing Inputs'!$AN$8=2,(O212-$H212),IF((O212-$H212)&lt;=0,0,(O212-$H212)))))</f>
        <v xml:space="preserve"> </v>
      </c>
      <c r="W212" s="306" t="str">
        <f>IF($A212="N/A"," ",IF(0&lt;&gt;P212,IF('Pricing Inputs'!$AN$3=2,8*VLOOKUP($A212,NumberofDaysTable,2),(_xll.xSPRDOPT(I212,$E212,$BU212,0,$BP212,$BS212,$BT212,$A212-Inputs!$D$1,1,1))*(8*VLOOKUP($A212,NumberofDaysTable,2))),0))</f>
        <v xml:space="preserve"> </v>
      </c>
      <c r="X212" s="306" t="str">
        <f>IF($A212="N/A"," ",IF(Q212&lt;&gt;0,IF('Pricing Inputs'!$AN$3=2,8*VLOOKUP($A212,NumberofDaysTable,2),(_xll.xSPRDOPT(J212,$E212,$BU212,0,$BP212,$BS212,$BT212,$A212-Inputs!$D$1,1,1))*(8*VLOOKUP($A212,NumberofDaysTable,2))),0))</f>
        <v xml:space="preserve"> </v>
      </c>
      <c r="Y212" s="306" t="str">
        <f>IF($A212="N/A"," ",IF(R212&lt;&gt;0,IF('Pricing Inputs'!$AN$3=2,8*VLOOKUP($A212,NumberofDaysTable,3),(_xll.xSPRDOPT(K212,$E212,$BU212,0,$BP212,$BS212,$BT212,$A212-Inputs!$D$1,1,1))*(8*VLOOKUP($A212,NumberofDaysTable,3))),0))</f>
        <v xml:space="preserve"> </v>
      </c>
      <c r="Z212" s="306" t="str">
        <f>IF($A212="N/A"," ",IF(S212&lt;&gt;0,IF('Pricing Inputs'!$AN$3=2,8*VLOOKUP($A212,NumberofDaysTable,3),(_xll.xSPRDOPT(L212,$E212,$BU212,0,$BP212,$BS212,$BT212,$A212-Inputs!$D$1,1,1))*(8*VLOOKUP($A212,NumberofDaysTable,3))),0))</f>
        <v xml:space="preserve"> </v>
      </c>
      <c r="AA212" s="306" t="str">
        <f>IF($A212="N/A"," ",IF(T212&lt;&gt;0,IF('Pricing Inputs'!$AN$3=2,8*VLOOKUP($A212,NumberofDaysTable,4),(_xll.xSPRDOPT(M212,$E212,$BU212,0,$BP212,$BS212,$BT212,$A212-Inputs!$D$1,1,1))*(8*VLOOKUP($A212,NumberofDaysTable,4))),0))</f>
        <v xml:space="preserve"> </v>
      </c>
      <c r="AB212" s="306" t="str">
        <f>IF($A212="N/A"," ",IF(U212&lt;&gt;0,IF('Pricing Inputs'!$AN$3=2,8*VLOOKUP($A212,NumberofDaysTable,4),(_xll.xSPRDOPT(N212,$E212,$BU212,0,$BP212,$BS212,$BT212,$A212-Inputs!$D$1,1,1))*(8*VLOOKUP($A212,NumberofDaysTable,4))),0))</f>
        <v xml:space="preserve"> </v>
      </c>
      <c r="AC212" s="306" t="str">
        <f t="shared" si="342"/>
        <v xml:space="preserve"> </v>
      </c>
      <c r="AD212" s="274" t="str">
        <f t="shared" si="375"/>
        <v xml:space="preserve"> </v>
      </c>
      <c r="AE212" s="275" t="str">
        <f t="shared" si="376"/>
        <v xml:space="preserve"> </v>
      </c>
      <c r="AF212" s="275" t="str">
        <f t="shared" si="377"/>
        <v xml:space="preserve"> </v>
      </c>
      <c r="AG212" s="275" t="str">
        <f t="shared" si="378"/>
        <v xml:space="preserve"> </v>
      </c>
      <c r="AH212" s="275" t="str">
        <f t="shared" si="379"/>
        <v xml:space="preserve"> </v>
      </c>
      <c r="AI212" s="275" t="str">
        <f t="shared" si="380"/>
        <v xml:space="preserve"> </v>
      </c>
      <c r="AJ212" s="276" t="str">
        <f t="shared" si="381"/>
        <v xml:space="preserve"> </v>
      </c>
      <c r="AK212" s="314" t="str">
        <f t="shared" si="361"/>
        <v xml:space="preserve"> </v>
      </c>
      <c r="AL212" s="315" t="str">
        <f t="shared" si="362"/>
        <v xml:space="preserve"> </v>
      </c>
      <c r="AM212" s="315" t="str">
        <f t="shared" si="363"/>
        <v xml:space="preserve"> </v>
      </c>
      <c r="AN212" s="315" t="str">
        <f t="shared" si="364"/>
        <v xml:space="preserve"> </v>
      </c>
      <c r="AO212" s="315" t="str">
        <f t="shared" si="365"/>
        <v xml:space="preserve"> </v>
      </c>
      <c r="AP212" s="315" t="str">
        <f t="shared" si="366"/>
        <v xml:space="preserve"> </v>
      </c>
      <c r="AQ212" s="315" t="str">
        <f t="shared" si="367"/>
        <v xml:space="preserve"> </v>
      </c>
      <c r="AR212" s="276"/>
      <c r="AS212" s="321" t="str">
        <f t="shared" si="368"/>
        <v xml:space="preserve"> </v>
      </c>
      <c r="AT212" s="324" t="str">
        <f t="shared" si="369"/>
        <v xml:space="preserve"> </v>
      </c>
      <c r="AU212" s="324" t="str">
        <f t="shared" si="370"/>
        <v xml:space="preserve"> </v>
      </c>
      <c r="AV212" s="324" t="str">
        <f t="shared" si="371"/>
        <v xml:space="preserve"> </v>
      </c>
      <c r="AW212" s="324" t="str">
        <f t="shared" si="372"/>
        <v xml:space="preserve"> </v>
      </c>
      <c r="AX212" s="324" t="str">
        <f t="shared" si="373"/>
        <v xml:space="preserve"> </v>
      </c>
      <c r="AY212" s="324" t="str">
        <f t="shared" si="374"/>
        <v xml:space="preserve"> </v>
      </c>
      <c r="AZ212" s="276"/>
      <c r="BA212" s="267" t="str">
        <f>IF($A212="N/A"," ",(IF(MONTH(A212)&gt;=4,IF(MONTH(A212)&lt;=10,Inputs!$F$13,Inputs!$F$14),Inputs!$F$14))*$BW212)</f>
        <v xml:space="preserve"> </v>
      </c>
      <c r="BB212" s="268" t="str">
        <f t="shared" si="382"/>
        <v xml:space="preserve"> </v>
      </c>
      <c r="BC212" s="268" t="str">
        <f t="shared" si="383"/>
        <v xml:space="preserve"> </v>
      </c>
      <c r="BD212" s="268" t="str">
        <f t="shared" si="350"/>
        <v xml:space="preserve"> </v>
      </c>
      <c r="BE212" s="268" t="str">
        <f t="shared" si="351"/>
        <v xml:space="preserve"> </v>
      </c>
      <c r="BF212" s="268" t="str">
        <f t="shared" si="352"/>
        <v xml:space="preserve"> </v>
      </c>
      <c r="BG212" s="268" t="str">
        <f t="shared" si="353"/>
        <v xml:space="preserve"> </v>
      </c>
      <c r="BH212" s="268" t="str">
        <f t="shared" si="359"/>
        <v xml:space="preserve"> </v>
      </c>
      <c r="BI212" s="268" t="str">
        <f t="shared" si="354"/>
        <v xml:space="preserve"> </v>
      </c>
      <c r="BJ212" s="296" t="str">
        <f t="shared" si="355"/>
        <v xml:space="preserve"> </v>
      </c>
      <c r="BK212" s="296" t="str">
        <f t="shared" si="356"/>
        <v xml:space="preserve"> </v>
      </c>
      <c r="BL212" s="296" t="str">
        <f t="shared" si="357"/>
        <v xml:space="preserve"> </v>
      </c>
      <c r="BM212" s="296" t="str">
        <f t="shared" si="358"/>
        <v xml:space="preserve"> </v>
      </c>
      <c r="BN212" s="405" t="str">
        <f>IF(A212="N/A"," ",(VLOOKUP(A212,PowerVolTable,(IF('Pricing Inputs'!$AT$3=2,7,IF('Pricing Inputs'!$AT$3=1,6,8))),FALSE)))</f>
        <v xml:space="preserve"> </v>
      </c>
      <c r="BO212" s="405" t="str">
        <f>IF(A212="N/A"," ",(VLOOKUP(A212,IntraPowerVol,(IF('Pricing Inputs'!$AT$3=2,3,IF('Pricing Inputs'!$AT$3=1,2,4))),FALSE)*VLOOKUP(MONTH($A212),Inputs!$A$28:$B$39,2)))</f>
        <v xml:space="preserve"> </v>
      </c>
      <c r="BP212" s="406" t="str">
        <f t="shared" si="336"/>
        <v xml:space="preserve"> </v>
      </c>
      <c r="BQ212" s="405" t="str">
        <f>IF($A212="N/A"," ",(VLOOKUP($A212,GasVolTable,(IF('Pricing Inputs'!$AT$3=2,6,IF('Pricing Inputs'!$AT$3=1,7,5))),FALSE)))</f>
        <v xml:space="preserve"> </v>
      </c>
      <c r="BR212" s="405" t="str">
        <f>IF($A212="N/A"," ",(VLOOKUP($A212,OmicronVol,(IF('Pricing Inputs'!$AT$3=2,3,IF('Pricing Inputs'!$AT$3=1,4,2))),FALSE)))</f>
        <v xml:space="preserve"> </v>
      </c>
      <c r="BS212" s="406" t="str">
        <f>IF($A212="N/A"," ",IF('Pricing Inputs'!$AN$3=1,(IF(DateToday&gt;$A212,$BR212,((($BQ212^2)*((($A212-1)-DateToday)/((EOMONTH($A212,0)+1)-DateToday-15)))+((($BR212)^2)*((15)/((EOMONTH($A212,0)+1)-DateToday-15))))^0.5)),0.0001))</f>
        <v xml:space="preserve"> </v>
      </c>
      <c r="BT212" s="405" t="str">
        <f>IF($A212="N/A"," ",IF('Pricing Inputs'!$AN$3=1,(VLOOKUP($A212,CorrelationTable,2,FALSE)),0))</f>
        <v xml:space="preserve"> </v>
      </c>
      <c r="BU212" s="407" t="str">
        <f>IF($A212="N/A"," ",F212+G212+(D212*(VLOOKUP($A212,'Gas Curves'!$B$17:$P$310,14,FALSE))))</f>
        <v xml:space="preserve"> </v>
      </c>
      <c r="BV212" s="405" t="str">
        <f>IF($A212="N/A"," ",IF('Pricing Inputs'!$AW$3=1,0,(VLOOKUP($A212,InterestRatesTable,2))))</f>
        <v xml:space="preserve"> </v>
      </c>
      <c r="BW212" s="408" t="str">
        <f t="shared" si="337"/>
        <v xml:space="preserve"> </v>
      </c>
    </row>
    <row r="213" spans="1:75">
      <c r="A213" s="248" t="str">
        <f>IF(A212="N/A","N/A",IF(EDATE(A212,1)&gt;Inputs!$K$3,"N/A",EDATE(A212,1)))</f>
        <v>N/A</v>
      </c>
      <c r="B213" s="262" t="str">
        <f t="shared" si="338"/>
        <v xml:space="preserve"> </v>
      </c>
      <c r="C213" s="249" t="str">
        <f t="shared" si="339"/>
        <v xml:space="preserve"> </v>
      </c>
      <c r="D213" s="250" t="str">
        <f>IF(A213="N/A"," ",(VLOOKUP(MONTH($A213),Inputs!$A$14:$B$25,2))/1000)</f>
        <v xml:space="preserve"> </v>
      </c>
      <c r="E213" s="304" t="str">
        <f t="shared" si="340"/>
        <v xml:space="preserve"> </v>
      </c>
      <c r="F213" s="251" t="str">
        <f>IF(A213="N/A"," ",Inputs!$F$6)</f>
        <v xml:space="preserve"> </v>
      </c>
      <c r="G213" s="251" t="str">
        <f>IF(A213="N/A"," ",Inputs!$F$9/IF(AND('Pricing Inputs'!$AQ$3&gt;=4,'Pricing Inputs'!$AQ$3&lt;=6),16,IF(AND('Pricing Inputs'!$AQ$3&gt;=7,'Pricing Inputs'!$AQ$3&lt;=9),8,24))/(BA213/BW213))</f>
        <v xml:space="preserve"> </v>
      </c>
      <c r="H213" s="252" t="str">
        <f t="shared" si="341"/>
        <v xml:space="preserve"> </v>
      </c>
      <c r="I213" s="255" t="str">
        <f>VLOOKUP(A213,ScaledPrice,(IF(AND('Pricing Inputs'!$AQ$3&gt;=1,'Pricing Inputs'!$AQ$3&lt;=6),2,4)))</f>
        <v xml:space="preserve"> </v>
      </c>
      <c r="J213" s="255" t="str">
        <f>IF(A213="N/A"," ",IF(AND('Pricing Inputs'!$AQ$3&gt;=1,'Pricing Inputs'!$AQ$3&lt;=6),I213,(VLOOKUP(A213,ScaledPrice,2))*(2-(VLOOKUP(A213,ScaledPrice,3)))))</f>
        <v xml:space="preserve"> </v>
      </c>
      <c r="K213" s="255" t="str">
        <f>IF(A213="N/A"," ",IF(OR('Pricing Inputs'!$AQ$3=2,'Pricing Inputs'!$AQ$3=3,'Pricing Inputs'!$AQ$3=5,'Pricing Inputs'!$AQ$3=6,'Pricing Inputs'!$AQ$3=8,'Pricing Inputs'!$AQ$3=9),VLOOKUP(A213,ScaledPrice,IF(AND('Pricing Inputs'!$AQ$3&gt;=2,'Pricing Inputs'!$AQ$3&lt;=6),5,6)),0))</f>
        <v xml:space="preserve"> </v>
      </c>
      <c r="L213" s="255" t="str">
        <f>IF(A213="N/A"," ",IF(OR('Pricing Inputs'!$AQ$3=2,'Pricing Inputs'!$AQ$3=3,'Pricing Inputs'!$AQ$3=5,'Pricing Inputs'!$AQ$3=6,'Pricing Inputs'!$AQ$3=8,'Pricing Inputs'!$AQ$3=9),IF(AND('Pricing Inputs'!$AQ$3&gt;=2,'Pricing Inputs'!$AQ$3&lt;=6),K213,(VLOOKUP(A213,ScaledPrice,5))*(2-(VLOOKUP(A213,ScaledPrice,3)))),0))</f>
        <v xml:space="preserve"> </v>
      </c>
      <c r="M213" s="255" t="str">
        <f>IF(A213="N/A"," ",IF(OR('Pricing Inputs'!$AQ$3=3,'Pricing Inputs'!$AQ$3=6,'Pricing Inputs'!$AQ$3=9),(VLOOKUP(A213,ScaledPrice,IF(AND('Pricing Inputs'!$AQ$3&gt;=3,'Pricing Inputs'!$AQ$3&lt;=6),7,8))),0))</f>
        <v xml:space="preserve"> </v>
      </c>
      <c r="N213" s="255" t="str">
        <f>IF(A213="N/A"," ",IF(OR('Pricing Inputs'!$AQ$3=3,'Pricing Inputs'!$AQ$3=6,'Pricing Inputs'!$AQ$3=9),IF(AND('Pricing Inputs'!$AQ$3&gt;=3,'Pricing Inputs'!$AQ$3&lt;=6),M213,(VLOOKUP(A213,ScaledPrice,7))*(2-(VLOOKUP(A213,ScaledPrice,3)))),0))</f>
        <v xml:space="preserve"> </v>
      </c>
      <c r="O213" s="255" t="str">
        <f>IF(A213="N/A"," ",IF(AND('Pricing Inputs'!$AQ$3&gt;=1,'Pricing Inputs'!$AQ$3&lt;=3),VLOOKUP(A213,ScaledPrice,9),0))</f>
        <v xml:space="preserve"> </v>
      </c>
      <c r="P213" s="320" t="str">
        <f>IF($A213="N/A"," ",IF('Pricing Inputs'!$AN$8=2,(I213-H213),IF('Pricing Inputs'!$AN$3=2,IF((I213-$H213)&gt;0,I213-$H213,0),(_xll.xSPRDOPT(I213,$E213,$BU213,0,$BP213,$BS213,$BT213,($A213-Inputs!$D$1)+15,1,0)))))</f>
        <v xml:space="preserve"> </v>
      </c>
      <c r="Q213" s="320" t="str">
        <f>IF($A213="N/A"," ",IF('Pricing Inputs'!$AN$8=2,(J213-$H213),IF('Pricing Inputs'!$AN$3=2,IF((J213-$H213)&gt;0,J213-$H213,0),(_xll.xSPRDOPT(J213,$E213,$BU213,0,$BP213,$BS213,$BT213,($A213-Inputs!$D$1)+15,1,0)))))</f>
        <v xml:space="preserve"> </v>
      </c>
      <c r="R213" s="320" t="str">
        <f>IF($A213="N/A"," ",IF('Pricing Inputs'!$AN$8=2,(K213-$H213),IF('Pricing Inputs'!$AN$3=2,IF((K213-$H213)&gt;0,K213-$H213,0),(_xll.xSPRDOPT(K213,$E213,$BU213,0,$BP213,$BS213,$BT213,($A213-Inputs!$D$1)+15,1,0)))))</f>
        <v xml:space="preserve"> </v>
      </c>
      <c r="S213" s="320" t="str">
        <f>IF($A213="N/A"," ",IF('Pricing Inputs'!$AN$8=2,(L213-$H213),IF('Pricing Inputs'!$AN$3=2,IF((L213-$H213)&gt;0,L213-$H213,0),(_xll.xSPRDOPT(L213,$E213,$BU213,0,$BP213,$BS213,$BT213,($A213-Inputs!$D$1)+15,1,0)))))</f>
        <v xml:space="preserve"> </v>
      </c>
      <c r="T213" s="320" t="str">
        <f>IF($A213="N/A"," ",IF('Pricing Inputs'!$AN$8=2,(M213-$H213),IF('Pricing Inputs'!$AN$3=2,IF((M213-$H213)&gt;0,M213-$H213,0),(_xll.xSPRDOPT(M213,$E213,$BU213,0,$BP213,$BS213,$BT213,($A213-Inputs!$D$1)+15,1,0)))))</f>
        <v xml:space="preserve"> </v>
      </c>
      <c r="U213" s="320" t="str">
        <f>IF($A213="N/A"," ",IF('Pricing Inputs'!$AN$8=2,(N213-$H213),IF('Pricing Inputs'!$AN$3=2,IF((N213-$H213)&gt;0,N213-$H213,0),(_xll.xSPRDOPT(N213,$E213,$BU213,0,$BP213,$BS213,$BT213,($A213-Inputs!$D$1)+15,1,0)))))</f>
        <v xml:space="preserve"> </v>
      </c>
      <c r="V213" s="259" t="str">
        <f>IF($A213="N/A"," ",(IF('Pricing Inputs'!$AN$8=2,(O213-$H213),IF((O213-$H213)&lt;=0,0,(O213-$H213)))))</f>
        <v xml:space="preserve"> </v>
      </c>
      <c r="W213" s="306" t="str">
        <f>IF($A213="N/A"," ",IF(0&lt;&gt;P213,IF('Pricing Inputs'!$AN$3=2,8*VLOOKUP($A213,NumberofDaysTable,2),(_xll.xSPRDOPT(I213,$E213,$BU213,0,$BP213,$BS213,$BT213,$A213-Inputs!$D$1,1,1))*(8*VLOOKUP($A213,NumberofDaysTable,2))),0))</f>
        <v xml:space="preserve"> </v>
      </c>
      <c r="X213" s="306" t="str">
        <f>IF($A213="N/A"," ",IF(Q213&lt;&gt;0,IF('Pricing Inputs'!$AN$3=2,8*VLOOKUP($A213,NumberofDaysTable,2),(_xll.xSPRDOPT(J213,$E213,$BU213,0,$BP213,$BS213,$BT213,$A213-Inputs!$D$1,1,1))*(8*VLOOKUP($A213,NumberofDaysTable,2))),0))</f>
        <v xml:space="preserve"> </v>
      </c>
      <c r="Y213" s="306" t="str">
        <f>IF($A213="N/A"," ",IF(R213&lt;&gt;0,IF('Pricing Inputs'!$AN$3=2,8*VLOOKUP($A213,NumberofDaysTable,3),(_xll.xSPRDOPT(K213,$E213,$BU213,0,$BP213,$BS213,$BT213,$A213-Inputs!$D$1,1,1))*(8*VLOOKUP($A213,NumberofDaysTable,3))),0))</f>
        <v xml:space="preserve"> </v>
      </c>
      <c r="Z213" s="306" t="str">
        <f>IF($A213="N/A"," ",IF(S213&lt;&gt;0,IF('Pricing Inputs'!$AN$3=2,8*VLOOKUP($A213,NumberofDaysTable,3),(_xll.xSPRDOPT(L213,$E213,$BU213,0,$BP213,$BS213,$BT213,$A213-Inputs!$D$1,1,1))*(8*VLOOKUP($A213,NumberofDaysTable,3))),0))</f>
        <v xml:space="preserve"> </v>
      </c>
      <c r="AA213" s="306" t="str">
        <f>IF($A213="N/A"," ",IF(T213&lt;&gt;0,IF('Pricing Inputs'!$AN$3=2,8*VLOOKUP($A213,NumberofDaysTable,4),(_xll.xSPRDOPT(M213,$E213,$BU213,0,$BP213,$BS213,$BT213,$A213-Inputs!$D$1,1,1))*(8*VLOOKUP($A213,NumberofDaysTable,4))),0))</f>
        <v xml:space="preserve"> </v>
      </c>
      <c r="AB213" s="306" t="str">
        <f>IF($A213="N/A"," ",IF(U213&lt;&gt;0,IF('Pricing Inputs'!$AN$3=2,8*VLOOKUP($A213,NumberofDaysTable,4),(_xll.xSPRDOPT(N213,$E213,$BU213,0,$BP213,$BS213,$BT213,$A213-Inputs!$D$1,1,1))*(8*VLOOKUP($A213,NumberofDaysTable,4))),0))</f>
        <v xml:space="preserve"> </v>
      </c>
      <c r="AC213" s="306" t="str">
        <f t="shared" si="342"/>
        <v xml:space="preserve"> </v>
      </c>
      <c r="AD213" s="274" t="str">
        <f t="shared" si="375"/>
        <v xml:space="preserve"> </v>
      </c>
      <c r="AE213" s="275" t="str">
        <f t="shared" si="376"/>
        <v xml:space="preserve"> </v>
      </c>
      <c r="AF213" s="275" t="str">
        <f t="shared" si="377"/>
        <v xml:space="preserve"> </v>
      </c>
      <c r="AG213" s="275" t="str">
        <f t="shared" si="378"/>
        <v xml:space="preserve"> </v>
      </c>
      <c r="AH213" s="275" t="str">
        <f t="shared" si="379"/>
        <v xml:space="preserve"> </v>
      </c>
      <c r="AI213" s="275" t="str">
        <f t="shared" si="380"/>
        <v xml:space="preserve"> </v>
      </c>
      <c r="AJ213" s="276" t="str">
        <f t="shared" si="381"/>
        <v xml:space="preserve"> </v>
      </c>
      <c r="AK213" s="314" t="str">
        <f t="shared" si="361"/>
        <v xml:space="preserve"> </v>
      </c>
      <c r="AL213" s="315" t="str">
        <f t="shared" si="362"/>
        <v xml:space="preserve"> </v>
      </c>
      <c r="AM213" s="315" t="str">
        <f t="shared" si="363"/>
        <v xml:space="preserve"> </v>
      </c>
      <c r="AN213" s="315" t="str">
        <f t="shared" si="364"/>
        <v xml:space="preserve"> </v>
      </c>
      <c r="AO213" s="315" t="str">
        <f t="shared" si="365"/>
        <v xml:space="preserve"> </v>
      </c>
      <c r="AP213" s="315" t="str">
        <f t="shared" si="366"/>
        <v xml:space="preserve"> </v>
      </c>
      <c r="AQ213" s="315" t="str">
        <f t="shared" si="367"/>
        <v xml:space="preserve"> </v>
      </c>
      <c r="AR213" s="276"/>
      <c r="AS213" s="321" t="str">
        <f t="shared" si="368"/>
        <v xml:space="preserve"> </v>
      </c>
      <c r="AT213" s="324" t="str">
        <f t="shared" si="369"/>
        <v xml:space="preserve"> </v>
      </c>
      <c r="AU213" s="324" t="str">
        <f t="shared" si="370"/>
        <v xml:space="preserve"> </v>
      </c>
      <c r="AV213" s="324" t="str">
        <f t="shared" si="371"/>
        <v xml:space="preserve"> </v>
      </c>
      <c r="AW213" s="324" t="str">
        <f t="shared" si="372"/>
        <v xml:space="preserve"> </v>
      </c>
      <c r="AX213" s="324" t="str">
        <f t="shared" si="373"/>
        <v xml:space="preserve"> </v>
      </c>
      <c r="AY213" s="324" t="str">
        <f t="shared" si="374"/>
        <v xml:space="preserve"> </v>
      </c>
      <c r="AZ213" s="276"/>
      <c r="BA213" s="267" t="str">
        <f>IF($A213="N/A"," ",(IF(MONTH(A213)&gt;=4,IF(MONTH(A213)&lt;=10,Inputs!$F$13,Inputs!$F$14),Inputs!$F$14))*$BW213)</f>
        <v xml:space="preserve"> </v>
      </c>
      <c r="BB213" s="268" t="str">
        <f t="shared" si="382"/>
        <v xml:space="preserve"> </v>
      </c>
      <c r="BC213" s="268" t="str">
        <f t="shared" si="383"/>
        <v xml:space="preserve"> </v>
      </c>
      <c r="BD213" s="268" t="str">
        <f t="shared" si="350"/>
        <v xml:space="preserve"> </v>
      </c>
      <c r="BE213" s="268" t="str">
        <f t="shared" si="351"/>
        <v xml:space="preserve"> </v>
      </c>
      <c r="BF213" s="268" t="str">
        <f t="shared" si="352"/>
        <v xml:space="preserve"> </v>
      </c>
      <c r="BG213" s="268" t="str">
        <f t="shared" si="353"/>
        <v xml:space="preserve"> </v>
      </c>
      <c r="BH213" s="268" t="str">
        <f t="shared" si="359"/>
        <v xml:space="preserve"> </v>
      </c>
      <c r="BI213" s="268" t="str">
        <f t="shared" si="354"/>
        <v xml:space="preserve"> </v>
      </c>
      <c r="BJ213" s="296" t="str">
        <f t="shared" si="355"/>
        <v xml:space="preserve"> </v>
      </c>
      <c r="BK213" s="296" t="str">
        <f t="shared" si="356"/>
        <v xml:space="preserve"> </v>
      </c>
      <c r="BL213" s="296" t="str">
        <f t="shared" si="357"/>
        <v xml:space="preserve"> </v>
      </c>
      <c r="BM213" s="296" t="str">
        <f t="shared" si="358"/>
        <v xml:space="preserve"> </v>
      </c>
      <c r="BN213" s="405" t="str">
        <f>IF(A213="N/A"," ",(VLOOKUP(A213,PowerVolTable,(IF('Pricing Inputs'!$AT$3=2,7,IF('Pricing Inputs'!$AT$3=1,6,8))),FALSE)))</f>
        <v xml:space="preserve"> </v>
      </c>
      <c r="BO213" s="405" t="str">
        <f>IF(A213="N/A"," ",(VLOOKUP(A213,IntraPowerVol,(IF('Pricing Inputs'!$AT$3=2,3,IF('Pricing Inputs'!$AT$3=1,2,4))),FALSE)*VLOOKUP(MONTH($A213),Inputs!$A$28:$B$39,2)))</f>
        <v xml:space="preserve"> </v>
      </c>
      <c r="BP213" s="406" t="str">
        <f t="shared" si="336"/>
        <v xml:space="preserve"> </v>
      </c>
      <c r="BQ213" s="405" t="str">
        <f>IF($A213="N/A"," ",(VLOOKUP($A213,GasVolTable,(IF('Pricing Inputs'!$AT$3=2,6,IF('Pricing Inputs'!$AT$3=1,7,5))),FALSE)))</f>
        <v xml:space="preserve"> </v>
      </c>
      <c r="BR213" s="405" t="str">
        <f>IF($A213="N/A"," ",(VLOOKUP($A213,OmicronVol,(IF('Pricing Inputs'!$AT$3=2,3,IF('Pricing Inputs'!$AT$3=1,4,2))),FALSE)))</f>
        <v xml:space="preserve"> </v>
      </c>
      <c r="BS213" s="406" t="str">
        <f>IF($A213="N/A"," ",IF('Pricing Inputs'!$AN$3=1,(IF(DateToday&gt;$A213,$BR213,((($BQ213^2)*((($A213-1)-DateToday)/((EOMONTH($A213,0)+1)-DateToday-15)))+((($BR213)^2)*((15)/((EOMONTH($A213,0)+1)-DateToday-15))))^0.5)),0.0001))</f>
        <v xml:space="preserve"> </v>
      </c>
      <c r="BT213" s="405" t="str">
        <f>IF($A213="N/A"," ",IF('Pricing Inputs'!$AN$3=1,(VLOOKUP($A213,CorrelationTable,2,FALSE)),0))</f>
        <v xml:space="preserve"> </v>
      </c>
      <c r="BU213" s="407" t="str">
        <f>IF($A213="N/A"," ",F213+G213+(D213*(VLOOKUP($A213,'Gas Curves'!$B$17:$P$310,14,FALSE))))</f>
        <v xml:space="preserve"> </v>
      </c>
      <c r="BV213" s="405" t="str">
        <f>IF($A213="N/A"," ",IF('Pricing Inputs'!$AW$3=1,0,(VLOOKUP($A213,InterestRatesTable,2))))</f>
        <v xml:space="preserve"> </v>
      </c>
      <c r="BW213" s="408" t="str">
        <f t="shared" si="337"/>
        <v xml:space="preserve"> </v>
      </c>
    </row>
    <row r="214" spans="1:75">
      <c r="A214" s="248" t="str">
        <f>IF(A213="N/A","N/A",IF(EDATE(A213,1)&gt;Inputs!$K$3,"N/A",EDATE(A213,1)))</f>
        <v>N/A</v>
      </c>
      <c r="B214" s="262" t="str">
        <f t="shared" si="338"/>
        <v xml:space="preserve"> </v>
      </c>
      <c r="C214" s="249" t="str">
        <f t="shared" si="339"/>
        <v xml:space="preserve"> </v>
      </c>
      <c r="D214" s="250" t="str">
        <f>IF(A214="N/A"," ",(VLOOKUP(MONTH($A214),Inputs!$A$14:$B$25,2))/1000)</f>
        <v xml:space="preserve"> </v>
      </c>
      <c r="E214" s="304" t="str">
        <f t="shared" si="340"/>
        <v xml:space="preserve"> </v>
      </c>
      <c r="F214" s="251" t="str">
        <f>IF(A214="N/A"," ",Inputs!$F$6)</f>
        <v xml:space="preserve"> </v>
      </c>
      <c r="G214" s="251" t="str">
        <f>IF(A214="N/A"," ",Inputs!$F$9/IF(AND('Pricing Inputs'!$AQ$3&gt;=4,'Pricing Inputs'!$AQ$3&lt;=6),16,IF(AND('Pricing Inputs'!$AQ$3&gt;=7,'Pricing Inputs'!$AQ$3&lt;=9),8,24))/(BA214/BW214))</f>
        <v xml:space="preserve"> </v>
      </c>
      <c r="H214" s="252" t="str">
        <f t="shared" si="341"/>
        <v xml:space="preserve"> </v>
      </c>
      <c r="I214" s="255" t="str">
        <f>VLOOKUP(A214,ScaledPrice,(IF(AND('Pricing Inputs'!$AQ$3&gt;=1,'Pricing Inputs'!$AQ$3&lt;=6),2,4)))</f>
        <v xml:space="preserve"> </v>
      </c>
      <c r="J214" s="255" t="str">
        <f>IF(A214="N/A"," ",IF(AND('Pricing Inputs'!$AQ$3&gt;=1,'Pricing Inputs'!$AQ$3&lt;=6),I214,(VLOOKUP(A214,ScaledPrice,2))*(2-(VLOOKUP(A214,ScaledPrice,3)))))</f>
        <v xml:space="preserve"> </v>
      </c>
      <c r="K214" s="255" t="str">
        <f>IF(A214="N/A"," ",IF(OR('Pricing Inputs'!$AQ$3=2,'Pricing Inputs'!$AQ$3=3,'Pricing Inputs'!$AQ$3=5,'Pricing Inputs'!$AQ$3=6,'Pricing Inputs'!$AQ$3=8,'Pricing Inputs'!$AQ$3=9),VLOOKUP(A214,ScaledPrice,IF(AND('Pricing Inputs'!$AQ$3&gt;=2,'Pricing Inputs'!$AQ$3&lt;=6),5,6)),0))</f>
        <v xml:space="preserve"> </v>
      </c>
      <c r="L214" s="255" t="str">
        <f>IF(A214="N/A"," ",IF(OR('Pricing Inputs'!$AQ$3=2,'Pricing Inputs'!$AQ$3=3,'Pricing Inputs'!$AQ$3=5,'Pricing Inputs'!$AQ$3=6,'Pricing Inputs'!$AQ$3=8,'Pricing Inputs'!$AQ$3=9),IF(AND('Pricing Inputs'!$AQ$3&gt;=2,'Pricing Inputs'!$AQ$3&lt;=6),K214,(VLOOKUP(A214,ScaledPrice,5))*(2-(VLOOKUP(A214,ScaledPrice,3)))),0))</f>
        <v xml:space="preserve"> </v>
      </c>
      <c r="M214" s="255" t="str">
        <f>IF(A214="N/A"," ",IF(OR('Pricing Inputs'!$AQ$3=3,'Pricing Inputs'!$AQ$3=6,'Pricing Inputs'!$AQ$3=9),(VLOOKUP(A214,ScaledPrice,IF(AND('Pricing Inputs'!$AQ$3&gt;=3,'Pricing Inputs'!$AQ$3&lt;=6),7,8))),0))</f>
        <v xml:space="preserve"> </v>
      </c>
      <c r="N214" s="255" t="str">
        <f>IF(A214="N/A"," ",IF(OR('Pricing Inputs'!$AQ$3=3,'Pricing Inputs'!$AQ$3=6,'Pricing Inputs'!$AQ$3=9),IF(AND('Pricing Inputs'!$AQ$3&gt;=3,'Pricing Inputs'!$AQ$3&lt;=6),M214,(VLOOKUP(A214,ScaledPrice,7))*(2-(VLOOKUP(A214,ScaledPrice,3)))),0))</f>
        <v xml:space="preserve"> </v>
      </c>
      <c r="O214" s="255" t="str">
        <f>IF(A214="N/A"," ",IF(AND('Pricing Inputs'!$AQ$3&gt;=1,'Pricing Inputs'!$AQ$3&lt;=3),VLOOKUP(A214,ScaledPrice,9),0))</f>
        <v xml:space="preserve"> </v>
      </c>
      <c r="P214" s="320" t="str">
        <f>IF($A214="N/A"," ",IF('Pricing Inputs'!$AN$8=2,(I214-H214),IF('Pricing Inputs'!$AN$3=2,IF((I214-$H214)&gt;0,I214-$H214,0),(_xll.xSPRDOPT(I214,$E214,$BU214,0,$BP214,$BS214,$BT214,($A214-Inputs!$D$1)+15,1,0)))))</f>
        <v xml:space="preserve"> </v>
      </c>
      <c r="Q214" s="320" t="str">
        <f>IF($A214="N/A"," ",IF('Pricing Inputs'!$AN$8=2,(J214-$H214),IF('Pricing Inputs'!$AN$3=2,IF((J214-$H214)&gt;0,J214-$H214,0),(_xll.xSPRDOPT(J214,$E214,$BU214,0,$BP214,$BS214,$BT214,($A214-Inputs!$D$1)+15,1,0)))))</f>
        <v xml:space="preserve"> </v>
      </c>
      <c r="R214" s="320" t="str">
        <f>IF($A214="N/A"," ",IF('Pricing Inputs'!$AN$8=2,(K214-$H214),IF('Pricing Inputs'!$AN$3=2,IF((K214-$H214)&gt;0,K214-$H214,0),(_xll.xSPRDOPT(K214,$E214,$BU214,0,$BP214,$BS214,$BT214,($A214-Inputs!$D$1)+15,1,0)))))</f>
        <v xml:space="preserve"> </v>
      </c>
      <c r="S214" s="320" t="str">
        <f>IF($A214="N/A"," ",IF('Pricing Inputs'!$AN$8=2,(L214-$H214),IF('Pricing Inputs'!$AN$3=2,IF((L214-$H214)&gt;0,L214-$H214,0),(_xll.xSPRDOPT(L214,$E214,$BU214,0,$BP214,$BS214,$BT214,($A214-Inputs!$D$1)+15,1,0)))))</f>
        <v xml:space="preserve"> </v>
      </c>
      <c r="T214" s="320" t="str">
        <f>IF($A214="N/A"," ",IF('Pricing Inputs'!$AN$8=2,(M214-$H214),IF('Pricing Inputs'!$AN$3=2,IF((M214-$H214)&gt;0,M214-$H214,0),(_xll.xSPRDOPT(M214,$E214,$BU214,0,$BP214,$BS214,$BT214,($A214-Inputs!$D$1)+15,1,0)))))</f>
        <v xml:space="preserve"> </v>
      </c>
      <c r="U214" s="320" t="str">
        <f>IF($A214="N/A"," ",IF('Pricing Inputs'!$AN$8=2,(N214-$H214),IF('Pricing Inputs'!$AN$3=2,IF((N214-$H214)&gt;0,N214-$H214,0),(_xll.xSPRDOPT(N214,$E214,$BU214,0,$BP214,$BS214,$BT214,($A214-Inputs!$D$1)+15,1,0)))))</f>
        <v xml:space="preserve"> </v>
      </c>
      <c r="V214" s="259" t="str">
        <f>IF($A214="N/A"," ",(IF('Pricing Inputs'!$AN$8=2,(O214-$H214),IF((O214-$H214)&lt;=0,0,(O214-$H214)))))</f>
        <v xml:space="preserve"> </v>
      </c>
      <c r="W214" s="306" t="str">
        <f>IF($A214="N/A"," ",IF(0&lt;&gt;P214,IF('Pricing Inputs'!$AN$3=2,8*VLOOKUP($A214,NumberofDaysTable,2),(_xll.xSPRDOPT(I214,$E214,$BU214,0,$BP214,$BS214,$BT214,$A214-Inputs!$D$1,1,1))*(8*VLOOKUP($A214,NumberofDaysTable,2))),0))</f>
        <v xml:space="preserve"> </v>
      </c>
      <c r="X214" s="306" t="str">
        <f>IF($A214="N/A"," ",IF(Q214&lt;&gt;0,IF('Pricing Inputs'!$AN$3=2,8*VLOOKUP($A214,NumberofDaysTable,2),(_xll.xSPRDOPT(J214,$E214,$BU214,0,$BP214,$BS214,$BT214,$A214-Inputs!$D$1,1,1))*(8*VLOOKUP($A214,NumberofDaysTable,2))),0))</f>
        <v xml:space="preserve"> </v>
      </c>
      <c r="Y214" s="306" t="str">
        <f>IF($A214="N/A"," ",IF(R214&lt;&gt;0,IF('Pricing Inputs'!$AN$3=2,8*VLOOKUP($A214,NumberofDaysTable,3),(_xll.xSPRDOPT(K214,$E214,$BU214,0,$BP214,$BS214,$BT214,$A214-Inputs!$D$1,1,1))*(8*VLOOKUP($A214,NumberofDaysTable,3))),0))</f>
        <v xml:space="preserve"> </v>
      </c>
      <c r="Z214" s="306" t="str">
        <f>IF($A214="N/A"," ",IF(S214&lt;&gt;0,IF('Pricing Inputs'!$AN$3=2,8*VLOOKUP($A214,NumberofDaysTable,3),(_xll.xSPRDOPT(L214,$E214,$BU214,0,$BP214,$BS214,$BT214,$A214-Inputs!$D$1,1,1))*(8*VLOOKUP($A214,NumberofDaysTable,3))),0))</f>
        <v xml:space="preserve"> </v>
      </c>
      <c r="AA214" s="306" t="str">
        <f>IF($A214="N/A"," ",IF(T214&lt;&gt;0,IF('Pricing Inputs'!$AN$3=2,8*VLOOKUP($A214,NumberofDaysTable,4),(_xll.xSPRDOPT(M214,$E214,$BU214,0,$BP214,$BS214,$BT214,$A214-Inputs!$D$1,1,1))*(8*VLOOKUP($A214,NumberofDaysTable,4))),0))</f>
        <v xml:space="preserve"> </v>
      </c>
      <c r="AB214" s="306" t="str">
        <f>IF($A214="N/A"," ",IF(U214&lt;&gt;0,IF('Pricing Inputs'!$AN$3=2,8*VLOOKUP($A214,NumberofDaysTable,4),(_xll.xSPRDOPT(N214,$E214,$BU214,0,$BP214,$BS214,$BT214,$A214-Inputs!$D$1,1,1))*(8*VLOOKUP($A214,NumberofDaysTable,4))),0))</f>
        <v xml:space="preserve"> </v>
      </c>
      <c r="AC214" s="306" t="str">
        <f t="shared" si="342"/>
        <v xml:space="preserve"> </v>
      </c>
      <c r="AD214" s="274" t="str">
        <f t="shared" si="375"/>
        <v xml:space="preserve"> </v>
      </c>
      <c r="AE214" s="275" t="str">
        <f t="shared" si="376"/>
        <v xml:space="preserve"> </v>
      </c>
      <c r="AF214" s="275" t="str">
        <f t="shared" si="377"/>
        <v xml:space="preserve"> </v>
      </c>
      <c r="AG214" s="275" t="str">
        <f t="shared" si="378"/>
        <v xml:space="preserve"> </v>
      </c>
      <c r="AH214" s="275" t="str">
        <f t="shared" si="379"/>
        <v xml:space="preserve"> </v>
      </c>
      <c r="AI214" s="275" t="str">
        <f t="shared" si="380"/>
        <v xml:space="preserve"> </v>
      </c>
      <c r="AJ214" s="276" t="str">
        <f t="shared" si="381"/>
        <v xml:space="preserve"> </v>
      </c>
      <c r="AK214" s="314" t="str">
        <f t="shared" si="361"/>
        <v xml:space="preserve"> </v>
      </c>
      <c r="AL214" s="315" t="str">
        <f t="shared" si="362"/>
        <v xml:space="preserve"> </v>
      </c>
      <c r="AM214" s="315" t="str">
        <f t="shared" si="363"/>
        <v xml:space="preserve"> </v>
      </c>
      <c r="AN214" s="315" t="str">
        <f t="shared" si="364"/>
        <v xml:space="preserve"> </v>
      </c>
      <c r="AO214" s="315" t="str">
        <f t="shared" si="365"/>
        <v xml:space="preserve"> </v>
      </c>
      <c r="AP214" s="315" t="str">
        <f t="shared" si="366"/>
        <v xml:space="preserve"> </v>
      </c>
      <c r="AQ214" s="315" t="str">
        <f t="shared" si="367"/>
        <v xml:space="preserve"> </v>
      </c>
      <c r="AR214" s="276"/>
      <c r="AS214" s="321" t="str">
        <f t="shared" si="368"/>
        <v xml:space="preserve"> </v>
      </c>
      <c r="AT214" s="324" t="str">
        <f t="shared" si="369"/>
        <v xml:space="preserve"> </v>
      </c>
      <c r="AU214" s="324" t="str">
        <f t="shared" si="370"/>
        <v xml:space="preserve"> </v>
      </c>
      <c r="AV214" s="324" t="str">
        <f t="shared" si="371"/>
        <v xml:space="preserve"> </v>
      </c>
      <c r="AW214" s="324" t="str">
        <f t="shared" si="372"/>
        <v xml:space="preserve"> </v>
      </c>
      <c r="AX214" s="324" t="str">
        <f t="shared" si="373"/>
        <v xml:space="preserve"> </v>
      </c>
      <c r="AY214" s="324" t="str">
        <f t="shared" si="374"/>
        <v xml:space="preserve"> </v>
      </c>
      <c r="AZ214" s="276"/>
      <c r="BA214" s="267" t="str">
        <f>IF($A214="N/A"," ",(IF(MONTH(A214)&gt;=4,IF(MONTH(A214)&lt;=10,Inputs!$F$13,Inputs!$F$14),Inputs!$F$14))*$BW214)</f>
        <v xml:space="preserve"> </v>
      </c>
      <c r="BB214" s="268" t="str">
        <f t="shared" si="382"/>
        <v xml:space="preserve"> </v>
      </c>
      <c r="BC214" s="268" t="str">
        <f t="shared" si="383"/>
        <v xml:space="preserve"> </v>
      </c>
      <c r="BD214" s="268" t="str">
        <f t="shared" si="350"/>
        <v xml:space="preserve"> </v>
      </c>
      <c r="BE214" s="268" t="str">
        <f t="shared" si="351"/>
        <v xml:space="preserve"> </v>
      </c>
      <c r="BF214" s="268" t="str">
        <f t="shared" si="352"/>
        <v xml:space="preserve"> </v>
      </c>
      <c r="BG214" s="268" t="str">
        <f t="shared" si="353"/>
        <v xml:space="preserve"> </v>
      </c>
      <c r="BH214" s="268" t="str">
        <f t="shared" si="359"/>
        <v xml:space="preserve"> </v>
      </c>
      <c r="BI214" s="268" t="str">
        <f t="shared" si="354"/>
        <v xml:space="preserve"> </v>
      </c>
      <c r="BJ214" s="296" t="str">
        <f t="shared" si="355"/>
        <v xml:space="preserve"> </v>
      </c>
      <c r="BK214" s="296" t="str">
        <f t="shared" si="356"/>
        <v xml:space="preserve"> </v>
      </c>
      <c r="BL214" s="296" t="str">
        <f t="shared" si="357"/>
        <v xml:space="preserve"> </v>
      </c>
      <c r="BM214" s="296" t="str">
        <f t="shared" si="358"/>
        <v xml:space="preserve"> </v>
      </c>
      <c r="BN214" s="405" t="str">
        <f>IF(A214="N/A"," ",(VLOOKUP(A214,PowerVolTable,(IF('Pricing Inputs'!$AT$3=2,7,IF('Pricing Inputs'!$AT$3=1,6,8))),FALSE)))</f>
        <v xml:space="preserve"> </v>
      </c>
      <c r="BO214" s="405" t="str">
        <f>IF(A214="N/A"," ",(VLOOKUP(A214,IntraPowerVol,(IF('Pricing Inputs'!$AT$3=2,3,IF('Pricing Inputs'!$AT$3=1,2,4))),FALSE)*VLOOKUP(MONTH($A214),Inputs!$A$28:$B$39,2)))</f>
        <v xml:space="preserve"> </v>
      </c>
      <c r="BP214" s="406" t="str">
        <f t="shared" si="336"/>
        <v xml:space="preserve"> </v>
      </c>
      <c r="BQ214" s="405" t="str">
        <f>IF($A214="N/A"," ",(VLOOKUP($A214,GasVolTable,(IF('Pricing Inputs'!$AT$3=2,6,IF('Pricing Inputs'!$AT$3=1,7,5))),FALSE)))</f>
        <v xml:space="preserve"> </v>
      </c>
      <c r="BR214" s="405" t="str">
        <f>IF($A214="N/A"," ",(VLOOKUP($A214,OmicronVol,(IF('Pricing Inputs'!$AT$3=2,3,IF('Pricing Inputs'!$AT$3=1,4,2))),FALSE)))</f>
        <v xml:space="preserve"> </v>
      </c>
      <c r="BS214" s="406" t="str">
        <f>IF($A214="N/A"," ",IF('Pricing Inputs'!$AN$3=1,(IF(DateToday&gt;$A214,$BR214,((($BQ214^2)*((($A214-1)-DateToday)/((EOMONTH($A214,0)+1)-DateToday-15)))+((($BR214)^2)*((15)/((EOMONTH($A214,0)+1)-DateToday-15))))^0.5)),0.0001))</f>
        <v xml:space="preserve"> </v>
      </c>
      <c r="BT214" s="405" t="str">
        <f>IF($A214="N/A"," ",IF('Pricing Inputs'!$AN$3=1,(VLOOKUP($A214,CorrelationTable,2,FALSE)),0))</f>
        <v xml:space="preserve"> </v>
      </c>
      <c r="BU214" s="407" t="str">
        <f>IF($A214="N/A"," ",F214+G214+(D214*(VLOOKUP($A214,'Gas Curves'!$B$17:$P$310,14,FALSE))))</f>
        <v xml:space="preserve"> </v>
      </c>
      <c r="BV214" s="405" t="str">
        <f>IF($A214="N/A"," ",IF('Pricing Inputs'!$AW$3=1,0,(VLOOKUP($A214,InterestRatesTable,2))))</f>
        <v xml:space="preserve"> </v>
      </c>
      <c r="BW214" s="408" t="str">
        <f t="shared" si="337"/>
        <v xml:space="preserve"> </v>
      </c>
    </row>
    <row r="215" spans="1:75">
      <c r="A215" s="248" t="str">
        <f>IF(A214="N/A","N/A",IF(EDATE(A214,1)&gt;Inputs!$K$3,"N/A",EDATE(A214,1)))</f>
        <v>N/A</v>
      </c>
      <c r="B215" s="262" t="str">
        <f t="shared" si="338"/>
        <v xml:space="preserve"> </v>
      </c>
      <c r="C215" s="249" t="str">
        <f t="shared" si="339"/>
        <v xml:space="preserve"> </v>
      </c>
      <c r="D215" s="250" t="str">
        <f>IF(A215="N/A"," ",(VLOOKUP(MONTH($A215),Inputs!$A$14:$B$25,2))/1000)</f>
        <v xml:space="preserve"> </v>
      </c>
      <c r="E215" s="304" t="str">
        <f t="shared" si="340"/>
        <v xml:space="preserve"> </v>
      </c>
      <c r="F215" s="251" t="str">
        <f>IF(A215="N/A"," ",Inputs!$F$6)</f>
        <v xml:space="preserve"> </v>
      </c>
      <c r="G215" s="251" t="str">
        <f>IF(A215="N/A"," ",Inputs!$F$9/IF(AND('Pricing Inputs'!$AQ$3&gt;=4,'Pricing Inputs'!$AQ$3&lt;=6),16,IF(AND('Pricing Inputs'!$AQ$3&gt;=7,'Pricing Inputs'!$AQ$3&lt;=9),8,24))/(BA215/BW215))</f>
        <v xml:space="preserve"> </v>
      </c>
      <c r="H215" s="252" t="str">
        <f t="shared" si="341"/>
        <v xml:space="preserve"> </v>
      </c>
      <c r="I215" s="255" t="str">
        <f>VLOOKUP(A215,ScaledPrice,(IF(AND('Pricing Inputs'!$AQ$3&gt;=1,'Pricing Inputs'!$AQ$3&lt;=6),2,4)))</f>
        <v xml:space="preserve"> </v>
      </c>
      <c r="J215" s="255" t="str">
        <f>IF(A215="N/A"," ",IF(AND('Pricing Inputs'!$AQ$3&gt;=1,'Pricing Inputs'!$AQ$3&lt;=6),I215,(VLOOKUP(A215,ScaledPrice,2))*(2-(VLOOKUP(A215,ScaledPrice,3)))))</f>
        <v xml:space="preserve"> </v>
      </c>
      <c r="K215" s="255" t="str">
        <f>IF(A215="N/A"," ",IF(OR('Pricing Inputs'!$AQ$3=2,'Pricing Inputs'!$AQ$3=3,'Pricing Inputs'!$AQ$3=5,'Pricing Inputs'!$AQ$3=6,'Pricing Inputs'!$AQ$3=8,'Pricing Inputs'!$AQ$3=9),VLOOKUP(A215,ScaledPrice,IF(AND('Pricing Inputs'!$AQ$3&gt;=2,'Pricing Inputs'!$AQ$3&lt;=6),5,6)),0))</f>
        <v xml:space="preserve"> </v>
      </c>
      <c r="L215" s="255" t="str">
        <f>IF(A215="N/A"," ",IF(OR('Pricing Inputs'!$AQ$3=2,'Pricing Inputs'!$AQ$3=3,'Pricing Inputs'!$AQ$3=5,'Pricing Inputs'!$AQ$3=6,'Pricing Inputs'!$AQ$3=8,'Pricing Inputs'!$AQ$3=9),IF(AND('Pricing Inputs'!$AQ$3&gt;=2,'Pricing Inputs'!$AQ$3&lt;=6),K215,(VLOOKUP(A215,ScaledPrice,5))*(2-(VLOOKUP(A215,ScaledPrice,3)))),0))</f>
        <v xml:space="preserve"> </v>
      </c>
      <c r="M215" s="255" t="str">
        <f>IF(A215="N/A"," ",IF(OR('Pricing Inputs'!$AQ$3=3,'Pricing Inputs'!$AQ$3=6,'Pricing Inputs'!$AQ$3=9),(VLOOKUP(A215,ScaledPrice,IF(AND('Pricing Inputs'!$AQ$3&gt;=3,'Pricing Inputs'!$AQ$3&lt;=6),7,8))),0))</f>
        <v xml:space="preserve"> </v>
      </c>
      <c r="N215" s="255" t="str">
        <f>IF(A215="N/A"," ",IF(OR('Pricing Inputs'!$AQ$3=3,'Pricing Inputs'!$AQ$3=6,'Pricing Inputs'!$AQ$3=9),IF(AND('Pricing Inputs'!$AQ$3&gt;=3,'Pricing Inputs'!$AQ$3&lt;=6),M215,(VLOOKUP(A215,ScaledPrice,7))*(2-(VLOOKUP(A215,ScaledPrice,3)))),0))</f>
        <v xml:space="preserve"> </v>
      </c>
      <c r="O215" s="255" t="str">
        <f>IF(A215="N/A"," ",IF(AND('Pricing Inputs'!$AQ$3&gt;=1,'Pricing Inputs'!$AQ$3&lt;=3),VLOOKUP(A215,ScaledPrice,9),0))</f>
        <v xml:space="preserve"> </v>
      </c>
      <c r="P215" s="320" t="str">
        <f>IF($A215="N/A"," ",IF('Pricing Inputs'!$AN$8=2,(I215-H215),IF('Pricing Inputs'!$AN$3=2,IF((I215-$H215)&gt;0,I215-$H215,0),(_xll.xSPRDOPT(I215,$E215,$BU215,0,$BP215,$BS215,$BT215,($A215-Inputs!$D$1)+15,1,0)))))</f>
        <v xml:space="preserve"> </v>
      </c>
      <c r="Q215" s="320" t="str">
        <f>IF($A215="N/A"," ",IF('Pricing Inputs'!$AN$8=2,(J215-$H215),IF('Pricing Inputs'!$AN$3=2,IF((J215-$H215)&gt;0,J215-$H215,0),(_xll.xSPRDOPT(J215,$E215,$BU215,0,$BP215,$BS215,$BT215,($A215-Inputs!$D$1)+15,1,0)))))</f>
        <v xml:space="preserve"> </v>
      </c>
      <c r="R215" s="320" t="str">
        <f>IF($A215="N/A"," ",IF('Pricing Inputs'!$AN$8=2,(K215-$H215),IF('Pricing Inputs'!$AN$3=2,IF((K215-$H215)&gt;0,K215-$H215,0),(_xll.xSPRDOPT(K215,$E215,$BU215,0,$BP215,$BS215,$BT215,($A215-Inputs!$D$1)+15,1,0)))))</f>
        <v xml:space="preserve"> </v>
      </c>
      <c r="S215" s="320" t="str">
        <f>IF($A215="N/A"," ",IF('Pricing Inputs'!$AN$8=2,(L215-$H215),IF('Pricing Inputs'!$AN$3=2,IF((L215-$H215)&gt;0,L215-$H215,0),(_xll.xSPRDOPT(L215,$E215,$BU215,0,$BP215,$BS215,$BT215,($A215-Inputs!$D$1)+15,1,0)))))</f>
        <v xml:space="preserve"> </v>
      </c>
      <c r="T215" s="320" t="str">
        <f>IF($A215="N/A"," ",IF('Pricing Inputs'!$AN$8=2,(M215-$H215),IF('Pricing Inputs'!$AN$3=2,IF((M215-$H215)&gt;0,M215-$H215,0),(_xll.xSPRDOPT(M215,$E215,$BU215,0,$BP215,$BS215,$BT215,($A215-Inputs!$D$1)+15,1,0)))))</f>
        <v xml:space="preserve"> </v>
      </c>
      <c r="U215" s="320" t="str">
        <f>IF($A215="N/A"," ",IF('Pricing Inputs'!$AN$8=2,(N215-$H215),IF('Pricing Inputs'!$AN$3=2,IF((N215-$H215)&gt;0,N215-$H215,0),(_xll.xSPRDOPT(N215,$E215,$BU215,0,$BP215,$BS215,$BT215,($A215-Inputs!$D$1)+15,1,0)))))</f>
        <v xml:space="preserve"> </v>
      </c>
      <c r="V215" s="259" t="str">
        <f>IF($A215="N/A"," ",(IF('Pricing Inputs'!$AN$8=2,(O215-$H215),IF((O215-$H215)&lt;=0,0,(O215-$H215)))))</f>
        <v xml:space="preserve"> </v>
      </c>
      <c r="W215" s="306" t="str">
        <f>IF($A215="N/A"," ",IF(0&lt;&gt;P215,IF('Pricing Inputs'!$AN$3=2,8*VLOOKUP($A215,NumberofDaysTable,2),(_xll.xSPRDOPT(I215,$E215,$BU215,0,$BP215,$BS215,$BT215,$A215-Inputs!$D$1,1,1))*(8*VLOOKUP($A215,NumberofDaysTable,2))),0))</f>
        <v xml:space="preserve"> </v>
      </c>
      <c r="X215" s="306" t="str">
        <f>IF($A215="N/A"," ",IF(Q215&lt;&gt;0,IF('Pricing Inputs'!$AN$3=2,8*VLOOKUP($A215,NumberofDaysTable,2),(_xll.xSPRDOPT(J215,$E215,$BU215,0,$BP215,$BS215,$BT215,$A215-Inputs!$D$1,1,1))*(8*VLOOKUP($A215,NumberofDaysTable,2))),0))</f>
        <v xml:space="preserve"> </v>
      </c>
      <c r="Y215" s="306" t="str">
        <f>IF($A215="N/A"," ",IF(R215&lt;&gt;0,IF('Pricing Inputs'!$AN$3=2,8*VLOOKUP($A215,NumberofDaysTable,3),(_xll.xSPRDOPT(K215,$E215,$BU215,0,$BP215,$BS215,$BT215,$A215-Inputs!$D$1,1,1))*(8*VLOOKUP($A215,NumberofDaysTable,3))),0))</f>
        <v xml:space="preserve"> </v>
      </c>
      <c r="Z215" s="306" t="str">
        <f>IF($A215="N/A"," ",IF(S215&lt;&gt;0,IF('Pricing Inputs'!$AN$3=2,8*VLOOKUP($A215,NumberofDaysTable,3),(_xll.xSPRDOPT(L215,$E215,$BU215,0,$BP215,$BS215,$BT215,$A215-Inputs!$D$1,1,1))*(8*VLOOKUP($A215,NumberofDaysTable,3))),0))</f>
        <v xml:space="preserve"> </v>
      </c>
      <c r="AA215" s="306" t="str">
        <f>IF($A215="N/A"," ",IF(T215&lt;&gt;0,IF('Pricing Inputs'!$AN$3=2,8*VLOOKUP($A215,NumberofDaysTable,4),(_xll.xSPRDOPT(M215,$E215,$BU215,0,$BP215,$BS215,$BT215,$A215-Inputs!$D$1,1,1))*(8*VLOOKUP($A215,NumberofDaysTable,4))),0))</f>
        <v xml:space="preserve"> </v>
      </c>
      <c r="AB215" s="306" t="str">
        <f>IF($A215="N/A"," ",IF(U215&lt;&gt;0,IF('Pricing Inputs'!$AN$3=2,8*VLOOKUP($A215,NumberofDaysTable,4),(_xll.xSPRDOPT(N215,$E215,$BU215,0,$BP215,$BS215,$BT215,$A215-Inputs!$D$1,1,1))*(8*VLOOKUP($A215,NumberofDaysTable,4))),0))</f>
        <v xml:space="preserve"> </v>
      </c>
      <c r="AC215" s="306" t="str">
        <f t="shared" si="342"/>
        <v xml:space="preserve"> </v>
      </c>
      <c r="AD215" s="274" t="str">
        <f t="shared" si="375"/>
        <v xml:space="preserve"> </v>
      </c>
      <c r="AE215" s="275" t="str">
        <f t="shared" si="376"/>
        <v xml:space="preserve"> </v>
      </c>
      <c r="AF215" s="275" t="str">
        <f t="shared" si="377"/>
        <v xml:space="preserve"> </v>
      </c>
      <c r="AG215" s="275" t="str">
        <f t="shared" si="378"/>
        <v xml:space="preserve"> </v>
      </c>
      <c r="AH215" s="275" t="str">
        <f t="shared" si="379"/>
        <v xml:space="preserve"> </v>
      </c>
      <c r="AI215" s="275" t="str">
        <f t="shared" si="380"/>
        <v xml:space="preserve"> </v>
      </c>
      <c r="AJ215" s="276" t="str">
        <f t="shared" si="381"/>
        <v xml:space="preserve"> </v>
      </c>
      <c r="AK215" s="314" t="str">
        <f t="shared" si="361"/>
        <v xml:space="preserve"> </v>
      </c>
      <c r="AL215" s="315" t="str">
        <f t="shared" si="362"/>
        <v xml:space="preserve"> </v>
      </c>
      <c r="AM215" s="315" t="str">
        <f t="shared" si="363"/>
        <v xml:space="preserve"> </v>
      </c>
      <c r="AN215" s="315" t="str">
        <f t="shared" si="364"/>
        <v xml:space="preserve"> </v>
      </c>
      <c r="AO215" s="315" t="str">
        <f t="shared" si="365"/>
        <v xml:space="preserve"> </v>
      </c>
      <c r="AP215" s="315" t="str">
        <f t="shared" si="366"/>
        <v xml:space="preserve"> </v>
      </c>
      <c r="AQ215" s="315" t="str">
        <f t="shared" si="367"/>
        <v xml:space="preserve"> </v>
      </c>
      <c r="AR215" s="276"/>
      <c r="AS215" s="321" t="str">
        <f t="shared" si="368"/>
        <v xml:space="preserve"> </v>
      </c>
      <c r="AT215" s="324" t="str">
        <f t="shared" si="369"/>
        <v xml:space="preserve"> </v>
      </c>
      <c r="AU215" s="324" t="str">
        <f t="shared" si="370"/>
        <v xml:space="preserve"> </v>
      </c>
      <c r="AV215" s="324" t="str">
        <f t="shared" si="371"/>
        <v xml:space="preserve"> </v>
      </c>
      <c r="AW215" s="324" t="str">
        <f t="shared" si="372"/>
        <v xml:space="preserve"> </v>
      </c>
      <c r="AX215" s="324" t="str">
        <f t="shared" si="373"/>
        <v xml:space="preserve"> </v>
      </c>
      <c r="AY215" s="324" t="str">
        <f t="shared" si="374"/>
        <v xml:space="preserve"> </v>
      </c>
      <c r="AZ215" s="276"/>
      <c r="BA215" s="267" t="str">
        <f>IF($A215="N/A"," ",(IF(MONTH(A215)&gt;=4,IF(MONTH(A215)&lt;=10,Inputs!$F$13,Inputs!$F$14),Inputs!$F$14))*$BW215)</f>
        <v xml:space="preserve"> </v>
      </c>
      <c r="BB215" s="268" t="str">
        <f t="shared" si="382"/>
        <v xml:space="preserve"> </v>
      </c>
      <c r="BC215" s="268" t="str">
        <f t="shared" si="383"/>
        <v xml:space="preserve"> </v>
      </c>
      <c r="BD215" s="268" t="str">
        <f t="shared" si="350"/>
        <v xml:space="preserve"> </v>
      </c>
      <c r="BE215" s="268" t="str">
        <f t="shared" si="351"/>
        <v xml:space="preserve"> </v>
      </c>
      <c r="BF215" s="268" t="str">
        <f t="shared" si="352"/>
        <v xml:space="preserve"> </v>
      </c>
      <c r="BG215" s="268" t="str">
        <f t="shared" si="353"/>
        <v xml:space="preserve"> </v>
      </c>
      <c r="BH215" s="268" t="str">
        <f t="shared" si="359"/>
        <v xml:space="preserve"> </v>
      </c>
      <c r="BI215" s="268" t="str">
        <f t="shared" si="354"/>
        <v xml:space="preserve"> </v>
      </c>
      <c r="BJ215" s="296" t="str">
        <f t="shared" si="355"/>
        <v xml:space="preserve"> </v>
      </c>
      <c r="BK215" s="296" t="str">
        <f t="shared" si="356"/>
        <v xml:space="preserve"> </v>
      </c>
      <c r="BL215" s="296" t="str">
        <f t="shared" si="357"/>
        <v xml:space="preserve"> </v>
      </c>
      <c r="BM215" s="296" t="str">
        <f t="shared" si="358"/>
        <v xml:space="preserve"> </v>
      </c>
      <c r="BN215" s="405" t="str">
        <f>IF(A215="N/A"," ",(VLOOKUP(A215,PowerVolTable,(IF('Pricing Inputs'!$AT$3=2,7,IF('Pricing Inputs'!$AT$3=1,6,8))),FALSE)))</f>
        <v xml:space="preserve"> </v>
      </c>
      <c r="BO215" s="405" t="str">
        <f>IF(A215="N/A"," ",(VLOOKUP(A215,IntraPowerVol,(IF('Pricing Inputs'!$AT$3=2,3,IF('Pricing Inputs'!$AT$3=1,2,4))),FALSE)*VLOOKUP(MONTH($A215),Inputs!$A$28:$B$39,2)))</f>
        <v xml:space="preserve"> </v>
      </c>
      <c r="BP215" s="406" t="str">
        <f t="shared" si="336"/>
        <v xml:space="preserve"> </v>
      </c>
      <c r="BQ215" s="405" t="str">
        <f>IF($A215="N/A"," ",(VLOOKUP($A215,GasVolTable,(IF('Pricing Inputs'!$AT$3=2,6,IF('Pricing Inputs'!$AT$3=1,7,5))),FALSE)))</f>
        <v xml:space="preserve"> </v>
      </c>
      <c r="BR215" s="405" t="str">
        <f>IF($A215="N/A"," ",(VLOOKUP($A215,OmicronVol,(IF('Pricing Inputs'!$AT$3=2,3,IF('Pricing Inputs'!$AT$3=1,4,2))),FALSE)))</f>
        <v xml:space="preserve"> </v>
      </c>
      <c r="BS215" s="406" t="str">
        <f>IF($A215="N/A"," ",IF('Pricing Inputs'!$AN$3=1,(IF(DateToday&gt;$A215,$BR215,((($BQ215^2)*((($A215-1)-DateToday)/((EOMONTH($A215,0)+1)-DateToday-15)))+((($BR215)^2)*((15)/((EOMONTH($A215,0)+1)-DateToday-15))))^0.5)),0.0001))</f>
        <v xml:space="preserve"> </v>
      </c>
      <c r="BT215" s="405" t="str">
        <f>IF($A215="N/A"," ",IF('Pricing Inputs'!$AN$3=1,(VLOOKUP($A215,CorrelationTable,2,FALSE)),0))</f>
        <v xml:space="preserve"> </v>
      </c>
      <c r="BU215" s="407" t="str">
        <f>IF($A215="N/A"," ",F215+G215+(D215*(VLOOKUP($A215,'Gas Curves'!$B$17:$P$310,14,FALSE))))</f>
        <v xml:space="preserve"> </v>
      </c>
      <c r="BV215" s="405" t="str">
        <f>IF($A215="N/A"," ",IF('Pricing Inputs'!$AW$3=1,0,(VLOOKUP($A215,InterestRatesTable,2))))</f>
        <v xml:space="preserve"> </v>
      </c>
      <c r="BW215" s="408" t="str">
        <f t="shared" si="337"/>
        <v xml:space="preserve"> </v>
      </c>
    </row>
    <row r="216" spans="1:75">
      <c r="A216" s="248" t="str">
        <f>IF(A215="N/A","N/A",IF(EDATE(A215,1)&gt;Inputs!$K$3,"N/A",EDATE(A215,1)))</f>
        <v>N/A</v>
      </c>
      <c r="B216" s="262" t="str">
        <f t="shared" si="338"/>
        <v xml:space="preserve"> </v>
      </c>
      <c r="C216" s="249" t="str">
        <f t="shared" si="339"/>
        <v xml:space="preserve"> </v>
      </c>
      <c r="D216" s="250" t="str">
        <f>IF(A216="N/A"," ",(VLOOKUP(MONTH($A216),Inputs!$A$14:$B$25,2))/1000)</f>
        <v xml:space="preserve"> </v>
      </c>
      <c r="E216" s="304" t="str">
        <f t="shared" si="340"/>
        <v xml:space="preserve"> </v>
      </c>
      <c r="F216" s="251" t="str">
        <f>IF(A216="N/A"," ",Inputs!$F$6)</f>
        <v xml:space="preserve"> </v>
      </c>
      <c r="G216" s="251" t="str">
        <f>IF(A216="N/A"," ",Inputs!$F$9/IF(AND('Pricing Inputs'!$AQ$3&gt;=4,'Pricing Inputs'!$AQ$3&lt;=6),16,IF(AND('Pricing Inputs'!$AQ$3&gt;=7,'Pricing Inputs'!$AQ$3&lt;=9),8,24))/(BA216/BW216))</f>
        <v xml:space="preserve"> </v>
      </c>
      <c r="H216" s="252" t="str">
        <f t="shared" si="341"/>
        <v xml:space="preserve"> </v>
      </c>
      <c r="I216" s="255" t="str">
        <f>VLOOKUP(A216,ScaledPrice,(IF(AND('Pricing Inputs'!$AQ$3&gt;=1,'Pricing Inputs'!$AQ$3&lt;=6),2,4)))</f>
        <v xml:space="preserve"> </v>
      </c>
      <c r="J216" s="255" t="str">
        <f>IF(A216="N/A"," ",IF(AND('Pricing Inputs'!$AQ$3&gt;=1,'Pricing Inputs'!$AQ$3&lt;=6),I216,(VLOOKUP(A216,ScaledPrice,2))*(2-(VLOOKUP(A216,ScaledPrice,3)))))</f>
        <v xml:space="preserve"> </v>
      </c>
      <c r="K216" s="255" t="str">
        <f>IF(A216="N/A"," ",IF(OR('Pricing Inputs'!$AQ$3=2,'Pricing Inputs'!$AQ$3=3,'Pricing Inputs'!$AQ$3=5,'Pricing Inputs'!$AQ$3=6,'Pricing Inputs'!$AQ$3=8,'Pricing Inputs'!$AQ$3=9),VLOOKUP(A216,ScaledPrice,IF(AND('Pricing Inputs'!$AQ$3&gt;=2,'Pricing Inputs'!$AQ$3&lt;=6),5,6)),0))</f>
        <v xml:space="preserve"> </v>
      </c>
      <c r="L216" s="255" t="str">
        <f>IF(A216="N/A"," ",IF(OR('Pricing Inputs'!$AQ$3=2,'Pricing Inputs'!$AQ$3=3,'Pricing Inputs'!$AQ$3=5,'Pricing Inputs'!$AQ$3=6,'Pricing Inputs'!$AQ$3=8,'Pricing Inputs'!$AQ$3=9),IF(AND('Pricing Inputs'!$AQ$3&gt;=2,'Pricing Inputs'!$AQ$3&lt;=6),K216,(VLOOKUP(A216,ScaledPrice,5))*(2-(VLOOKUP(A216,ScaledPrice,3)))),0))</f>
        <v xml:space="preserve"> </v>
      </c>
      <c r="M216" s="255" t="str">
        <f>IF(A216="N/A"," ",IF(OR('Pricing Inputs'!$AQ$3=3,'Pricing Inputs'!$AQ$3=6,'Pricing Inputs'!$AQ$3=9),(VLOOKUP(A216,ScaledPrice,IF(AND('Pricing Inputs'!$AQ$3&gt;=3,'Pricing Inputs'!$AQ$3&lt;=6),7,8))),0))</f>
        <v xml:space="preserve"> </v>
      </c>
      <c r="N216" s="255" t="str">
        <f>IF(A216="N/A"," ",IF(OR('Pricing Inputs'!$AQ$3=3,'Pricing Inputs'!$AQ$3=6,'Pricing Inputs'!$AQ$3=9),IF(AND('Pricing Inputs'!$AQ$3&gt;=3,'Pricing Inputs'!$AQ$3&lt;=6),M216,(VLOOKUP(A216,ScaledPrice,7))*(2-(VLOOKUP(A216,ScaledPrice,3)))),0))</f>
        <v xml:space="preserve"> </v>
      </c>
      <c r="O216" s="255" t="str">
        <f>IF(A216="N/A"," ",IF(AND('Pricing Inputs'!$AQ$3&gt;=1,'Pricing Inputs'!$AQ$3&lt;=3),VLOOKUP(A216,ScaledPrice,9),0))</f>
        <v xml:space="preserve"> </v>
      </c>
      <c r="P216" s="320" t="str">
        <f>IF($A216="N/A"," ",IF('Pricing Inputs'!$AN$8=2,(I216-H216),IF('Pricing Inputs'!$AN$3=2,IF((I216-$H216)&gt;0,I216-$H216,0),(_xll.xSPRDOPT(I216,$E216,$BU216,0,$BP216,$BS216,$BT216,($A216-Inputs!$D$1)+15,1,0)))))</f>
        <v xml:space="preserve"> </v>
      </c>
      <c r="Q216" s="320" t="str">
        <f>IF($A216="N/A"," ",IF('Pricing Inputs'!$AN$8=2,(J216-$H216),IF('Pricing Inputs'!$AN$3=2,IF((J216-$H216)&gt;0,J216-$H216,0),(_xll.xSPRDOPT(J216,$E216,$BU216,0,$BP216,$BS216,$BT216,($A216-Inputs!$D$1)+15,1,0)))))</f>
        <v xml:space="preserve"> </v>
      </c>
      <c r="R216" s="320" t="str">
        <f>IF($A216="N/A"," ",IF('Pricing Inputs'!$AN$8=2,(K216-$H216),IF('Pricing Inputs'!$AN$3=2,IF((K216-$H216)&gt;0,K216-$H216,0),(_xll.xSPRDOPT(K216,$E216,$BU216,0,$BP216,$BS216,$BT216,($A216-Inputs!$D$1)+15,1,0)))))</f>
        <v xml:space="preserve"> </v>
      </c>
      <c r="S216" s="320" t="str">
        <f>IF($A216="N/A"," ",IF('Pricing Inputs'!$AN$8=2,(L216-$H216),IF('Pricing Inputs'!$AN$3=2,IF((L216-$H216)&gt;0,L216-$H216,0),(_xll.xSPRDOPT(L216,$E216,$BU216,0,$BP216,$BS216,$BT216,($A216-Inputs!$D$1)+15,1,0)))))</f>
        <v xml:space="preserve"> </v>
      </c>
      <c r="T216" s="320" t="str">
        <f>IF($A216="N/A"," ",IF('Pricing Inputs'!$AN$8=2,(M216-$H216),IF('Pricing Inputs'!$AN$3=2,IF((M216-$H216)&gt;0,M216-$H216,0),(_xll.xSPRDOPT(M216,$E216,$BU216,0,$BP216,$BS216,$BT216,($A216-Inputs!$D$1)+15,1,0)))))</f>
        <v xml:space="preserve"> </v>
      </c>
      <c r="U216" s="320" t="str">
        <f>IF($A216="N/A"," ",IF('Pricing Inputs'!$AN$8=2,(N216-$H216),IF('Pricing Inputs'!$AN$3=2,IF((N216-$H216)&gt;0,N216-$H216,0),(_xll.xSPRDOPT(N216,$E216,$BU216,0,$BP216,$BS216,$BT216,($A216-Inputs!$D$1)+15,1,0)))))</f>
        <v xml:space="preserve"> </v>
      </c>
      <c r="V216" s="259" t="str">
        <f>IF($A216="N/A"," ",(IF('Pricing Inputs'!$AN$8=2,(O216-$H216),IF((O216-$H216)&lt;=0,0,(O216-$H216)))))</f>
        <v xml:space="preserve"> </v>
      </c>
      <c r="W216" s="306" t="str">
        <f>IF($A216="N/A"," ",IF(0&lt;&gt;P216,IF('Pricing Inputs'!$AN$3=2,8*VLOOKUP($A216,NumberofDaysTable,2),(_xll.xSPRDOPT(I216,$E216,$BU216,0,$BP216,$BS216,$BT216,$A216-Inputs!$D$1,1,1))*(8*VLOOKUP($A216,NumberofDaysTable,2))),0))</f>
        <v xml:space="preserve"> </v>
      </c>
      <c r="X216" s="306" t="str">
        <f>IF($A216="N/A"," ",IF(Q216&lt;&gt;0,IF('Pricing Inputs'!$AN$3=2,8*VLOOKUP($A216,NumberofDaysTable,2),(_xll.xSPRDOPT(J216,$E216,$BU216,0,$BP216,$BS216,$BT216,$A216-Inputs!$D$1,1,1))*(8*VLOOKUP($A216,NumberofDaysTable,2))),0))</f>
        <v xml:space="preserve"> </v>
      </c>
      <c r="Y216" s="306" t="str">
        <f>IF($A216="N/A"," ",IF(R216&lt;&gt;0,IF('Pricing Inputs'!$AN$3=2,8*VLOOKUP($A216,NumberofDaysTable,3),(_xll.xSPRDOPT(K216,$E216,$BU216,0,$BP216,$BS216,$BT216,$A216-Inputs!$D$1,1,1))*(8*VLOOKUP($A216,NumberofDaysTable,3))),0))</f>
        <v xml:space="preserve"> </v>
      </c>
      <c r="Z216" s="306" t="str">
        <f>IF($A216="N/A"," ",IF(S216&lt;&gt;0,IF('Pricing Inputs'!$AN$3=2,8*VLOOKUP($A216,NumberofDaysTable,3),(_xll.xSPRDOPT(L216,$E216,$BU216,0,$BP216,$BS216,$BT216,$A216-Inputs!$D$1,1,1))*(8*VLOOKUP($A216,NumberofDaysTable,3))),0))</f>
        <v xml:space="preserve"> </v>
      </c>
      <c r="AA216" s="306" t="str">
        <f>IF($A216="N/A"," ",IF(T216&lt;&gt;0,IF('Pricing Inputs'!$AN$3=2,8*VLOOKUP($A216,NumberofDaysTable,4),(_xll.xSPRDOPT(M216,$E216,$BU216,0,$BP216,$BS216,$BT216,$A216-Inputs!$D$1,1,1))*(8*VLOOKUP($A216,NumberofDaysTable,4))),0))</f>
        <v xml:space="preserve"> </v>
      </c>
      <c r="AB216" s="306" t="str">
        <f>IF($A216="N/A"," ",IF(U216&lt;&gt;0,IF('Pricing Inputs'!$AN$3=2,8*VLOOKUP($A216,NumberofDaysTable,4),(_xll.xSPRDOPT(N216,$E216,$BU216,0,$BP216,$BS216,$BT216,$A216-Inputs!$D$1,1,1))*(8*VLOOKUP($A216,NumberofDaysTable,4))),0))</f>
        <v xml:space="preserve"> </v>
      </c>
      <c r="AC216" s="306" t="str">
        <f t="shared" si="342"/>
        <v xml:space="preserve"> </v>
      </c>
      <c r="AD216" s="274" t="str">
        <f t="shared" si="375"/>
        <v xml:space="preserve"> </v>
      </c>
      <c r="AE216" s="275" t="str">
        <f t="shared" si="376"/>
        <v xml:space="preserve"> </v>
      </c>
      <c r="AF216" s="275" t="str">
        <f t="shared" si="377"/>
        <v xml:space="preserve"> </v>
      </c>
      <c r="AG216" s="275" t="str">
        <f t="shared" si="378"/>
        <v xml:space="preserve"> </v>
      </c>
      <c r="AH216" s="275" t="str">
        <f t="shared" si="379"/>
        <v xml:space="preserve"> </v>
      </c>
      <c r="AI216" s="275" t="str">
        <f t="shared" si="380"/>
        <v xml:space="preserve"> </v>
      </c>
      <c r="AJ216" s="276" t="str">
        <f t="shared" si="381"/>
        <v xml:space="preserve"> </v>
      </c>
      <c r="AK216" s="314" t="str">
        <f t="shared" si="361"/>
        <v xml:space="preserve"> </v>
      </c>
      <c r="AL216" s="315" t="str">
        <f t="shared" si="362"/>
        <v xml:space="preserve"> </v>
      </c>
      <c r="AM216" s="315" t="str">
        <f t="shared" si="363"/>
        <v xml:space="preserve"> </v>
      </c>
      <c r="AN216" s="315" t="str">
        <f t="shared" si="364"/>
        <v xml:space="preserve"> </v>
      </c>
      <c r="AO216" s="315" t="str">
        <f t="shared" si="365"/>
        <v xml:space="preserve"> </v>
      </c>
      <c r="AP216" s="315" t="str">
        <f t="shared" si="366"/>
        <v xml:space="preserve"> </v>
      </c>
      <c r="AQ216" s="315" t="str">
        <f t="shared" si="367"/>
        <v xml:space="preserve"> </v>
      </c>
      <c r="AR216" s="276"/>
      <c r="AS216" s="321" t="str">
        <f t="shared" si="368"/>
        <v xml:space="preserve"> </v>
      </c>
      <c r="AT216" s="324" t="str">
        <f t="shared" si="369"/>
        <v xml:space="preserve"> </v>
      </c>
      <c r="AU216" s="324" t="str">
        <f t="shared" si="370"/>
        <v xml:space="preserve"> </v>
      </c>
      <c r="AV216" s="324" t="str">
        <f t="shared" si="371"/>
        <v xml:space="preserve"> </v>
      </c>
      <c r="AW216" s="324" t="str">
        <f t="shared" si="372"/>
        <v xml:space="preserve"> </v>
      </c>
      <c r="AX216" s="324" t="str">
        <f t="shared" si="373"/>
        <v xml:space="preserve"> </v>
      </c>
      <c r="AY216" s="324" t="str">
        <f t="shared" si="374"/>
        <v xml:space="preserve"> </v>
      </c>
      <c r="AZ216" s="276"/>
      <c r="BA216" s="267" t="str">
        <f>IF($A216="N/A"," ",(IF(MONTH(A216)&gt;=4,IF(MONTH(A216)&lt;=10,Inputs!$F$13,Inputs!$F$14),Inputs!$F$14))*$BW216)</f>
        <v xml:space="preserve"> </v>
      </c>
      <c r="BB216" s="268" t="str">
        <f t="shared" si="382"/>
        <v xml:space="preserve"> </v>
      </c>
      <c r="BC216" s="268" t="str">
        <f t="shared" si="383"/>
        <v xml:space="preserve"> </v>
      </c>
      <c r="BD216" s="268" t="str">
        <f t="shared" si="350"/>
        <v xml:space="preserve"> </v>
      </c>
      <c r="BE216" s="268" t="str">
        <f t="shared" si="351"/>
        <v xml:space="preserve"> </v>
      </c>
      <c r="BF216" s="268" t="str">
        <f t="shared" si="352"/>
        <v xml:space="preserve"> </v>
      </c>
      <c r="BG216" s="268" t="str">
        <f t="shared" si="353"/>
        <v xml:space="preserve"> </v>
      </c>
      <c r="BH216" s="268" t="str">
        <f t="shared" si="359"/>
        <v xml:space="preserve"> </v>
      </c>
      <c r="BI216" s="268" t="str">
        <f t="shared" si="354"/>
        <v xml:space="preserve"> </v>
      </c>
      <c r="BJ216" s="296" t="str">
        <f t="shared" si="355"/>
        <v xml:space="preserve"> </v>
      </c>
      <c r="BK216" s="296" t="str">
        <f t="shared" si="356"/>
        <v xml:space="preserve"> </v>
      </c>
      <c r="BL216" s="296" t="str">
        <f t="shared" si="357"/>
        <v xml:space="preserve"> </v>
      </c>
      <c r="BM216" s="296" t="str">
        <f t="shared" si="358"/>
        <v xml:space="preserve"> </v>
      </c>
      <c r="BN216" s="405" t="str">
        <f>IF(A216="N/A"," ",(VLOOKUP(A216,PowerVolTable,(IF('Pricing Inputs'!$AT$3=2,7,IF('Pricing Inputs'!$AT$3=1,6,8))),FALSE)))</f>
        <v xml:space="preserve"> </v>
      </c>
      <c r="BO216" s="405" t="str">
        <f>IF(A216="N/A"," ",(VLOOKUP(A216,IntraPowerVol,(IF('Pricing Inputs'!$AT$3=2,3,IF('Pricing Inputs'!$AT$3=1,2,4))),FALSE)*VLOOKUP(MONTH($A216),Inputs!$A$28:$B$39,2)))</f>
        <v xml:space="preserve"> </v>
      </c>
      <c r="BP216" s="406" t="str">
        <f t="shared" si="336"/>
        <v xml:space="preserve"> </v>
      </c>
      <c r="BQ216" s="405" t="str">
        <f>IF($A216="N/A"," ",(VLOOKUP($A216,GasVolTable,(IF('Pricing Inputs'!$AT$3=2,6,IF('Pricing Inputs'!$AT$3=1,7,5))),FALSE)))</f>
        <v xml:space="preserve"> </v>
      </c>
      <c r="BR216" s="405" t="str">
        <f>IF($A216="N/A"," ",(VLOOKUP($A216,OmicronVol,(IF('Pricing Inputs'!$AT$3=2,3,IF('Pricing Inputs'!$AT$3=1,4,2))),FALSE)))</f>
        <v xml:space="preserve"> </v>
      </c>
      <c r="BS216" s="406" t="str">
        <f>IF($A216="N/A"," ",IF('Pricing Inputs'!$AN$3=1,(IF(DateToday&gt;$A216,$BR216,((($BQ216^2)*((($A216-1)-DateToday)/((EOMONTH($A216,0)+1)-DateToday-15)))+((($BR216)^2)*((15)/((EOMONTH($A216,0)+1)-DateToday-15))))^0.5)),0.0001))</f>
        <v xml:space="preserve"> </v>
      </c>
      <c r="BT216" s="405" t="str">
        <f>IF($A216="N/A"," ",IF('Pricing Inputs'!$AN$3=1,(VLOOKUP($A216,CorrelationTable,2,FALSE)),0))</f>
        <v xml:space="preserve"> </v>
      </c>
      <c r="BU216" s="407" t="str">
        <f>IF($A216="N/A"," ",F216+G216+(D216*(VLOOKUP($A216,'Gas Curves'!$B$17:$P$310,14,FALSE))))</f>
        <v xml:space="preserve"> </v>
      </c>
      <c r="BV216" s="405" t="str">
        <f>IF($A216="N/A"," ",IF('Pricing Inputs'!$AW$3=1,0,(VLOOKUP($A216,InterestRatesTable,2))))</f>
        <v xml:space="preserve"> </v>
      </c>
      <c r="BW216" s="408" t="str">
        <f t="shared" si="337"/>
        <v xml:space="preserve"> </v>
      </c>
    </row>
    <row r="217" spans="1:75">
      <c r="A217" s="248" t="str">
        <f>IF(A216="N/A","N/A",IF(EDATE(A216,1)&gt;Inputs!$K$3,"N/A",EDATE(A216,1)))</f>
        <v>N/A</v>
      </c>
      <c r="B217" s="262" t="str">
        <f t="shared" si="338"/>
        <v xml:space="preserve"> </v>
      </c>
      <c r="C217" s="249" t="str">
        <f t="shared" si="339"/>
        <v xml:space="preserve"> </v>
      </c>
      <c r="D217" s="250" t="str">
        <f>IF(A217="N/A"," ",(VLOOKUP(MONTH($A217),Inputs!$A$14:$B$25,2))/1000)</f>
        <v xml:space="preserve"> </v>
      </c>
      <c r="E217" s="304" t="str">
        <f t="shared" si="340"/>
        <v xml:space="preserve"> </v>
      </c>
      <c r="F217" s="251" t="str">
        <f>IF(A217="N/A"," ",Inputs!$F$6)</f>
        <v xml:space="preserve"> </v>
      </c>
      <c r="G217" s="251" t="str">
        <f>IF(A217="N/A"," ",Inputs!$F$9/IF(AND('Pricing Inputs'!$AQ$3&gt;=4,'Pricing Inputs'!$AQ$3&lt;=6),16,IF(AND('Pricing Inputs'!$AQ$3&gt;=7,'Pricing Inputs'!$AQ$3&lt;=9),8,24))/(BA217/BW217))</f>
        <v xml:space="preserve"> </v>
      </c>
      <c r="H217" s="252" t="str">
        <f t="shared" si="341"/>
        <v xml:space="preserve"> </v>
      </c>
      <c r="I217" s="255" t="str">
        <f>VLOOKUP(A217,ScaledPrice,(IF(AND('Pricing Inputs'!$AQ$3&gt;=1,'Pricing Inputs'!$AQ$3&lt;=6),2,4)))</f>
        <v xml:space="preserve"> </v>
      </c>
      <c r="J217" s="255" t="str">
        <f>IF(A217="N/A"," ",IF(AND('Pricing Inputs'!$AQ$3&gt;=1,'Pricing Inputs'!$AQ$3&lt;=6),I217,(VLOOKUP(A217,ScaledPrice,2))*(2-(VLOOKUP(A217,ScaledPrice,3)))))</f>
        <v xml:space="preserve"> </v>
      </c>
      <c r="K217" s="255" t="str">
        <f>IF(A217="N/A"," ",IF(OR('Pricing Inputs'!$AQ$3=2,'Pricing Inputs'!$AQ$3=3,'Pricing Inputs'!$AQ$3=5,'Pricing Inputs'!$AQ$3=6,'Pricing Inputs'!$AQ$3=8,'Pricing Inputs'!$AQ$3=9),VLOOKUP(A217,ScaledPrice,IF(AND('Pricing Inputs'!$AQ$3&gt;=2,'Pricing Inputs'!$AQ$3&lt;=6),5,6)),0))</f>
        <v xml:space="preserve"> </v>
      </c>
      <c r="L217" s="255" t="str">
        <f>IF(A217="N/A"," ",IF(OR('Pricing Inputs'!$AQ$3=2,'Pricing Inputs'!$AQ$3=3,'Pricing Inputs'!$AQ$3=5,'Pricing Inputs'!$AQ$3=6,'Pricing Inputs'!$AQ$3=8,'Pricing Inputs'!$AQ$3=9),IF(AND('Pricing Inputs'!$AQ$3&gt;=2,'Pricing Inputs'!$AQ$3&lt;=6),K217,(VLOOKUP(A217,ScaledPrice,5))*(2-(VLOOKUP(A217,ScaledPrice,3)))),0))</f>
        <v xml:space="preserve"> </v>
      </c>
      <c r="M217" s="255" t="str">
        <f>IF(A217="N/A"," ",IF(OR('Pricing Inputs'!$AQ$3=3,'Pricing Inputs'!$AQ$3=6,'Pricing Inputs'!$AQ$3=9),(VLOOKUP(A217,ScaledPrice,IF(AND('Pricing Inputs'!$AQ$3&gt;=3,'Pricing Inputs'!$AQ$3&lt;=6),7,8))),0))</f>
        <v xml:space="preserve"> </v>
      </c>
      <c r="N217" s="255" t="str">
        <f>IF(A217="N/A"," ",IF(OR('Pricing Inputs'!$AQ$3=3,'Pricing Inputs'!$AQ$3=6,'Pricing Inputs'!$AQ$3=9),IF(AND('Pricing Inputs'!$AQ$3&gt;=3,'Pricing Inputs'!$AQ$3&lt;=6),M217,(VLOOKUP(A217,ScaledPrice,7))*(2-(VLOOKUP(A217,ScaledPrice,3)))),0))</f>
        <v xml:space="preserve"> </v>
      </c>
      <c r="O217" s="255" t="str">
        <f>IF(A217="N/A"," ",IF(AND('Pricing Inputs'!$AQ$3&gt;=1,'Pricing Inputs'!$AQ$3&lt;=3),VLOOKUP(A217,ScaledPrice,9),0))</f>
        <v xml:space="preserve"> </v>
      </c>
      <c r="P217" s="320" t="str">
        <f>IF($A217="N/A"," ",IF('Pricing Inputs'!$AN$8=2,(I217-H217),IF('Pricing Inputs'!$AN$3=2,IF((I217-$H217)&gt;0,I217-$H217,0),(_xll.xSPRDOPT(I217,$E217,$BU217,0,$BP217,$BS217,$BT217,($A217-Inputs!$D$1)+15,1,0)))))</f>
        <v xml:space="preserve"> </v>
      </c>
      <c r="Q217" s="320" t="str">
        <f>IF($A217="N/A"," ",IF('Pricing Inputs'!$AN$8=2,(J217-$H217),IF('Pricing Inputs'!$AN$3=2,IF((J217-$H217)&gt;0,J217-$H217,0),(_xll.xSPRDOPT(J217,$E217,$BU217,0,$BP217,$BS217,$BT217,($A217-Inputs!$D$1)+15,1,0)))))</f>
        <v xml:space="preserve"> </v>
      </c>
      <c r="R217" s="320" t="str">
        <f>IF($A217="N/A"," ",IF('Pricing Inputs'!$AN$8=2,(K217-$H217),IF('Pricing Inputs'!$AN$3=2,IF((K217-$H217)&gt;0,K217-$H217,0),(_xll.xSPRDOPT(K217,$E217,$BU217,0,$BP217,$BS217,$BT217,($A217-Inputs!$D$1)+15,1,0)))))</f>
        <v xml:space="preserve"> </v>
      </c>
      <c r="S217" s="320" t="str">
        <f>IF($A217="N/A"," ",IF('Pricing Inputs'!$AN$8=2,(L217-$H217),IF('Pricing Inputs'!$AN$3=2,IF((L217-$H217)&gt;0,L217-$H217,0),(_xll.xSPRDOPT(L217,$E217,$BU217,0,$BP217,$BS217,$BT217,($A217-Inputs!$D$1)+15,1,0)))))</f>
        <v xml:space="preserve"> </v>
      </c>
      <c r="T217" s="320" t="str">
        <f>IF($A217="N/A"," ",IF('Pricing Inputs'!$AN$8=2,(M217-$H217),IF('Pricing Inputs'!$AN$3=2,IF((M217-$H217)&gt;0,M217-$H217,0),(_xll.xSPRDOPT(M217,$E217,$BU217,0,$BP217,$BS217,$BT217,($A217-Inputs!$D$1)+15,1,0)))))</f>
        <v xml:space="preserve"> </v>
      </c>
      <c r="U217" s="320" t="str">
        <f>IF($A217="N/A"," ",IF('Pricing Inputs'!$AN$8=2,(N217-$H217),IF('Pricing Inputs'!$AN$3=2,IF((N217-$H217)&gt;0,N217-$H217,0),(_xll.xSPRDOPT(N217,$E217,$BU217,0,$BP217,$BS217,$BT217,($A217-Inputs!$D$1)+15,1,0)))))</f>
        <v xml:space="preserve"> </v>
      </c>
      <c r="V217" s="259" t="str">
        <f>IF($A217="N/A"," ",(IF('Pricing Inputs'!$AN$8=2,(O217-$H217),IF((O217-$H217)&lt;=0,0,(O217-$H217)))))</f>
        <v xml:space="preserve"> </v>
      </c>
      <c r="W217" s="306" t="str">
        <f>IF($A217="N/A"," ",IF(0&lt;&gt;P217,IF('Pricing Inputs'!$AN$3=2,8*VLOOKUP($A217,NumberofDaysTable,2),(_xll.xSPRDOPT(I217,$E217,$BU217,0,$BP217,$BS217,$BT217,$A217-Inputs!$D$1,1,1))*(8*VLOOKUP($A217,NumberofDaysTable,2))),0))</f>
        <v xml:space="preserve"> </v>
      </c>
      <c r="X217" s="306" t="str">
        <f>IF($A217="N/A"," ",IF(Q217&lt;&gt;0,IF('Pricing Inputs'!$AN$3=2,8*VLOOKUP($A217,NumberofDaysTable,2),(_xll.xSPRDOPT(J217,$E217,$BU217,0,$BP217,$BS217,$BT217,$A217-Inputs!$D$1,1,1))*(8*VLOOKUP($A217,NumberofDaysTable,2))),0))</f>
        <v xml:space="preserve"> </v>
      </c>
      <c r="Y217" s="306" t="str">
        <f>IF($A217="N/A"," ",IF(R217&lt;&gt;0,IF('Pricing Inputs'!$AN$3=2,8*VLOOKUP($A217,NumberofDaysTable,3),(_xll.xSPRDOPT(K217,$E217,$BU217,0,$BP217,$BS217,$BT217,$A217-Inputs!$D$1,1,1))*(8*VLOOKUP($A217,NumberofDaysTable,3))),0))</f>
        <v xml:space="preserve"> </v>
      </c>
      <c r="Z217" s="306" t="str">
        <f>IF($A217="N/A"," ",IF(S217&lt;&gt;0,IF('Pricing Inputs'!$AN$3=2,8*VLOOKUP($A217,NumberofDaysTable,3),(_xll.xSPRDOPT(L217,$E217,$BU217,0,$BP217,$BS217,$BT217,$A217-Inputs!$D$1,1,1))*(8*VLOOKUP($A217,NumberofDaysTable,3))),0))</f>
        <v xml:space="preserve"> </v>
      </c>
      <c r="AA217" s="306" t="str">
        <f>IF($A217="N/A"," ",IF(T217&lt;&gt;0,IF('Pricing Inputs'!$AN$3=2,8*VLOOKUP($A217,NumberofDaysTable,4),(_xll.xSPRDOPT(M217,$E217,$BU217,0,$BP217,$BS217,$BT217,$A217-Inputs!$D$1,1,1))*(8*VLOOKUP($A217,NumberofDaysTable,4))),0))</f>
        <v xml:space="preserve"> </v>
      </c>
      <c r="AB217" s="306" t="str">
        <f>IF($A217="N/A"," ",IF(U217&lt;&gt;0,IF('Pricing Inputs'!$AN$3=2,8*VLOOKUP($A217,NumberofDaysTable,4),(_xll.xSPRDOPT(N217,$E217,$BU217,0,$BP217,$BS217,$BT217,$A217-Inputs!$D$1,1,1))*(8*VLOOKUP($A217,NumberofDaysTable,4))),0))</f>
        <v xml:space="preserve"> </v>
      </c>
      <c r="AC217" s="306" t="str">
        <f t="shared" si="342"/>
        <v xml:space="preserve"> </v>
      </c>
      <c r="AD217" s="274" t="str">
        <f t="shared" si="375"/>
        <v xml:space="preserve"> </v>
      </c>
      <c r="AE217" s="275" t="str">
        <f t="shared" si="376"/>
        <v xml:space="preserve"> </v>
      </c>
      <c r="AF217" s="275" t="str">
        <f t="shared" si="377"/>
        <v xml:space="preserve"> </v>
      </c>
      <c r="AG217" s="275" t="str">
        <f t="shared" si="378"/>
        <v xml:space="preserve"> </v>
      </c>
      <c r="AH217" s="275" t="str">
        <f t="shared" si="379"/>
        <v xml:space="preserve"> </v>
      </c>
      <c r="AI217" s="275" t="str">
        <f t="shared" si="380"/>
        <v xml:space="preserve"> </v>
      </c>
      <c r="AJ217" s="276" t="str">
        <f t="shared" si="381"/>
        <v xml:space="preserve"> </v>
      </c>
      <c r="AK217" s="314" t="str">
        <f t="shared" si="361"/>
        <v xml:space="preserve"> </v>
      </c>
      <c r="AL217" s="315" t="str">
        <f t="shared" si="362"/>
        <v xml:space="preserve"> </v>
      </c>
      <c r="AM217" s="315" t="str">
        <f t="shared" si="363"/>
        <v xml:space="preserve"> </v>
      </c>
      <c r="AN217" s="315" t="str">
        <f t="shared" si="364"/>
        <v xml:space="preserve"> </v>
      </c>
      <c r="AO217" s="315" t="str">
        <f t="shared" si="365"/>
        <v xml:space="preserve"> </v>
      </c>
      <c r="AP217" s="315" t="str">
        <f t="shared" si="366"/>
        <v xml:space="preserve"> </v>
      </c>
      <c r="AQ217" s="315" t="str">
        <f t="shared" si="367"/>
        <v xml:space="preserve"> </v>
      </c>
      <c r="AR217" s="284" t="s">
        <v>1292</v>
      </c>
      <c r="AS217" s="321" t="str">
        <f t="shared" si="368"/>
        <v xml:space="preserve"> </v>
      </c>
      <c r="AT217" s="324" t="str">
        <f t="shared" si="369"/>
        <v xml:space="preserve"> </v>
      </c>
      <c r="AU217" s="324" t="str">
        <f t="shared" si="370"/>
        <v xml:space="preserve"> </v>
      </c>
      <c r="AV217" s="324" t="str">
        <f t="shared" si="371"/>
        <v xml:space="preserve"> </v>
      </c>
      <c r="AW217" s="324" t="str">
        <f t="shared" si="372"/>
        <v xml:space="preserve"> </v>
      </c>
      <c r="AX217" s="324" t="str">
        <f t="shared" si="373"/>
        <v xml:space="preserve"> </v>
      </c>
      <c r="AY217" s="324" t="str">
        <f t="shared" si="374"/>
        <v xml:space="preserve"> </v>
      </c>
      <c r="AZ217" s="283" t="s">
        <v>1304</v>
      </c>
      <c r="BA217" s="267" t="str">
        <f>IF($A217="N/A"," ",(IF(MONTH(A217)&gt;=4,IF(MONTH(A217)&lt;=10,Inputs!$F$13,Inputs!$F$14),Inputs!$F$14))*$BW217)</f>
        <v xml:space="preserve"> </v>
      </c>
      <c r="BB217" s="268" t="str">
        <f t="shared" si="382"/>
        <v xml:space="preserve"> </v>
      </c>
      <c r="BC217" s="268" t="str">
        <f t="shared" si="383"/>
        <v xml:space="preserve"> </v>
      </c>
      <c r="BD217" s="268" t="str">
        <f t="shared" si="350"/>
        <v xml:space="preserve"> </v>
      </c>
      <c r="BE217" s="268" t="str">
        <f t="shared" si="351"/>
        <v xml:space="preserve"> </v>
      </c>
      <c r="BF217" s="268" t="str">
        <f t="shared" si="352"/>
        <v xml:space="preserve"> </v>
      </c>
      <c r="BG217" s="268" t="str">
        <f t="shared" si="353"/>
        <v xml:space="preserve"> </v>
      </c>
      <c r="BH217" s="268" t="str">
        <f t="shared" si="359"/>
        <v xml:space="preserve"> </v>
      </c>
      <c r="BI217" s="268" t="str">
        <f t="shared" si="354"/>
        <v xml:space="preserve"> </v>
      </c>
      <c r="BJ217" s="296" t="str">
        <f t="shared" si="355"/>
        <v xml:space="preserve"> </v>
      </c>
      <c r="BK217" s="296" t="str">
        <f t="shared" si="356"/>
        <v xml:space="preserve"> </v>
      </c>
      <c r="BL217" s="296" t="str">
        <f t="shared" si="357"/>
        <v xml:space="preserve"> </v>
      </c>
      <c r="BM217" s="296" t="str">
        <f t="shared" si="358"/>
        <v xml:space="preserve"> </v>
      </c>
      <c r="BN217" s="405" t="str">
        <f>IF(A217="N/A"," ",(VLOOKUP(A217,PowerVolTable,(IF('Pricing Inputs'!$AT$3=2,7,IF('Pricing Inputs'!$AT$3=1,6,8))),FALSE)))</f>
        <v xml:space="preserve"> </v>
      </c>
      <c r="BO217" s="405" t="str">
        <f>IF(A217="N/A"," ",(VLOOKUP(A217,IntraPowerVol,(IF('Pricing Inputs'!$AT$3=2,3,IF('Pricing Inputs'!$AT$3=1,2,4))),FALSE)*VLOOKUP(MONTH($A217),Inputs!$A$28:$B$39,2)))</f>
        <v xml:space="preserve"> </v>
      </c>
      <c r="BP217" s="406" t="str">
        <f t="shared" si="336"/>
        <v xml:space="preserve"> </v>
      </c>
      <c r="BQ217" s="405" t="str">
        <f>IF($A217="N/A"," ",(VLOOKUP($A217,GasVolTable,(IF('Pricing Inputs'!$AT$3=2,6,IF('Pricing Inputs'!$AT$3=1,7,5))),FALSE)))</f>
        <v xml:space="preserve"> </v>
      </c>
      <c r="BR217" s="405" t="str">
        <f>IF($A217="N/A"," ",(VLOOKUP($A217,OmicronVol,(IF('Pricing Inputs'!$AT$3=2,3,IF('Pricing Inputs'!$AT$3=1,4,2))),FALSE)))</f>
        <v xml:space="preserve"> </v>
      </c>
      <c r="BS217" s="406" t="str">
        <f>IF($A217="N/A"," ",IF('Pricing Inputs'!$AN$3=1,(IF(DateToday&gt;$A217,$BR217,((($BQ217^2)*((($A217-1)-DateToday)/((EOMONTH($A217,0)+1)-DateToday-15)))+((($BR217)^2)*((15)/((EOMONTH($A217,0)+1)-DateToday-15))))^0.5)),0.0001))</f>
        <v xml:space="preserve"> </v>
      </c>
      <c r="BT217" s="405" t="str">
        <f>IF($A217="N/A"," ",IF('Pricing Inputs'!$AN$3=1,(VLOOKUP($A217,CorrelationTable,2,FALSE)),0))</f>
        <v xml:space="preserve"> </v>
      </c>
      <c r="BU217" s="407" t="str">
        <f>IF($A217="N/A"," ",F217+G217+(D217*(VLOOKUP($A217,'Gas Curves'!$B$17:$P$310,14,FALSE))))</f>
        <v xml:space="preserve"> </v>
      </c>
      <c r="BV217" s="405" t="str">
        <f>IF($A217="N/A"," ",IF('Pricing Inputs'!$AW$3=1,0,(VLOOKUP($A217,InterestRatesTable,2))))</f>
        <v xml:space="preserve"> </v>
      </c>
      <c r="BW217" s="408" t="str">
        <f t="shared" si="337"/>
        <v xml:space="preserve"> </v>
      </c>
    </row>
    <row r="218" spans="1:75">
      <c r="A218" s="248" t="str">
        <f>IF(A217="N/A","N/A",IF(EDATE(A217,1)&gt;Inputs!$K$3,"N/A",EDATE(A217,1)))</f>
        <v>N/A</v>
      </c>
      <c r="B218" s="262" t="str">
        <f t="shared" si="338"/>
        <v xml:space="preserve"> </v>
      </c>
      <c r="C218" s="249" t="str">
        <f t="shared" si="339"/>
        <v xml:space="preserve"> </v>
      </c>
      <c r="D218" s="250" t="str">
        <f>IF(A218="N/A"," ",(VLOOKUP(MONTH($A218),Inputs!$A$14:$B$25,2))/1000)</f>
        <v xml:space="preserve"> </v>
      </c>
      <c r="E218" s="304" t="str">
        <f t="shared" si="340"/>
        <v xml:space="preserve"> </v>
      </c>
      <c r="F218" s="251" t="str">
        <f>IF(A218="N/A"," ",Inputs!$F$6)</f>
        <v xml:space="preserve"> </v>
      </c>
      <c r="G218" s="251" t="str">
        <f>IF(A218="N/A"," ",Inputs!$F$9/IF(AND('Pricing Inputs'!$AQ$3&gt;=4,'Pricing Inputs'!$AQ$3&lt;=6),16,IF(AND('Pricing Inputs'!$AQ$3&gt;=7,'Pricing Inputs'!$AQ$3&lt;=9),8,24))/(BA218/BW218))</f>
        <v xml:space="preserve"> </v>
      </c>
      <c r="H218" s="252" t="str">
        <f t="shared" si="341"/>
        <v xml:space="preserve"> </v>
      </c>
      <c r="I218" s="255" t="str">
        <f>VLOOKUP(A218,ScaledPrice,(IF(AND('Pricing Inputs'!$AQ$3&gt;=1,'Pricing Inputs'!$AQ$3&lt;=6),2,4)))</f>
        <v xml:space="preserve"> </v>
      </c>
      <c r="J218" s="255" t="str">
        <f>IF(A218="N/A"," ",IF(AND('Pricing Inputs'!$AQ$3&gt;=1,'Pricing Inputs'!$AQ$3&lt;=6),I218,(VLOOKUP(A218,ScaledPrice,2))*(2-(VLOOKUP(A218,ScaledPrice,3)))))</f>
        <v xml:space="preserve"> </v>
      </c>
      <c r="K218" s="255" t="str">
        <f>IF(A218="N/A"," ",IF(OR('Pricing Inputs'!$AQ$3=2,'Pricing Inputs'!$AQ$3=3,'Pricing Inputs'!$AQ$3=5,'Pricing Inputs'!$AQ$3=6,'Pricing Inputs'!$AQ$3=8,'Pricing Inputs'!$AQ$3=9),VLOOKUP(A218,ScaledPrice,IF(AND('Pricing Inputs'!$AQ$3&gt;=2,'Pricing Inputs'!$AQ$3&lt;=6),5,6)),0))</f>
        <v xml:space="preserve"> </v>
      </c>
      <c r="L218" s="255" t="str">
        <f>IF(A218="N/A"," ",IF(OR('Pricing Inputs'!$AQ$3=2,'Pricing Inputs'!$AQ$3=3,'Pricing Inputs'!$AQ$3=5,'Pricing Inputs'!$AQ$3=6,'Pricing Inputs'!$AQ$3=8,'Pricing Inputs'!$AQ$3=9),IF(AND('Pricing Inputs'!$AQ$3&gt;=2,'Pricing Inputs'!$AQ$3&lt;=6),K218,(VLOOKUP(A218,ScaledPrice,5))*(2-(VLOOKUP(A218,ScaledPrice,3)))),0))</f>
        <v xml:space="preserve"> </v>
      </c>
      <c r="M218" s="255" t="str">
        <f>IF(A218="N/A"," ",IF(OR('Pricing Inputs'!$AQ$3=3,'Pricing Inputs'!$AQ$3=6,'Pricing Inputs'!$AQ$3=9),(VLOOKUP(A218,ScaledPrice,IF(AND('Pricing Inputs'!$AQ$3&gt;=3,'Pricing Inputs'!$AQ$3&lt;=6),7,8))),0))</f>
        <v xml:space="preserve"> </v>
      </c>
      <c r="N218" s="255" t="str">
        <f>IF(A218="N/A"," ",IF(OR('Pricing Inputs'!$AQ$3=3,'Pricing Inputs'!$AQ$3=6,'Pricing Inputs'!$AQ$3=9),IF(AND('Pricing Inputs'!$AQ$3&gt;=3,'Pricing Inputs'!$AQ$3&lt;=6),M218,(VLOOKUP(A218,ScaledPrice,7))*(2-(VLOOKUP(A218,ScaledPrice,3)))),0))</f>
        <v xml:space="preserve"> </v>
      </c>
      <c r="O218" s="255" t="str">
        <f>IF(A218="N/A"," ",IF(AND('Pricing Inputs'!$AQ$3&gt;=1,'Pricing Inputs'!$AQ$3&lt;=3),VLOOKUP(A218,ScaledPrice,9),0))</f>
        <v xml:space="preserve"> </v>
      </c>
      <c r="P218" s="320" t="str">
        <f>IF($A218="N/A"," ",IF('Pricing Inputs'!$AN$8=2,(I218-H218),IF('Pricing Inputs'!$AN$3=2,IF((I218-$H218)&gt;0,I218-$H218,0),(_xll.xSPRDOPT(I218,$E218,$BU218,0,$BP218,$BS218,$BT218,($A218-Inputs!$D$1)+15,1,0)))))</f>
        <v xml:space="preserve"> </v>
      </c>
      <c r="Q218" s="320" t="str">
        <f>IF($A218="N/A"," ",IF('Pricing Inputs'!$AN$8=2,(J218-$H218),IF('Pricing Inputs'!$AN$3=2,IF((J218-$H218)&gt;0,J218-$H218,0),(_xll.xSPRDOPT(J218,$E218,$BU218,0,$BP218,$BS218,$BT218,($A218-Inputs!$D$1)+15,1,0)))))</f>
        <v xml:space="preserve"> </v>
      </c>
      <c r="R218" s="320" t="str">
        <f>IF($A218="N/A"," ",IF('Pricing Inputs'!$AN$8=2,(K218-$H218),IF('Pricing Inputs'!$AN$3=2,IF((K218-$H218)&gt;0,K218-$H218,0),(_xll.xSPRDOPT(K218,$E218,$BU218,0,$BP218,$BS218,$BT218,($A218-Inputs!$D$1)+15,1,0)))))</f>
        <v xml:space="preserve"> </v>
      </c>
      <c r="S218" s="320" t="str">
        <f>IF($A218="N/A"," ",IF('Pricing Inputs'!$AN$8=2,(L218-$H218),IF('Pricing Inputs'!$AN$3=2,IF((L218-$H218)&gt;0,L218-$H218,0),(_xll.xSPRDOPT(L218,$E218,$BU218,0,$BP218,$BS218,$BT218,($A218-Inputs!$D$1)+15,1,0)))))</f>
        <v xml:space="preserve"> </v>
      </c>
      <c r="T218" s="320" t="str">
        <f>IF($A218="N/A"," ",IF('Pricing Inputs'!$AN$8=2,(M218-$H218),IF('Pricing Inputs'!$AN$3=2,IF((M218-$H218)&gt;0,M218-$H218,0),(_xll.xSPRDOPT(M218,$E218,$BU218,0,$BP218,$BS218,$BT218,($A218-Inputs!$D$1)+15,1,0)))))</f>
        <v xml:space="preserve"> </v>
      </c>
      <c r="U218" s="320" t="str">
        <f>IF($A218="N/A"," ",IF('Pricing Inputs'!$AN$8=2,(N218-$H218),IF('Pricing Inputs'!$AN$3=2,IF((N218-$H218)&gt;0,N218-$H218,0),(_xll.xSPRDOPT(N218,$E218,$BU218,0,$BP218,$BS218,$BT218,($A218-Inputs!$D$1)+15,1,0)))))</f>
        <v xml:space="preserve"> </v>
      </c>
      <c r="V218" s="259" t="str">
        <f>IF($A218="N/A"," ",(IF('Pricing Inputs'!$AN$8=2,(O218-$H218),IF((O218-$H218)&lt;=0,0,(O218-$H218)))))</f>
        <v xml:space="preserve"> </v>
      </c>
      <c r="W218" s="306" t="str">
        <f>IF($A218="N/A"," ",IF(0&lt;&gt;P218,IF('Pricing Inputs'!$AN$3=2,8*VLOOKUP($A218,NumberofDaysTable,2),(_xll.xSPRDOPT(I218,$E218,$BU218,0,$BP218,$BS218,$BT218,$A218-Inputs!$D$1,1,1))*(8*VLOOKUP($A218,NumberofDaysTable,2))),0))</f>
        <v xml:space="preserve"> </v>
      </c>
      <c r="X218" s="306" t="str">
        <f>IF($A218="N/A"," ",IF(Q218&lt;&gt;0,IF('Pricing Inputs'!$AN$3=2,8*VLOOKUP($A218,NumberofDaysTable,2),(_xll.xSPRDOPT(J218,$E218,$BU218,0,$BP218,$BS218,$BT218,$A218-Inputs!$D$1,1,1))*(8*VLOOKUP($A218,NumberofDaysTable,2))),0))</f>
        <v xml:space="preserve"> </v>
      </c>
      <c r="Y218" s="306" t="str">
        <f>IF($A218="N/A"," ",IF(R218&lt;&gt;0,IF('Pricing Inputs'!$AN$3=2,8*VLOOKUP($A218,NumberofDaysTable,3),(_xll.xSPRDOPT(K218,$E218,$BU218,0,$BP218,$BS218,$BT218,$A218-Inputs!$D$1,1,1))*(8*VLOOKUP($A218,NumberofDaysTable,3))),0))</f>
        <v xml:space="preserve"> </v>
      </c>
      <c r="Z218" s="306" t="str">
        <f>IF($A218="N/A"," ",IF(S218&lt;&gt;0,IF('Pricing Inputs'!$AN$3=2,8*VLOOKUP($A218,NumberofDaysTable,3),(_xll.xSPRDOPT(L218,$E218,$BU218,0,$BP218,$BS218,$BT218,$A218-Inputs!$D$1,1,1))*(8*VLOOKUP($A218,NumberofDaysTable,3))),0))</f>
        <v xml:space="preserve"> </v>
      </c>
      <c r="AA218" s="306" t="str">
        <f>IF($A218="N/A"," ",IF(T218&lt;&gt;0,IF('Pricing Inputs'!$AN$3=2,8*VLOOKUP($A218,NumberofDaysTable,4),(_xll.xSPRDOPT(M218,$E218,$BU218,0,$BP218,$BS218,$BT218,$A218-Inputs!$D$1,1,1))*(8*VLOOKUP($A218,NumberofDaysTable,4))),0))</f>
        <v xml:space="preserve"> </v>
      </c>
      <c r="AB218" s="306" t="str">
        <f>IF($A218="N/A"," ",IF(U218&lt;&gt;0,IF('Pricing Inputs'!$AN$3=2,8*VLOOKUP($A218,NumberofDaysTable,4),(_xll.xSPRDOPT(N218,$E218,$BU218,0,$BP218,$BS218,$BT218,$A218-Inputs!$D$1,1,1))*(8*VLOOKUP($A218,NumberofDaysTable,4))),0))</f>
        <v xml:space="preserve"> </v>
      </c>
      <c r="AC218" s="306" t="str">
        <f t="shared" si="342"/>
        <v xml:space="preserve"> </v>
      </c>
      <c r="AD218" s="274" t="str">
        <f t="shared" si="375"/>
        <v xml:space="preserve"> </v>
      </c>
      <c r="AE218" s="275" t="str">
        <f t="shared" si="376"/>
        <v xml:space="preserve"> </v>
      </c>
      <c r="AF218" s="275" t="str">
        <f t="shared" si="377"/>
        <v xml:space="preserve"> </v>
      </c>
      <c r="AG218" s="275" t="str">
        <f t="shared" si="378"/>
        <v xml:space="preserve"> </v>
      </c>
      <c r="AH218" s="275" t="str">
        <f t="shared" si="379"/>
        <v xml:space="preserve"> </v>
      </c>
      <c r="AI218" s="275" t="str">
        <f t="shared" si="380"/>
        <v xml:space="preserve"> </v>
      </c>
      <c r="AJ218" s="276" t="str">
        <f t="shared" si="381"/>
        <v xml:space="preserve"> </v>
      </c>
      <c r="AK218" s="314" t="str">
        <f t="shared" si="361"/>
        <v xml:space="preserve"> </v>
      </c>
      <c r="AL218" s="315" t="str">
        <f t="shared" si="362"/>
        <v xml:space="preserve"> </v>
      </c>
      <c r="AM218" s="315" t="str">
        <f t="shared" si="363"/>
        <v xml:space="preserve"> </v>
      </c>
      <c r="AN218" s="315" t="str">
        <f t="shared" si="364"/>
        <v xml:space="preserve"> </v>
      </c>
      <c r="AO218" s="315" t="str">
        <f t="shared" si="365"/>
        <v xml:space="preserve"> </v>
      </c>
      <c r="AP218" s="315" t="str">
        <f t="shared" si="366"/>
        <v xml:space="preserve"> </v>
      </c>
      <c r="AQ218" s="315" t="str">
        <f t="shared" si="367"/>
        <v xml:space="preserve"> </v>
      </c>
      <c r="AR218" s="276">
        <f>SUM(AK208:AQ219)</f>
        <v>0</v>
      </c>
      <c r="AS218" s="321" t="str">
        <f t="shared" si="368"/>
        <v xml:space="preserve"> </v>
      </c>
      <c r="AT218" s="324" t="str">
        <f t="shared" si="369"/>
        <v xml:space="preserve"> </v>
      </c>
      <c r="AU218" s="324" t="str">
        <f t="shared" si="370"/>
        <v xml:space="preserve"> </v>
      </c>
      <c r="AV218" s="324" t="str">
        <f t="shared" si="371"/>
        <v xml:space="preserve"> </v>
      </c>
      <c r="AW218" s="324" t="str">
        <f t="shared" si="372"/>
        <v xml:space="preserve"> </v>
      </c>
      <c r="AX218" s="324" t="str">
        <f t="shared" si="373"/>
        <v xml:space="preserve"> </v>
      </c>
      <c r="AY218" s="324" t="str">
        <f t="shared" si="374"/>
        <v xml:space="preserve"> </v>
      </c>
      <c r="AZ218" s="276">
        <f>SUM(AS208:AY219)</f>
        <v>0</v>
      </c>
      <c r="BA218" s="267" t="str">
        <f>IF($A218="N/A"," ",(IF(MONTH(A218)&gt;=4,IF(MONTH(A218)&lt;=10,Inputs!$F$13,Inputs!$F$14),Inputs!$F$14))*$BW218)</f>
        <v xml:space="preserve"> </v>
      </c>
      <c r="BB218" s="268" t="str">
        <f t="shared" si="382"/>
        <v xml:space="preserve"> </v>
      </c>
      <c r="BC218" s="268" t="str">
        <f t="shared" si="383"/>
        <v xml:space="preserve"> </v>
      </c>
      <c r="BD218" s="268" t="str">
        <f t="shared" si="350"/>
        <v xml:space="preserve"> </v>
      </c>
      <c r="BE218" s="268" t="str">
        <f t="shared" si="351"/>
        <v xml:space="preserve"> </v>
      </c>
      <c r="BF218" s="268" t="str">
        <f t="shared" si="352"/>
        <v xml:space="preserve"> </v>
      </c>
      <c r="BG218" s="268" t="str">
        <f t="shared" si="353"/>
        <v xml:space="preserve"> </v>
      </c>
      <c r="BH218" s="268" t="str">
        <f t="shared" si="359"/>
        <v xml:space="preserve"> </v>
      </c>
      <c r="BI218" s="268" t="str">
        <f t="shared" si="354"/>
        <v xml:space="preserve"> </v>
      </c>
      <c r="BJ218" s="296" t="str">
        <f t="shared" si="355"/>
        <v xml:space="preserve"> </v>
      </c>
      <c r="BK218" s="296" t="str">
        <f t="shared" si="356"/>
        <v xml:space="preserve"> </v>
      </c>
      <c r="BL218" s="296" t="str">
        <f t="shared" si="357"/>
        <v xml:space="preserve"> </v>
      </c>
      <c r="BM218" s="296" t="str">
        <f t="shared" si="358"/>
        <v xml:space="preserve"> </v>
      </c>
      <c r="BN218" s="405" t="str">
        <f>IF(A218="N/A"," ",(VLOOKUP(A218,PowerVolTable,(IF('Pricing Inputs'!$AT$3=2,7,IF('Pricing Inputs'!$AT$3=1,6,8))),FALSE)))</f>
        <v xml:space="preserve"> </v>
      </c>
      <c r="BO218" s="405" t="str">
        <f>IF(A218="N/A"," ",(VLOOKUP(A218,IntraPowerVol,(IF('Pricing Inputs'!$AT$3=2,3,IF('Pricing Inputs'!$AT$3=1,2,4))),FALSE)*VLOOKUP(MONTH($A218),Inputs!$A$28:$B$39,2)))</f>
        <v xml:space="preserve"> </v>
      </c>
      <c r="BP218" s="406" t="str">
        <f t="shared" si="336"/>
        <v xml:space="preserve"> </v>
      </c>
      <c r="BQ218" s="405" t="str">
        <f>IF($A218="N/A"," ",(VLOOKUP($A218,GasVolTable,(IF('Pricing Inputs'!$AT$3=2,6,IF('Pricing Inputs'!$AT$3=1,7,5))),FALSE)))</f>
        <v xml:space="preserve"> </v>
      </c>
      <c r="BR218" s="405" t="str">
        <f>IF($A218="N/A"," ",(VLOOKUP($A218,OmicronVol,(IF('Pricing Inputs'!$AT$3=2,3,IF('Pricing Inputs'!$AT$3=1,4,2))),FALSE)))</f>
        <v xml:space="preserve"> </v>
      </c>
      <c r="BS218" s="406" t="str">
        <f>IF($A218="N/A"," ",IF('Pricing Inputs'!$AN$3=1,(IF(DateToday&gt;$A218,$BR218,((($BQ218^2)*((($A218-1)-DateToday)/((EOMONTH($A218,0)+1)-DateToday-15)))+((($BR218)^2)*((15)/((EOMONTH($A218,0)+1)-DateToday-15))))^0.5)),0.0001))</f>
        <v xml:space="preserve"> </v>
      </c>
      <c r="BT218" s="405" t="str">
        <f>IF($A218="N/A"," ",IF('Pricing Inputs'!$AN$3=1,(VLOOKUP($A218,CorrelationTable,2,FALSE)),0))</f>
        <v xml:space="preserve"> </v>
      </c>
      <c r="BU218" s="407" t="str">
        <f>IF($A218="N/A"," ",F218+G218+(D218*(VLOOKUP($A218,'Gas Curves'!$B$17:$P$310,14,FALSE))))</f>
        <v xml:space="preserve"> </v>
      </c>
      <c r="BV218" s="405" t="str">
        <f>IF($A218="N/A"," ",IF('Pricing Inputs'!$AW$3=1,0,(VLOOKUP($A218,InterestRatesTable,2))))</f>
        <v xml:space="preserve"> </v>
      </c>
      <c r="BW218" s="408" t="str">
        <f t="shared" si="337"/>
        <v xml:space="preserve"> </v>
      </c>
    </row>
    <row r="219" spans="1:75">
      <c r="A219" s="248" t="str">
        <f>IF(A218="N/A","N/A",IF(EDATE(A218,1)&gt;Inputs!$K$3,"N/A",EDATE(A218,1)))</f>
        <v>N/A</v>
      </c>
      <c r="B219" s="262" t="str">
        <f t="shared" si="338"/>
        <v xml:space="preserve"> </v>
      </c>
      <c r="C219" s="249" t="str">
        <f t="shared" si="339"/>
        <v xml:space="preserve"> </v>
      </c>
      <c r="D219" s="250" t="str">
        <f>IF(A219="N/A"," ",(VLOOKUP(MONTH($A219),Inputs!$A$14:$B$25,2))/1000)</f>
        <v xml:space="preserve"> </v>
      </c>
      <c r="E219" s="304" t="str">
        <f t="shared" si="340"/>
        <v xml:space="preserve"> </v>
      </c>
      <c r="F219" s="251" t="str">
        <f>IF(A219="N/A"," ",Inputs!$F$6)</f>
        <v xml:space="preserve"> </v>
      </c>
      <c r="G219" s="251" t="str">
        <f>IF(A219="N/A"," ",Inputs!$F$9/IF(AND('Pricing Inputs'!$AQ$3&gt;=4,'Pricing Inputs'!$AQ$3&lt;=6),16,IF(AND('Pricing Inputs'!$AQ$3&gt;=7,'Pricing Inputs'!$AQ$3&lt;=9),8,24))/(BA219/BW219))</f>
        <v xml:space="preserve"> </v>
      </c>
      <c r="H219" s="252" t="str">
        <f t="shared" si="341"/>
        <v xml:space="preserve"> </v>
      </c>
      <c r="I219" s="255" t="str">
        <f>VLOOKUP(A219,ScaledPrice,(IF(AND('Pricing Inputs'!$AQ$3&gt;=1,'Pricing Inputs'!$AQ$3&lt;=6),2,4)))</f>
        <v xml:space="preserve"> </v>
      </c>
      <c r="J219" s="255" t="str">
        <f>IF(A219="N/A"," ",IF(AND('Pricing Inputs'!$AQ$3&gt;=1,'Pricing Inputs'!$AQ$3&lt;=6),I219,(VLOOKUP(A219,ScaledPrice,2))*(2-(VLOOKUP(A219,ScaledPrice,3)))))</f>
        <v xml:space="preserve"> </v>
      </c>
      <c r="K219" s="255" t="str">
        <f>IF(A219="N/A"," ",IF(OR('Pricing Inputs'!$AQ$3=2,'Pricing Inputs'!$AQ$3=3,'Pricing Inputs'!$AQ$3=5,'Pricing Inputs'!$AQ$3=6,'Pricing Inputs'!$AQ$3=8,'Pricing Inputs'!$AQ$3=9),VLOOKUP(A219,ScaledPrice,IF(AND('Pricing Inputs'!$AQ$3&gt;=2,'Pricing Inputs'!$AQ$3&lt;=6),5,6)),0))</f>
        <v xml:space="preserve"> </v>
      </c>
      <c r="L219" s="255" t="str">
        <f>IF(A219="N/A"," ",IF(OR('Pricing Inputs'!$AQ$3=2,'Pricing Inputs'!$AQ$3=3,'Pricing Inputs'!$AQ$3=5,'Pricing Inputs'!$AQ$3=6,'Pricing Inputs'!$AQ$3=8,'Pricing Inputs'!$AQ$3=9),IF(AND('Pricing Inputs'!$AQ$3&gt;=2,'Pricing Inputs'!$AQ$3&lt;=6),K219,(VLOOKUP(A219,ScaledPrice,5))*(2-(VLOOKUP(A219,ScaledPrice,3)))),0))</f>
        <v xml:space="preserve"> </v>
      </c>
      <c r="M219" s="255" t="str">
        <f>IF(A219="N/A"," ",IF(OR('Pricing Inputs'!$AQ$3=3,'Pricing Inputs'!$AQ$3=6,'Pricing Inputs'!$AQ$3=9),(VLOOKUP(A219,ScaledPrice,IF(AND('Pricing Inputs'!$AQ$3&gt;=3,'Pricing Inputs'!$AQ$3&lt;=6),7,8))),0))</f>
        <v xml:space="preserve"> </v>
      </c>
      <c r="N219" s="255" t="str">
        <f>IF(A219="N/A"," ",IF(OR('Pricing Inputs'!$AQ$3=3,'Pricing Inputs'!$AQ$3=6,'Pricing Inputs'!$AQ$3=9),IF(AND('Pricing Inputs'!$AQ$3&gt;=3,'Pricing Inputs'!$AQ$3&lt;=6),M219,(VLOOKUP(A219,ScaledPrice,7))*(2-(VLOOKUP(A219,ScaledPrice,3)))),0))</f>
        <v xml:space="preserve"> </v>
      </c>
      <c r="O219" s="255" t="str">
        <f>IF(A219="N/A"," ",IF(AND('Pricing Inputs'!$AQ$3&gt;=1,'Pricing Inputs'!$AQ$3&lt;=3),VLOOKUP(A219,ScaledPrice,9),0))</f>
        <v xml:space="preserve"> </v>
      </c>
      <c r="P219" s="320" t="str">
        <f>IF($A219="N/A"," ",IF('Pricing Inputs'!$AN$8=2,(I219-H219),IF('Pricing Inputs'!$AN$3=2,IF((I219-$H219)&gt;0,I219-$H219,0),(_xll.xSPRDOPT(I219,$E219,$BU219,0,$BP219,$BS219,$BT219,($A219-Inputs!$D$1)+15,1,0)))))</f>
        <v xml:space="preserve"> </v>
      </c>
      <c r="Q219" s="320" t="str">
        <f>IF($A219="N/A"," ",IF('Pricing Inputs'!$AN$8=2,(J219-$H219),IF('Pricing Inputs'!$AN$3=2,IF((J219-$H219)&gt;0,J219-$H219,0),(_xll.xSPRDOPT(J219,$E219,$BU219,0,$BP219,$BS219,$BT219,($A219-Inputs!$D$1)+15,1,0)))))</f>
        <v xml:space="preserve"> </v>
      </c>
      <c r="R219" s="320" t="str">
        <f>IF($A219="N/A"," ",IF('Pricing Inputs'!$AN$8=2,(K219-$H219),IF('Pricing Inputs'!$AN$3=2,IF((K219-$H219)&gt;0,K219-$H219,0),(_xll.xSPRDOPT(K219,$E219,$BU219,0,$BP219,$BS219,$BT219,($A219-Inputs!$D$1)+15,1,0)))))</f>
        <v xml:space="preserve"> </v>
      </c>
      <c r="S219" s="320" t="str">
        <f>IF($A219="N/A"," ",IF('Pricing Inputs'!$AN$8=2,(L219-$H219),IF('Pricing Inputs'!$AN$3=2,IF((L219-$H219)&gt;0,L219-$H219,0),(_xll.xSPRDOPT(L219,$E219,$BU219,0,$BP219,$BS219,$BT219,($A219-Inputs!$D$1)+15,1,0)))))</f>
        <v xml:space="preserve"> </v>
      </c>
      <c r="T219" s="320" t="str">
        <f>IF($A219="N/A"," ",IF('Pricing Inputs'!$AN$8=2,(M219-$H219),IF('Pricing Inputs'!$AN$3=2,IF((M219-$H219)&gt;0,M219-$H219,0),(_xll.xSPRDOPT(M219,$E219,$BU219,0,$BP219,$BS219,$BT219,($A219-Inputs!$D$1)+15,1,0)))))</f>
        <v xml:space="preserve"> </v>
      </c>
      <c r="U219" s="320" t="str">
        <f>IF($A219="N/A"," ",IF('Pricing Inputs'!$AN$8=2,(N219-$H219),IF('Pricing Inputs'!$AN$3=2,IF((N219-$H219)&gt;0,N219-$H219,0),(_xll.xSPRDOPT(N219,$E219,$BU219,0,$BP219,$BS219,$BT219,($A219-Inputs!$D$1)+15,1,0)))))</f>
        <v xml:space="preserve"> </v>
      </c>
      <c r="V219" s="259" t="str">
        <f>IF($A219="N/A"," ",(IF('Pricing Inputs'!$AN$8=2,(O219-$H219),IF((O219-$H219)&lt;=0,0,(O219-$H219)))))</f>
        <v xml:space="preserve"> </v>
      </c>
      <c r="W219" s="306" t="str">
        <f>IF($A219="N/A"," ",IF(0&lt;&gt;P219,IF('Pricing Inputs'!$AN$3=2,8*VLOOKUP($A219,NumberofDaysTable,2),(_xll.xSPRDOPT(I219,$E219,$BU219,0,$BP219,$BS219,$BT219,$A219-Inputs!$D$1,1,1))*(8*VLOOKUP($A219,NumberofDaysTable,2))),0))</f>
        <v xml:space="preserve"> </v>
      </c>
      <c r="X219" s="306" t="str">
        <f>IF($A219="N/A"," ",IF(Q219&lt;&gt;0,IF('Pricing Inputs'!$AN$3=2,8*VLOOKUP($A219,NumberofDaysTable,2),(_xll.xSPRDOPT(J219,$E219,$BU219,0,$BP219,$BS219,$BT219,$A219-Inputs!$D$1,1,1))*(8*VLOOKUP($A219,NumberofDaysTable,2))),0))</f>
        <v xml:space="preserve"> </v>
      </c>
      <c r="Y219" s="306" t="str">
        <f>IF($A219="N/A"," ",IF(R219&lt;&gt;0,IF('Pricing Inputs'!$AN$3=2,8*VLOOKUP($A219,NumberofDaysTable,3),(_xll.xSPRDOPT(K219,$E219,$BU219,0,$BP219,$BS219,$BT219,$A219-Inputs!$D$1,1,1))*(8*VLOOKUP($A219,NumberofDaysTable,3))),0))</f>
        <v xml:space="preserve"> </v>
      </c>
      <c r="Z219" s="306" t="str">
        <f>IF($A219="N/A"," ",IF(S219&lt;&gt;0,IF('Pricing Inputs'!$AN$3=2,8*VLOOKUP($A219,NumberofDaysTable,3),(_xll.xSPRDOPT(L219,$E219,$BU219,0,$BP219,$BS219,$BT219,$A219-Inputs!$D$1,1,1))*(8*VLOOKUP($A219,NumberofDaysTable,3))),0))</f>
        <v xml:space="preserve"> </v>
      </c>
      <c r="AA219" s="306" t="str">
        <f>IF($A219="N/A"," ",IF(T219&lt;&gt;0,IF('Pricing Inputs'!$AN$3=2,8*VLOOKUP($A219,NumberofDaysTable,4),(_xll.xSPRDOPT(M219,$E219,$BU219,0,$BP219,$BS219,$BT219,$A219-Inputs!$D$1,1,1))*(8*VLOOKUP($A219,NumberofDaysTable,4))),0))</f>
        <v xml:space="preserve"> </v>
      </c>
      <c r="AB219" s="306" t="str">
        <f>IF($A219="N/A"," ",IF(U219&lt;&gt;0,IF('Pricing Inputs'!$AN$3=2,8*VLOOKUP($A219,NumberofDaysTable,4),(_xll.xSPRDOPT(N219,$E219,$BU219,0,$BP219,$BS219,$BT219,$A219-Inputs!$D$1,1,1))*(8*VLOOKUP($A219,NumberofDaysTable,4))),0))</f>
        <v xml:space="preserve"> </v>
      </c>
      <c r="AC219" s="306" t="str">
        <f t="shared" si="342"/>
        <v xml:space="preserve"> </v>
      </c>
      <c r="AD219" s="277" t="str">
        <f t="shared" si="375"/>
        <v xml:space="preserve"> </v>
      </c>
      <c r="AE219" s="278" t="str">
        <f t="shared" si="376"/>
        <v xml:space="preserve"> </v>
      </c>
      <c r="AF219" s="278" t="str">
        <f t="shared" si="377"/>
        <v xml:space="preserve"> </v>
      </c>
      <c r="AG219" s="278" t="str">
        <f t="shared" si="378"/>
        <v xml:space="preserve"> </v>
      </c>
      <c r="AH219" s="278" t="str">
        <f t="shared" si="379"/>
        <v xml:space="preserve"> </v>
      </c>
      <c r="AI219" s="278" t="str">
        <f t="shared" si="380"/>
        <v xml:space="preserve"> </v>
      </c>
      <c r="AJ219" s="279" t="str">
        <f t="shared" si="381"/>
        <v xml:space="preserve"> </v>
      </c>
      <c r="AK219" s="316" t="str">
        <f t="shared" si="361"/>
        <v xml:space="preserve"> </v>
      </c>
      <c r="AL219" s="317" t="str">
        <f t="shared" si="362"/>
        <v xml:space="preserve"> </v>
      </c>
      <c r="AM219" s="317" t="str">
        <f t="shared" si="363"/>
        <v xml:space="preserve"> </v>
      </c>
      <c r="AN219" s="317" t="str">
        <f t="shared" si="364"/>
        <v xml:space="preserve"> </v>
      </c>
      <c r="AO219" s="317" t="str">
        <f t="shared" si="365"/>
        <v xml:space="preserve"> </v>
      </c>
      <c r="AP219" s="317" t="str">
        <f t="shared" si="366"/>
        <v xml:space="preserve"> </v>
      </c>
      <c r="AQ219" s="317" t="str">
        <f t="shared" si="367"/>
        <v xml:space="preserve"> </v>
      </c>
      <c r="AR219" s="279">
        <f>IF(($AP$2-AR218)&gt;=0,$AP$2-AR218,0)</f>
        <v>1400</v>
      </c>
      <c r="AS219" s="325" t="str">
        <f t="shared" si="368"/>
        <v xml:space="preserve"> </v>
      </c>
      <c r="AT219" s="326" t="str">
        <f t="shared" si="369"/>
        <v xml:space="preserve"> </v>
      </c>
      <c r="AU219" s="326" t="str">
        <f t="shared" si="370"/>
        <v xml:space="preserve"> </v>
      </c>
      <c r="AV219" s="326" t="str">
        <f t="shared" si="371"/>
        <v xml:space="preserve"> </v>
      </c>
      <c r="AW219" s="326" t="str">
        <f t="shared" si="372"/>
        <v xml:space="preserve"> </v>
      </c>
      <c r="AX219" s="326" t="str">
        <f t="shared" si="373"/>
        <v xml:space="preserve"> </v>
      </c>
      <c r="AY219" s="326" t="str">
        <f t="shared" si="374"/>
        <v xml:space="preserve"> </v>
      </c>
      <c r="AZ219" s="285">
        <f>AR218+AZ218</f>
        <v>0</v>
      </c>
      <c r="BA219" s="267" t="str">
        <f>IF($A219="N/A"," ",(IF(MONTH(A219)&gt;=4,IF(MONTH(A219)&lt;=10,Inputs!$F$13,Inputs!$F$14),Inputs!$F$14))*$BW219)</f>
        <v xml:space="preserve"> </v>
      </c>
      <c r="BB219" s="268" t="str">
        <f t="shared" si="382"/>
        <v xml:space="preserve"> </v>
      </c>
      <c r="BC219" s="268" t="str">
        <f t="shared" si="383"/>
        <v xml:space="preserve"> </v>
      </c>
      <c r="BD219" s="268" t="str">
        <f t="shared" si="350"/>
        <v xml:space="preserve"> </v>
      </c>
      <c r="BE219" s="268" t="str">
        <f t="shared" si="351"/>
        <v xml:space="preserve"> </v>
      </c>
      <c r="BF219" s="268" t="str">
        <f t="shared" si="352"/>
        <v xml:space="preserve"> </v>
      </c>
      <c r="BG219" s="268" t="str">
        <f t="shared" si="353"/>
        <v xml:space="preserve"> </v>
      </c>
      <c r="BH219" s="268" t="str">
        <f t="shared" si="359"/>
        <v xml:space="preserve"> </v>
      </c>
      <c r="BI219" s="268" t="str">
        <f t="shared" si="354"/>
        <v xml:space="preserve"> </v>
      </c>
      <c r="BJ219" s="296" t="str">
        <f t="shared" si="355"/>
        <v xml:space="preserve"> </v>
      </c>
      <c r="BK219" s="296" t="str">
        <f t="shared" si="356"/>
        <v xml:space="preserve"> </v>
      </c>
      <c r="BL219" s="296" t="str">
        <f t="shared" si="357"/>
        <v xml:space="preserve"> </v>
      </c>
      <c r="BM219" s="296" t="str">
        <f t="shared" si="358"/>
        <v xml:space="preserve"> </v>
      </c>
      <c r="BN219" s="405" t="str">
        <f>IF(A219="N/A"," ",(VLOOKUP(A219,PowerVolTable,(IF('Pricing Inputs'!$AT$3=2,7,IF('Pricing Inputs'!$AT$3=1,6,8))),FALSE)))</f>
        <v xml:space="preserve"> </v>
      </c>
      <c r="BO219" s="405" t="str">
        <f>IF(A219="N/A"," ",(VLOOKUP(A219,IntraPowerVol,(IF('Pricing Inputs'!$AT$3=2,3,IF('Pricing Inputs'!$AT$3=1,2,4))),FALSE)*VLOOKUP(MONTH($A219),Inputs!$A$28:$B$39,2)))</f>
        <v xml:space="preserve"> </v>
      </c>
      <c r="BP219" s="406" t="str">
        <f t="shared" si="336"/>
        <v xml:space="preserve"> </v>
      </c>
      <c r="BQ219" s="405" t="str">
        <f>IF($A219="N/A"," ",(VLOOKUP($A219,GasVolTable,(IF('Pricing Inputs'!$AT$3=2,6,IF('Pricing Inputs'!$AT$3=1,7,5))),FALSE)))</f>
        <v xml:space="preserve"> </v>
      </c>
      <c r="BR219" s="405" t="str">
        <f>IF($A219="N/A"," ",(VLOOKUP($A219,OmicronVol,(IF('Pricing Inputs'!$AT$3=2,3,IF('Pricing Inputs'!$AT$3=1,4,2))),FALSE)))</f>
        <v xml:space="preserve"> </v>
      </c>
      <c r="BS219" s="406" t="str">
        <f>IF($A219="N/A"," ",IF('Pricing Inputs'!$AN$3=1,(IF(DateToday&gt;$A219,$BR219,((($BQ219^2)*((($A219-1)-DateToday)/((EOMONTH($A219,0)+1)-DateToday-15)))+((($BR219)^2)*((15)/((EOMONTH($A219,0)+1)-DateToday-15))))^0.5)),0.0001))</f>
        <v xml:space="preserve"> </v>
      </c>
      <c r="BT219" s="405" t="str">
        <f>IF($A219="N/A"," ",IF('Pricing Inputs'!$AN$3=1,(VLOOKUP($A219,CorrelationTable,2,FALSE)),0))</f>
        <v xml:space="preserve"> </v>
      </c>
      <c r="BU219" s="407" t="str">
        <f>IF($A219="N/A"," ",F219+G219+(D219*(VLOOKUP($A219,'Gas Curves'!$B$17:$P$310,14,FALSE))))</f>
        <v xml:space="preserve"> </v>
      </c>
      <c r="BV219" s="405" t="str">
        <f>IF($A219="N/A"," ",IF('Pricing Inputs'!$AW$3=1,0,(VLOOKUP($A219,InterestRatesTable,2))))</f>
        <v xml:space="preserve"> </v>
      </c>
      <c r="BW219" s="408" t="str">
        <f t="shared" si="337"/>
        <v xml:space="preserve"> </v>
      </c>
    </row>
    <row r="220" spans="1:75">
      <c r="A220" s="248" t="str">
        <f>IF(A219="N/A","N/A",IF(EDATE(A219,1)&gt;Inputs!$K$3,"N/A",EDATE(A219,1)))</f>
        <v>N/A</v>
      </c>
      <c r="B220" s="262" t="str">
        <f t="shared" si="338"/>
        <v xml:space="preserve"> </v>
      </c>
      <c r="C220" s="249" t="str">
        <f t="shared" si="339"/>
        <v xml:space="preserve"> </v>
      </c>
      <c r="D220" s="250" t="str">
        <f>IF(A220="N/A"," ",(VLOOKUP(MONTH($A220),Inputs!$A$14:$B$25,2))/1000)</f>
        <v xml:space="preserve"> </v>
      </c>
      <c r="E220" s="304" t="str">
        <f t="shared" si="340"/>
        <v xml:space="preserve"> </v>
      </c>
      <c r="F220" s="251" t="str">
        <f>IF(A220="N/A"," ",Inputs!$F$6)</f>
        <v xml:space="preserve"> </v>
      </c>
      <c r="G220" s="251" t="str">
        <f>IF(A220="N/A"," ",Inputs!$F$9/IF(AND('Pricing Inputs'!$AQ$3&gt;=4,'Pricing Inputs'!$AQ$3&lt;=6),16,IF(AND('Pricing Inputs'!$AQ$3&gt;=7,'Pricing Inputs'!$AQ$3&lt;=9),8,24))/(BA220/BW220))</f>
        <v xml:space="preserve"> </v>
      </c>
      <c r="H220" s="252" t="str">
        <f t="shared" si="341"/>
        <v xml:space="preserve"> </v>
      </c>
      <c r="I220" s="255" t="str">
        <f>VLOOKUP(A220,ScaledPrice,(IF(AND('Pricing Inputs'!$AQ$3&gt;=1,'Pricing Inputs'!$AQ$3&lt;=6),2,4)))</f>
        <v xml:space="preserve"> </v>
      </c>
      <c r="J220" s="255" t="str">
        <f>IF(A220="N/A"," ",IF(AND('Pricing Inputs'!$AQ$3&gt;=1,'Pricing Inputs'!$AQ$3&lt;=6),I220,(VLOOKUP(A220,ScaledPrice,2))*(2-(VLOOKUP(A220,ScaledPrice,3)))))</f>
        <v xml:space="preserve"> </v>
      </c>
      <c r="K220" s="255" t="str">
        <f>IF(A220="N/A"," ",IF(OR('Pricing Inputs'!$AQ$3=2,'Pricing Inputs'!$AQ$3=3,'Pricing Inputs'!$AQ$3=5,'Pricing Inputs'!$AQ$3=6,'Pricing Inputs'!$AQ$3=8,'Pricing Inputs'!$AQ$3=9),VLOOKUP(A220,ScaledPrice,IF(AND('Pricing Inputs'!$AQ$3&gt;=2,'Pricing Inputs'!$AQ$3&lt;=6),5,6)),0))</f>
        <v xml:space="preserve"> </v>
      </c>
      <c r="L220" s="255" t="str">
        <f>IF(A220="N/A"," ",IF(OR('Pricing Inputs'!$AQ$3=2,'Pricing Inputs'!$AQ$3=3,'Pricing Inputs'!$AQ$3=5,'Pricing Inputs'!$AQ$3=6,'Pricing Inputs'!$AQ$3=8,'Pricing Inputs'!$AQ$3=9),IF(AND('Pricing Inputs'!$AQ$3&gt;=2,'Pricing Inputs'!$AQ$3&lt;=6),K220,(VLOOKUP(A220,ScaledPrice,5))*(2-(VLOOKUP(A220,ScaledPrice,3)))),0))</f>
        <v xml:space="preserve"> </v>
      </c>
      <c r="M220" s="255" t="str">
        <f>IF(A220="N/A"," ",IF(OR('Pricing Inputs'!$AQ$3=3,'Pricing Inputs'!$AQ$3=6,'Pricing Inputs'!$AQ$3=9),(VLOOKUP(A220,ScaledPrice,IF(AND('Pricing Inputs'!$AQ$3&gt;=3,'Pricing Inputs'!$AQ$3&lt;=6),7,8))),0))</f>
        <v xml:space="preserve"> </v>
      </c>
      <c r="N220" s="255" t="str">
        <f>IF(A220="N/A"," ",IF(OR('Pricing Inputs'!$AQ$3=3,'Pricing Inputs'!$AQ$3=6,'Pricing Inputs'!$AQ$3=9),IF(AND('Pricing Inputs'!$AQ$3&gt;=3,'Pricing Inputs'!$AQ$3&lt;=6),M220,(VLOOKUP(A220,ScaledPrice,7))*(2-(VLOOKUP(A220,ScaledPrice,3)))),0))</f>
        <v xml:space="preserve"> </v>
      </c>
      <c r="O220" s="255" t="str">
        <f>IF(A220="N/A"," ",IF(AND('Pricing Inputs'!$AQ$3&gt;=1,'Pricing Inputs'!$AQ$3&lt;=3),VLOOKUP(A220,ScaledPrice,9),0))</f>
        <v xml:space="preserve"> </v>
      </c>
      <c r="P220" s="320" t="str">
        <f>IF($A220="N/A"," ",IF('Pricing Inputs'!$AN$8=2,(I220-H220),IF('Pricing Inputs'!$AN$3=2,IF((I220-$H220)&gt;0,I220-$H220,0),(_xll.xSPRDOPT(I220,$E220,$BU220,0,$BP220,$BS220,$BT220,($A220-Inputs!$D$1)+15,1,0)))))</f>
        <v xml:space="preserve"> </v>
      </c>
      <c r="Q220" s="320" t="str">
        <f>IF($A220="N/A"," ",IF('Pricing Inputs'!$AN$8=2,(J220-$H220),IF('Pricing Inputs'!$AN$3=2,IF((J220-$H220)&gt;0,J220-$H220,0),(_xll.xSPRDOPT(J220,$E220,$BU220,0,$BP220,$BS220,$BT220,($A220-Inputs!$D$1)+15,1,0)))))</f>
        <v xml:space="preserve"> </v>
      </c>
      <c r="R220" s="320" t="str">
        <f>IF($A220="N/A"," ",IF('Pricing Inputs'!$AN$8=2,(K220-$H220),IF('Pricing Inputs'!$AN$3=2,IF((K220-$H220)&gt;0,K220-$H220,0),(_xll.xSPRDOPT(K220,$E220,$BU220,0,$BP220,$BS220,$BT220,($A220-Inputs!$D$1)+15,1,0)))))</f>
        <v xml:space="preserve"> </v>
      </c>
      <c r="S220" s="320" t="str">
        <f>IF($A220="N/A"," ",IF('Pricing Inputs'!$AN$8=2,(L220-$H220),IF('Pricing Inputs'!$AN$3=2,IF((L220-$H220)&gt;0,L220-$H220,0),(_xll.xSPRDOPT(L220,$E220,$BU220,0,$BP220,$BS220,$BT220,($A220-Inputs!$D$1)+15,1,0)))))</f>
        <v xml:space="preserve"> </v>
      </c>
      <c r="T220" s="320" t="str">
        <f>IF($A220="N/A"," ",IF('Pricing Inputs'!$AN$8=2,(M220-$H220),IF('Pricing Inputs'!$AN$3=2,IF((M220-$H220)&gt;0,M220-$H220,0),(_xll.xSPRDOPT(M220,$E220,$BU220,0,$BP220,$BS220,$BT220,($A220-Inputs!$D$1)+15,1,0)))))</f>
        <v xml:space="preserve"> </v>
      </c>
      <c r="U220" s="320" t="str">
        <f>IF($A220="N/A"," ",IF('Pricing Inputs'!$AN$8=2,(N220-$H220),IF('Pricing Inputs'!$AN$3=2,IF((N220-$H220)&gt;0,N220-$H220,0),(_xll.xSPRDOPT(N220,$E220,$BU220,0,$BP220,$BS220,$BT220,($A220-Inputs!$D$1)+15,1,0)))))</f>
        <v xml:space="preserve"> </v>
      </c>
      <c r="V220" s="259" t="str">
        <f>IF($A220="N/A"," ",(IF('Pricing Inputs'!$AN$8=2,(O220-$H220),IF((O220-$H220)&lt;=0,0,(O220-$H220)))))</f>
        <v xml:space="preserve"> </v>
      </c>
      <c r="W220" s="306" t="str">
        <f>IF($A220="N/A"," ",IF(0&lt;&gt;P220,IF('Pricing Inputs'!$AN$3=2,8*VLOOKUP($A220,NumberofDaysTable,2),(_xll.xSPRDOPT(I220,$E220,$BU220,0,$BP220,$BS220,$BT220,$A220-Inputs!$D$1,1,1))*(8*VLOOKUP($A220,NumberofDaysTable,2))),0))</f>
        <v xml:space="preserve"> </v>
      </c>
      <c r="X220" s="306" t="str">
        <f>IF($A220="N/A"," ",IF(Q220&lt;&gt;0,IF('Pricing Inputs'!$AN$3=2,8*VLOOKUP($A220,NumberofDaysTable,2),(_xll.xSPRDOPT(J220,$E220,$BU220,0,$BP220,$BS220,$BT220,$A220-Inputs!$D$1,1,1))*(8*VLOOKUP($A220,NumberofDaysTable,2))),0))</f>
        <v xml:space="preserve"> </v>
      </c>
      <c r="Y220" s="306" t="str">
        <f>IF($A220="N/A"," ",IF(R220&lt;&gt;0,IF('Pricing Inputs'!$AN$3=2,8*VLOOKUP($A220,NumberofDaysTable,3),(_xll.xSPRDOPT(K220,$E220,$BU220,0,$BP220,$BS220,$BT220,$A220-Inputs!$D$1,1,1))*(8*VLOOKUP($A220,NumberofDaysTable,3))),0))</f>
        <v xml:space="preserve"> </v>
      </c>
      <c r="Z220" s="306" t="str">
        <f>IF($A220="N/A"," ",IF(S220&lt;&gt;0,IF('Pricing Inputs'!$AN$3=2,8*VLOOKUP($A220,NumberofDaysTable,3),(_xll.xSPRDOPT(L220,$E220,$BU220,0,$BP220,$BS220,$BT220,$A220-Inputs!$D$1,1,1))*(8*VLOOKUP($A220,NumberofDaysTable,3))),0))</f>
        <v xml:space="preserve"> </v>
      </c>
      <c r="AA220" s="306" t="str">
        <f>IF($A220="N/A"," ",IF(T220&lt;&gt;0,IF('Pricing Inputs'!$AN$3=2,8*VLOOKUP($A220,NumberofDaysTable,4),(_xll.xSPRDOPT(M220,$E220,$BU220,0,$BP220,$BS220,$BT220,$A220-Inputs!$D$1,1,1))*(8*VLOOKUP($A220,NumberofDaysTable,4))),0))</f>
        <v xml:space="preserve"> </v>
      </c>
      <c r="AB220" s="306" t="str">
        <f>IF($A220="N/A"," ",IF(U220&lt;&gt;0,IF('Pricing Inputs'!$AN$3=2,8*VLOOKUP($A220,NumberofDaysTable,4),(_xll.xSPRDOPT(N220,$E220,$BU220,0,$BP220,$BS220,$BT220,$A220-Inputs!$D$1,1,1))*(8*VLOOKUP($A220,NumberofDaysTable,4))),0))</f>
        <v xml:space="preserve"> </v>
      </c>
      <c r="AC220" s="306" t="str">
        <f t="shared" si="342"/>
        <v xml:space="preserve"> </v>
      </c>
      <c r="AD220" s="271" t="str">
        <f t="shared" ref="AD220:AJ220" si="384">IF($A220="N/A"," ",RANK(P220,$P$220:$V$231))</f>
        <v xml:space="preserve"> </v>
      </c>
      <c r="AE220" s="272" t="str">
        <f t="shared" si="384"/>
        <v xml:space="preserve"> </v>
      </c>
      <c r="AF220" s="272" t="str">
        <f t="shared" si="384"/>
        <v xml:space="preserve"> </v>
      </c>
      <c r="AG220" s="272" t="str">
        <f t="shared" si="384"/>
        <v xml:space="preserve"> </v>
      </c>
      <c r="AH220" s="272" t="str">
        <f t="shared" si="384"/>
        <v xml:space="preserve"> </v>
      </c>
      <c r="AI220" s="272" t="str">
        <f t="shared" si="384"/>
        <v xml:space="preserve"> </v>
      </c>
      <c r="AJ220" s="273" t="str">
        <f t="shared" si="384"/>
        <v xml:space="preserve"> </v>
      </c>
      <c r="AK220" s="312" t="str">
        <f t="shared" si="361"/>
        <v xml:space="preserve"> </v>
      </c>
      <c r="AL220" s="313" t="str">
        <f t="shared" si="362"/>
        <v xml:space="preserve"> </v>
      </c>
      <c r="AM220" s="313" t="str">
        <f t="shared" si="363"/>
        <v xml:space="preserve"> </v>
      </c>
      <c r="AN220" s="313" t="str">
        <f t="shared" si="364"/>
        <v xml:space="preserve"> </v>
      </c>
      <c r="AO220" s="313" t="str">
        <f t="shared" si="365"/>
        <v xml:space="preserve"> </v>
      </c>
      <c r="AP220" s="313" t="str">
        <f t="shared" si="366"/>
        <v xml:space="preserve"> </v>
      </c>
      <c r="AQ220" s="313" t="str">
        <f t="shared" si="367"/>
        <v xml:space="preserve"> </v>
      </c>
      <c r="AR220" s="273"/>
      <c r="AS220" s="327" t="str">
        <f t="shared" ref="AS220:AS231" si="385">IF($A220="N/A"," ",IF(AND(AD220=$AJ$2+1,AK220=0),MIN($AR$231,W220),0))</f>
        <v xml:space="preserve"> </v>
      </c>
      <c r="AT220" s="322" t="str">
        <f t="shared" ref="AT220:AT231" si="386">IF($A220="N/A"," ",IF(AND(AE220=$AJ$2+1,AL220=0),MIN($AR$231,X220),0))</f>
        <v xml:space="preserve"> </v>
      </c>
      <c r="AU220" s="322" t="str">
        <f t="shared" ref="AU220:AU231" si="387">IF($A220="N/A"," ",IF(AND(AF220=$AJ$2+1,AM220=0),MIN($AR$231,Y220),0))</f>
        <v xml:space="preserve"> </v>
      </c>
      <c r="AV220" s="322" t="str">
        <f t="shared" ref="AV220:AV231" si="388">IF($A220="N/A"," ",IF(AND(AG220=$AJ$2+1,AN220=0),MIN($AR$231,Z220),0))</f>
        <v xml:space="preserve"> </v>
      </c>
      <c r="AW220" s="322" t="str">
        <f t="shared" ref="AW220:AW231" si="389">IF($A220="N/A"," ",IF(AND(AH220=$AJ$2+1,AO220=0),MIN($AR$231,AA220),0))</f>
        <v xml:space="preserve"> </v>
      </c>
      <c r="AX220" s="322" t="str">
        <f t="shared" ref="AX220:AX231" si="390">IF($A220="N/A"," ",IF(AND(AI220=$AJ$2+1,AP220=0),MIN($AR$231,AB220),0))</f>
        <v xml:space="preserve"> </v>
      </c>
      <c r="AY220" s="322" t="str">
        <f t="shared" ref="AY220:AY231" si="391">IF($A220="N/A"," ",IF(AND(AJ220=$AJ$2+1,AQ220=0),MIN($AR$231,AC220),0))</f>
        <v xml:space="preserve"> </v>
      </c>
      <c r="AZ220" s="273"/>
      <c r="BA220" s="267" t="str">
        <f>IF($A220="N/A"," ",(IF(MONTH(A220)&gt;=4,IF(MONTH(A220)&lt;=10,Inputs!$F$13,Inputs!$F$14),Inputs!$F$14))*$BW220)</f>
        <v xml:space="preserve"> </v>
      </c>
      <c r="BB220" s="268" t="str">
        <f t="shared" si="382"/>
        <v xml:space="preserve"> </v>
      </c>
      <c r="BC220" s="268" t="str">
        <f t="shared" si="383"/>
        <v xml:space="preserve"> </v>
      </c>
      <c r="BD220" s="268" t="str">
        <f t="shared" si="350"/>
        <v xml:space="preserve"> </v>
      </c>
      <c r="BE220" s="268" t="str">
        <f t="shared" si="351"/>
        <v xml:space="preserve"> </v>
      </c>
      <c r="BF220" s="268" t="str">
        <f t="shared" si="352"/>
        <v xml:space="preserve"> </v>
      </c>
      <c r="BG220" s="268" t="str">
        <f t="shared" si="353"/>
        <v xml:space="preserve"> </v>
      </c>
      <c r="BH220" s="268" t="str">
        <f t="shared" si="359"/>
        <v xml:space="preserve"> </v>
      </c>
      <c r="BI220" s="268" t="str">
        <f t="shared" si="354"/>
        <v xml:space="preserve"> </v>
      </c>
      <c r="BJ220" s="296" t="str">
        <f t="shared" si="355"/>
        <v xml:space="preserve"> </v>
      </c>
      <c r="BK220" s="296" t="str">
        <f t="shared" si="356"/>
        <v xml:space="preserve"> </v>
      </c>
      <c r="BL220" s="296" t="str">
        <f t="shared" si="357"/>
        <v xml:space="preserve"> </v>
      </c>
      <c r="BM220" s="296" t="str">
        <f t="shared" si="358"/>
        <v xml:space="preserve"> </v>
      </c>
      <c r="BN220" s="405" t="str">
        <f>IF(A220="N/A"," ",(VLOOKUP(A220,PowerVolTable,(IF('Pricing Inputs'!$AT$3=2,7,IF('Pricing Inputs'!$AT$3=1,6,8))),FALSE)))</f>
        <v xml:space="preserve"> </v>
      </c>
      <c r="BO220" s="405" t="str">
        <f>IF(A220="N/A"," ",(VLOOKUP(A220,IntraPowerVol,(IF('Pricing Inputs'!$AT$3=2,3,IF('Pricing Inputs'!$AT$3=1,2,4))),FALSE)*VLOOKUP(MONTH($A220),Inputs!$A$28:$B$39,2)))</f>
        <v xml:space="preserve"> </v>
      </c>
      <c r="BP220" s="406" t="str">
        <f t="shared" si="336"/>
        <v xml:space="preserve"> </v>
      </c>
      <c r="BQ220" s="405" t="str">
        <f>IF($A220="N/A"," ",(VLOOKUP($A220,GasVolTable,(IF('Pricing Inputs'!$AT$3=2,6,IF('Pricing Inputs'!$AT$3=1,7,5))),FALSE)))</f>
        <v xml:space="preserve"> </v>
      </c>
      <c r="BR220" s="405" t="str">
        <f>IF($A220="N/A"," ",(VLOOKUP($A220,OmicronVol,(IF('Pricing Inputs'!$AT$3=2,3,IF('Pricing Inputs'!$AT$3=1,4,2))),FALSE)))</f>
        <v xml:space="preserve"> </v>
      </c>
      <c r="BS220" s="406" t="str">
        <f>IF($A220="N/A"," ",IF('Pricing Inputs'!$AN$3=1,(IF(DateToday&gt;$A220,$BR220,((($BQ220^2)*((($A220-1)-DateToday)/((EOMONTH($A220,0)+1)-DateToday-15)))+((($BR220)^2)*((15)/((EOMONTH($A220,0)+1)-DateToday-15))))^0.5)),0.0001))</f>
        <v xml:space="preserve"> </v>
      </c>
      <c r="BT220" s="405" t="str">
        <f>IF($A220="N/A"," ",IF('Pricing Inputs'!$AN$3=1,(VLOOKUP($A220,CorrelationTable,2,FALSE)),0))</f>
        <v xml:space="preserve"> </v>
      </c>
      <c r="BU220" s="407" t="str">
        <f>IF($A220="N/A"," ",F220+G220+(D220*(VLOOKUP($A220,'Gas Curves'!$B$17:$P$310,14,FALSE))))</f>
        <v xml:space="preserve"> </v>
      </c>
      <c r="BV220" s="405" t="str">
        <f>IF($A220="N/A"," ",IF('Pricing Inputs'!$AW$3=1,0,(VLOOKUP($A220,InterestRatesTable,2))))</f>
        <v xml:space="preserve"> </v>
      </c>
      <c r="BW220" s="408" t="str">
        <f t="shared" si="337"/>
        <v xml:space="preserve"> </v>
      </c>
    </row>
    <row r="221" spans="1:75">
      <c r="A221" s="248" t="str">
        <f>IF(A220="N/A","N/A",IF(EDATE(A220,1)&gt;Inputs!$K$3,"N/A",EDATE(A220,1)))</f>
        <v>N/A</v>
      </c>
      <c r="B221" s="262" t="str">
        <f t="shared" si="338"/>
        <v xml:space="preserve"> </v>
      </c>
      <c r="C221" s="249" t="str">
        <f t="shared" si="339"/>
        <v xml:space="preserve"> </v>
      </c>
      <c r="D221" s="250" t="str">
        <f>IF(A221="N/A"," ",(VLOOKUP(MONTH($A221),Inputs!$A$14:$B$25,2))/1000)</f>
        <v xml:space="preserve"> </v>
      </c>
      <c r="E221" s="304" t="str">
        <f t="shared" si="340"/>
        <v xml:space="preserve"> </v>
      </c>
      <c r="F221" s="251" t="str">
        <f>IF(A221="N/A"," ",Inputs!$F$6)</f>
        <v xml:space="preserve"> </v>
      </c>
      <c r="G221" s="251" t="str">
        <f>IF(A221="N/A"," ",Inputs!$F$9/IF(AND('Pricing Inputs'!$AQ$3&gt;=4,'Pricing Inputs'!$AQ$3&lt;=6),16,IF(AND('Pricing Inputs'!$AQ$3&gt;=7,'Pricing Inputs'!$AQ$3&lt;=9),8,24))/(BA221/BW221))</f>
        <v xml:space="preserve"> </v>
      </c>
      <c r="H221" s="252" t="str">
        <f t="shared" si="341"/>
        <v xml:space="preserve"> </v>
      </c>
      <c r="I221" s="255" t="str">
        <f>VLOOKUP(A221,ScaledPrice,(IF(AND('Pricing Inputs'!$AQ$3&gt;=1,'Pricing Inputs'!$AQ$3&lt;=6),2,4)))</f>
        <v xml:space="preserve"> </v>
      </c>
      <c r="J221" s="255" t="str">
        <f>IF(A221="N/A"," ",IF(AND('Pricing Inputs'!$AQ$3&gt;=1,'Pricing Inputs'!$AQ$3&lt;=6),I221,(VLOOKUP(A221,ScaledPrice,2))*(2-(VLOOKUP(A221,ScaledPrice,3)))))</f>
        <v xml:space="preserve"> </v>
      </c>
      <c r="K221" s="255" t="str">
        <f>IF(A221="N/A"," ",IF(OR('Pricing Inputs'!$AQ$3=2,'Pricing Inputs'!$AQ$3=3,'Pricing Inputs'!$AQ$3=5,'Pricing Inputs'!$AQ$3=6,'Pricing Inputs'!$AQ$3=8,'Pricing Inputs'!$AQ$3=9),VLOOKUP(A221,ScaledPrice,IF(AND('Pricing Inputs'!$AQ$3&gt;=2,'Pricing Inputs'!$AQ$3&lt;=6),5,6)),0))</f>
        <v xml:space="preserve"> </v>
      </c>
      <c r="L221" s="255" t="str">
        <f>IF(A221="N/A"," ",IF(OR('Pricing Inputs'!$AQ$3=2,'Pricing Inputs'!$AQ$3=3,'Pricing Inputs'!$AQ$3=5,'Pricing Inputs'!$AQ$3=6,'Pricing Inputs'!$AQ$3=8,'Pricing Inputs'!$AQ$3=9),IF(AND('Pricing Inputs'!$AQ$3&gt;=2,'Pricing Inputs'!$AQ$3&lt;=6),K221,(VLOOKUP(A221,ScaledPrice,5))*(2-(VLOOKUP(A221,ScaledPrice,3)))),0))</f>
        <v xml:space="preserve"> </v>
      </c>
      <c r="M221" s="255" t="str">
        <f>IF(A221="N/A"," ",IF(OR('Pricing Inputs'!$AQ$3=3,'Pricing Inputs'!$AQ$3=6,'Pricing Inputs'!$AQ$3=9),(VLOOKUP(A221,ScaledPrice,IF(AND('Pricing Inputs'!$AQ$3&gt;=3,'Pricing Inputs'!$AQ$3&lt;=6),7,8))),0))</f>
        <v xml:space="preserve"> </v>
      </c>
      <c r="N221" s="255" t="str">
        <f>IF(A221="N/A"," ",IF(OR('Pricing Inputs'!$AQ$3=3,'Pricing Inputs'!$AQ$3=6,'Pricing Inputs'!$AQ$3=9),IF(AND('Pricing Inputs'!$AQ$3&gt;=3,'Pricing Inputs'!$AQ$3&lt;=6),M221,(VLOOKUP(A221,ScaledPrice,7))*(2-(VLOOKUP(A221,ScaledPrice,3)))),0))</f>
        <v xml:space="preserve"> </v>
      </c>
      <c r="O221" s="255" t="str">
        <f>IF(A221="N/A"," ",IF(AND('Pricing Inputs'!$AQ$3&gt;=1,'Pricing Inputs'!$AQ$3&lt;=3),VLOOKUP(A221,ScaledPrice,9),0))</f>
        <v xml:space="preserve"> </v>
      </c>
      <c r="P221" s="320" t="str">
        <f>IF($A221="N/A"," ",IF('Pricing Inputs'!$AN$8=2,(I221-H221),IF('Pricing Inputs'!$AN$3=2,IF((I221-$H221)&gt;0,I221-$H221,0),(_xll.xSPRDOPT(I221,$E221,$BU221,0,$BP221,$BS221,$BT221,($A221-Inputs!$D$1)+15,1,0)))))</f>
        <v xml:space="preserve"> </v>
      </c>
      <c r="Q221" s="320" t="str">
        <f>IF($A221="N/A"," ",IF('Pricing Inputs'!$AN$8=2,(J221-$H221),IF('Pricing Inputs'!$AN$3=2,IF((J221-$H221)&gt;0,J221-$H221,0),(_xll.xSPRDOPT(J221,$E221,$BU221,0,$BP221,$BS221,$BT221,($A221-Inputs!$D$1)+15,1,0)))))</f>
        <v xml:space="preserve"> </v>
      </c>
      <c r="R221" s="320" t="str">
        <f>IF($A221="N/A"," ",IF('Pricing Inputs'!$AN$8=2,(K221-$H221),IF('Pricing Inputs'!$AN$3=2,IF((K221-$H221)&gt;0,K221-$H221,0),(_xll.xSPRDOPT(K221,$E221,$BU221,0,$BP221,$BS221,$BT221,($A221-Inputs!$D$1)+15,1,0)))))</f>
        <v xml:space="preserve"> </v>
      </c>
      <c r="S221" s="320" t="str">
        <f>IF($A221="N/A"," ",IF('Pricing Inputs'!$AN$8=2,(L221-$H221),IF('Pricing Inputs'!$AN$3=2,IF((L221-$H221)&gt;0,L221-$H221,0),(_xll.xSPRDOPT(L221,$E221,$BU221,0,$BP221,$BS221,$BT221,($A221-Inputs!$D$1)+15,1,0)))))</f>
        <v xml:space="preserve"> </v>
      </c>
      <c r="T221" s="320" t="str">
        <f>IF($A221="N/A"," ",IF('Pricing Inputs'!$AN$8=2,(M221-$H221),IF('Pricing Inputs'!$AN$3=2,IF((M221-$H221)&gt;0,M221-$H221,0),(_xll.xSPRDOPT(M221,$E221,$BU221,0,$BP221,$BS221,$BT221,($A221-Inputs!$D$1)+15,1,0)))))</f>
        <v xml:space="preserve"> </v>
      </c>
      <c r="U221" s="320" t="str">
        <f>IF($A221="N/A"," ",IF('Pricing Inputs'!$AN$8=2,(N221-$H221),IF('Pricing Inputs'!$AN$3=2,IF((N221-$H221)&gt;0,N221-$H221,0),(_xll.xSPRDOPT(N221,$E221,$BU221,0,$BP221,$BS221,$BT221,($A221-Inputs!$D$1)+15,1,0)))))</f>
        <v xml:space="preserve"> </v>
      </c>
      <c r="V221" s="259" t="str">
        <f>IF($A221="N/A"," ",(IF('Pricing Inputs'!$AN$8=2,(O221-$H221),IF((O221-$H221)&lt;=0,0,(O221-$H221)))))</f>
        <v xml:space="preserve"> </v>
      </c>
      <c r="W221" s="306" t="str">
        <f>IF($A221="N/A"," ",IF(0&lt;&gt;P221,IF('Pricing Inputs'!$AN$3=2,8*VLOOKUP($A221,NumberofDaysTable,2),(_xll.xSPRDOPT(I221,$E221,$BU221,0,$BP221,$BS221,$BT221,$A221-Inputs!$D$1,1,1))*(8*VLOOKUP($A221,NumberofDaysTable,2))),0))</f>
        <v xml:space="preserve"> </v>
      </c>
      <c r="X221" s="306" t="str">
        <f>IF($A221="N/A"," ",IF(Q221&lt;&gt;0,IF('Pricing Inputs'!$AN$3=2,8*VLOOKUP($A221,NumberofDaysTable,2),(_xll.xSPRDOPT(J221,$E221,$BU221,0,$BP221,$BS221,$BT221,$A221-Inputs!$D$1,1,1))*(8*VLOOKUP($A221,NumberofDaysTable,2))),0))</f>
        <v xml:space="preserve"> </v>
      </c>
      <c r="Y221" s="306" t="str">
        <f>IF($A221="N/A"," ",IF(R221&lt;&gt;0,IF('Pricing Inputs'!$AN$3=2,8*VLOOKUP($A221,NumberofDaysTable,3),(_xll.xSPRDOPT(K221,$E221,$BU221,0,$BP221,$BS221,$BT221,$A221-Inputs!$D$1,1,1))*(8*VLOOKUP($A221,NumberofDaysTable,3))),0))</f>
        <v xml:space="preserve"> </v>
      </c>
      <c r="Z221" s="306" t="str">
        <f>IF($A221="N/A"," ",IF(S221&lt;&gt;0,IF('Pricing Inputs'!$AN$3=2,8*VLOOKUP($A221,NumberofDaysTable,3),(_xll.xSPRDOPT(L221,$E221,$BU221,0,$BP221,$BS221,$BT221,$A221-Inputs!$D$1,1,1))*(8*VLOOKUP($A221,NumberofDaysTable,3))),0))</f>
        <v xml:space="preserve"> </v>
      </c>
      <c r="AA221" s="306" t="str">
        <f>IF($A221="N/A"," ",IF(T221&lt;&gt;0,IF('Pricing Inputs'!$AN$3=2,8*VLOOKUP($A221,NumberofDaysTable,4),(_xll.xSPRDOPT(M221,$E221,$BU221,0,$BP221,$BS221,$BT221,$A221-Inputs!$D$1,1,1))*(8*VLOOKUP($A221,NumberofDaysTable,4))),0))</f>
        <v xml:space="preserve"> </v>
      </c>
      <c r="AB221" s="306" t="str">
        <f>IF($A221="N/A"," ",IF(U221&lt;&gt;0,IF('Pricing Inputs'!$AN$3=2,8*VLOOKUP($A221,NumberofDaysTable,4),(_xll.xSPRDOPT(N221,$E221,$BU221,0,$BP221,$BS221,$BT221,$A221-Inputs!$D$1,1,1))*(8*VLOOKUP($A221,NumberofDaysTable,4))),0))</f>
        <v xml:space="preserve"> </v>
      </c>
      <c r="AC221" s="306" t="str">
        <f t="shared" si="342"/>
        <v xml:space="preserve"> </v>
      </c>
      <c r="AD221" s="274" t="str">
        <f t="shared" ref="AD221:AD231" si="392">IF($A221="N/A"," ",RANK(P221,$P$220:$V$231))</f>
        <v xml:space="preserve"> </v>
      </c>
      <c r="AE221" s="275" t="str">
        <f t="shared" ref="AE221:AE231" si="393">IF($A221="N/A"," ",RANK(Q221,$P$220:$V$231))</f>
        <v xml:space="preserve"> </v>
      </c>
      <c r="AF221" s="275" t="str">
        <f t="shared" ref="AF221:AF231" si="394">IF($A221="N/A"," ",RANK(R221,$P$220:$V$231))</f>
        <v xml:space="preserve"> </v>
      </c>
      <c r="AG221" s="275" t="str">
        <f t="shared" ref="AG221:AG231" si="395">IF($A221="N/A"," ",RANK(S221,$P$220:$V$231))</f>
        <v xml:space="preserve"> </v>
      </c>
      <c r="AH221" s="275" t="str">
        <f t="shared" ref="AH221:AH231" si="396">IF($A221="N/A"," ",RANK(T221,$P$220:$V$231))</f>
        <v xml:space="preserve"> </v>
      </c>
      <c r="AI221" s="275" t="str">
        <f t="shared" ref="AI221:AI231" si="397">IF($A221="N/A"," ",RANK(U221,$P$220:$V$231))</f>
        <v xml:space="preserve"> </v>
      </c>
      <c r="AJ221" s="276" t="str">
        <f t="shared" ref="AJ221:AJ231" si="398">IF($A221="N/A"," ",RANK(V221,$P$220:$V$231))</f>
        <v xml:space="preserve"> </v>
      </c>
      <c r="AK221" s="314" t="str">
        <f t="shared" si="361"/>
        <v xml:space="preserve"> </v>
      </c>
      <c r="AL221" s="315" t="str">
        <f t="shared" si="362"/>
        <v xml:space="preserve"> </v>
      </c>
      <c r="AM221" s="315" t="str">
        <f t="shared" si="363"/>
        <v xml:space="preserve"> </v>
      </c>
      <c r="AN221" s="315" t="str">
        <f t="shared" si="364"/>
        <v xml:space="preserve"> </v>
      </c>
      <c r="AO221" s="315" t="str">
        <f t="shared" si="365"/>
        <v xml:space="preserve"> </v>
      </c>
      <c r="AP221" s="315" t="str">
        <f t="shared" si="366"/>
        <v xml:space="preserve"> </v>
      </c>
      <c r="AQ221" s="315" t="str">
        <f t="shared" si="367"/>
        <v xml:space="preserve"> </v>
      </c>
      <c r="AR221" s="276"/>
      <c r="AS221" s="321" t="str">
        <f t="shared" si="385"/>
        <v xml:space="preserve"> </v>
      </c>
      <c r="AT221" s="324" t="str">
        <f t="shared" si="386"/>
        <v xml:space="preserve"> </v>
      </c>
      <c r="AU221" s="324" t="str">
        <f t="shared" si="387"/>
        <v xml:space="preserve"> </v>
      </c>
      <c r="AV221" s="324" t="str">
        <f t="shared" si="388"/>
        <v xml:space="preserve"> </v>
      </c>
      <c r="AW221" s="324" t="str">
        <f t="shared" si="389"/>
        <v xml:space="preserve"> </v>
      </c>
      <c r="AX221" s="324" t="str">
        <f t="shared" si="390"/>
        <v xml:space="preserve"> </v>
      </c>
      <c r="AY221" s="324" t="str">
        <f t="shared" si="391"/>
        <v xml:space="preserve"> </v>
      </c>
      <c r="AZ221" s="276"/>
      <c r="BA221" s="267" t="str">
        <f>IF($A221="N/A"," ",(IF(MONTH(A221)&gt;=4,IF(MONTH(A221)&lt;=10,Inputs!$F$13,Inputs!$F$14),Inputs!$F$14))*$BW221)</f>
        <v xml:space="preserve"> </v>
      </c>
      <c r="BB221" s="268" t="str">
        <f t="shared" si="382"/>
        <v xml:space="preserve"> </v>
      </c>
      <c r="BC221" s="268" t="str">
        <f t="shared" si="383"/>
        <v xml:space="preserve"> </v>
      </c>
      <c r="BD221" s="268" t="str">
        <f t="shared" si="350"/>
        <v xml:space="preserve"> </v>
      </c>
      <c r="BE221" s="268" t="str">
        <f t="shared" si="351"/>
        <v xml:space="preserve"> </v>
      </c>
      <c r="BF221" s="268" t="str">
        <f t="shared" si="352"/>
        <v xml:space="preserve"> </v>
      </c>
      <c r="BG221" s="268" t="str">
        <f t="shared" si="353"/>
        <v xml:space="preserve"> </v>
      </c>
      <c r="BH221" s="268" t="str">
        <f t="shared" si="359"/>
        <v xml:space="preserve"> </v>
      </c>
      <c r="BI221" s="268" t="str">
        <f t="shared" si="354"/>
        <v xml:space="preserve"> </v>
      </c>
      <c r="BJ221" s="296" t="str">
        <f t="shared" si="355"/>
        <v xml:space="preserve"> </v>
      </c>
      <c r="BK221" s="296" t="str">
        <f t="shared" si="356"/>
        <v xml:space="preserve"> </v>
      </c>
      <c r="BL221" s="296" t="str">
        <f t="shared" si="357"/>
        <v xml:space="preserve"> </v>
      </c>
      <c r="BM221" s="296" t="str">
        <f t="shared" si="358"/>
        <v xml:space="preserve"> </v>
      </c>
      <c r="BN221" s="405" t="str">
        <f>IF(A221="N/A"," ",(VLOOKUP(A221,PowerVolTable,(IF('Pricing Inputs'!$AT$3=2,7,IF('Pricing Inputs'!$AT$3=1,6,8))),FALSE)))</f>
        <v xml:space="preserve"> </v>
      </c>
      <c r="BO221" s="405" t="str">
        <f>IF(A221="N/A"," ",(VLOOKUP(A221,IntraPowerVol,(IF('Pricing Inputs'!$AT$3=2,3,IF('Pricing Inputs'!$AT$3=1,2,4))),FALSE)*VLOOKUP(MONTH($A221),Inputs!$A$28:$B$39,2)))</f>
        <v xml:space="preserve"> </v>
      </c>
      <c r="BP221" s="406" t="str">
        <f t="shared" si="336"/>
        <v xml:space="preserve"> </v>
      </c>
      <c r="BQ221" s="405" t="str">
        <f>IF($A221="N/A"," ",(VLOOKUP($A221,GasVolTable,(IF('Pricing Inputs'!$AT$3=2,6,IF('Pricing Inputs'!$AT$3=1,7,5))),FALSE)))</f>
        <v xml:space="preserve"> </v>
      </c>
      <c r="BR221" s="405" t="str">
        <f>IF($A221="N/A"," ",(VLOOKUP($A221,OmicronVol,(IF('Pricing Inputs'!$AT$3=2,3,IF('Pricing Inputs'!$AT$3=1,4,2))),FALSE)))</f>
        <v xml:space="preserve"> </v>
      </c>
      <c r="BS221" s="406" t="str">
        <f>IF($A221="N/A"," ",IF('Pricing Inputs'!$AN$3=1,(IF(DateToday&gt;$A221,$BR221,((($BQ221^2)*((($A221-1)-DateToday)/((EOMONTH($A221,0)+1)-DateToday-15)))+((($BR221)^2)*((15)/((EOMONTH($A221,0)+1)-DateToday-15))))^0.5)),0.0001))</f>
        <v xml:space="preserve"> </v>
      </c>
      <c r="BT221" s="405" t="str">
        <f>IF($A221="N/A"," ",IF('Pricing Inputs'!$AN$3=1,(VLOOKUP($A221,CorrelationTable,2,FALSE)),0))</f>
        <v xml:space="preserve"> </v>
      </c>
      <c r="BU221" s="407" t="str">
        <f>IF($A221="N/A"," ",F221+G221+(D221*(VLOOKUP($A221,'Gas Curves'!$B$17:$P$310,14,FALSE))))</f>
        <v xml:space="preserve"> </v>
      </c>
      <c r="BV221" s="405" t="str">
        <f>IF($A221="N/A"," ",IF('Pricing Inputs'!$AW$3=1,0,(VLOOKUP($A221,InterestRatesTable,2))))</f>
        <v xml:space="preserve"> </v>
      </c>
      <c r="BW221" s="408" t="str">
        <f t="shared" si="337"/>
        <v xml:space="preserve"> </v>
      </c>
    </row>
    <row r="222" spans="1:75">
      <c r="A222" s="248" t="str">
        <f>IF(A221="N/A","N/A",IF(EDATE(A221,1)&gt;Inputs!$K$3,"N/A",EDATE(A221,1)))</f>
        <v>N/A</v>
      </c>
      <c r="B222" s="262" t="str">
        <f t="shared" si="338"/>
        <v xml:space="preserve"> </v>
      </c>
      <c r="C222" s="249" t="str">
        <f t="shared" si="339"/>
        <v xml:space="preserve"> </v>
      </c>
      <c r="D222" s="250" t="str">
        <f>IF(A222="N/A"," ",(VLOOKUP(MONTH($A222),Inputs!$A$14:$B$25,2))/1000)</f>
        <v xml:space="preserve"> </v>
      </c>
      <c r="E222" s="304" t="str">
        <f t="shared" si="340"/>
        <v xml:space="preserve"> </v>
      </c>
      <c r="F222" s="251" t="str">
        <f>IF(A222="N/A"," ",Inputs!$F$6)</f>
        <v xml:space="preserve"> </v>
      </c>
      <c r="G222" s="251" t="str">
        <f>IF(A222="N/A"," ",Inputs!$F$9/IF(AND('Pricing Inputs'!$AQ$3&gt;=4,'Pricing Inputs'!$AQ$3&lt;=6),16,IF(AND('Pricing Inputs'!$AQ$3&gt;=7,'Pricing Inputs'!$AQ$3&lt;=9),8,24))/(BA222/BW222))</f>
        <v xml:space="preserve"> </v>
      </c>
      <c r="H222" s="252" t="str">
        <f t="shared" si="341"/>
        <v xml:space="preserve"> </v>
      </c>
      <c r="I222" s="255" t="str">
        <f>VLOOKUP(A222,ScaledPrice,(IF(AND('Pricing Inputs'!$AQ$3&gt;=1,'Pricing Inputs'!$AQ$3&lt;=6),2,4)))</f>
        <v xml:space="preserve"> </v>
      </c>
      <c r="J222" s="255" t="str">
        <f>IF(A222="N/A"," ",IF(AND('Pricing Inputs'!$AQ$3&gt;=1,'Pricing Inputs'!$AQ$3&lt;=6),I222,(VLOOKUP(A222,ScaledPrice,2))*(2-(VLOOKUP(A222,ScaledPrice,3)))))</f>
        <v xml:space="preserve"> </v>
      </c>
      <c r="K222" s="255" t="str">
        <f>IF(A222="N/A"," ",IF(OR('Pricing Inputs'!$AQ$3=2,'Pricing Inputs'!$AQ$3=3,'Pricing Inputs'!$AQ$3=5,'Pricing Inputs'!$AQ$3=6,'Pricing Inputs'!$AQ$3=8,'Pricing Inputs'!$AQ$3=9),VLOOKUP(A222,ScaledPrice,IF(AND('Pricing Inputs'!$AQ$3&gt;=2,'Pricing Inputs'!$AQ$3&lt;=6),5,6)),0))</f>
        <v xml:space="preserve"> </v>
      </c>
      <c r="L222" s="255" t="str">
        <f>IF(A222="N/A"," ",IF(OR('Pricing Inputs'!$AQ$3=2,'Pricing Inputs'!$AQ$3=3,'Pricing Inputs'!$AQ$3=5,'Pricing Inputs'!$AQ$3=6,'Pricing Inputs'!$AQ$3=8,'Pricing Inputs'!$AQ$3=9),IF(AND('Pricing Inputs'!$AQ$3&gt;=2,'Pricing Inputs'!$AQ$3&lt;=6),K222,(VLOOKUP(A222,ScaledPrice,5))*(2-(VLOOKUP(A222,ScaledPrice,3)))),0))</f>
        <v xml:space="preserve"> </v>
      </c>
      <c r="M222" s="255" t="str">
        <f>IF(A222="N/A"," ",IF(OR('Pricing Inputs'!$AQ$3=3,'Pricing Inputs'!$AQ$3=6,'Pricing Inputs'!$AQ$3=9),(VLOOKUP(A222,ScaledPrice,IF(AND('Pricing Inputs'!$AQ$3&gt;=3,'Pricing Inputs'!$AQ$3&lt;=6),7,8))),0))</f>
        <v xml:space="preserve"> </v>
      </c>
      <c r="N222" s="255" t="str">
        <f>IF(A222="N/A"," ",IF(OR('Pricing Inputs'!$AQ$3=3,'Pricing Inputs'!$AQ$3=6,'Pricing Inputs'!$AQ$3=9),IF(AND('Pricing Inputs'!$AQ$3&gt;=3,'Pricing Inputs'!$AQ$3&lt;=6),M222,(VLOOKUP(A222,ScaledPrice,7))*(2-(VLOOKUP(A222,ScaledPrice,3)))),0))</f>
        <v xml:space="preserve"> </v>
      </c>
      <c r="O222" s="255" t="str">
        <f>IF(A222="N/A"," ",IF(AND('Pricing Inputs'!$AQ$3&gt;=1,'Pricing Inputs'!$AQ$3&lt;=3),VLOOKUP(A222,ScaledPrice,9),0))</f>
        <v xml:space="preserve"> </v>
      </c>
      <c r="P222" s="320" t="str">
        <f>IF($A222="N/A"," ",IF('Pricing Inputs'!$AN$8=2,(I222-H222),IF('Pricing Inputs'!$AN$3=2,IF((I222-$H222)&gt;0,I222-$H222,0),(_xll.xSPRDOPT(I222,$E222,$BU222,0,$BP222,$BS222,$BT222,($A222-Inputs!$D$1)+15,1,0)))))</f>
        <v xml:space="preserve"> </v>
      </c>
      <c r="Q222" s="320" t="str">
        <f>IF($A222="N/A"," ",IF('Pricing Inputs'!$AN$8=2,(J222-$H222),IF('Pricing Inputs'!$AN$3=2,IF((J222-$H222)&gt;0,J222-$H222,0),(_xll.xSPRDOPT(J222,$E222,$BU222,0,$BP222,$BS222,$BT222,($A222-Inputs!$D$1)+15,1,0)))))</f>
        <v xml:space="preserve"> </v>
      </c>
      <c r="R222" s="320" t="str">
        <f>IF($A222="N/A"," ",IF('Pricing Inputs'!$AN$8=2,(K222-$H222),IF('Pricing Inputs'!$AN$3=2,IF((K222-$H222)&gt;0,K222-$H222,0),(_xll.xSPRDOPT(K222,$E222,$BU222,0,$BP222,$BS222,$BT222,($A222-Inputs!$D$1)+15,1,0)))))</f>
        <v xml:space="preserve"> </v>
      </c>
      <c r="S222" s="320" t="str">
        <f>IF($A222="N/A"," ",IF('Pricing Inputs'!$AN$8=2,(L222-$H222),IF('Pricing Inputs'!$AN$3=2,IF((L222-$H222)&gt;0,L222-$H222,0),(_xll.xSPRDOPT(L222,$E222,$BU222,0,$BP222,$BS222,$BT222,($A222-Inputs!$D$1)+15,1,0)))))</f>
        <v xml:space="preserve"> </v>
      </c>
      <c r="T222" s="320" t="str">
        <f>IF($A222="N/A"," ",IF('Pricing Inputs'!$AN$8=2,(M222-$H222),IF('Pricing Inputs'!$AN$3=2,IF((M222-$H222)&gt;0,M222-$H222,0),(_xll.xSPRDOPT(M222,$E222,$BU222,0,$BP222,$BS222,$BT222,($A222-Inputs!$D$1)+15,1,0)))))</f>
        <v xml:space="preserve"> </v>
      </c>
      <c r="U222" s="320" t="str">
        <f>IF($A222="N/A"," ",IF('Pricing Inputs'!$AN$8=2,(N222-$H222),IF('Pricing Inputs'!$AN$3=2,IF((N222-$H222)&gt;0,N222-$H222,0),(_xll.xSPRDOPT(N222,$E222,$BU222,0,$BP222,$BS222,$BT222,($A222-Inputs!$D$1)+15,1,0)))))</f>
        <v xml:space="preserve"> </v>
      </c>
      <c r="V222" s="259" t="str">
        <f>IF($A222="N/A"," ",(IF('Pricing Inputs'!$AN$8=2,(O222-$H222),IF((O222-$H222)&lt;=0,0,(O222-$H222)))))</f>
        <v xml:space="preserve"> </v>
      </c>
      <c r="W222" s="306" t="str">
        <f>IF($A222="N/A"," ",IF(0&lt;&gt;P222,IF('Pricing Inputs'!$AN$3=2,8*VLOOKUP($A222,NumberofDaysTable,2),(_xll.xSPRDOPT(I222,$E222,$BU222,0,$BP222,$BS222,$BT222,$A222-Inputs!$D$1,1,1))*(8*VLOOKUP($A222,NumberofDaysTable,2))),0))</f>
        <v xml:space="preserve"> </v>
      </c>
      <c r="X222" s="306" t="str">
        <f>IF($A222="N/A"," ",IF(Q222&lt;&gt;0,IF('Pricing Inputs'!$AN$3=2,8*VLOOKUP($A222,NumberofDaysTable,2),(_xll.xSPRDOPT(J222,$E222,$BU222,0,$BP222,$BS222,$BT222,$A222-Inputs!$D$1,1,1))*(8*VLOOKUP($A222,NumberofDaysTable,2))),0))</f>
        <v xml:space="preserve"> </v>
      </c>
      <c r="Y222" s="306" t="str">
        <f>IF($A222="N/A"," ",IF(R222&lt;&gt;0,IF('Pricing Inputs'!$AN$3=2,8*VLOOKUP($A222,NumberofDaysTable,3),(_xll.xSPRDOPT(K222,$E222,$BU222,0,$BP222,$BS222,$BT222,$A222-Inputs!$D$1,1,1))*(8*VLOOKUP($A222,NumberofDaysTable,3))),0))</f>
        <v xml:space="preserve"> </v>
      </c>
      <c r="Z222" s="306" t="str">
        <f>IF($A222="N/A"," ",IF(S222&lt;&gt;0,IF('Pricing Inputs'!$AN$3=2,8*VLOOKUP($A222,NumberofDaysTable,3),(_xll.xSPRDOPT(L222,$E222,$BU222,0,$BP222,$BS222,$BT222,$A222-Inputs!$D$1,1,1))*(8*VLOOKUP($A222,NumberofDaysTable,3))),0))</f>
        <v xml:space="preserve"> </v>
      </c>
      <c r="AA222" s="306" t="str">
        <f>IF($A222="N/A"," ",IF(T222&lt;&gt;0,IF('Pricing Inputs'!$AN$3=2,8*VLOOKUP($A222,NumberofDaysTable,4),(_xll.xSPRDOPT(M222,$E222,$BU222,0,$BP222,$BS222,$BT222,$A222-Inputs!$D$1,1,1))*(8*VLOOKUP($A222,NumberofDaysTable,4))),0))</f>
        <v xml:space="preserve"> </v>
      </c>
      <c r="AB222" s="306" t="str">
        <f>IF($A222="N/A"," ",IF(U222&lt;&gt;0,IF('Pricing Inputs'!$AN$3=2,8*VLOOKUP($A222,NumberofDaysTable,4),(_xll.xSPRDOPT(N222,$E222,$BU222,0,$BP222,$BS222,$BT222,$A222-Inputs!$D$1,1,1))*(8*VLOOKUP($A222,NumberofDaysTable,4))),0))</f>
        <v xml:space="preserve"> </v>
      </c>
      <c r="AC222" s="306" t="str">
        <f t="shared" si="342"/>
        <v xml:space="preserve"> </v>
      </c>
      <c r="AD222" s="274" t="str">
        <f t="shared" si="392"/>
        <v xml:space="preserve"> </v>
      </c>
      <c r="AE222" s="275" t="str">
        <f t="shared" si="393"/>
        <v xml:space="preserve"> </v>
      </c>
      <c r="AF222" s="275" t="str">
        <f t="shared" si="394"/>
        <v xml:space="preserve"> </v>
      </c>
      <c r="AG222" s="275" t="str">
        <f t="shared" si="395"/>
        <v xml:space="preserve"> </v>
      </c>
      <c r="AH222" s="275" t="str">
        <f t="shared" si="396"/>
        <v xml:space="preserve"> </v>
      </c>
      <c r="AI222" s="275" t="str">
        <f t="shared" si="397"/>
        <v xml:space="preserve"> </v>
      </c>
      <c r="AJ222" s="276" t="str">
        <f t="shared" si="398"/>
        <v xml:space="preserve"> </v>
      </c>
      <c r="AK222" s="314" t="str">
        <f t="shared" si="361"/>
        <v xml:space="preserve"> </v>
      </c>
      <c r="AL222" s="315" t="str">
        <f t="shared" si="362"/>
        <v xml:space="preserve"> </v>
      </c>
      <c r="AM222" s="315" t="str">
        <f t="shared" si="363"/>
        <v xml:space="preserve"> </v>
      </c>
      <c r="AN222" s="315" t="str">
        <f t="shared" si="364"/>
        <v xml:space="preserve"> </v>
      </c>
      <c r="AO222" s="315" t="str">
        <f t="shared" si="365"/>
        <v xml:space="preserve"> </v>
      </c>
      <c r="AP222" s="315" t="str">
        <f t="shared" si="366"/>
        <v xml:space="preserve"> </v>
      </c>
      <c r="AQ222" s="315" t="str">
        <f t="shared" si="367"/>
        <v xml:space="preserve"> </v>
      </c>
      <c r="AR222" s="276"/>
      <c r="AS222" s="321" t="str">
        <f t="shared" si="385"/>
        <v xml:space="preserve"> </v>
      </c>
      <c r="AT222" s="324" t="str">
        <f t="shared" si="386"/>
        <v xml:space="preserve"> </v>
      </c>
      <c r="AU222" s="324" t="str">
        <f t="shared" si="387"/>
        <v xml:space="preserve"> </v>
      </c>
      <c r="AV222" s="324" t="str">
        <f t="shared" si="388"/>
        <v xml:space="preserve"> </v>
      </c>
      <c r="AW222" s="324" t="str">
        <f t="shared" si="389"/>
        <v xml:space="preserve"> </v>
      </c>
      <c r="AX222" s="324" t="str">
        <f t="shared" si="390"/>
        <v xml:space="preserve"> </v>
      </c>
      <c r="AY222" s="324" t="str">
        <f t="shared" si="391"/>
        <v xml:space="preserve"> </v>
      </c>
      <c r="AZ222" s="276"/>
      <c r="BA222" s="267" t="str">
        <f>IF($A222="N/A"," ",(IF(MONTH(A222)&gt;=4,IF(MONTH(A222)&lt;=10,Inputs!$F$13,Inputs!$F$14),Inputs!$F$14))*$BW222)</f>
        <v xml:space="preserve"> </v>
      </c>
      <c r="BB222" s="268" t="str">
        <f t="shared" si="382"/>
        <v xml:space="preserve"> </v>
      </c>
      <c r="BC222" s="268" t="str">
        <f t="shared" si="383"/>
        <v xml:space="preserve"> </v>
      </c>
      <c r="BD222" s="268" t="str">
        <f t="shared" si="350"/>
        <v xml:space="preserve"> </v>
      </c>
      <c r="BE222" s="268" t="str">
        <f t="shared" si="351"/>
        <v xml:space="preserve"> </v>
      </c>
      <c r="BF222" s="268" t="str">
        <f t="shared" si="352"/>
        <v xml:space="preserve"> </v>
      </c>
      <c r="BG222" s="268" t="str">
        <f t="shared" si="353"/>
        <v xml:space="preserve"> </v>
      </c>
      <c r="BH222" s="268" t="str">
        <f t="shared" si="359"/>
        <v xml:space="preserve"> </v>
      </c>
      <c r="BI222" s="268" t="str">
        <f t="shared" si="354"/>
        <v xml:space="preserve"> </v>
      </c>
      <c r="BJ222" s="296" t="str">
        <f t="shared" si="355"/>
        <v xml:space="preserve"> </v>
      </c>
      <c r="BK222" s="296" t="str">
        <f t="shared" si="356"/>
        <v xml:space="preserve"> </v>
      </c>
      <c r="BL222" s="296" t="str">
        <f t="shared" si="357"/>
        <v xml:space="preserve"> </v>
      </c>
      <c r="BM222" s="296" t="str">
        <f t="shared" si="358"/>
        <v xml:space="preserve"> </v>
      </c>
      <c r="BN222" s="405" t="str">
        <f>IF(A222="N/A"," ",(VLOOKUP(A222,PowerVolTable,(IF('Pricing Inputs'!$AT$3=2,7,IF('Pricing Inputs'!$AT$3=1,6,8))),FALSE)))</f>
        <v xml:space="preserve"> </v>
      </c>
      <c r="BO222" s="405" t="str">
        <f>IF(A222="N/A"," ",(VLOOKUP(A222,IntraPowerVol,(IF('Pricing Inputs'!$AT$3=2,3,IF('Pricing Inputs'!$AT$3=1,2,4))),FALSE)*VLOOKUP(MONTH($A222),Inputs!$A$28:$B$39,2)))</f>
        <v xml:space="preserve"> </v>
      </c>
      <c r="BP222" s="406" t="str">
        <f t="shared" si="336"/>
        <v xml:space="preserve"> </v>
      </c>
      <c r="BQ222" s="405" t="str">
        <f>IF($A222="N/A"," ",(VLOOKUP($A222,GasVolTable,(IF('Pricing Inputs'!$AT$3=2,6,IF('Pricing Inputs'!$AT$3=1,7,5))),FALSE)))</f>
        <v xml:space="preserve"> </v>
      </c>
      <c r="BR222" s="405" t="str">
        <f>IF($A222="N/A"," ",(VLOOKUP($A222,OmicronVol,(IF('Pricing Inputs'!$AT$3=2,3,IF('Pricing Inputs'!$AT$3=1,4,2))),FALSE)))</f>
        <v xml:space="preserve"> </v>
      </c>
      <c r="BS222" s="406" t="str">
        <f>IF($A222="N/A"," ",IF('Pricing Inputs'!$AN$3=1,(IF(DateToday&gt;$A222,$BR222,((($BQ222^2)*((($A222-1)-DateToday)/((EOMONTH($A222,0)+1)-DateToday-15)))+((($BR222)^2)*((15)/((EOMONTH($A222,0)+1)-DateToday-15))))^0.5)),0.0001))</f>
        <v xml:space="preserve"> </v>
      </c>
      <c r="BT222" s="405" t="str">
        <f>IF($A222="N/A"," ",IF('Pricing Inputs'!$AN$3=1,(VLOOKUP($A222,CorrelationTable,2,FALSE)),0))</f>
        <v xml:space="preserve"> </v>
      </c>
      <c r="BU222" s="407" t="str">
        <f>IF($A222="N/A"," ",F222+G222+(D222*(VLOOKUP($A222,'Gas Curves'!$B$17:$P$310,14,FALSE))))</f>
        <v xml:space="preserve"> </v>
      </c>
      <c r="BV222" s="405" t="str">
        <f>IF($A222="N/A"," ",IF('Pricing Inputs'!$AW$3=1,0,(VLOOKUP($A222,InterestRatesTable,2))))</f>
        <v xml:space="preserve"> </v>
      </c>
      <c r="BW222" s="408" t="str">
        <f t="shared" si="337"/>
        <v xml:space="preserve"> </v>
      </c>
    </row>
    <row r="223" spans="1:75">
      <c r="A223" s="248" t="str">
        <f>IF(A222="N/A","N/A",IF(EDATE(A222,1)&gt;Inputs!$K$3,"N/A",EDATE(A222,1)))</f>
        <v>N/A</v>
      </c>
      <c r="B223" s="262" t="str">
        <f t="shared" si="338"/>
        <v xml:space="preserve"> </v>
      </c>
      <c r="C223" s="249" t="str">
        <f t="shared" si="339"/>
        <v xml:space="preserve"> </v>
      </c>
      <c r="D223" s="250" t="str">
        <f>IF(A223="N/A"," ",(VLOOKUP(MONTH($A223),Inputs!$A$14:$B$25,2))/1000)</f>
        <v xml:space="preserve"> </v>
      </c>
      <c r="E223" s="304" t="str">
        <f t="shared" si="340"/>
        <v xml:space="preserve"> </v>
      </c>
      <c r="F223" s="251" t="str">
        <f>IF(A223="N/A"," ",Inputs!$F$6)</f>
        <v xml:space="preserve"> </v>
      </c>
      <c r="G223" s="251" t="str">
        <f>IF(A223="N/A"," ",Inputs!$F$9/IF(AND('Pricing Inputs'!$AQ$3&gt;=4,'Pricing Inputs'!$AQ$3&lt;=6),16,IF(AND('Pricing Inputs'!$AQ$3&gt;=7,'Pricing Inputs'!$AQ$3&lt;=9),8,24))/(BA223/BW223))</f>
        <v xml:space="preserve"> </v>
      </c>
      <c r="H223" s="252" t="str">
        <f t="shared" si="341"/>
        <v xml:space="preserve"> </v>
      </c>
      <c r="I223" s="255" t="str">
        <f>VLOOKUP(A223,ScaledPrice,(IF(AND('Pricing Inputs'!$AQ$3&gt;=1,'Pricing Inputs'!$AQ$3&lt;=6),2,4)))</f>
        <v xml:space="preserve"> </v>
      </c>
      <c r="J223" s="255" t="str">
        <f>IF(A223="N/A"," ",IF(AND('Pricing Inputs'!$AQ$3&gt;=1,'Pricing Inputs'!$AQ$3&lt;=6),I223,(VLOOKUP(A223,ScaledPrice,2))*(2-(VLOOKUP(A223,ScaledPrice,3)))))</f>
        <v xml:space="preserve"> </v>
      </c>
      <c r="K223" s="255" t="str">
        <f>IF(A223="N/A"," ",IF(OR('Pricing Inputs'!$AQ$3=2,'Pricing Inputs'!$AQ$3=3,'Pricing Inputs'!$AQ$3=5,'Pricing Inputs'!$AQ$3=6,'Pricing Inputs'!$AQ$3=8,'Pricing Inputs'!$AQ$3=9),VLOOKUP(A223,ScaledPrice,IF(AND('Pricing Inputs'!$AQ$3&gt;=2,'Pricing Inputs'!$AQ$3&lt;=6),5,6)),0))</f>
        <v xml:space="preserve"> </v>
      </c>
      <c r="L223" s="255" t="str">
        <f>IF(A223="N/A"," ",IF(OR('Pricing Inputs'!$AQ$3=2,'Pricing Inputs'!$AQ$3=3,'Pricing Inputs'!$AQ$3=5,'Pricing Inputs'!$AQ$3=6,'Pricing Inputs'!$AQ$3=8,'Pricing Inputs'!$AQ$3=9),IF(AND('Pricing Inputs'!$AQ$3&gt;=2,'Pricing Inputs'!$AQ$3&lt;=6),K223,(VLOOKUP(A223,ScaledPrice,5))*(2-(VLOOKUP(A223,ScaledPrice,3)))),0))</f>
        <v xml:space="preserve"> </v>
      </c>
      <c r="M223" s="255" t="str">
        <f>IF(A223="N/A"," ",IF(OR('Pricing Inputs'!$AQ$3=3,'Pricing Inputs'!$AQ$3=6,'Pricing Inputs'!$AQ$3=9),(VLOOKUP(A223,ScaledPrice,IF(AND('Pricing Inputs'!$AQ$3&gt;=3,'Pricing Inputs'!$AQ$3&lt;=6),7,8))),0))</f>
        <v xml:space="preserve"> </v>
      </c>
      <c r="N223" s="255" t="str">
        <f>IF(A223="N/A"," ",IF(OR('Pricing Inputs'!$AQ$3=3,'Pricing Inputs'!$AQ$3=6,'Pricing Inputs'!$AQ$3=9),IF(AND('Pricing Inputs'!$AQ$3&gt;=3,'Pricing Inputs'!$AQ$3&lt;=6),M223,(VLOOKUP(A223,ScaledPrice,7))*(2-(VLOOKUP(A223,ScaledPrice,3)))),0))</f>
        <v xml:space="preserve"> </v>
      </c>
      <c r="O223" s="255" t="str">
        <f>IF(A223="N/A"," ",IF(AND('Pricing Inputs'!$AQ$3&gt;=1,'Pricing Inputs'!$AQ$3&lt;=3),VLOOKUP(A223,ScaledPrice,9),0))</f>
        <v xml:space="preserve"> </v>
      </c>
      <c r="P223" s="320" t="str">
        <f>IF($A223="N/A"," ",IF('Pricing Inputs'!$AN$8=2,(I223-H223),IF('Pricing Inputs'!$AN$3=2,IF((I223-$H223)&gt;0,I223-$H223,0),(_xll.xSPRDOPT(I223,$E223,$BU223,0,$BP223,$BS223,$BT223,($A223-Inputs!$D$1)+15,1,0)))))</f>
        <v xml:space="preserve"> </v>
      </c>
      <c r="Q223" s="320" t="str">
        <f>IF($A223="N/A"," ",IF('Pricing Inputs'!$AN$8=2,(J223-$H223),IF('Pricing Inputs'!$AN$3=2,IF((J223-$H223)&gt;0,J223-$H223,0),(_xll.xSPRDOPT(J223,$E223,$BU223,0,$BP223,$BS223,$BT223,($A223-Inputs!$D$1)+15,1,0)))))</f>
        <v xml:space="preserve"> </v>
      </c>
      <c r="R223" s="320" t="str">
        <f>IF($A223="N/A"," ",IF('Pricing Inputs'!$AN$8=2,(K223-$H223),IF('Pricing Inputs'!$AN$3=2,IF((K223-$H223)&gt;0,K223-$H223,0),(_xll.xSPRDOPT(K223,$E223,$BU223,0,$BP223,$BS223,$BT223,($A223-Inputs!$D$1)+15,1,0)))))</f>
        <v xml:space="preserve"> </v>
      </c>
      <c r="S223" s="320" t="str">
        <f>IF($A223="N/A"," ",IF('Pricing Inputs'!$AN$8=2,(L223-$H223),IF('Pricing Inputs'!$AN$3=2,IF((L223-$H223)&gt;0,L223-$H223,0),(_xll.xSPRDOPT(L223,$E223,$BU223,0,$BP223,$BS223,$BT223,($A223-Inputs!$D$1)+15,1,0)))))</f>
        <v xml:space="preserve"> </v>
      </c>
      <c r="T223" s="320" t="str">
        <f>IF($A223="N/A"," ",IF('Pricing Inputs'!$AN$8=2,(M223-$H223),IF('Pricing Inputs'!$AN$3=2,IF((M223-$H223)&gt;0,M223-$H223,0),(_xll.xSPRDOPT(M223,$E223,$BU223,0,$BP223,$BS223,$BT223,($A223-Inputs!$D$1)+15,1,0)))))</f>
        <v xml:space="preserve"> </v>
      </c>
      <c r="U223" s="320" t="str">
        <f>IF($A223="N/A"," ",IF('Pricing Inputs'!$AN$8=2,(N223-$H223),IF('Pricing Inputs'!$AN$3=2,IF((N223-$H223)&gt;0,N223-$H223,0),(_xll.xSPRDOPT(N223,$E223,$BU223,0,$BP223,$BS223,$BT223,($A223-Inputs!$D$1)+15,1,0)))))</f>
        <v xml:space="preserve"> </v>
      </c>
      <c r="V223" s="259" t="str">
        <f>IF($A223="N/A"," ",(IF('Pricing Inputs'!$AN$8=2,(O223-$H223),IF((O223-$H223)&lt;=0,0,(O223-$H223)))))</f>
        <v xml:space="preserve"> </v>
      </c>
      <c r="W223" s="306" t="str">
        <f>IF($A223="N/A"," ",IF(0&lt;&gt;P223,IF('Pricing Inputs'!$AN$3=2,8*VLOOKUP($A223,NumberofDaysTable,2),(_xll.xSPRDOPT(I223,$E223,$BU223,0,$BP223,$BS223,$BT223,$A223-Inputs!$D$1,1,1))*(8*VLOOKUP($A223,NumberofDaysTable,2))),0))</f>
        <v xml:space="preserve"> </v>
      </c>
      <c r="X223" s="306" t="str">
        <f>IF($A223="N/A"," ",IF(Q223&lt;&gt;0,IF('Pricing Inputs'!$AN$3=2,8*VLOOKUP($A223,NumberofDaysTable,2),(_xll.xSPRDOPT(J223,$E223,$BU223,0,$BP223,$BS223,$BT223,$A223-Inputs!$D$1,1,1))*(8*VLOOKUP($A223,NumberofDaysTable,2))),0))</f>
        <v xml:space="preserve"> </v>
      </c>
      <c r="Y223" s="306" t="str">
        <f>IF($A223="N/A"," ",IF(R223&lt;&gt;0,IF('Pricing Inputs'!$AN$3=2,8*VLOOKUP($A223,NumberofDaysTable,3),(_xll.xSPRDOPT(K223,$E223,$BU223,0,$BP223,$BS223,$BT223,$A223-Inputs!$D$1,1,1))*(8*VLOOKUP($A223,NumberofDaysTable,3))),0))</f>
        <v xml:space="preserve"> </v>
      </c>
      <c r="Z223" s="306" t="str">
        <f>IF($A223="N/A"," ",IF(S223&lt;&gt;0,IF('Pricing Inputs'!$AN$3=2,8*VLOOKUP($A223,NumberofDaysTable,3),(_xll.xSPRDOPT(L223,$E223,$BU223,0,$BP223,$BS223,$BT223,$A223-Inputs!$D$1,1,1))*(8*VLOOKUP($A223,NumberofDaysTable,3))),0))</f>
        <v xml:space="preserve"> </v>
      </c>
      <c r="AA223" s="306" t="str">
        <f>IF($A223="N/A"," ",IF(T223&lt;&gt;0,IF('Pricing Inputs'!$AN$3=2,8*VLOOKUP($A223,NumberofDaysTable,4),(_xll.xSPRDOPT(M223,$E223,$BU223,0,$BP223,$BS223,$BT223,$A223-Inputs!$D$1,1,1))*(8*VLOOKUP($A223,NumberofDaysTable,4))),0))</f>
        <v xml:space="preserve"> </v>
      </c>
      <c r="AB223" s="306" t="str">
        <f>IF($A223="N/A"," ",IF(U223&lt;&gt;0,IF('Pricing Inputs'!$AN$3=2,8*VLOOKUP($A223,NumberofDaysTable,4),(_xll.xSPRDOPT(N223,$E223,$BU223,0,$BP223,$BS223,$BT223,$A223-Inputs!$D$1,1,1))*(8*VLOOKUP($A223,NumberofDaysTable,4))),0))</f>
        <v xml:space="preserve"> </v>
      </c>
      <c r="AC223" s="306" t="str">
        <f t="shared" si="342"/>
        <v xml:space="preserve"> </v>
      </c>
      <c r="AD223" s="274" t="str">
        <f t="shared" si="392"/>
        <v xml:space="preserve"> </v>
      </c>
      <c r="AE223" s="275" t="str">
        <f t="shared" si="393"/>
        <v xml:space="preserve"> </v>
      </c>
      <c r="AF223" s="275" t="str">
        <f t="shared" si="394"/>
        <v xml:space="preserve"> </v>
      </c>
      <c r="AG223" s="275" t="str">
        <f t="shared" si="395"/>
        <v xml:space="preserve"> </v>
      </c>
      <c r="AH223" s="275" t="str">
        <f t="shared" si="396"/>
        <v xml:space="preserve"> </v>
      </c>
      <c r="AI223" s="275" t="str">
        <f t="shared" si="397"/>
        <v xml:space="preserve"> </v>
      </c>
      <c r="AJ223" s="276" t="str">
        <f t="shared" si="398"/>
        <v xml:space="preserve"> </v>
      </c>
      <c r="AK223" s="314" t="str">
        <f t="shared" si="361"/>
        <v xml:space="preserve"> </v>
      </c>
      <c r="AL223" s="315" t="str">
        <f t="shared" si="362"/>
        <v xml:space="preserve"> </v>
      </c>
      <c r="AM223" s="315" t="str">
        <f t="shared" si="363"/>
        <v xml:space="preserve"> </v>
      </c>
      <c r="AN223" s="315" t="str">
        <f t="shared" si="364"/>
        <v xml:space="preserve"> </v>
      </c>
      <c r="AO223" s="315" t="str">
        <f t="shared" si="365"/>
        <v xml:space="preserve"> </v>
      </c>
      <c r="AP223" s="315" t="str">
        <f t="shared" si="366"/>
        <v xml:space="preserve"> </v>
      </c>
      <c r="AQ223" s="315" t="str">
        <f t="shared" si="367"/>
        <v xml:space="preserve"> </v>
      </c>
      <c r="AR223" s="276"/>
      <c r="AS223" s="321" t="str">
        <f t="shared" si="385"/>
        <v xml:space="preserve"> </v>
      </c>
      <c r="AT223" s="324" t="str">
        <f t="shared" si="386"/>
        <v xml:space="preserve"> </v>
      </c>
      <c r="AU223" s="324" t="str">
        <f t="shared" si="387"/>
        <v xml:space="preserve"> </v>
      </c>
      <c r="AV223" s="324" t="str">
        <f t="shared" si="388"/>
        <v xml:space="preserve"> </v>
      </c>
      <c r="AW223" s="324" t="str">
        <f t="shared" si="389"/>
        <v xml:space="preserve"> </v>
      </c>
      <c r="AX223" s="324" t="str">
        <f t="shared" si="390"/>
        <v xml:space="preserve"> </v>
      </c>
      <c r="AY223" s="324" t="str">
        <f t="shared" si="391"/>
        <v xml:space="preserve"> </v>
      </c>
      <c r="AZ223" s="276"/>
      <c r="BA223" s="267" t="str">
        <f>IF($A223="N/A"," ",(IF(MONTH(A223)&gt;=4,IF(MONTH(A223)&lt;=10,Inputs!$F$13,Inputs!$F$14),Inputs!$F$14))*$BW223)</f>
        <v xml:space="preserve"> </v>
      </c>
      <c r="BB223" s="268" t="str">
        <f t="shared" si="382"/>
        <v xml:space="preserve"> </v>
      </c>
      <c r="BC223" s="268" t="str">
        <f t="shared" si="383"/>
        <v xml:space="preserve"> </v>
      </c>
      <c r="BD223" s="268" t="str">
        <f t="shared" si="350"/>
        <v xml:space="preserve"> </v>
      </c>
      <c r="BE223" s="268" t="str">
        <f t="shared" si="351"/>
        <v xml:space="preserve"> </v>
      </c>
      <c r="BF223" s="268" t="str">
        <f t="shared" si="352"/>
        <v xml:space="preserve"> </v>
      </c>
      <c r="BG223" s="268" t="str">
        <f t="shared" si="353"/>
        <v xml:space="preserve"> </v>
      </c>
      <c r="BH223" s="268" t="str">
        <f t="shared" si="359"/>
        <v xml:space="preserve"> </v>
      </c>
      <c r="BI223" s="268" t="str">
        <f t="shared" si="354"/>
        <v xml:space="preserve"> </v>
      </c>
      <c r="BJ223" s="296" t="str">
        <f t="shared" si="355"/>
        <v xml:space="preserve"> </v>
      </c>
      <c r="BK223" s="296" t="str">
        <f t="shared" si="356"/>
        <v xml:space="preserve"> </v>
      </c>
      <c r="BL223" s="296" t="str">
        <f t="shared" si="357"/>
        <v xml:space="preserve"> </v>
      </c>
      <c r="BM223" s="296" t="str">
        <f t="shared" si="358"/>
        <v xml:space="preserve"> </v>
      </c>
      <c r="BN223" s="405" t="str">
        <f>IF(A223="N/A"," ",(VLOOKUP(A223,PowerVolTable,(IF('Pricing Inputs'!$AT$3=2,7,IF('Pricing Inputs'!$AT$3=1,6,8))),FALSE)))</f>
        <v xml:space="preserve"> </v>
      </c>
      <c r="BO223" s="405" t="str">
        <f>IF(A223="N/A"," ",(VLOOKUP(A223,IntraPowerVol,(IF('Pricing Inputs'!$AT$3=2,3,IF('Pricing Inputs'!$AT$3=1,2,4))),FALSE)*VLOOKUP(MONTH($A223),Inputs!$A$28:$B$39,2)))</f>
        <v xml:space="preserve"> </v>
      </c>
      <c r="BP223" s="406" t="str">
        <f t="shared" si="336"/>
        <v xml:space="preserve"> </v>
      </c>
      <c r="BQ223" s="405" t="str">
        <f>IF($A223="N/A"," ",(VLOOKUP($A223,GasVolTable,(IF('Pricing Inputs'!$AT$3=2,6,IF('Pricing Inputs'!$AT$3=1,7,5))),FALSE)))</f>
        <v xml:space="preserve"> </v>
      </c>
      <c r="BR223" s="405" t="str">
        <f>IF($A223="N/A"," ",(VLOOKUP($A223,OmicronVol,(IF('Pricing Inputs'!$AT$3=2,3,IF('Pricing Inputs'!$AT$3=1,4,2))),FALSE)))</f>
        <v xml:space="preserve"> </v>
      </c>
      <c r="BS223" s="406" t="str">
        <f>IF($A223="N/A"," ",IF('Pricing Inputs'!$AN$3=1,(IF(DateToday&gt;$A223,$BR223,((($BQ223^2)*((($A223-1)-DateToday)/((EOMONTH($A223,0)+1)-DateToday-15)))+((($BR223)^2)*((15)/((EOMONTH($A223,0)+1)-DateToday-15))))^0.5)),0.0001))</f>
        <v xml:space="preserve"> </v>
      </c>
      <c r="BT223" s="405" t="str">
        <f>IF($A223="N/A"," ",IF('Pricing Inputs'!$AN$3=1,(VLOOKUP($A223,CorrelationTable,2,FALSE)),0))</f>
        <v xml:space="preserve"> </v>
      </c>
      <c r="BU223" s="407" t="str">
        <f>IF($A223="N/A"," ",F223+G223+(D223*(VLOOKUP($A223,'Gas Curves'!$B$17:$P$310,14,FALSE))))</f>
        <v xml:space="preserve"> </v>
      </c>
      <c r="BV223" s="405" t="str">
        <f>IF($A223="N/A"," ",IF('Pricing Inputs'!$AW$3=1,0,(VLOOKUP($A223,InterestRatesTable,2))))</f>
        <v xml:space="preserve"> </v>
      </c>
      <c r="BW223" s="408" t="str">
        <f t="shared" si="337"/>
        <v xml:space="preserve"> </v>
      </c>
    </row>
    <row r="224" spans="1:75">
      <c r="A224" s="248" t="str">
        <f>IF(A223="N/A","N/A",IF(EDATE(A223,1)&gt;Inputs!$K$3,"N/A",EDATE(A223,1)))</f>
        <v>N/A</v>
      </c>
      <c r="B224" s="262" t="str">
        <f t="shared" si="338"/>
        <v xml:space="preserve"> </v>
      </c>
      <c r="C224" s="249" t="str">
        <f t="shared" si="339"/>
        <v xml:space="preserve"> </v>
      </c>
      <c r="D224" s="250" t="str">
        <f>IF(A224="N/A"," ",(VLOOKUP(MONTH($A224),Inputs!$A$14:$B$25,2))/1000)</f>
        <v xml:space="preserve"> </v>
      </c>
      <c r="E224" s="304" t="str">
        <f t="shared" si="340"/>
        <v xml:space="preserve"> </v>
      </c>
      <c r="F224" s="251" t="str">
        <f>IF(A224="N/A"," ",Inputs!$F$6)</f>
        <v xml:space="preserve"> </v>
      </c>
      <c r="G224" s="251" t="str">
        <f>IF(A224="N/A"," ",Inputs!$F$9/IF(AND('Pricing Inputs'!$AQ$3&gt;=4,'Pricing Inputs'!$AQ$3&lt;=6),16,IF(AND('Pricing Inputs'!$AQ$3&gt;=7,'Pricing Inputs'!$AQ$3&lt;=9),8,24))/(BA224/BW224))</f>
        <v xml:space="preserve"> </v>
      </c>
      <c r="H224" s="252" t="str">
        <f t="shared" si="341"/>
        <v xml:space="preserve"> </v>
      </c>
      <c r="I224" s="255" t="str">
        <f>VLOOKUP(A224,ScaledPrice,(IF(AND('Pricing Inputs'!$AQ$3&gt;=1,'Pricing Inputs'!$AQ$3&lt;=6),2,4)))</f>
        <v xml:space="preserve"> </v>
      </c>
      <c r="J224" s="255" t="str">
        <f>IF(A224="N/A"," ",IF(AND('Pricing Inputs'!$AQ$3&gt;=1,'Pricing Inputs'!$AQ$3&lt;=6),I224,(VLOOKUP(A224,ScaledPrice,2))*(2-(VLOOKUP(A224,ScaledPrice,3)))))</f>
        <v xml:space="preserve"> </v>
      </c>
      <c r="K224" s="255" t="str">
        <f>IF(A224="N/A"," ",IF(OR('Pricing Inputs'!$AQ$3=2,'Pricing Inputs'!$AQ$3=3,'Pricing Inputs'!$AQ$3=5,'Pricing Inputs'!$AQ$3=6,'Pricing Inputs'!$AQ$3=8,'Pricing Inputs'!$AQ$3=9),VLOOKUP(A224,ScaledPrice,IF(AND('Pricing Inputs'!$AQ$3&gt;=2,'Pricing Inputs'!$AQ$3&lt;=6),5,6)),0))</f>
        <v xml:space="preserve"> </v>
      </c>
      <c r="L224" s="255" t="str">
        <f>IF(A224="N/A"," ",IF(OR('Pricing Inputs'!$AQ$3=2,'Pricing Inputs'!$AQ$3=3,'Pricing Inputs'!$AQ$3=5,'Pricing Inputs'!$AQ$3=6,'Pricing Inputs'!$AQ$3=8,'Pricing Inputs'!$AQ$3=9),IF(AND('Pricing Inputs'!$AQ$3&gt;=2,'Pricing Inputs'!$AQ$3&lt;=6),K224,(VLOOKUP(A224,ScaledPrice,5))*(2-(VLOOKUP(A224,ScaledPrice,3)))),0))</f>
        <v xml:space="preserve"> </v>
      </c>
      <c r="M224" s="255" t="str">
        <f>IF(A224="N/A"," ",IF(OR('Pricing Inputs'!$AQ$3=3,'Pricing Inputs'!$AQ$3=6,'Pricing Inputs'!$AQ$3=9),(VLOOKUP(A224,ScaledPrice,IF(AND('Pricing Inputs'!$AQ$3&gt;=3,'Pricing Inputs'!$AQ$3&lt;=6),7,8))),0))</f>
        <v xml:space="preserve"> </v>
      </c>
      <c r="N224" s="255" t="str">
        <f>IF(A224="N/A"," ",IF(OR('Pricing Inputs'!$AQ$3=3,'Pricing Inputs'!$AQ$3=6,'Pricing Inputs'!$AQ$3=9),IF(AND('Pricing Inputs'!$AQ$3&gt;=3,'Pricing Inputs'!$AQ$3&lt;=6),M224,(VLOOKUP(A224,ScaledPrice,7))*(2-(VLOOKUP(A224,ScaledPrice,3)))),0))</f>
        <v xml:space="preserve"> </v>
      </c>
      <c r="O224" s="255" t="str">
        <f>IF(A224="N/A"," ",IF(AND('Pricing Inputs'!$AQ$3&gt;=1,'Pricing Inputs'!$AQ$3&lt;=3),VLOOKUP(A224,ScaledPrice,9),0))</f>
        <v xml:space="preserve"> </v>
      </c>
      <c r="P224" s="320" t="str">
        <f>IF($A224="N/A"," ",IF('Pricing Inputs'!$AN$8=2,(I224-H224),IF('Pricing Inputs'!$AN$3=2,IF((I224-$H224)&gt;0,I224-$H224,0),(_xll.xSPRDOPT(I224,$E224,$BU224,0,$BP224,$BS224,$BT224,($A224-Inputs!$D$1)+15,1,0)))))</f>
        <v xml:space="preserve"> </v>
      </c>
      <c r="Q224" s="320" t="str">
        <f>IF($A224="N/A"," ",IF('Pricing Inputs'!$AN$8=2,(J224-$H224),IF('Pricing Inputs'!$AN$3=2,IF((J224-$H224)&gt;0,J224-$H224,0),(_xll.xSPRDOPT(J224,$E224,$BU224,0,$BP224,$BS224,$BT224,($A224-Inputs!$D$1)+15,1,0)))))</f>
        <v xml:space="preserve"> </v>
      </c>
      <c r="R224" s="320" t="str">
        <f>IF($A224="N/A"," ",IF('Pricing Inputs'!$AN$8=2,(K224-$H224),IF('Pricing Inputs'!$AN$3=2,IF((K224-$H224)&gt;0,K224-$H224,0),(_xll.xSPRDOPT(K224,$E224,$BU224,0,$BP224,$BS224,$BT224,($A224-Inputs!$D$1)+15,1,0)))))</f>
        <v xml:space="preserve"> </v>
      </c>
      <c r="S224" s="320" t="str">
        <f>IF($A224="N/A"," ",IF('Pricing Inputs'!$AN$8=2,(L224-$H224),IF('Pricing Inputs'!$AN$3=2,IF((L224-$H224)&gt;0,L224-$H224,0),(_xll.xSPRDOPT(L224,$E224,$BU224,0,$BP224,$BS224,$BT224,($A224-Inputs!$D$1)+15,1,0)))))</f>
        <v xml:space="preserve"> </v>
      </c>
      <c r="T224" s="320" t="str">
        <f>IF($A224="N/A"," ",IF('Pricing Inputs'!$AN$8=2,(M224-$H224),IF('Pricing Inputs'!$AN$3=2,IF((M224-$H224)&gt;0,M224-$H224,0),(_xll.xSPRDOPT(M224,$E224,$BU224,0,$BP224,$BS224,$BT224,($A224-Inputs!$D$1)+15,1,0)))))</f>
        <v xml:space="preserve"> </v>
      </c>
      <c r="U224" s="320" t="str">
        <f>IF($A224="N/A"," ",IF('Pricing Inputs'!$AN$8=2,(N224-$H224),IF('Pricing Inputs'!$AN$3=2,IF((N224-$H224)&gt;0,N224-$H224,0),(_xll.xSPRDOPT(N224,$E224,$BU224,0,$BP224,$BS224,$BT224,($A224-Inputs!$D$1)+15,1,0)))))</f>
        <v xml:space="preserve"> </v>
      </c>
      <c r="V224" s="259" t="str">
        <f>IF($A224="N/A"," ",(IF('Pricing Inputs'!$AN$8=2,(O224-$H224),IF((O224-$H224)&lt;=0,0,(O224-$H224)))))</f>
        <v xml:space="preserve"> </v>
      </c>
      <c r="W224" s="306" t="str">
        <f>IF($A224="N/A"," ",IF(0&lt;&gt;P224,IF('Pricing Inputs'!$AN$3=2,8*VLOOKUP($A224,NumberofDaysTable,2),(_xll.xSPRDOPT(I224,$E224,$BU224,0,$BP224,$BS224,$BT224,$A224-Inputs!$D$1,1,1))*(8*VLOOKUP($A224,NumberofDaysTable,2))),0))</f>
        <v xml:space="preserve"> </v>
      </c>
      <c r="X224" s="306" t="str">
        <f>IF($A224="N/A"," ",IF(Q224&lt;&gt;0,IF('Pricing Inputs'!$AN$3=2,8*VLOOKUP($A224,NumberofDaysTable,2),(_xll.xSPRDOPT(J224,$E224,$BU224,0,$BP224,$BS224,$BT224,$A224-Inputs!$D$1,1,1))*(8*VLOOKUP($A224,NumberofDaysTable,2))),0))</f>
        <v xml:space="preserve"> </v>
      </c>
      <c r="Y224" s="306" t="str">
        <f>IF($A224="N/A"," ",IF(R224&lt;&gt;0,IF('Pricing Inputs'!$AN$3=2,8*VLOOKUP($A224,NumberofDaysTable,3),(_xll.xSPRDOPT(K224,$E224,$BU224,0,$BP224,$BS224,$BT224,$A224-Inputs!$D$1,1,1))*(8*VLOOKUP($A224,NumberofDaysTable,3))),0))</f>
        <v xml:space="preserve"> </v>
      </c>
      <c r="Z224" s="306" t="str">
        <f>IF($A224="N/A"," ",IF(S224&lt;&gt;0,IF('Pricing Inputs'!$AN$3=2,8*VLOOKUP($A224,NumberofDaysTable,3),(_xll.xSPRDOPT(L224,$E224,$BU224,0,$BP224,$BS224,$BT224,$A224-Inputs!$D$1,1,1))*(8*VLOOKUP($A224,NumberofDaysTable,3))),0))</f>
        <v xml:space="preserve"> </v>
      </c>
      <c r="AA224" s="306" t="str">
        <f>IF($A224="N/A"," ",IF(T224&lt;&gt;0,IF('Pricing Inputs'!$AN$3=2,8*VLOOKUP($A224,NumberofDaysTable,4),(_xll.xSPRDOPT(M224,$E224,$BU224,0,$BP224,$BS224,$BT224,$A224-Inputs!$D$1,1,1))*(8*VLOOKUP($A224,NumberofDaysTable,4))),0))</f>
        <v xml:space="preserve"> </v>
      </c>
      <c r="AB224" s="306" t="str">
        <f>IF($A224="N/A"," ",IF(U224&lt;&gt;0,IF('Pricing Inputs'!$AN$3=2,8*VLOOKUP($A224,NumberofDaysTable,4),(_xll.xSPRDOPT(N224,$E224,$BU224,0,$BP224,$BS224,$BT224,$A224-Inputs!$D$1,1,1))*(8*VLOOKUP($A224,NumberofDaysTable,4))),0))</f>
        <v xml:space="preserve"> </v>
      </c>
      <c r="AC224" s="306" t="str">
        <f t="shared" si="342"/>
        <v xml:space="preserve"> </v>
      </c>
      <c r="AD224" s="274" t="str">
        <f t="shared" si="392"/>
        <v xml:space="preserve"> </v>
      </c>
      <c r="AE224" s="275" t="str">
        <f t="shared" si="393"/>
        <v xml:space="preserve"> </v>
      </c>
      <c r="AF224" s="275" t="str">
        <f t="shared" si="394"/>
        <v xml:space="preserve"> </v>
      </c>
      <c r="AG224" s="275" t="str">
        <f t="shared" si="395"/>
        <v xml:space="preserve"> </v>
      </c>
      <c r="AH224" s="275" t="str">
        <f t="shared" si="396"/>
        <v xml:space="preserve"> </v>
      </c>
      <c r="AI224" s="275" t="str">
        <f t="shared" si="397"/>
        <v xml:space="preserve"> </v>
      </c>
      <c r="AJ224" s="276" t="str">
        <f t="shared" si="398"/>
        <v xml:space="preserve"> </v>
      </c>
      <c r="AK224" s="314" t="str">
        <f t="shared" si="361"/>
        <v xml:space="preserve"> </v>
      </c>
      <c r="AL224" s="315" t="str">
        <f t="shared" si="362"/>
        <v xml:space="preserve"> </v>
      </c>
      <c r="AM224" s="315" t="str">
        <f t="shared" si="363"/>
        <v xml:space="preserve"> </v>
      </c>
      <c r="AN224" s="315" t="str">
        <f t="shared" si="364"/>
        <v xml:space="preserve"> </v>
      </c>
      <c r="AO224" s="315" t="str">
        <f t="shared" si="365"/>
        <v xml:space="preserve"> </v>
      </c>
      <c r="AP224" s="315" t="str">
        <f t="shared" si="366"/>
        <v xml:space="preserve"> </v>
      </c>
      <c r="AQ224" s="315" t="str">
        <f t="shared" si="367"/>
        <v xml:space="preserve"> </v>
      </c>
      <c r="AR224" s="276"/>
      <c r="AS224" s="321" t="str">
        <f t="shared" si="385"/>
        <v xml:space="preserve"> </v>
      </c>
      <c r="AT224" s="324" t="str">
        <f t="shared" si="386"/>
        <v xml:space="preserve"> </v>
      </c>
      <c r="AU224" s="324" t="str">
        <f t="shared" si="387"/>
        <v xml:space="preserve"> </v>
      </c>
      <c r="AV224" s="324" t="str">
        <f t="shared" si="388"/>
        <v xml:space="preserve"> </v>
      </c>
      <c r="AW224" s="324" t="str">
        <f t="shared" si="389"/>
        <v xml:space="preserve"> </v>
      </c>
      <c r="AX224" s="324" t="str">
        <f t="shared" si="390"/>
        <v xml:space="preserve"> </v>
      </c>
      <c r="AY224" s="324" t="str">
        <f t="shared" si="391"/>
        <v xml:space="preserve"> </v>
      </c>
      <c r="AZ224" s="276"/>
      <c r="BA224" s="267" t="str">
        <f>IF($A224="N/A"," ",(IF(MONTH(A224)&gt;=4,IF(MONTH(A224)&lt;=10,Inputs!$F$13,Inputs!$F$14),Inputs!$F$14))*$BW224)</f>
        <v xml:space="preserve"> </v>
      </c>
      <c r="BB224" s="268" t="str">
        <f t="shared" si="382"/>
        <v xml:space="preserve"> </v>
      </c>
      <c r="BC224" s="268" t="str">
        <f t="shared" si="383"/>
        <v xml:space="preserve"> </v>
      </c>
      <c r="BD224" s="268" t="str">
        <f t="shared" si="350"/>
        <v xml:space="preserve"> </v>
      </c>
      <c r="BE224" s="268" t="str">
        <f t="shared" si="351"/>
        <v xml:space="preserve"> </v>
      </c>
      <c r="BF224" s="268" t="str">
        <f t="shared" si="352"/>
        <v xml:space="preserve"> </v>
      </c>
      <c r="BG224" s="268" t="str">
        <f t="shared" si="353"/>
        <v xml:space="preserve"> </v>
      </c>
      <c r="BH224" s="268" t="str">
        <f t="shared" si="359"/>
        <v xml:space="preserve"> </v>
      </c>
      <c r="BI224" s="268" t="str">
        <f t="shared" si="354"/>
        <v xml:space="preserve"> </v>
      </c>
      <c r="BJ224" s="296" t="str">
        <f t="shared" si="355"/>
        <v xml:space="preserve"> </v>
      </c>
      <c r="BK224" s="296" t="str">
        <f t="shared" si="356"/>
        <v xml:space="preserve"> </v>
      </c>
      <c r="BL224" s="296" t="str">
        <f t="shared" si="357"/>
        <v xml:space="preserve"> </v>
      </c>
      <c r="BM224" s="296" t="str">
        <f t="shared" si="358"/>
        <v xml:space="preserve"> </v>
      </c>
      <c r="BN224" s="405" t="str">
        <f>IF(A224="N/A"," ",(VLOOKUP(A224,PowerVolTable,(IF('Pricing Inputs'!$AT$3=2,7,IF('Pricing Inputs'!$AT$3=1,6,8))),FALSE)))</f>
        <v xml:space="preserve"> </v>
      </c>
      <c r="BO224" s="405" t="str">
        <f>IF(A224="N/A"," ",(VLOOKUP(A224,IntraPowerVol,(IF('Pricing Inputs'!$AT$3=2,3,IF('Pricing Inputs'!$AT$3=1,2,4))),FALSE)*VLOOKUP(MONTH($A224),Inputs!$A$28:$B$39,2)))</f>
        <v xml:space="preserve"> </v>
      </c>
      <c r="BP224" s="406" t="str">
        <f t="shared" si="336"/>
        <v xml:space="preserve"> </v>
      </c>
      <c r="BQ224" s="405" t="str">
        <f>IF($A224="N/A"," ",(VLOOKUP($A224,GasVolTable,(IF('Pricing Inputs'!$AT$3=2,6,IF('Pricing Inputs'!$AT$3=1,7,5))),FALSE)))</f>
        <v xml:space="preserve"> </v>
      </c>
      <c r="BR224" s="405" t="str">
        <f>IF($A224="N/A"," ",(VLOOKUP($A224,OmicronVol,(IF('Pricing Inputs'!$AT$3=2,3,IF('Pricing Inputs'!$AT$3=1,4,2))),FALSE)))</f>
        <v xml:space="preserve"> </v>
      </c>
      <c r="BS224" s="406" t="str">
        <f>IF($A224="N/A"," ",IF('Pricing Inputs'!$AN$3=1,(IF(DateToday&gt;$A224,$BR224,((($BQ224^2)*((($A224-1)-DateToday)/((EOMONTH($A224,0)+1)-DateToday-15)))+((($BR224)^2)*((15)/((EOMONTH($A224,0)+1)-DateToday-15))))^0.5)),0.0001))</f>
        <v xml:space="preserve"> </v>
      </c>
      <c r="BT224" s="405" t="str">
        <f>IF($A224="N/A"," ",IF('Pricing Inputs'!$AN$3=1,(VLOOKUP($A224,CorrelationTable,2,FALSE)),0))</f>
        <v xml:space="preserve"> </v>
      </c>
      <c r="BU224" s="407" t="str">
        <f>IF($A224="N/A"," ",F224+G224+(D224*(VLOOKUP($A224,'Gas Curves'!$B$17:$P$310,14,FALSE))))</f>
        <v xml:space="preserve"> </v>
      </c>
      <c r="BV224" s="405" t="str">
        <f>IF($A224="N/A"," ",IF('Pricing Inputs'!$AW$3=1,0,(VLOOKUP($A224,InterestRatesTable,2))))</f>
        <v xml:space="preserve"> </v>
      </c>
      <c r="BW224" s="408" t="str">
        <f t="shared" si="337"/>
        <v xml:space="preserve"> </v>
      </c>
    </row>
    <row r="225" spans="1:75">
      <c r="A225" s="248" t="str">
        <f>IF(A224="N/A","N/A",IF(EDATE(A224,1)&gt;Inputs!$K$3,"N/A",EDATE(A224,1)))</f>
        <v>N/A</v>
      </c>
      <c r="B225" s="262" t="str">
        <f t="shared" si="338"/>
        <v xml:space="preserve"> </v>
      </c>
      <c r="C225" s="249" t="str">
        <f t="shared" si="339"/>
        <v xml:space="preserve"> </v>
      </c>
      <c r="D225" s="250" t="str">
        <f>IF(A225="N/A"," ",(VLOOKUP(MONTH($A225),Inputs!$A$14:$B$25,2))/1000)</f>
        <v xml:space="preserve"> </v>
      </c>
      <c r="E225" s="304" t="str">
        <f t="shared" si="340"/>
        <v xml:space="preserve"> </v>
      </c>
      <c r="F225" s="251" t="str">
        <f>IF(A225="N/A"," ",Inputs!$F$6)</f>
        <v xml:space="preserve"> </v>
      </c>
      <c r="G225" s="251" t="str">
        <f>IF(A225="N/A"," ",Inputs!$F$9/IF(AND('Pricing Inputs'!$AQ$3&gt;=4,'Pricing Inputs'!$AQ$3&lt;=6),16,IF(AND('Pricing Inputs'!$AQ$3&gt;=7,'Pricing Inputs'!$AQ$3&lt;=9),8,24))/(BA225/BW225))</f>
        <v xml:space="preserve"> </v>
      </c>
      <c r="H225" s="252" t="str">
        <f t="shared" si="341"/>
        <v xml:space="preserve"> </v>
      </c>
      <c r="I225" s="255" t="str">
        <f>VLOOKUP(A225,ScaledPrice,(IF(AND('Pricing Inputs'!$AQ$3&gt;=1,'Pricing Inputs'!$AQ$3&lt;=6),2,4)))</f>
        <v xml:space="preserve"> </v>
      </c>
      <c r="J225" s="255" t="str">
        <f>IF(A225="N/A"," ",IF(AND('Pricing Inputs'!$AQ$3&gt;=1,'Pricing Inputs'!$AQ$3&lt;=6),I225,(VLOOKUP(A225,ScaledPrice,2))*(2-(VLOOKUP(A225,ScaledPrice,3)))))</f>
        <v xml:space="preserve"> </v>
      </c>
      <c r="K225" s="255" t="str">
        <f>IF(A225="N/A"," ",IF(OR('Pricing Inputs'!$AQ$3=2,'Pricing Inputs'!$AQ$3=3,'Pricing Inputs'!$AQ$3=5,'Pricing Inputs'!$AQ$3=6,'Pricing Inputs'!$AQ$3=8,'Pricing Inputs'!$AQ$3=9),VLOOKUP(A225,ScaledPrice,IF(AND('Pricing Inputs'!$AQ$3&gt;=2,'Pricing Inputs'!$AQ$3&lt;=6),5,6)),0))</f>
        <v xml:space="preserve"> </v>
      </c>
      <c r="L225" s="255" t="str">
        <f>IF(A225="N/A"," ",IF(OR('Pricing Inputs'!$AQ$3=2,'Pricing Inputs'!$AQ$3=3,'Pricing Inputs'!$AQ$3=5,'Pricing Inputs'!$AQ$3=6,'Pricing Inputs'!$AQ$3=8,'Pricing Inputs'!$AQ$3=9),IF(AND('Pricing Inputs'!$AQ$3&gt;=2,'Pricing Inputs'!$AQ$3&lt;=6),K225,(VLOOKUP(A225,ScaledPrice,5))*(2-(VLOOKUP(A225,ScaledPrice,3)))),0))</f>
        <v xml:space="preserve"> </v>
      </c>
      <c r="M225" s="255" t="str">
        <f>IF(A225="N/A"," ",IF(OR('Pricing Inputs'!$AQ$3=3,'Pricing Inputs'!$AQ$3=6,'Pricing Inputs'!$AQ$3=9),(VLOOKUP(A225,ScaledPrice,IF(AND('Pricing Inputs'!$AQ$3&gt;=3,'Pricing Inputs'!$AQ$3&lt;=6),7,8))),0))</f>
        <v xml:space="preserve"> </v>
      </c>
      <c r="N225" s="255" t="str">
        <f>IF(A225="N/A"," ",IF(OR('Pricing Inputs'!$AQ$3=3,'Pricing Inputs'!$AQ$3=6,'Pricing Inputs'!$AQ$3=9),IF(AND('Pricing Inputs'!$AQ$3&gt;=3,'Pricing Inputs'!$AQ$3&lt;=6),M225,(VLOOKUP(A225,ScaledPrice,7))*(2-(VLOOKUP(A225,ScaledPrice,3)))),0))</f>
        <v xml:space="preserve"> </v>
      </c>
      <c r="O225" s="255" t="str">
        <f>IF(A225="N/A"," ",IF(AND('Pricing Inputs'!$AQ$3&gt;=1,'Pricing Inputs'!$AQ$3&lt;=3),VLOOKUP(A225,ScaledPrice,9),0))</f>
        <v xml:space="preserve"> </v>
      </c>
      <c r="P225" s="320" t="str">
        <f>IF($A225="N/A"," ",IF('Pricing Inputs'!$AN$8=2,(I225-H225),IF('Pricing Inputs'!$AN$3=2,IF((I225-$H225)&gt;0,I225-$H225,0),(_xll.xSPRDOPT(I225,$E225,$BU225,0,$BP225,$BS225,$BT225,($A225-Inputs!$D$1)+15,1,0)))))</f>
        <v xml:space="preserve"> </v>
      </c>
      <c r="Q225" s="320" t="str">
        <f>IF($A225="N/A"," ",IF('Pricing Inputs'!$AN$8=2,(J225-$H225),IF('Pricing Inputs'!$AN$3=2,IF((J225-$H225)&gt;0,J225-$H225,0),(_xll.xSPRDOPT(J225,$E225,$BU225,0,$BP225,$BS225,$BT225,($A225-Inputs!$D$1)+15,1,0)))))</f>
        <v xml:space="preserve"> </v>
      </c>
      <c r="R225" s="320" t="str">
        <f>IF($A225="N/A"," ",IF('Pricing Inputs'!$AN$8=2,(K225-$H225),IF('Pricing Inputs'!$AN$3=2,IF((K225-$H225)&gt;0,K225-$H225,0),(_xll.xSPRDOPT(K225,$E225,$BU225,0,$BP225,$BS225,$BT225,($A225-Inputs!$D$1)+15,1,0)))))</f>
        <v xml:space="preserve"> </v>
      </c>
      <c r="S225" s="320" t="str">
        <f>IF($A225="N/A"," ",IF('Pricing Inputs'!$AN$8=2,(L225-$H225),IF('Pricing Inputs'!$AN$3=2,IF((L225-$H225)&gt;0,L225-$H225,0),(_xll.xSPRDOPT(L225,$E225,$BU225,0,$BP225,$BS225,$BT225,($A225-Inputs!$D$1)+15,1,0)))))</f>
        <v xml:space="preserve"> </v>
      </c>
      <c r="T225" s="320" t="str">
        <f>IF($A225="N/A"," ",IF('Pricing Inputs'!$AN$8=2,(M225-$H225),IF('Pricing Inputs'!$AN$3=2,IF((M225-$H225)&gt;0,M225-$H225,0),(_xll.xSPRDOPT(M225,$E225,$BU225,0,$BP225,$BS225,$BT225,($A225-Inputs!$D$1)+15,1,0)))))</f>
        <v xml:space="preserve"> </v>
      </c>
      <c r="U225" s="320" t="str">
        <f>IF($A225="N/A"," ",IF('Pricing Inputs'!$AN$8=2,(N225-$H225),IF('Pricing Inputs'!$AN$3=2,IF((N225-$H225)&gt;0,N225-$H225,0),(_xll.xSPRDOPT(N225,$E225,$BU225,0,$BP225,$BS225,$BT225,($A225-Inputs!$D$1)+15,1,0)))))</f>
        <v xml:space="preserve"> </v>
      </c>
      <c r="V225" s="259" t="str">
        <f>IF($A225="N/A"," ",(IF('Pricing Inputs'!$AN$8=2,(O225-$H225),IF((O225-$H225)&lt;=0,0,(O225-$H225)))))</f>
        <v xml:space="preserve"> </v>
      </c>
      <c r="W225" s="306" t="str">
        <f>IF($A225="N/A"," ",IF(0&lt;&gt;P225,IF('Pricing Inputs'!$AN$3=2,8*VLOOKUP($A225,NumberofDaysTable,2),(_xll.xSPRDOPT(I225,$E225,$BU225,0,$BP225,$BS225,$BT225,$A225-Inputs!$D$1,1,1))*(8*VLOOKUP($A225,NumberofDaysTable,2))),0))</f>
        <v xml:space="preserve"> </v>
      </c>
      <c r="X225" s="306" t="str">
        <f>IF($A225="N/A"," ",IF(Q225&lt;&gt;0,IF('Pricing Inputs'!$AN$3=2,8*VLOOKUP($A225,NumberofDaysTable,2),(_xll.xSPRDOPT(J225,$E225,$BU225,0,$BP225,$BS225,$BT225,$A225-Inputs!$D$1,1,1))*(8*VLOOKUP($A225,NumberofDaysTable,2))),0))</f>
        <v xml:space="preserve"> </v>
      </c>
      <c r="Y225" s="306" t="str">
        <f>IF($A225="N/A"," ",IF(R225&lt;&gt;0,IF('Pricing Inputs'!$AN$3=2,8*VLOOKUP($A225,NumberofDaysTable,3),(_xll.xSPRDOPT(K225,$E225,$BU225,0,$BP225,$BS225,$BT225,$A225-Inputs!$D$1,1,1))*(8*VLOOKUP($A225,NumberofDaysTable,3))),0))</f>
        <v xml:space="preserve"> </v>
      </c>
      <c r="Z225" s="306" t="str">
        <f>IF($A225="N/A"," ",IF(S225&lt;&gt;0,IF('Pricing Inputs'!$AN$3=2,8*VLOOKUP($A225,NumberofDaysTable,3),(_xll.xSPRDOPT(L225,$E225,$BU225,0,$BP225,$BS225,$BT225,$A225-Inputs!$D$1,1,1))*(8*VLOOKUP($A225,NumberofDaysTable,3))),0))</f>
        <v xml:space="preserve"> </v>
      </c>
      <c r="AA225" s="306" t="str">
        <f>IF($A225="N/A"," ",IF(T225&lt;&gt;0,IF('Pricing Inputs'!$AN$3=2,8*VLOOKUP($A225,NumberofDaysTable,4),(_xll.xSPRDOPT(M225,$E225,$BU225,0,$BP225,$BS225,$BT225,$A225-Inputs!$D$1,1,1))*(8*VLOOKUP($A225,NumberofDaysTable,4))),0))</f>
        <v xml:space="preserve"> </v>
      </c>
      <c r="AB225" s="306" t="str">
        <f>IF($A225="N/A"," ",IF(U225&lt;&gt;0,IF('Pricing Inputs'!$AN$3=2,8*VLOOKUP($A225,NumberofDaysTable,4),(_xll.xSPRDOPT(N225,$E225,$BU225,0,$BP225,$BS225,$BT225,$A225-Inputs!$D$1,1,1))*(8*VLOOKUP($A225,NumberofDaysTable,4))),0))</f>
        <v xml:space="preserve"> </v>
      </c>
      <c r="AC225" s="306" t="str">
        <f t="shared" si="342"/>
        <v xml:space="preserve"> </v>
      </c>
      <c r="AD225" s="274" t="str">
        <f t="shared" si="392"/>
        <v xml:space="preserve"> </v>
      </c>
      <c r="AE225" s="275" t="str">
        <f t="shared" si="393"/>
        <v xml:space="preserve"> </v>
      </c>
      <c r="AF225" s="275" t="str">
        <f t="shared" si="394"/>
        <v xml:space="preserve"> </v>
      </c>
      <c r="AG225" s="275" t="str">
        <f t="shared" si="395"/>
        <v xml:space="preserve"> </v>
      </c>
      <c r="AH225" s="275" t="str">
        <f t="shared" si="396"/>
        <v xml:space="preserve"> </v>
      </c>
      <c r="AI225" s="275" t="str">
        <f t="shared" si="397"/>
        <v xml:space="preserve"> </v>
      </c>
      <c r="AJ225" s="276" t="str">
        <f t="shared" si="398"/>
        <v xml:space="preserve"> </v>
      </c>
      <c r="AK225" s="314" t="str">
        <f t="shared" si="361"/>
        <v xml:space="preserve"> </v>
      </c>
      <c r="AL225" s="315" t="str">
        <f t="shared" si="362"/>
        <v xml:space="preserve"> </v>
      </c>
      <c r="AM225" s="315" t="str">
        <f t="shared" si="363"/>
        <v xml:space="preserve"> </v>
      </c>
      <c r="AN225" s="315" t="str">
        <f t="shared" si="364"/>
        <v xml:space="preserve"> </v>
      </c>
      <c r="AO225" s="315" t="str">
        <f t="shared" si="365"/>
        <v xml:space="preserve"> </v>
      </c>
      <c r="AP225" s="315" t="str">
        <f t="shared" si="366"/>
        <v xml:space="preserve"> </v>
      </c>
      <c r="AQ225" s="315" t="str">
        <f t="shared" si="367"/>
        <v xml:space="preserve"> </v>
      </c>
      <c r="AR225" s="276"/>
      <c r="AS225" s="321" t="str">
        <f t="shared" si="385"/>
        <v xml:space="preserve"> </v>
      </c>
      <c r="AT225" s="324" t="str">
        <f t="shared" si="386"/>
        <v xml:space="preserve"> </v>
      </c>
      <c r="AU225" s="324" t="str">
        <f t="shared" si="387"/>
        <v xml:space="preserve"> </v>
      </c>
      <c r="AV225" s="324" t="str">
        <f t="shared" si="388"/>
        <v xml:space="preserve"> </v>
      </c>
      <c r="AW225" s="324" t="str">
        <f t="shared" si="389"/>
        <v xml:space="preserve"> </v>
      </c>
      <c r="AX225" s="324" t="str">
        <f t="shared" si="390"/>
        <v xml:space="preserve"> </v>
      </c>
      <c r="AY225" s="324" t="str">
        <f t="shared" si="391"/>
        <v xml:space="preserve"> </v>
      </c>
      <c r="AZ225" s="276"/>
      <c r="BA225" s="267" t="str">
        <f>IF($A225="N/A"," ",(IF(MONTH(A225)&gt;=4,IF(MONTH(A225)&lt;=10,Inputs!$F$13,Inputs!$F$14),Inputs!$F$14))*$BW225)</f>
        <v xml:space="preserve"> </v>
      </c>
      <c r="BB225" s="268" t="str">
        <f t="shared" si="382"/>
        <v xml:space="preserve"> </v>
      </c>
      <c r="BC225" s="268" t="str">
        <f t="shared" si="383"/>
        <v xml:space="preserve"> </v>
      </c>
      <c r="BD225" s="268" t="str">
        <f t="shared" si="350"/>
        <v xml:space="preserve"> </v>
      </c>
      <c r="BE225" s="268" t="str">
        <f t="shared" si="351"/>
        <v xml:space="preserve"> </v>
      </c>
      <c r="BF225" s="268" t="str">
        <f t="shared" si="352"/>
        <v xml:space="preserve"> </v>
      </c>
      <c r="BG225" s="268" t="str">
        <f t="shared" si="353"/>
        <v xml:space="preserve"> </v>
      </c>
      <c r="BH225" s="268" t="str">
        <f t="shared" si="359"/>
        <v xml:space="preserve"> </v>
      </c>
      <c r="BI225" s="268" t="str">
        <f t="shared" si="354"/>
        <v xml:space="preserve"> </v>
      </c>
      <c r="BJ225" s="296" t="str">
        <f t="shared" si="355"/>
        <v xml:space="preserve"> </v>
      </c>
      <c r="BK225" s="296" t="str">
        <f t="shared" si="356"/>
        <v xml:space="preserve"> </v>
      </c>
      <c r="BL225" s="296" t="str">
        <f t="shared" si="357"/>
        <v xml:space="preserve"> </v>
      </c>
      <c r="BM225" s="296" t="str">
        <f t="shared" si="358"/>
        <v xml:space="preserve"> </v>
      </c>
      <c r="BN225" s="405" t="str">
        <f>IF(A225="N/A"," ",(VLOOKUP(A225,PowerVolTable,(IF('Pricing Inputs'!$AT$3=2,7,IF('Pricing Inputs'!$AT$3=1,6,8))),FALSE)))</f>
        <v xml:space="preserve"> </v>
      </c>
      <c r="BO225" s="405" t="str">
        <f>IF(A225="N/A"," ",(VLOOKUP(A225,IntraPowerVol,(IF('Pricing Inputs'!$AT$3=2,3,IF('Pricing Inputs'!$AT$3=1,2,4))),FALSE)*VLOOKUP(MONTH($A225),Inputs!$A$28:$B$39,2)))</f>
        <v xml:space="preserve"> </v>
      </c>
      <c r="BP225" s="406" t="str">
        <f t="shared" si="336"/>
        <v xml:space="preserve"> </v>
      </c>
      <c r="BQ225" s="405" t="str">
        <f>IF($A225="N/A"," ",(VLOOKUP($A225,GasVolTable,(IF('Pricing Inputs'!$AT$3=2,6,IF('Pricing Inputs'!$AT$3=1,7,5))),FALSE)))</f>
        <v xml:space="preserve"> </v>
      </c>
      <c r="BR225" s="405" t="str">
        <f>IF($A225="N/A"," ",(VLOOKUP($A225,OmicronVol,(IF('Pricing Inputs'!$AT$3=2,3,IF('Pricing Inputs'!$AT$3=1,4,2))),FALSE)))</f>
        <v xml:space="preserve"> </v>
      </c>
      <c r="BS225" s="406" t="str">
        <f>IF($A225="N/A"," ",IF('Pricing Inputs'!$AN$3=1,(IF(DateToday&gt;$A225,$BR225,((($BQ225^2)*((($A225-1)-DateToday)/((EOMONTH($A225,0)+1)-DateToday-15)))+((($BR225)^2)*((15)/((EOMONTH($A225,0)+1)-DateToday-15))))^0.5)),0.0001))</f>
        <v xml:space="preserve"> </v>
      </c>
      <c r="BT225" s="405" t="str">
        <f>IF($A225="N/A"," ",IF('Pricing Inputs'!$AN$3=1,(VLOOKUP($A225,CorrelationTable,2,FALSE)),0))</f>
        <v xml:space="preserve"> </v>
      </c>
      <c r="BU225" s="407" t="str">
        <f>IF($A225="N/A"," ",F225+G225+(D225*(VLOOKUP($A225,'Gas Curves'!$B$17:$P$310,14,FALSE))))</f>
        <v xml:space="preserve"> </v>
      </c>
      <c r="BV225" s="405" t="str">
        <f>IF($A225="N/A"," ",IF('Pricing Inputs'!$AW$3=1,0,(VLOOKUP($A225,InterestRatesTable,2))))</f>
        <v xml:space="preserve"> </v>
      </c>
      <c r="BW225" s="408" t="str">
        <f t="shared" si="337"/>
        <v xml:space="preserve"> </v>
      </c>
    </row>
    <row r="226" spans="1:75">
      <c r="A226" s="248" t="str">
        <f>IF(A225="N/A","N/A",IF(EDATE(A225,1)&gt;Inputs!$K$3,"N/A",EDATE(A225,1)))</f>
        <v>N/A</v>
      </c>
      <c r="B226" s="262" t="str">
        <f t="shared" si="338"/>
        <v xml:space="preserve"> </v>
      </c>
      <c r="C226" s="249" t="str">
        <f t="shared" si="339"/>
        <v xml:space="preserve"> </v>
      </c>
      <c r="D226" s="250" t="str">
        <f>IF(A226="N/A"," ",(VLOOKUP(MONTH($A226),Inputs!$A$14:$B$25,2))/1000)</f>
        <v xml:space="preserve"> </v>
      </c>
      <c r="E226" s="304" t="str">
        <f t="shared" si="340"/>
        <v xml:space="preserve"> </v>
      </c>
      <c r="F226" s="251" t="str">
        <f>IF(A226="N/A"," ",Inputs!$F$6)</f>
        <v xml:space="preserve"> </v>
      </c>
      <c r="G226" s="251" t="str">
        <f>IF(A226="N/A"," ",Inputs!$F$9/IF(AND('Pricing Inputs'!$AQ$3&gt;=4,'Pricing Inputs'!$AQ$3&lt;=6),16,IF(AND('Pricing Inputs'!$AQ$3&gt;=7,'Pricing Inputs'!$AQ$3&lt;=9),8,24))/(BA226/BW226))</f>
        <v xml:space="preserve"> </v>
      </c>
      <c r="H226" s="252" t="str">
        <f t="shared" si="341"/>
        <v xml:space="preserve"> </v>
      </c>
      <c r="I226" s="255" t="str">
        <f>VLOOKUP(A226,ScaledPrice,(IF(AND('Pricing Inputs'!$AQ$3&gt;=1,'Pricing Inputs'!$AQ$3&lt;=6),2,4)))</f>
        <v xml:space="preserve"> </v>
      </c>
      <c r="J226" s="255" t="str">
        <f>IF(A226="N/A"," ",IF(AND('Pricing Inputs'!$AQ$3&gt;=1,'Pricing Inputs'!$AQ$3&lt;=6),I226,(VLOOKUP(A226,ScaledPrice,2))*(2-(VLOOKUP(A226,ScaledPrice,3)))))</f>
        <v xml:space="preserve"> </v>
      </c>
      <c r="K226" s="255" t="str">
        <f>IF(A226="N/A"," ",IF(OR('Pricing Inputs'!$AQ$3=2,'Pricing Inputs'!$AQ$3=3,'Pricing Inputs'!$AQ$3=5,'Pricing Inputs'!$AQ$3=6,'Pricing Inputs'!$AQ$3=8,'Pricing Inputs'!$AQ$3=9),VLOOKUP(A226,ScaledPrice,IF(AND('Pricing Inputs'!$AQ$3&gt;=2,'Pricing Inputs'!$AQ$3&lt;=6),5,6)),0))</f>
        <v xml:space="preserve"> </v>
      </c>
      <c r="L226" s="255" t="str">
        <f>IF(A226="N/A"," ",IF(OR('Pricing Inputs'!$AQ$3=2,'Pricing Inputs'!$AQ$3=3,'Pricing Inputs'!$AQ$3=5,'Pricing Inputs'!$AQ$3=6,'Pricing Inputs'!$AQ$3=8,'Pricing Inputs'!$AQ$3=9),IF(AND('Pricing Inputs'!$AQ$3&gt;=2,'Pricing Inputs'!$AQ$3&lt;=6),K226,(VLOOKUP(A226,ScaledPrice,5))*(2-(VLOOKUP(A226,ScaledPrice,3)))),0))</f>
        <v xml:space="preserve"> </v>
      </c>
      <c r="M226" s="255" t="str">
        <f>IF(A226="N/A"," ",IF(OR('Pricing Inputs'!$AQ$3=3,'Pricing Inputs'!$AQ$3=6,'Pricing Inputs'!$AQ$3=9),(VLOOKUP(A226,ScaledPrice,IF(AND('Pricing Inputs'!$AQ$3&gt;=3,'Pricing Inputs'!$AQ$3&lt;=6),7,8))),0))</f>
        <v xml:space="preserve"> </v>
      </c>
      <c r="N226" s="255" t="str">
        <f>IF(A226="N/A"," ",IF(OR('Pricing Inputs'!$AQ$3=3,'Pricing Inputs'!$AQ$3=6,'Pricing Inputs'!$AQ$3=9),IF(AND('Pricing Inputs'!$AQ$3&gt;=3,'Pricing Inputs'!$AQ$3&lt;=6),M226,(VLOOKUP(A226,ScaledPrice,7))*(2-(VLOOKUP(A226,ScaledPrice,3)))),0))</f>
        <v xml:space="preserve"> </v>
      </c>
      <c r="O226" s="255" t="str">
        <f>IF(A226="N/A"," ",IF(AND('Pricing Inputs'!$AQ$3&gt;=1,'Pricing Inputs'!$AQ$3&lt;=3),VLOOKUP(A226,ScaledPrice,9),0))</f>
        <v xml:space="preserve"> </v>
      </c>
      <c r="P226" s="320" t="str">
        <f>IF($A226="N/A"," ",IF('Pricing Inputs'!$AN$8=2,(I226-H226),IF('Pricing Inputs'!$AN$3=2,IF((I226-$H226)&gt;0,I226-$H226,0),(_xll.xSPRDOPT(I226,$E226,$BU226,0,$BP226,$BS226,$BT226,($A226-Inputs!$D$1)+15,1,0)))))</f>
        <v xml:space="preserve"> </v>
      </c>
      <c r="Q226" s="320" t="str">
        <f>IF($A226="N/A"," ",IF('Pricing Inputs'!$AN$8=2,(J226-$H226),IF('Pricing Inputs'!$AN$3=2,IF((J226-$H226)&gt;0,J226-$H226,0),(_xll.xSPRDOPT(J226,$E226,$BU226,0,$BP226,$BS226,$BT226,($A226-Inputs!$D$1)+15,1,0)))))</f>
        <v xml:space="preserve"> </v>
      </c>
      <c r="R226" s="320" t="str">
        <f>IF($A226="N/A"," ",IF('Pricing Inputs'!$AN$8=2,(K226-$H226),IF('Pricing Inputs'!$AN$3=2,IF((K226-$H226)&gt;0,K226-$H226,0),(_xll.xSPRDOPT(K226,$E226,$BU226,0,$BP226,$BS226,$BT226,($A226-Inputs!$D$1)+15,1,0)))))</f>
        <v xml:space="preserve"> </v>
      </c>
      <c r="S226" s="320" t="str">
        <f>IF($A226="N/A"," ",IF('Pricing Inputs'!$AN$8=2,(L226-$H226),IF('Pricing Inputs'!$AN$3=2,IF((L226-$H226)&gt;0,L226-$H226,0),(_xll.xSPRDOPT(L226,$E226,$BU226,0,$BP226,$BS226,$BT226,($A226-Inputs!$D$1)+15,1,0)))))</f>
        <v xml:space="preserve"> </v>
      </c>
      <c r="T226" s="320" t="str">
        <f>IF($A226="N/A"," ",IF('Pricing Inputs'!$AN$8=2,(M226-$H226),IF('Pricing Inputs'!$AN$3=2,IF((M226-$H226)&gt;0,M226-$H226,0),(_xll.xSPRDOPT(M226,$E226,$BU226,0,$BP226,$BS226,$BT226,($A226-Inputs!$D$1)+15,1,0)))))</f>
        <v xml:space="preserve"> </v>
      </c>
      <c r="U226" s="320" t="str">
        <f>IF($A226="N/A"," ",IF('Pricing Inputs'!$AN$8=2,(N226-$H226),IF('Pricing Inputs'!$AN$3=2,IF((N226-$H226)&gt;0,N226-$H226,0),(_xll.xSPRDOPT(N226,$E226,$BU226,0,$BP226,$BS226,$BT226,($A226-Inputs!$D$1)+15,1,0)))))</f>
        <v xml:space="preserve"> </v>
      </c>
      <c r="V226" s="259" t="str">
        <f>IF($A226="N/A"," ",(IF('Pricing Inputs'!$AN$8=2,(O226-$H226),IF((O226-$H226)&lt;=0,0,(O226-$H226)))))</f>
        <v xml:space="preserve"> </v>
      </c>
      <c r="W226" s="306" t="str">
        <f>IF($A226="N/A"," ",IF(0&lt;&gt;P226,IF('Pricing Inputs'!$AN$3=2,8*VLOOKUP($A226,NumberofDaysTable,2),(_xll.xSPRDOPT(I226,$E226,$BU226,0,$BP226,$BS226,$BT226,$A226-Inputs!$D$1,1,1))*(8*VLOOKUP($A226,NumberofDaysTable,2))),0))</f>
        <v xml:space="preserve"> </v>
      </c>
      <c r="X226" s="306" t="str">
        <f>IF($A226="N/A"," ",IF(Q226&lt;&gt;0,IF('Pricing Inputs'!$AN$3=2,8*VLOOKUP($A226,NumberofDaysTable,2),(_xll.xSPRDOPT(J226,$E226,$BU226,0,$BP226,$BS226,$BT226,$A226-Inputs!$D$1,1,1))*(8*VLOOKUP($A226,NumberofDaysTable,2))),0))</f>
        <v xml:space="preserve"> </v>
      </c>
      <c r="Y226" s="306" t="str">
        <f>IF($A226="N/A"," ",IF(R226&lt;&gt;0,IF('Pricing Inputs'!$AN$3=2,8*VLOOKUP($A226,NumberofDaysTable,3),(_xll.xSPRDOPT(K226,$E226,$BU226,0,$BP226,$BS226,$BT226,$A226-Inputs!$D$1,1,1))*(8*VLOOKUP($A226,NumberofDaysTable,3))),0))</f>
        <v xml:space="preserve"> </v>
      </c>
      <c r="Z226" s="306" t="str">
        <f>IF($A226="N/A"," ",IF(S226&lt;&gt;0,IF('Pricing Inputs'!$AN$3=2,8*VLOOKUP($A226,NumberofDaysTable,3),(_xll.xSPRDOPT(L226,$E226,$BU226,0,$BP226,$BS226,$BT226,$A226-Inputs!$D$1,1,1))*(8*VLOOKUP($A226,NumberofDaysTable,3))),0))</f>
        <v xml:space="preserve"> </v>
      </c>
      <c r="AA226" s="306" t="str">
        <f>IF($A226="N/A"," ",IF(T226&lt;&gt;0,IF('Pricing Inputs'!$AN$3=2,8*VLOOKUP($A226,NumberofDaysTable,4),(_xll.xSPRDOPT(M226,$E226,$BU226,0,$BP226,$BS226,$BT226,$A226-Inputs!$D$1,1,1))*(8*VLOOKUP($A226,NumberofDaysTable,4))),0))</f>
        <v xml:space="preserve"> </v>
      </c>
      <c r="AB226" s="306" t="str">
        <f>IF($A226="N/A"," ",IF(U226&lt;&gt;0,IF('Pricing Inputs'!$AN$3=2,8*VLOOKUP($A226,NumberofDaysTable,4),(_xll.xSPRDOPT(N226,$E226,$BU226,0,$BP226,$BS226,$BT226,$A226-Inputs!$D$1,1,1))*(8*VLOOKUP($A226,NumberofDaysTable,4))),0))</f>
        <v xml:space="preserve"> </v>
      </c>
      <c r="AC226" s="306" t="str">
        <f t="shared" si="342"/>
        <v xml:space="preserve"> </v>
      </c>
      <c r="AD226" s="274" t="str">
        <f t="shared" si="392"/>
        <v xml:space="preserve"> </v>
      </c>
      <c r="AE226" s="275" t="str">
        <f t="shared" si="393"/>
        <v xml:space="preserve"> </v>
      </c>
      <c r="AF226" s="275" t="str">
        <f t="shared" si="394"/>
        <v xml:space="preserve"> </v>
      </c>
      <c r="AG226" s="275" t="str">
        <f t="shared" si="395"/>
        <v xml:space="preserve"> </v>
      </c>
      <c r="AH226" s="275" t="str">
        <f t="shared" si="396"/>
        <v xml:space="preserve"> </v>
      </c>
      <c r="AI226" s="275" t="str">
        <f t="shared" si="397"/>
        <v xml:space="preserve"> </v>
      </c>
      <c r="AJ226" s="276" t="str">
        <f t="shared" si="398"/>
        <v xml:space="preserve"> </v>
      </c>
      <c r="AK226" s="314" t="str">
        <f t="shared" si="361"/>
        <v xml:space="preserve"> </v>
      </c>
      <c r="AL226" s="315" t="str">
        <f t="shared" si="362"/>
        <v xml:space="preserve"> </v>
      </c>
      <c r="AM226" s="315" t="str">
        <f t="shared" si="363"/>
        <v xml:space="preserve"> </v>
      </c>
      <c r="AN226" s="315" t="str">
        <f t="shared" si="364"/>
        <v xml:space="preserve"> </v>
      </c>
      <c r="AO226" s="315" t="str">
        <f t="shared" si="365"/>
        <v xml:space="preserve"> </v>
      </c>
      <c r="AP226" s="315" t="str">
        <f t="shared" si="366"/>
        <v xml:space="preserve"> </v>
      </c>
      <c r="AQ226" s="315" t="str">
        <f t="shared" si="367"/>
        <v xml:space="preserve"> </v>
      </c>
      <c r="AR226" s="276"/>
      <c r="AS226" s="321" t="str">
        <f t="shared" si="385"/>
        <v xml:space="preserve"> </v>
      </c>
      <c r="AT226" s="324" t="str">
        <f t="shared" si="386"/>
        <v xml:space="preserve"> </v>
      </c>
      <c r="AU226" s="324" t="str">
        <f t="shared" si="387"/>
        <v xml:space="preserve"> </v>
      </c>
      <c r="AV226" s="324" t="str">
        <f t="shared" si="388"/>
        <v xml:space="preserve"> </v>
      </c>
      <c r="AW226" s="324" t="str">
        <f t="shared" si="389"/>
        <v xml:space="preserve"> </v>
      </c>
      <c r="AX226" s="324" t="str">
        <f t="shared" si="390"/>
        <v xml:space="preserve"> </v>
      </c>
      <c r="AY226" s="324" t="str">
        <f t="shared" si="391"/>
        <v xml:space="preserve"> </v>
      </c>
      <c r="AZ226" s="276"/>
      <c r="BA226" s="267" t="str">
        <f>IF($A226="N/A"," ",(IF(MONTH(A226)&gt;=4,IF(MONTH(A226)&lt;=10,Inputs!$F$13,Inputs!$F$14),Inputs!$F$14))*$BW226)</f>
        <v xml:space="preserve"> </v>
      </c>
      <c r="BB226" s="268" t="str">
        <f t="shared" si="382"/>
        <v xml:space="preserve"> </v>
      </c>
      <c r="BC226" s="268" t="str">
        <f t="shared" si="383"/>
        <v xml:space="preserve"> </v>
      </c>
      <c r="BD226" s="268" t="str">
        <f t="shared" si="350"/>
        <v xml:space="preserve"> </v>
      </c>
      <c r="BE226" s="268" t="str">
        <f t="shared" si="351"/>
        <v xml:space="preserve"> </v>
      </c>
      <c r="BF226" s="268" t="str">
        <f t="shared" si="352"/>
        <v xml:space="preserve"> </v>
      </c>
      <c r="BG226" s="268" t="str">
        <f t="shared" si="353"/>
        <v xml:space="preserve"> </v>
      </c>
      <c r="BH226" s="268" t="str">
        <f t="shared" si="359"/>
        <v xml:space="preserve"> </v>
      </c>
      <c r="BI226" s="268" t="str">
        <f t="shared" si="354"/>
        <v xml:space="preserve"> </v>
      </c>
      <c r="BJ226" s="296" t="str">
        <f t="shared" si="355"/>
        <v xml:space="preserve"> </v>
      </c>
      <c r="BK226" s="296" t="str">
        <f t="shared" si="356"/>
        <v xml:space="preserve"> </v>
      </c>
      <c r="BL226" s="296" t="str">
        <f t="shared" si="357"/>
        <v xml:space="preserve"> </v>
      </c>
      <c r="BM226" s="296" t="str">
        <f t="shared" si="358"/>
        <v xml:space="preserve"> </v>
      </c>
      <c r="BN226" s="405" t="str">
        <f>IF(A226="N/A"," ",(VLOOKUP(A226,PowerVolTable,(IF('Pricing Inputs'!$AT$3=2,7,IF('Pricing Inputs'!$AT$3=1,6,8))),FALSE)))</f>
        <v xml:space="preserve"> </v>
      </c>
      <c r="BO226" s="405" t="str">
        <f>IF(A226="N/A"," ",(VLOOKUP(A226,IntraPowerVol,(IF('Pricing Inputs'!$AT$3=2,3,IF('Pricing Inputs'!$AT$3=1,2,4))),FALSE)*VLOOKUP(MONTH($A226),Inputs!$A$28:$B$39,2)))</f>
        <v xml:space="preserve"> </v>
      </c>
      <c r="BP226" s="406" t="str">
        <f t="shared" si="336"/>
        <v xml:space="preserve"> </v>
      </c>
      <c r="BQ226" s="405" t="str">
        <f>IF($A226="N/A"," ",(VLOOKUP($A226,GasVolTable,(IF('Pricing Inputs'!$AT$3=2,6,IF('Pricing Inputs'!$AT$3=1,7,5))),FALSE)))</f>
        <v xml:space="preserve"> </v>
      </c>
      <c r="BR226" s="405" t="str">
        <f>IF($A226="N/A"," ",(VLOOKUP($A226,OmicronVol,(IF('Pricing Inputs'!$AT$3=2,3,IF('Pricing Inputs'!$AT$3=1,4,2))),FALSE)))</f>
        <v xml:space="preserve"> </v>
      </c>
      <c r="BS226" s="406" t="str">
        <f>IF($A226="N/A"," ",IF('Pricing Inputs'!$AN$3=1,(IF(DateToday&gt;$A226,$BR226,((($BQ226^2)*((($A226-1)-DateToday)/((EOMONTH($A226,0)+1)-DateToday-15)))+((($BR226)^2)*((15)/((EOMONTH($A226,0)+1)-DateToday-15))))^0.5)),0.0001))</f>
        <v xml:space="preserve"> </v>
      </c>
      <c r="BT226" s="405" t="str">
        <f>IF($A226="N/A"," ",IF('Pricing Inputs'!$AN$3=1,(VLOOKUP($A226,CorrelationTable,2,FALSE)),0))</f>
        <v xml:space="preserve"> </v>
      </c>
      <c r="BU226" s="407" t="str">
        <f>IF($A226="N/A"," ",F226+G226+(D226*(VLOOKUP($A226,'Gas Curves'!$B$17:$P$310,14,FALSE))))</f>
        <v xml:space="preserve"> </v>
      </c>
      <c r="BV226" s="405" t="str">
        <f>IF($A226="N/A"," ",IF('Pricing Inputs'!$AW$3=1,0,(VLOOKUP($A226,InterestRatesTable,2))))</f>
        <v xml:space="preserve"> </v>
      </c>
      <c r="BW226" s="408" t="str">
        <f t="shared" si="337"/>
        <v xml:space="preserve"> </v>
      </c>
    </row>
    <row r="227" spans="1:75">
      <c r="A227" s="248" t="str">
        <f>IF(A226="N/A","N/A",IF(EDATE(A226,1)&gt;Inputs!$K$3,"N/A",EDATE(A226,1)))</f>
        <v>N/A</v>
      </c>
      <c r="B227" s="262" t="str">
        <f t="shared" si="338"/>
        <v xml:space="preserve"> </v>
      </c>
      <c r="C227" s="249" t="str">
        <f t="shared" si="339"/>
        <v xml:space="preserve"> </v>
      </c>
      <c r="D227" s="250" t="str">
        <f>IF(A227="N/A"," ",(VLOOKUP(MONTH($A227),Inputs!$A$14:$B$25,2))/1000)</f>
        <v xml:space="preserve"> </v>
      </c>
      <c r="E227" s="304" t="str">
        <f t="shared" si="340"/>
        <v xml:space="preserve"> </v>
      </c>
      <c r="F227" s="251" t="str">
        <f>IF(A227="N/A"," ",Inputs!$F$6)</f>
        <v xml:space="preserve"> </v>
      </c>
      <c r="G227" s="251" t="str">
        <f>IF(A227="N/A"," ",Inputs!$F$9/IF(AND('Pricing Inputs'!$AQ$3&gt;=4,'Pricing Inputs'!$AQ$3&lt;=6),16,IF(AND('Pricing Inputs'!$AQ$3&gt;=7,'Pricing Inputs'!$AQ$3&lt;=9),8,24))/(BA227/BW227))</f>
        <v xml:space="preserve"> </v>
      </c>
      <c r="H227" s="252" t="str">
        <f t="shared" si="341"/>
        <v xml:space="preserve"> </v>
      </c>
      <c r="I227" s="255" t="str">
        <f>VLOOKUP(A227,ScaledPrice,(IF(AND('Pricing Inputs'!$AQ$3&gt;=1,'Pricing Inputs'!$AQ$3&lt;=6),2,4)))</f>
        <v xml:space="preserve"> </v>
      </c>
      <c r="J227" s="255" t="str">
        <f>IF(A227="N/A"," ",IF(AND('Pricing Inputs'!$AQ$3&gt;=1,'Pricing Inputs'!$AQ$3&lt;=6),I227,(VLOOKUP(A227,ScaledPrice,2))*(2-(VLOOKUP(A227,ScaledPrice,3)))))</f>
        <v xml:space="preserve"> </v>
      </c>
      <c r="K227" s="255" t="str">
        <f>IF(A227="N/A"," ",IF(OR('Pricing Inputs'!$AQ$3=2,'Pricing Inputs'!$AQ$3=3,'Pricing Inputs'!$AQ$3=5,'Pricing Inputs'!$AQ$3=6,'Pricing Inputs'!$AQ$3=8,'Pricing Inputs'!$AQ$3=9),VLOOKUP(A227,ScaledPrice,IF(AND('Pricing Inputs'!$AQ$3&gt;=2,'Pricing Inputs'!$AQ$3&lt;=6),5,6)),0))</f>
        <v xml:space="preserve"> </v>
      </c>
      <c r="L227" s="255" t="str">
        <f>IF(A227="N/A"," ",IF(OR('Pricing Inputs'!$AQ$3=2,'Pricing Inputs'!$AQ$3=3,'Pricing Inputs'!$AQ$3=5,'Pricing Inputs'!$AQ$3=6,'Pricing Inputs'!$AQ$3=8,'Pricing Inputs'!$AQ$3=9),IF(AND('Pricing Inputs'!$AQ$3&gt;=2,'Pricing Inputs'!$AQ$3&lt;=6),K227,(VLOOKUP(A227,ScaledPrice,5))*(2-(VLOOKUP(A227,ScaledPrice,3)))),0))</f>
        <v xml:space="preserve"> </v>
      </c>
      <c r="M227" s="255" t="str">
        <f>IF(A227="N/A"," ",IF(OR('Pricing Inputs'!$AQ$3=3,'Pricing Inputs'!$AQ$3=6,'Pricing Inputs'!$AQ$3=9),(VLOOKUP(A227,ScaledPrice,IF(AND('Pricing Inputs'!$AQ$3&gt;=3,'Pricing Inputs'!$AQ$3&lt;=6),7,8))),0))</f>
        <v xml:space="preserve"> </v>
      </c>
      <c r="N227" s="255" t="str">
        <f>IF(A227="N/A"," ",IF(OR('Pricing Inputs'!$AQ$3=3,'Pricing Inputs'!$AQ$3=6,'Pricing Inputs'!$AQ$3=9),IF(AND('Pricing Inputs'!$AQ$3&gt;=3,'Pricing Inputs'!$AQ$3&lt;=6),M227,(VLOOKUP(A227,ScaledPrice,7))*(2-(VLOOKUP(A227,ScaledPrice,3)))),0))</f>
        <v xml:space="preserve"> </v>
      </c>
      <c r="O227" s="255" t="str">
        <f>IF(A227="N/A"," ",IF(AND('Pricing Inputs'!$AQ$3&gt;=1,'Pricing Inputs'!$AQ$3&lt;=3),VLOOKUP(A227,ScaledPrice,9),0))</f>
        <v xml:space="preserve"> </v>
      </c>
      <c r="P227" s="320" t="str">
        <f>IF($A227="N/A"," ",IF('Pricing Inputs'!$AN$8=2,(I227-H227),IF('Pricing Inputs'!$AN$3=2,IF((I227-$H227)&gt;0,I227-$H227,0),(_xll.xSPRDOPT(I227,$E227,$BU227,0,$BP227,$BS227,$BT227,($A227-Inputs!$D$1)+15,1,0)))))</f>
        <v xml:space="preserve"> </v>
      </c>
      <c r="Q227" s="320" t="str">
        <f>IF($A227="N/A"," ",IF('Pricing Inputs'!$AN$8=2,(J227-$H227),IF('Pricing Inputs'!$AN$3=2,IF((J227-$H227)&gt;0,J227-$H227,0),(_xll.xSPRDOPT(J227,$E227,$BU227,0,$BP227,$BS227,$BT227,($A227-Inputs!$D$1)+15,1,0)))))</f>
        <v xml:space="preserve"> </v>
      </c>
      <c r="R227" s="320" t="str">
        <f>IF($A227="N/A"," ",IF('Pricing Inputs'!$AN$8=2,(K227-$H227),IF('Pricing Inputs'!$AN$3=2,IF((K227-$H227)&gt;0,K227-$H227,0),(_xll.xSPRDOPT(K227,$E227,$BU227,0,$BP227,$BS227,$BT227,($A227-Inputs!$D$1)+15,1,0)))))</f>
        <v xml:space="preserve"> </v>
      </c>
      <c r="S227" s="320" t="str">
        <f>IF($A227="N/A"," ",IF('Pricing Inputs'!$AN$8=2,(L227-$H227),IF('Pricing Inputs'!$AN$3=2,IF((L227-$H227)&gt;0,L227-$H227,0),(_xll.xSPRDOPT(L227,$E227,$BU227,0,$BP227,$BS227,$BT227,($A227-Inputs!$D$1)+15,1,0)))))</f>
        <v xml:space="preserve"> </v>
      </c>
      <c r="T227" s="320" t="str">
        <f>IF($A227="N/A"," ",IF('Pricing Inputs'!$AN$8=2,(M227-$H227),IF('Pricing Inputs'!$AN$3=2,IF((M227-$H227)&gt;0,M227-$H227,0),(_xll.xSPRDOPT(M227,$E227,$BU227,0,$BP227,$BS227,$BT227,($A227-Inputs!$D$1)+15,1,0)))))</f>
        <v xml:space="preserve"> </v>
      </c>
      <c r="U227" s="320" t="str">
        <f>IF($A227="N/A"," ",IF('Pricing Inputs'!$AN$8=2,(N227-$H227),IF('Pricing Inputs'!$AN$3=2,IF((N227-$H227)&gt;0,N227-$H227,0),(_xll.xSPRDOPT(N227,$E227,$BU227,0,$BP227,$BS227,$BT227,($A227-Inputs!$D$1)+15,1,0)))))</f>
        <v xml:space="preserve"> </v>
      </c>
      <c r="V227" s="259" t="str">
        <f>IF($A227="N/A"," ",(IF('Pricing Inputs'!$AN$8=2,(O227-$H227),IF((O227-$H227)&lt;=0,0,(O227-$H227)))))</f>
        <v xml:space="preserve"> </v>
      </c>
      <c r="W227" s="306" t="str">
        <f>IF($A227="N/A"," ",IF(0&lt;&gt;P227,IF('Pricing Inputs'!$AN$3=2,8*VLOOKUP($A227,NumberofDaysTable,2),(_xll.xSPRDOPT(I227,$E227,$BU227,0,$BP227,$BS227,$BT227,$A227-Inputs!$D$1,1,1))*(8*VLOOKUP($A227,NumberofDaysTable,2))),0))</f>
        <v xml:space="preserve"> </v>
      </c>
      <c r="X227" s="306" t="str">
        <f>IF($A227="N/A"," ",IF(Q227&lt;&gt;0,IF('Pricing Inputs'!$AN$3=2,8*VLOOKUP($A227,NumberofDaysTable,2),(_xll.xSPRDOPT(J227,$E227,$BU227,0,$BP227,$BS227,$BT227,$A227-Inputs!$D$1,1,1))*(8*VLOOKUP($A227,NumberofDaysTable,2))),0))</f>
        <v xml:space="preserve"> </v>
      </c>
      <c r="Y227" s="306" t="str">
        <f>IF($A227="N/A"," ",IF(R227&lt;&gt;0,IF('Pricing Inputs'!$AN$3=2,8*VLOOKUP($A227,NumberofDaysTable,3),(_xll.xSPRDOPT(K227,$E227,$BU227,0,$BP227,$BS227,$BT227,$A227-Inputs!$D$1,1,1))*(8*VLOOKUP($A227,NumberofDaysTable,3))),0))</f>
        <v xml:space="preserve"> </v>
      </c>
      <c r="Z227" s="306" t="str">
        <f>IF($A227="N/A"," ",IF(S227&lt;&gt;0,IF('Pricing Inputs'!$AN$3=2,8*VLOOKUP($A227,NumberofDaysTable,3),(_xll.xSPRDOPT(L227,$E227,$BU227,0,$BP227,$BS227,$BT227,$A227-Inputs!$D$1,1,1))*(8*VLOOKUP($A227,NumberofDaysTable,3))),0))</f>
        <v xml:space="preserve"> </v>
      </c>
      <c r="AA227" s="306" t="str">
        <f>IF($A227="N/A"," ",IF(T227&lt;&gt;0,IF('Pricing Inputs'!$AN$3=2,8*VLOOKUP($A227,NumberofDaysTable,4),(_xll.xSPRDOPT(M227,$E227,$BU227,0,$BP227,$BS227,$BT227,$A227-Inputs!$D$1,1,1))*(8*VLOOKUP($A227,NumberofDaysTable,4))),0))</f>
        <v xml:space="preserve"> </v>
      </c>
      <c r="AB227" s="306" t="str">
        <f>IF($A227="N/A"," ",IF(U227&lt;&gt;0,IF('Pricing Inputs'!$AN$3=2,8*VLOOKUP($A227,NumberofDaysTable,4),(_xll.xSPRDOPT(N227,$E227,$BU227,0,$BP227,$BS227,$BT227,$A227-Inputs!$D$1,1,1))*(8*VLOOKUP($A227,NumberofDaysTable,4))),0))</f>
        <v xml:space="preserve"> </v>
      </c>
      <c r="AC227" s="306" t="str">
        <f t="shared" si="342"/>
        <v xml:space="preserve"> </v>
      </c>
      <c r="AD227" s="274" t="str">
        <f t="shared" si="392"/>
        <v xml:space="preserve"> </v>
      </c>
      <c r="AE227" s="275" t="str">
        <f t="shared" si="393"/>
        <v xml:space="preserve"> </v>
      </c>
      <c r="AF227" s="275" t="str">
        <f t="shared" si="394"/>
        <v xml:space="preserve"> </v>
      </c>
      <c r="AG227" s="275" t="str">
        <f t="shared" si="395"/>
        <v xml:space="preserve"> </v>
      </c>
      <c r="AH227" s="275" t="str">
        <f t="shared" si="396"/>
        <v xml:space="preserve"> </v>
      </c>
      <c r="AI227" s="275" t="str">
        <f t="shared" si="397"/>
        <v xml:space="preserve"> </v>
      </c>
      <c r="AJ227" s="276" t="str">
        <f t="shared" si="398"/>
        <v xml:space="preserve"> </v>
      </c>
      <c r="AK227" s="314" t="str">
        <f t="shared" si="361"/>
        <v xml:space="preserve"> </v>
      </c>
      <c r="AL227" s="315" t="str">
        <f t="shared" si="362"/>
        <v xml:space="preserve"> </v>
      </c>
      <c r="AM227" s="315" t="str">
        <f t="shared" si="363"/>
        <v xml:space="preserve"> </v>
      </c>
      <c r="AN227" s="315" t="str">
        <f t="shared" si="364"/>
        <v xml:space="preserve"> </v>
      </c>
      <c r="AO227" s="315" t="str">
        <f t="shared" si="365"/>
        <v xml:space="preserve"> </v>
      </c>
      <c r="AP227" s="315" t="str">
        <f t="shared" si="366"/>
        <v xml:space="preserve"> </v>
      </c>
      <c r="AQ227" s="315" t="str">
        <f t="shared" si="367"/>
        <v xml:space="preserve"> </v>
      </c>
      <c r="AR227" s="276"/>
      <c r="AS227" s="321" t="str">
        <f t="shared" si="385"/>
        <v xml:space="preserve"> </v>
      </c>
      <c r="AT227" s="324" t="str">
        <f t="shared" si="386"/>
        <v xml:space="preserve"> </v>
      </c>
      <c r="AU227" s="324" t="str">
        <f t="shared" si="387"/>
        <v xml:space="preserve"> </v>
      </c>
      <c r="AV227" s="324" t="str">
        <f t="shared" si="388"/>
        <v xml:space="preserve"> </v>
      </c>
      <c r="AW227" s="324" t="str">
        <f t="shared" si="389"/>
        <v xml:space="preserve"> </v>
      </c>
      <c r="AX227" s="324" t="str">
        <f t="shared" si="390"/>
        <v xml:space="preserve"> </v>
      </c>
      <c r="AY227" s="324" t="str">
        <f t="shared" si="391"/>
        <v xml:space="preserve"> </v>
      </c>
      <c r="AZ227" s="276"/>
      <c r="BA227" s="267" t="str">
        <f>IF($A227="N/A"," ",(IF(MONTH(A227)&gt;=4,IF(MONTH(A227)&lt;=10,Inputs!$F$13,Inputs!$F$14),Inputs!$F$14))*$BW227)</f>
        <v xml:space="preserve"> </v>
      </c>
      <c r="BB227" s="268" t="str">
        <f t="shared" si="382"/>
        <v xml:space="preserve"> </v>
      </c>
      <c r="BC227" s="268" t="str">
        <f t="shared" si="383"/>
        <v xml:space="preserve"> </v>
      </c>
      <c r="BD227" s="268" t="str">
        <f t="shared" si="350"/>
        <v xml:space="preserve"> </v>
      </c>
      <c r="BE227" s="268" t="str">
        <f t="shared" si="351"/>
        <v xml:space="preserve"> </v>
      </c>
      <c r="BF227" s="268" t="str">
        <f t="shared" si="352"/>
        <v xml:space="preserve"> </v>
      </c>
      <c r="BG227" s="268" t="str">
        <f t="shared" si="353"/>
        <v xml:space="preserve"> </v>
      </c>
      <c r="BH227" s="268" t="str">
        <f t="shared" si="359"/>
        <v xml:space="preserve"> </v>
      </c>
      <c r="BI227" s="268" t="str">
        <f t="shared" si="354"/>
        <v xml:space="preserve"> </v>
      </c>
      <c r="BJ227" s="296" t="str">
        <f t="shared" si="355"/>
        <v xml:space="preserve"> </v>
      </c>
      <c r="BK227" s="296" t="str">
        <f t="shared" si="356"/>
        <v xml:space="preserve"> </v>
      </c>
      <c r="BL227" s="296" t="str">
        <f t="shared" si="357"/>
        <v xml:space="preserve"> </v>
      </c>
      <c r="BM227" s="296" t="str">
        <f t="shared" si="358"/>
        <v xml:space="preserve"> </v>
      </c>
      <c r="BN227" s="405" t="str">
        <f>IF(A227="N/A"," ",(VLOOKUP(A227,PowerVolTable,(IF('Pricing Inputs'!$AT$3=2,7,IF('Pricing Inputs'!$AT$3=1,6,8))),FALSE)))</f>
        <v xml:space="preserve"> </v>
      </c>
      <c r="BO227" s="405" t="str">
        <f>IF(A227="N/A"," ",(VLOOKUP(A227,IntraPowerVol,(IF('Pricing Inputs'!$AT$3=2,3,IF('Pricing Inputs'!$AT$3=1,2,4))),FALSE)*VLOOKUP(MONTH($A227),Inputs!$A$28:$B$39,2)))</f>
        <v xml:space="preserve"> </v>
      </c>
      <c r="BP227" s="406" t="str">
        <f t="shared" si="336"/>
        <v xml:space="preserve"> </v>
      </c>
      <c r="BQ227" s="405" t="str">
        <f>IF($A227="N/A"," ",(VLOOKUP($A227,GasVolTable,(IF('Pricing Inputs'!$AT$3=2,6,IF('Pricing Inputs'!$AT$3=1,7,5))),FALSE)))</f>
        <v xml:space="preserve"> </v>
      </c>
      <c r="BR227" s="405" t="str">
        <f>IF($A227="N/A"," ",(VLOOKUP($A227,OmicronVol,(IF('Pricing Inputs'!$AT$3=2,3,IF('Pricing Inputs'!$AT$3=1,4,2))),FALSE)))</f>
        <v xml:space="preserve"> </v>
      </c>
      <c r="BS227" s="406" t="str">
        <f>IF($A227="N/A"," ",IF('Pricing Inputs'!$AN$3=1,(IF(DateToday&gt;$A227,$BR227,((($BQ227^2)*((($A227-1)-DateToday)/((EOMONTH($A227,0)+1)-DateToday-15)))+((($BR227)^2)*((15)/((EOMONTH($A227,0)+1)-DateToday-15))))^0.5)),0.0001))</f>
        <v xml:space="preserve"> </v>
      </c>
      <c r="BT227" s="405" t="str">
        <f>IF($A227="N/A"," ",IF('Pricing Inputs'!$AN$3=1,(VLOOKUP($A227,CorrelationTable,2,FALSE)),0))</f>
        <v xml:space="preserve"> </v>
      </c>
      <c r="BU227" s="407" t="str">
        <f>IF($A227="N/A"," ",F227+G227+(D227*(VLOOKUP($A227,'Gas Curves'!$B$17:$P$310,14,FALSE))))</f>
        <v xml:space="preserve"> </v>
      </c>
      <c r="BV227" s="405" t="str">
        <f>IF($A227="N/A"," ",IF('Pricing Inputs'!$AW$3=1,0,(VLOOKUP($A227,InterestRatesTable,2))))</f>
        <v xml:space="preserve"> </v>
      </c>
      <c r="BW227" s="408" t="str">
        <f t="shared" si="337"/>
        <v xml:space="preserve"> </v>
      </c>
    </row>
    <row r="228" spans="1:75">
      <c r="A228" s="248" t="str">
        <f>IF(A227="N/A","N/A",IF(EDATE(A227,1)&gt;Inputs!$K$3,"N/A",EDATE(A227,1)))</f>
        <v>N/A</v>
      </c>
      <c r="B228" s="262" t="str">
        <f t="shared" si="338"/>
        <v xml:space="preserve"> </v>
      </c>
      <c r="C228" s="249" t="str">
        <f t="shared" si="339"/>
        <v xml:space="preserve"> </v>
      </c>
      <c r="D228" s="250" t="str">
        <f>IF(A228="N/A"," ",(VLOOKUP(MONTH($A228),Inputs!$A$14:$B$25,2))/1000)</f>
        <v xml:space="preserve"> </v>
      </c>
      <c r="E228" s="304" t="str">
        <f t="shared" si="340"/>
        <v xml:space="preserve"> </v>
      </c>
      <c r="F228" s="251" t="str">
        <f>IF(A228="N/A"," ",Inputs!$F$6)</f>
        <v xml:space="preserve"> </v>
      </c>
      <c r="G228" s="251" t="str">
        <f>IF(A228="N/A"," ",Inputs!$F$9/IF(AND('Pricing Inputs'!$AQ$3&gt;=4,'Pricing Inputs'!$AQ$3&lt;=6),16,IF(AND('Pricing Inputs'!$AQ$3&gt;=7,'Pricing Inputs'!$AQ$3&lt;=9),8,24))/(BA228/BW228))</f>
        <v xml:space="preserve"> </v>
      </c>
      <c r="H228" s="252" t="str">
        <f t="shared" si="341"/>
        <v xml:space="preserve"> </v>
      </c>
      <c r="I228" s="255" t="str">
        <f>VLOOKUP(A228,ScaledPrice,(IF(AND('Pricing Inputs'!$AQ$3&gt;=1,'Pricing Inputs'!$AQ$3&lt;=6),2,4)))</f>
        <v xml:space="preserve"> </v>
      </c>
      <c r="J228" s="255" t="str">
        <f>IF(A228="N/A"," ",IF(AND('Pricing Inputs'!$AQ$3&gt;=1,'Pricing Inputs'!$AQ$3&lt;=6),I228,(VLOOKUP(A228,ScaledPrice,2))*(2-(VLOOKUP(A228,ScaledPrice,3)))))</f>
        <v xml:space="preserve"> </v>
      </c>
      <c r="K228" s="255" t="str">
        <f>IF(A228="N/A"," ",IF(OR('Pricing Inputs'!$AQ$3=2,'Pricing Inputs'!$AQ$3=3,'Pricing Inputs'!$AQ$3=5,'Pricing Inputs'!$AQ$3=6,'Pricing Inputs'!$AQ$3=8,'Pricing Inputs'!$AQ$3=9),VLOOKUP(A228,ScaledPrice,IF(AND('Pricing Inputs'!$AQ$3&gt;=2,'Pricing Inputs'!$AQ$3&lt;=6),5,6)),0))</f>
        <v xml:space="preserve"> </v>
      </c>
      <c r="L228" s="255" t="str">
        <f>IF(A228="N/A"," ",IF(OR('Pricing Inputs'!$AQ$3=2,'Pricing Inputs'!$AQ$3=3,'Pricing Inputs'!$AQ$3=5,'Pricing Inputs'!$AQ$3=6,'Pricing Inputs'!$AQ$3=8,'Pricing Inputs'!$AQ$3=9),IF(AND('Pricing Inputs'!$AQ$3&gt;=2,'Pricing Inputs'!$AQ$3&lt;=6),K228,(VLOOKUP(A228,ScaledPrice,5))*(2-(VLOOKUP(A228,ScaledPrice,3)))),0))</f>
        <v xml:space="preserve"> </v>
      </c>
      <c r="M228" s="255" t="str">
        <f>IF(A228="N/A"," ",IF(OR('Pricing Inputs'!$AQ$3=3,'Pricing Inputs'!$AQ$3=6,'Pricing Inputs'!$AQ$3=9),(VLOOKUP(A228,ScaledPrice,IF(AND('Pricing Inputs'!$AQ$3&gt;=3,'Pricing Inputs'!$AQ$3&lt;=6),7,8))),0))</f>
        <v xml:space="preserve"> </v>
      </c>
      <c r="N228" s="255" t="str">
        <f>IF(A228="N/A"," ",IF(OR('Pricing Inputs'!$AQ$3=3,'Pricing Inputs'!$AQ$3=6,'Pricing Inputs'!$AQ$3=9),IF(AND('Pricing Inputs'!$AQ$3&gt;=3,'Pricing Inputs'!$AQ$3&lt;=6),M228,(VLOOKUP(A228,ScaledPrice,7))*(2-(VLOOKUP(A228,ScaledPrice,3)))),0))</f>
        <v xml:space="preserve"> </v>
      </c>
      <c r="O228" s="255" t="str">
        <f>IF(A228="N/A"," ",IF(AND('Pricing Inputs'!$AQ$3&gt;=1,'Pricing Inputs'!$AQ$3&lt;=3),VLOOKUP(A228,ScaledPrice,9),0))</f>
        <v xml:space="preserve"> </v>
      </c>
      <c r="P228" s="320" t="str">
        <f>IF($A228="N/A"," ",IF('Pricing Inputs'!$AN$8=2,(I228-H228),IF('Pricing Inputs'!$AN$3=2,IF((I228-$H228)&gt;0,I228-$H228,0),(_xll.xSPRDOPT(I228,$E228,$BU228,0,$BP228,$BS228,$BT228,($A228-Inputs!$D$1)+15,1,0)))))</f>
        <v xml:space="preserve"> </v>
      </c>
      <c r="Q228" s="320" t="str">
        <f>IF($A228="N/A"," ",IF('Pricing Inputs'!$AN$8=2,(J228-$H228),IF('Pricing Inputs'!$AN$3=2,IF((J228-$H228)&gt;0,J228-$H228,0),(_xll.xSPRDOPT(J228,$E228,$BU228,0,$BP228,$BS228,$BT228,($A228-Inputs!$D$1)+15,1,0)))))</f>
        <v xml:space="preserve"> </v>
      </c>
      <c r="R228" s="320" t="str">
        <f>IF($A228="N/A"," ",IF('Pricing Inputs'!$AN$8=2,(K228-$H228),IF('Pricing Inputs'!$AN$3=2,IF((K228-$H228)&gt;0,K228-$H228,0),(_xll.xSPRDOPT(K228,$E228,$BU228,0,$BP228,$BS228,$BT228,($A228-Inputs!$D$1)+15,1,0)))))</f>
        <v xml:space="preserve"> </v>
      </c>
      <c r="S228" s="320" t="str">
        <f>IF($A228="N/A"," ",IF('Pricing Inputs'!$AN$8=2,(L228-$H228),IF('Pricing Inputs'!$AN$3=2,IF((L228-$H228)&gt;0,L228-$H228,0),(_xll.xSPRDOPT(L228,$E228,$BU228,0,$BP228,$BS228,$BT228,($A228-Inputs!$D$1)+15,1,0)))))</f>
        <v xml:space="preserve"> </v>
      </c>
      <c r="T228" s="320" t="str">
        <f>IF($A228="N/A"," ",IF('Pricing Inputs'!$AN$8=2,(M228-$H228),IF('Pricing Inputs'!$AN$3=2,IF((M228-$H228)&gt;0,M228-$H228,0),(_xll.xSPRDOPT(M228,$E228,$BU228,0,$BP228,$BS228,$BT228,($A228-Inputs!$D$1)+15,1,0)))))</f>
        <v xml:space="preserve"> </v>
      </c>
      <c r="U228" s="320" t="str">
        <f>IF($A228="N/A"," ",IF('Pricing Inputs'!$AN$8=2,(N228-$H228),IF('Pricing Inputs'!$AN$3=2,IF((N228-$H228)&gt;0,N228-$H228,0),(_xll.xSPRDOPT(N228,$E228,$BU228,0,$BP228,$BS228,$BT228,($A228-Inputs!$D$1)+15,1,0)))))</f>
        <v xml:space="preserve"> </v>
      </c>
      <c r="V228" s="259" t="str">
        <f>IF($A228="N/A"," ",(IF('Pricing Inputs'!$AN$8=2,(O228-$H228),IF((O228-$H228)&lt;=0,0,(O228-$H228)))))</f>
        <v xml:space="preserve"> </v>
      </c>
      <c r="W228" s="306" t="str">
        <f>IF($A228="N/A"," ",IF(0&lt;&gt;P228,IF('Pricing Inputs'!$AN$3=2,8*VLOOKUP($A228,NumberofDaysTable,2),(_xll.xSPRDOPT(I228,$E228,$BU228,0,$BP228,$BS228,$BT228,$A228-Inputs!$D$1,1,1))*(8*VLOOKUP($A228,NumberofDaysTable,2))),0))</f>
        <v xml:space="preserve"> </v>
      </c>
      <c r="X228" s="306" t="str">
        <f>IF($A228="N/A"," ",IF(Q228&lt;&gt;0,IF('Pricing Inputs'!$AN$3=2,8*VLOOKUP($A228,NumberofDaysTable,2),(_xll.xSPRDOPT(J228,$E228,$BU228,0,$BP228,$BS228,$BT228,$A228-Inputs!$D$1,1,1))*(8*VLOOKUP($A228,NumberofDaysTable,2))),0))</f>
        <v xml:space="preserve"> </v>
      </c>
      <c r="Y228" s="306" t="str">
        <f>IF($A228="N/A"," ",IF(R228&lt;&gt;0,IF('Pricing Inputs'!$AN$3=2,8*VLOOKUP($A228,NumberofDaysTable,3),(_xll.xSPRDOPT(K228,$E228,$BU228,0,$BP228,$BS228,$BT228,$A228-Inputs!$D$1,1,1))*(8*VLOOKUP($A228,NumberofDaysTable,3))),0))</f>
        <v xml:space="preserve"> </v>
      </c>
      <c r="Z228" s="306" t="str">
        <f>IF($A228="N/A"," ",IF(S228&lt;&gt;0,IF('Pricing Inputs'!$AN$3=2,8*VLOOKUP($A228,NumberofDaysTable,3),(_xll.xSPRDOPT(L228,$E228,$BU228,0,$BP228,$BS228,$BT228,$A228-Inputs!$D$1,1,1))*(8*VLOOKUP($A228,NumberofDaysTable,3))),0))</f>
        <v xml:space="preserve"> </v>
      </c>
      <c r="AA228" s="306" t="str">
        <f>IF($A228="N/A"," ",IF(T228&lt;&gt;0,IF('Pricing Inputs'!$AN$3=2,8*VLOOKUP($A228,NumberofDaysTable,4),(_xll.xSPRDOPT(M228,$E228,$BU228,0,$BP228,$BS228,$BT228,$A228-Inputs!$D$1,1,1))*(8*VLOOKUP($A228,NumberofDaysTable,4))),0))</f>
        <v xml:space="preserve"> </v>
      </c>
      <c r="AB228" s="306" t="str">
        <f>IF($A228="N/A"," ",IF(U228&lt;&gt;0,IF('Pricing Inputs'!$AN$3=2,8*VLOOKUP($A228,NumberofDaysTable,4),(_xll.xSPRDOPT(N228,$E228,$BU228,0,$BP228,$BS228,$BT228,$A228-Inputs!$D$1,1,1))*(8*VLOOKUP($A228,NumberofDaysTable,4))),0))</f>
        <v xml:space="preserve"> </v>
      </c>
      <c r="AC228" s="306" t="str">
        <f t="shared" si="342"/>
        <v xml:space="preserve"> </v>
      </c>
      <c r="AD228" s="274" t="str">
        <f t="shared" si="392"/>
        <v xml:space="preserve"> </v>
      </c>
      <c r="AE228" s="275" t="str">
        <f t="shared" si="393"/>
        <v xml:space="preserve"> </v>
      </c>
      <c r="AF228" s="275" t="str">
        <f t="shared" si="394"/>
        <v xml:space="preserve"> </v>
      </c>
      <c r="AG228" s="275" t="str">
        <f t="shared" si="395"/>
        <v xml:space="preserve"> </v>
      </c>
      <c r="AH228" s="275" t="str">
        <f t="shared" si="396"/>
        <v xml:space="preserve"> </v>
      </c>
      <c r="AI228" s="275" t="str">
        <f t="shared" si="397"/>
        <v xml:space="preserve"> </v>
      </c>
      <c r="AJ228" s="276" t="str">
        <f t="shared" si="398"/>
        <v xml:space="preserve"> </v>
      </c>
      <c r="AK228" s="314" t="str">
        <f t="shared" si="361"/>
        <v xml:space="preserve"> </v>
      </c>
      <c r="AL228" s="315" t="str">
        <f t="shared" si="362"/>
        <v xml:space="preserve"> </v>
      </c>
      <c r="AM228" s="315" t="str">
        <f t="shared" si="363"/>
        <v xml:space="preserve"> </v>
      </c>
      <c r="AN228" s="315" t="str">
        <f t="shared" si="364"/>
        <v xml:space="preserve"> </v>
      </c>
      <c r="AO228" s="315" t="str">
        <f t="shared" si="365"/>
        <v xml:space="preserve"> </v>
      </c>
      <c r="AP228" s="315" t="str">
        <f t="shared" si="366"/>
        <v xml:space="preserve"> </v>
      </c>
      <c r="AQ228" s="315" t="str">
        <f t="shared" si="367"/>
        <v xml:space="preserve"> </v>
      </c>
      <c r="AR228" s="276"/>
      <c r="AS228" s="321" t="str">
        <f t="shared" si="385"/>
        <v xml:space="preserve"> </v>
      </c>
      <c r="AT228" s="324" t="str">
        <f t="shared" si="386"/>
        <v xml:space="preserve"> </v>
      </c>
      <c r="AU228" s="324" t="str">
        <f t="shared" si="387"/>
        <v xml:space="preserve"> </v>
      </c>
      <c r="AV228" s="324" t="str">
        <f t="shared" si="388"/>
        <v xml:space="preserve"> </v>
      </c>
      <c r="AW228" s="324" t="str">
        <f t="shared" si="389"/>
        <v xml:space="preserve"> </v>
      </c>
      <c r="AX228" s="324" t="str">
        <f t="shared" si="390"/>
        <v xml:space="preserve"> </v>
      </c>
      <c r="AY228" s="324" t="str">
        <f t="shared" si="391"/>
        <v xml:space="preserve"> </v>
      </c>
      <c r="AZ228" s="276"/>
      <c r="BA228" s="267" t="str">
        <f>IF($A228="N/A"," ",(IF(MONTH(A228)&gt;=4,IF(MONTH(A228)&lt;=10,Inputs!$F$13,Inputs!$F$14),Inputs!$F$14))*$BW228)</f>
        <v xml:space="preserve"> </v>
      </c>
      <c r="BB228" s="268" t="str">
        <f t="shared" si="382"/>
        <v xml:space="preserve"> </v>
      </c>
      <c r="BC228" s="268" t="str">
        <f t="shared" si="383"/>
        <v xml:space="preserve"> </v>
      </c>
      <c r="BD228" s="268" t="str">
        <f t="shared" si="350"/>
        <v xml:space="preserve"> </v>
      </c>
      <c r="BE228" s="268" t="str">
        <f t="shared" si="351"/>
        <v xml:space="preserve"> </v>
      </c>
      <c r="BF228" s="268" t="str">
        <f t="shared" si="352"/>
        <v xml:space="preserve"> </v>
      </c>
      <c r="BG228" s="268" t="str">
        <f t="shared" si="353"/>
        <v xml:space="preserve"> </v>
      </c>
      <c r="BH228" s="268" t="str">
        <f t="shared" si="359"/>
        <v xml:space="preserve"> </v>
      </c>
      <c r="BI228" s="268" t="str">
        <f t="shared" si="354"/>
        <v xml:space="preserve"> </v>
      </c>
      <c r="BJ228" s="296" t="str">
        <f t="shared" si="355"/>
        <v xml:space="preserve"> </v>
      </c>
      <c r="BK228" s="296" t="str">
        <f t="shared" si="356"/>
        <v xml:space="preserve"> </v>
      </c>
      <c r="BL228" s="296" t="str">
        <f t="shared" si="357"/>
        <v xml:space="preserve"> </v>
      </c>
      <c r="BM228" s="296" t="str">
        <f t="shared" si="358"/>
        <v xml:space="preserve"> </v>
      </c>
      <c r="BN228" s="405" t="str">
        <f>IF(A228="N/A"," ",(VLOOKUP(A228,PowerVolTable,(IF('Pricing Inputs'!$AT$3=2,7,IF('Pricing Inputs'!$AT$3=1,6,8))),FALSE)))</f>
        <v xml:space="preserve"> </v>
      </c>
      <c r="BO228" s="405" t="str">
        <f>IF(A228="N/A"," ",(VLOOKUP(A228,IntraPowerVol,(IF('Pricing Inputs'!$AT$3=2,3,IF('Pricing Inputs'!$AT$3=1,2,4))),FALSE)*VLOOKUP(MONTH($A228),Inputs!$A$28:$B$39,2)))</f>
        <v xml:space="preserve"> </v>
      </c>
      <c r="BP228" s="406" t="str">
        <f t="shared" si="336"/>
        <v xml:space="preserve"> </v>
      </c>
      <c r="BQ228" s="405" t="str">
        <f>IF($A228="N/A"," ",(VLOOKUP($A228,GasVolTable,(IF('Pricing Inputs'!$AT$3=2,6,IF('Pricing Inputs'!$AT$3=1,7,5))),FALSE)))</f>
        <v xml:space="preserve"> </v>
      </c>
      <c r="BR228" s="405" t="str">
        <f>IF($A228="N/A"," ",(VLOOKUP($A228,OmicronVol,(IF('Pricing Inputs'!$AT$3=2,3,IF('Pricing Inputs'!$AT$3=1,4,2))),FALSE)))</f>
        <v xml:space="preserve"> </v>
      </c>
      <c r="BS228" s="406" t="str">
        <f>IF($A228="N/A"," ",IF('Pricing Inputs'!$AN$3=1,(IF(DateToday&gt;$A228,$BR228,((($BQ228^2)*((($A228-1)-DateToday)/((EOMONTH($A228,0)+1)-DateToday-15)))+((($BR228)^2)*((15)/((EOMONTH($A228,0)+1)-DateToday-15))))^0.5)),0.0001))</f>
        <v xml:space="preserve"> </v>
      </c>
      <c r="BT228" s="405" t="str">
        <f>IF($A228="N/A"," ",IF('Pricing Inputs'!$AN$3=1,(VLOOKUP($A228,CorrelationTable,2,FALSE)),0))</f>
        <v xml:space="preserve"> </v>
      </c>
      <c r="BU228" s="407" t="str">
        <f>IF($A228="N/A"," ",F228+G228+(D228*(VLOOKUP($A228,'Gas Curves'!$B$17:$P$310,14,FALSE))))</f>
        <v xml:space="preserve"> </v>
      </c>
      <c r="BV228" s="405" t="str">
        <f>IF($A228="N/A"," ",IF('Pricing Inputs'!$AW$3=1,0,(VLOOKUP($A228,InterestRatesTable,2))))</f>
        <v xml:space="preserve"> </v>
      </c>
      <c r="BW228" s="408" t="str">
        <f t="shared" si="337"/>
        <v xml:space="preserve"> </v>
      </c>
    </row>
    <row r="229" spans="1:75">
      <c r="A229" s="248" t="str">
        <f>IF(A228="N/A","N/A",IF(EDATE(A228,1)&gt;Inputs!$K$3,"N/A",EDATE(A228,1)))</f>
        <v>N/A</v>
      </c>
      <c r="B229" s="262" t="str">
        <f t="shared" si="338"/>
        <v xml:space="preserve"> </v>
      </c>
      <c r="C229" s="249" t="str">
        <f t="shared" si="339"/>
        <v xml:space="preserve"> </v>
      </c>
      <c r="D229" s="250" t="str">
        <f>IF(A229="N/A"," ",(VLOOKUP(MONTH($A229),Inputs!$A$14:$B$25,2))/1000)</f>
        <v xml:space="preserve"> </v>
      </c>
      <c r="E229" s="304" t="str">
        <f t="shared" si="340"/>
        <v xml:space="preserve"> </v>
      </c>
      <c r="F229" s="251" t="str">
        <f>IF(A229="N/A"," ",Inputs!$F$6)</f>
        <v xml:space="preserve"> </v>
      </c>
      <c r="G229" s="251" t="str">
        <f>IF(A229="N/A"," ",Inputs!$F$9/IF(AND('Pricing Inputs'!$AQ$3&gt;=4,'Pricing Inputs'!$AQ$3&lt;=6),16,IF(AND('Pricing Inputs'!$AQ$3&gt;=7,'Pricing Inputs'!$AQ$3&lt;=9),8,24))/(BA229/BW229))</f>
        <v xml:space="preserve"> </v>
      </c>
      <c r="H229" s="252" t="str">
        <f t="shared" si="341"/>
        <v xml:space="preserve"> </v>
      </c>
      <c r="I229" s="255" t="str">
        <f>VLOOKUP(A229,ScaledPrice,(IF(AND('Pricing Inputs'!$AQ$3&gt;=1,'Pricing Inputs'!$AQ$3&lt;=6),2,4)))</f>
        <v xml:space="preserve"> </v>
      </c>
      <c r="J229" s="255" t="str">
        <f>IF(A229="N/A"," ",IF(AND('Pricing Inputs'!$AQ$3&gt;=1,'Pricing Inputs'!$AQ$3&lt;=6),I229,(VLOOKUP(A229,ScaledPrice,2))*(2-(VLOOKUP(A229,ScaledPrice,3)))))</f>
        <v xml:space="preserve"> </v>
      </c>
      <c r="K229" s="255" t="str">
        <f>IF(A229="N/A"," ",IF(OR('Pricing Inputs'!$AQ$3=2,'Pricing Inputs'!$AQ$3=3,'Pricing Inputs'!$AQ$3=5,'Pricing Inputs'!$AQ$3=6,'Pricing Inputs'!$AQ$3=8,'Pricing Inputs'!$AQ$3=9),VLOOKUP(A229,ScaledPrice,IF(AND('Pricing Inputs'!$AQ$3&gt;=2,'Pricing Inputs'!$AQ$3&lt;=6),5,6)),0))</f>
        <v xml:space="preserve"> </v>
      </c>
      <c r="L229" s="255" t="str">
        <f>IF(A229="N/A"," ",IF(OR('Pricing Inputs'!$AQ$3=2,'Pricing Inputs'!$AQ$3=3,'Pricing Inputs'!$AQ$3=5,'Pricing Inputs'!$AQ$3=6,'Pricing Inputs'!$AQ$3=8,'Pricing Inputs'!$AQ$3=9),IF(AND('Pricing Inputs'!$AQ$3&gt;=2,'Pricing Inputs'!$AQ$3&lt;=6),K229,(VLOOKUP(A229,ScaledPrice,5))*(2-(VLOOKUP(A229,ScaledPrice,3)))),0))</f>
        <v xml:space="preserve"> </v>
      </c>
      <c r="M229" s="255" t="str">
        <f>IF(A229="N/A"," ",IF(OR('Pricing Inputs'!$AQ$3=3,'Pricing Inputs'!$AQ$3=6,'Pricing Inputs'!$AQ$3=9),(VLOOKUP(A229,ScaledPrice,IF(AND('Pricing Inputs'!$AQ$3&gt;=3,'Pricing Inputs'!$AQ$3&lt;=6),7,8))),0))</f>
        <v xml:space="preserve"> </v>
      </c>
      <c r="N229" s="255" t="str">
        <f>IF(A229="N/A"," ",IF(OR('Pricing Inputs'!$AQ$3=3,'Pricing Inputs'!$AQ$3=6,'Pricing Inputs'!$AQ$3=9),IF(AND('Pricing Inputs'!$AQ$3&gt;=3,'Pricing Inputs'!$AQ$3&lt;=6),M229,(VLOOKUP(A229,ScaledPrice,7))*(2-(VLOOKUP(A229,ScaledPrice,3)))),0))</f>
        <v xml:space="preserve"> </v>
      </c>
      <c r="O229" s="255" t="str">
        <f>IF(A229="N/A"," ",IF(AND('Pricing Inputs'!$AQ$3&gt;=1,'Pricing Inputs'!$AQ$3&lt;=3),VLOOKUP(A229,ScaledPrice,9),0))</f>
        <v xml:space="preserve"> </v>
      </c>
      <c r="P229" s="320" t="str">
        <f>IF($A229="N/A"," ",IF('Pricing Inputs'!$AN$8=2,(I229-H229),IF('Pricing Inputs'!$AN$3=2,IF((I229-$H229)&gt;0,I229-$H229,0),(_xll.xSPRDOPT(I229,$E229,$BU229,0,$BP229,$BS229,$BT229,($A229-Inputs!$D$1)+15,1,0)))))</f>
        <v xml:space="preserve"> </v>
      </c>
      <c r="Q229" s="320" t="str">
        <f>IF($A229="N/A"," ",IF('Pricing Inputs'!$AN$8=2,(J229-$H229),IF('Pricing Inputs'!$AN$3=2,IF((J229-$H229)&gt;0,J229-$H229,0),(_xll.xSPRDOPT(J229,$E229,$BU229,0,$BP229,$BS229,$BT229,($A229-Inputs!$D$1)+15,1,0)))))</f>
        <v xml:space="preserve"> </v>
      </c>
      <c r="R229" s="320" t="str">
        <f>IF($A229="N/A"," ",IF('Pricing Inputs'!$AN$8=2,(K229-$H229),IF('Pricing Inputs'!$AN$3=2,IF((K229-$H229)&gt;0,K229-$H229,0),(_xll.xSPRDOPT(K229,$E229,$BU229,0,$BP229,$BS229,$BT229,($A229-Inputs!$D$1)+15,1,0)))))</f>
        <v xml:space="preserve"> </v>
      </c>
      <c r="S229" s="320" t="str">
        <f>IF($A229="N/A"," ",IF('Pricing Inputs'!$AN$8=2,(L229-$H229),IF('Pricing Inputs'!$AN$3=2,IF((L229-$H229)&gt;0,L229-$H229,0),(_xll.xSPRDOPT(L229,$E229,$BU229,0,$BP229,$BS229,$BT229,($A229-Inputs!$D$1)+15,1,0)))))</f>
        <v xml:space="preserve"> </v>
      </c>
      <c r="T229" s="320" t="str">
        <f>IF($A229="N/A"," ",IF('Pricing Inputs'!$AN$8=2,(M229-$H229),IF('Pricing Inputs'!$AN$3=2,IF((M229-$H229)&gt;0,M229-$H229,0),(_xll.xSPRDOPT(M229,$E229,$BU229,0,$BP229,$BS229,$BT229,($A229-Inputs!$D$1)+15,1,0)))))</f>
        <v xml:space="preserve"> </v>
      </c>
      <c r="U229" s="320" t="str">
        <f>IF($A229="N/A"," ",IF('Pricing Inputs'!$AN$8=2,(N229-$H229),IF('Pricing Inputs'!$AN$3=2,IF((N229-$H229)&gt;0,N229-$H229,0),(_xll.xSPRDOPT(N229,$E229,$BU229,0,$BP229,$BS229,$BT229,($A229-Inputs!$D$1)+15,1,0)))))</f>
        <v xml:space="preserve"> </v>
      </c>
      <c r="V229" s="259" t="str">
        <f>IF($A229="N/A"," ",(IF('Pricing Inputs'!$AN$8=2,(O229-$H229),IF((O229-$H229)&lt;=0,0,(O229-$H229)))))</f>
        <v xml:space="preserve"> </v>
      </c>
      <c r="W229" s="306" t="str">
        <f>IF($A229="N/A"," ",IF(0&lt;&gt;P229,IF('Pricing Inputs'!$AN$3=2,8*VLOOKUP($A229,NumberofDaysTable,2),(_xll.xSPRDOPT(I229,$E229,$BU229,0,$BP229,$BS229,$BT229,$A229-Inputs!$D$1,1,1))*(8*VLOOKUP($A229,NumberofDaysTable,2))),0))</f>
        <v xml:space="preserve"> </v>
      </c>
      <c r="X229" s="306" t="str">
        <f>IF($A229="N/A"," ",IF(Q229&lt;&gt;0,IF('Pricing Inputs'!$AN$3=2,8*VLOOKUP($A229,NumberofDaysTable,2),(_xll.xSPRDOPT(J229,$E229,$BU229,0,$BP229,$BS229,$BT229,$A229-Inputs!$D$1,1,1))*(8*VLOOKUP($A229,NumberofDaysTable,2))),0))</f>
        <v xml:space="preserve"> </v>
      </c>
      <c r="Y229" s="306" t="str">
        <f>IF($A229="N/A"," ",IF(R229&lt;&gt;0,IF('Pricing Inputs'!$AN$3=2,8*VLOOKUP($A229,NumberofDaysTable,3),(_xll.xSPRDOPT(K229,$E229,$BU229,0,$BP229,$BS229,$BT229,$A229-Inputs!$D$1,1,1))*(8*VLOOKUP($A229,NumberofDaysTable,3))),0))</f>
        <v xml:space="preserve"> </v>
      </c>
      <c r="Z229" s="306" t="str">
        <f>IF($A229="N/A"," ",IF(S229&lt;&gt;0,IF('Pricing Inputs'!$AN$3=2,8*VLOOKUP($A229,NumberofDaysTable,3),(_xll.xSPRDOPT(L229,$E229,$BU229,0,$BP229,$BS229,$BT229,$A229-Inputs!$D$1,1,1))*(8*VLOOKUP($A229,NumberofDaysTable,3))),0))</f>
        <v xml:space="preserve"> </v>
      </c>
      <c r="AA229" s="306" t="str">
        <f>IF($A229="N/A"," ",IF(T229&lt;&gt;0,IF('Pricing Inputs'!$AN$3=2,8*VLOOKUP($A229,NumberofDaysTable,4),(_xll.xSPRDOPT(M229,$E229,$BU229,0,$BP229,$BS229,$BT229,$A229-Inputs!$D$1,1,1))*(8*VLOOKUP($A229,NumberofDaysTable,4))),0))</f>
        <v xml:space="preserve"> </v>
      </c>
      <c r="AB229" s="306" t="str">
        <f>IF($A229="N/A"," ",IF(U229&lt;&gt;0,IF('Pricing Inputs'!$AN$3=2,8*VLOOKUP($A229,NumberofDaysTable,4),(_xll.xSPRDOPT(N229,$E229,$BU229,0,$BP229,$BS229,$BT229,$A229-Inputs!$D$1,1,1))*(8*VLOOKUP($A229,NumberofDaysTable,4))),0))</f>
        <v xml:space="preserve"> </v>
      </c>
      <c r="AC229" s="306" t="str">
        <f t="shared" si="342"/>
        <v xml:space="preserve"> </v>
      </c>
      <c r="AD229" s="274" t="str">
        <f t="shared" si="392"/>
        <v xml:space="preserve"> </v>
      </c>
      <c r="AE229" s="275" t="str">
        <f t="shared" si="393"/>
        <v xml:space="preserve"> </v>
      </c>
      <c r="AF229" s="275" t="str">
        <f t="shared" si="394"/>
        <v xml:space="preserve"> </v>
      </c>
      <c r="AG229" s="275" t="str">
        <f t="shared" si="395"/>
        <v xml:space="preserve"> </v>
      </c>
      <c r="AH229" s="275" t="str">
        <f t="shared" si="396"/>
        <v xml:space="preserve"> </v>
      </c>
      <c r="AI229" s="275" t="str">
        <f t="shared" si="397"/>
        <v xml:space="preserve"> </v>
      </c>
      <c r="AJ229" s="276" t="str">
        <f t="shared" si="398"/>
        <v xml:space="preserve"> </v>
      </c>
      <c r="AK229" s="314" t="str">
        <f t="shared" si="361"/>
        <v xml:space="preserve"> </v>
      </c>
      <c r="AL229" s="315" t="str">
        <f t="shared" si="362"/>
        <v xml:space="preserve"> </v>
      </c>
      <c r="AM229" s="315" t="str">
        <f t="shared" si="363"/>
        <v xml:space="preserve"> </v>
      </c>
      <c r="AN229" s="315" t="str">
        <f t="shared" si="364"/>
        <v xml:space="preserve"> </v>
      </c>
      <c r="AO229" s="315" t="str">
        <f t="shared" si="365"/>
        <v xml:space="preserve"> </v>
      </c>
      <c r="AP229" s="315" t="str">
        <f t="shared" si="366"/>
        <v xml:space="preserve"> </v>
      </c>
      <c r="AQ229" s="315" t="str">
        <f t="shared" si="367"/>
        <v xml:space="preserve"> </v>
      </c>
      <c r="AR229" s="284" t="s">
        <v>1292</v>
      </c>
      <c r="AS229" s="321" t="str">
        <f t="shared" si="385"/>
        <v xml:space="preserve"> </v>
      </c>
      <c r="AT229" s="324" t="str">
        <f t="shared" si="386"/>
        <v xml:space="preserve"> </v>
      </c>
      <c r="AU229" s="324" t="str">
        <f t="shared" si="387"/>
        <v xml:space="preserve"> </v>
      </c>
      <c r="AV229" s="324" t="str">
        <f t="shared" si="388"/>
        <v xml:space="preserve"> </v>
      </c>
      <c r="AW229" s="324" t="str">
        <f t="shared" si="389"/>
        <v xml:space="preserve"> </v>
      </c>
      <c r="AX229" s="324" t="str">
        <f t="shared" si="390"/>
        <v xml:space="preserve"> </v>
      </c>
      <c r="AY229" s="324" t="str">
        <f t="shared" si="391"/>
        <v xml:space="preserve"> </v>
      </c>
      <c r="AZ229" s="283" t="s">
        <v>1304</v>
      </c>
      <c r="BA229" s="267" t="str">
        <f>IF($A229="N/A"," ",(IF(MONTH(A229)&gt;=4,IF(MONTH(A229)&lt;=10,Inputs!$F$13,Inputs!$F$14),Inputs!$F$14))*$BW229)</f>
        <v xml:space="preserve"> </v>
      </c>
      <c r="BB229" s="268" t="str">
        <f t="shared" si="382"/>
        <v xml:space="preserve"> </v>
      </c>
      <c r="BC229" s="268" t="str">
        <f t="shared" si="383"/>
        <v xml:space="preserve"> </v>
      </c>
      <c r="BD229" s="268" t="str">
        <f t="shared" si="350"/>
        <v xml:space="preserve"> </v>
      </c>
      <c r="BE229" s="268" t="str">
        <f t="shared" si="351"/>
        <v xml:space="preserve"> </v>
      </c>
      <c r="BF229" s="268" t="str">
        <f t="shared" si="352"/>
        <v xml:space="preserve"> </v>
      </c>
      <c r="BG229" s="268" t="str">
        <f t="shared" si="353"/>
        <v xml:space="preserve"> </v>
      </c>
      <c r="BH229" s="268" t="str">
        <f t="shared" si="359"/>
        <v xml:space="preserve"> </v>
      </c>
      <c r="BI229" s="268" t="str">
        <f t="shared" si="354"/>
        <v xml:space="preserve"> </v>
      </c>
      <c r="BJ229" s="296" t="str">
        <f t="shared" si="355"/>
        <v xml:space="preserve"> </v>
      </c>
      <c r="BK229" s="296" t="str">
        <f t="shared" si="356"/>
        <v xml:space="preserve"> </v>
      </c>
      <c r="BL229" s="296" t="str">
        <f t="shared" si="357"/>
        <v xml:space="preserve"> </v>
      </c>
      <c r="BM229" s="296" t="str">
        <f t="shared" si="358"/>
        <v xml:space="preserve"> </v>
      </c>
      <c r="BN229" s="405" t="str">
        <f>IF(A229="N/A"," ",(VLOOKUP(A229,PowerVolTable,(IF('Pricing Inputs'!$AT$3=2,7,IF('Pricing Inputs'!$AT$3=1,6,8))),FALSE)))</f>
        <v xml:space="preserve"> </v>
      </c>
      <c r="BO229" s="405" t="str">
        <f>IF(A229="N/A"," ",(VLOOKUP(A229,IntraPowerVol,(IF('Pricing Inputs'!$AT$3=2,3,IF('Pricing Inputs'!$AT$3=1,2,4))),FALSE)*VLOOKUP(MONTH($A229),Inputs!$A$28:$B$39,2)))</f>
        <v xml:space="preserve"> </v>
      </c>
      <c r="BP229" s="406" t="str">
        <f t="shared" si="336"/>
        <v xml:space="preserve"> </v>
      </c>
      <c r="BQ229" s="405" t="str">
        <f>IF($A229="N/A"," ",(VLOOKUP($A229,GasVolTable,(IF('Pricing Inputs'!$AT$3=2,6,IF('Pricing Inputs'!$AT$3=1,7,5))),FALSE)))</f>
        <v xml:space="preserve"> </v>
      </c>
      <c r="BR229" s="405" t="str">
        <f>IF($A229="N/A"," ",(VLOOKUP($A229,OmicronVol,(IF('Pricing Inputs'!$AT$3=2,3,IF('Pricing Inputs'!$AT$3=1,4,2))),FALSE)))</f>
        <v xml:space="preserve"> </v>
      </c>
      <c r="BS229" s="406" t="str">
        <f>IF($A229="N/A"," ",IF('Pricing Inputs'!$AN$3=1,(IF(DateToday&gt;$A229,$BR229,((($BQ229^2)*((($A229-1)-DateToday)/((EOMONTH($A229,0)+1)-DateToday-15)))+((($BR229)^2)*((15)/((EOMONTH($A229,0)+1)-DateToday-15))))^0.5)),0.0001))</f>
        <v xml:space="preserve"> </v>
      </c>
      <c r="BT229" s="405" t="str">
        <f>IF($A229="N/A"," ",IF('Pricing Inputs'!$AN$3=1,(VLOOKUP($A229,CorrelationTable,2,FALSE)),0))</f>
        <v xml:space="preserve"> </v>
      </c>
      <c r="BU229" s="407" t="str">
        <f>IF($A229="N/A"," ",F229+G229+(D229*(VLOOKUP($A229,'Gas Curves'!$B$17:$P$310,14,FALSE))))</f>
        <v xml:space="preserve"> </v>
      </c>
      <c r="BV229" s="405" t="str">
        <f>IF($A229="N/A"," ",IF('Pricing Inputs'!$AW$3=1,0,(VLOOKUP($A229,InterestRatesTable,2))))</f>
        <v xml:space="preserve"> </v>
      </c>
      <c r="BW229" s="408" t="str">
        <f t="shared" si="337"/>
        <v xml:space="preserve"> </v>
      </c>
    </row>
    <row r="230" spans="1:75">
      <c r="A230" s="248" t="str">
        <f>IF(A229="N/A","N/A",IF(EDATE(A229,1)&gt;Inputs!$K$3,"N/A",EDATE(A229,1)))</f>
        <v>N/A</v>
      </c>
      <c r="B230" s="262" t="str">
        <f t="shared" si="338"/>
        <v xml:space="preserve"> </v>
      </c>
      <c r="C230" s="249" t="str">
        <f t="shared" si="339"/>
        <v xml:space="preserve"> </v>
      </c>
      <c r="D230" s="250" t="str">
        <f>IF(A230="N/A"," ",(VLOOKUP(MONTH($A230),Inputs!$A$14:$B$25,2))/1000)</f>
        <v xml:space="preserve"> </v>
      </c>
      <c r="E230" s="304" t="str">
        <f t="shared" si="340"/>
        <v xml:space="preserve"> </v>
      </c>
      <c r="F230" s="251" t="str">
        <f>IF(A230="N/A"," ",Inputs!$F$6)</f>
        <v xml:space="preserve"> </v>
      </c>
      <c r="G230" s="251" t="str">
        <f>IF(A230="N/A"," ",Inputs!$F$9/IF(AND('Pricing Inputs'!$AQ$3&gt;=4,'Pricing Inputs'!$AQ$3&lt;=6),16,IF(AND('Pricing Inputs'!$AQ$3&gt;=7,'Pricing Inputs'!$AQ$3&lt;=9),8,24))/(BA230/BW230))</f>
        <v xml:space="preserve"> </v>
      </c>
      <c r="H230" s="252" t="str">
        <f t="shared" si="341"/>
        <v xml:space="preserve"> </v>
      </c>
      <c r="I230" s="255" t="str">
        <f>VLOOKUP(A230,ScaledPrice,(IF(AND('Pricing Inputs'!$AQ$3&gt;=1,'Pricing Inputs'!$AQ$3&lt;=6),2,4)))</f>
        <v xml:space="preserve"> </v>
      </c>
      <c r="J230" s="255" t="str">
        <f>IF(A230="N/A"," ",IF(AND('Pricing Inputs'!$AQ$3&gt;=1,'Pricing Inputs'!$AQ$3&lt;=6),I230,(VLOOKUP(A230,ScaledPrice,2))*(2-(VLOOKUP(A230,ScaledPrice,3)))))</f>
        <v xml:space="preserve"> </v>
      </c>
      <c r="K230" s="255" t="str">
        <f>IF(A230="N/A"," ",IF(OR('Pricing Inputs'!$AQ$3=2,'Pricing Inputs'!$AQ$3=3,'Pricing Inputs'!$AQ$3=5,'Pricing Inputs'!$AQ$3=6,'Pricing Inputs'!$AQ$3=8,'Pricing Inputs'!$AQ$3=9),VLOOKUP(A230,ScaledPrice,IF(AND('Pricing Inputs'!$AQ$3&gt;=2,'Pricing Inputs'!$AQ$3&lt;=6),5,6)),0))</f>
        <v xml:space="preserve"> </v>
      </c>
      <c r="L230" s="255" t="str">
        <f>IF(A230="N/A"," ",IF(OR('Pricing Inputs'!$AQ$3=2,'Pricing Inputs'!$AQ$3=3,'Pricing Inputs'!$AQ$3=5,'Pricing Inputs'!$AQ$3=6,'Pricing Inputs'!$AQ$3=8,'Pricing Inputs'!$AQ$3=9),IF(AND('Pricing Inputs'!$AQ$3&gt;=2,'Pricing Inputs'!$AQ$3&lt;=6),K230,(VLOOKUP(A230,ScaledPrice,5))*(2-(VLOOKUP(A230,ScaledPrice,3)))),0))</f>
        <v xml:space="preserve"> </v>
      </c>
      <c r="M230" s="255" t="str">
        <f>IF(A230="N/A"," ",IF(OR('Pricing Inputs'!$AQ$3=3,'Pricing Inputs'!$AQ$3=6,'Pricing Inputs'!$AQ$3=9),(VLOOKUP(A230,ScaledPrice,IF(AND('Pricing Inputs'!$AQ$3&gt;=3,'Pricing Inputs'!$AQ$3&lt;=6),7,8))),0))</f>
        <v xml:space="preserve"> </v>
      </c>
      <c r="N230" s="255" t="str">
        <f>IF(A230="N/A"," ",IF(OR('Pricing Inputs'!$AQ$3=3,'Pricing Inputs'!$AQ$3=6,'Pricing Inputs'!$AQ$3=9),IF(AND('Pricing Inputs'!$AQ$3&gt;=3,'Pricing Inputs'!$AQ$3&lt;=6),M230,(VLOOKUP(A230,ScaledPrice,7))*(2-(VLOOKUP(A230,ScaledPrice,3)))),0))</f>
        <v xml:space="preserve"> </v>
      </c>
      <c r="O230" s="255" t="str">
        <f>IF(A230="N/A"," ",IF(AND('Pricing Inputs'!$AQ$3&gt;=1,'Pricing Inputs'!$AQ$3&lt;=3),VLOOKUP(A230,ScaledPrice,9),0))</f>
        <v xml:space="preserve"> </v>
      </c>
      <c r="P230" s="320" t="str">
        <f>IF($A230="N/A"," ",IF('Pricing Inputs'!$AN$8=2,(I230-H230),IF('Pricing Inputs'!$AN$3=2,IF((I230-$H230)&gt;0,I230-$H230,0),(_xll.xSPRDOPT(I230,$E230,$BU230,0,$BP230,$BS230,$BT230,($A230-Inputs!$D$1)+15,1,0)))))</f>
        <v xml:space="preserve"> </v>
      </c>
      <c r="Q230" s="320" t="str">
        <f>IF($A230="N/A"," ",IF('Pricing Inputs'!$AN$8=2,(J230-$H230),IF('Pricing Inputs'!$AN$3=2,IF((J230-$H230)&gt;0,J230-$H230,0),(_xll.xSPRDOPT(J230,$E230,$BU230,0,$BP230,$BS230,$BT230,($A230-Inputs!$D$1)+15,1,0)))))</f>
        <v xml:space="preserve"> </v>
      </c>
      <c r="R230" s="320" t="str">
        <f>IF($A230="N/A"," ",IF('Pricing Inputs'!$AN$8=2,(K230-$H230),IF('Pricing Inputs'!$AN$3=2,IF((K230-$H230)&gt;0,K230-$H230,0),(_xll.xSPRDOPT(K230,$E230,$BU230,0,$BP230,$BS230,$BT230,($A230-Inputs!$D$1)+15,1,0)))))</f>
        <v xml:space="preserve"> </v>
      </c>
      <c r="S230" s="320" t="str">
        <f>IF($A230="N/A"," ",IF('Pricing Inputs'!$AN$8=2,(L230-$H230),IF('Pricing Inputs'!$AN$3=2,IF((L230-$H230)&gt;0,L230-$H230,0),(_xll.xSPRDOPT(L230,$E230,$BU230,0,$BP230,$BS230,$BT230,($A230-Inputs!$D$1)+15,1,0)))))</f>
        <v xml:space="preserve"> </v>
      </c>
      <c r="T230" s="320" t="str">
        <f>IF($A230="N/A"," ",IF('Pricing Inputs'!$AN$8=2,(M230-$H230),IF('Pricing Inputs'!$AN$3=2,IF((M230-$H230)&gt;0,M230-$H230,0),(_xll.xSPRDOPT(M230,$E230,$BU230,0,$BP230,$BS230,$BT230,($A230-Inputs!$D$1)+15,1,0)))))</f>
        <v xml:space="preserve"> </v>
      </c>
      <c r="U230" s="320" t="str">
        <f>IF($A230="N/A"," ",IF('Pricing Inputs'!$AN$8=2,(N230-$H230),IF('Pricing Inputs'!$AN$3=2,IF((N230-$H230)&gt;0,N230-$H230,0),(_xll.xSPRDOPT(N230,$E230,$BU230,0,$BP230,$BS230,$BT230,($A230-Inputs!$D$1)+15,1,0)))))</f>
        <v xml:space="preserve"> </v>
      </c>
      <c r="V230" s="259" t="str">
        <f>IF($A230="N/A"," ",(IF('Pricing Inputs'!$AN$8=2,(O230-$H230),IF((O230-$H230)&lt;=0,0,(O230-$H230)))))</f>
        <v xml:space="preserve"> </v>
      </c>
      <c r="W230" s="306" t="str">
        <f>IF($A230="N/A"," ",IF(0&lt;&gt;P230,IF('Pricing Inputs'!$AN$3=2,8*VLOOKUP($A230,NumberofDaysTable,2),(_xll.xSPRDOPT(I230,$E230,$BU230,0,$BP230,$BS230,$BT230,$A230-Inputs!$D$1,1,1))*(8*VLOOKUP($A230,NumberofDaysTable,2))),0))</f>
        <v xml:space="preserve"> </v>
      </c>
      <c r="X230" s="306" t="str">
        <f>IF($A230="N/A"," ",IF(Q230&lt;&gt;0,IF('Pricing Inputs'!$AN$3=2,8*VLOOKUP($A230,NumberofDaysTable,2),(_xll.xSPRDOPT(J230,$E230,$BU230,0,$BP230,$BS230,$BT230,$A230-Inputs!$D$1,1,1))*(8*VLOOKUP($A230,NumberofDaysTable,2))),0))</f>
        <v xml:space="preserve"> </v>
      </c>
      <c r="Y230" s="306" t="str">
        <f>IF($A230="N/A"," ",IF(R230&lt;&gt;0,IF('Pricing Inputs'!$AN$3=2,8*VLOOKUP($A230,NumberofDaysTable,3),(_xll.xSPRDOPT(K230,$E230,$BU230,0,$BP230,$BS230,$BT230,$A230-Inputs!$D$1,1,1))*(8*VLOOKUP($A230,NumberofDaysTable,3))),0))</f>
        <v xml:space="preserve"> </v>
      </c>
      <c r="Z230" s="306" t="str">
        <f>IF($A230="N/A"," ",IF(S230&lt;&gt;0,IF('Pricing Inputs'!$AN$3=2,8*VLOOKUP($A230,NumberofDaysTable,3),(_xll.xSPRDOPT(L230,$E230,$BU230,0,$BP230,$BS230,$BT230,$A230-Inputs!$D$1,1,1))*(8*VLOOKUP($A230,NumberofDaysTable,3))),0))</f>
        <v xml:space="preserve"> </v>
      </c>
      <c r="AA230" s="306" t="str">
        <f>IF($A230="N/A"," ",IF(T230&lt;&gt;0,IF('Pricing Inputs'!$AN$3=2,8*VLOOKUP($A230,NumberofDaysTable,4),(_xll.xSPRDOPT(M230,$E230,$BU230,0,$BP230,$BS230,$BT230,$A230-Inputs!$D$1,1,1))*(8*VLOOKUP($A230,NumberofDaysTable,4))),0))</f>
        <v xml:space="preserve"> </v>
      </c>
      <c r="AB230" s="306" t="str">
        <f>IF($A230="N/A"," ",IF(U230&lt;&gt;0,IF('Pricing Inputs'!$AN$3=2,8*VLOOKUP($A230,NumberofDaysTable,4),(_xll.xSPRDOPT(N230,$E230,$BU230,0,$BP230,$BS230,$BT230,$A230-Inputs!$D$1,1,1))*(8*VLOOKUP($A230,NumberofDaysTable,4))),0))</f>
        <v xml:space="preserve"> </v>
      </c>
      <c r="AC230" s="306" t="str">
        <f t="shared" si="342"/>
        <v xml:space="preserve"> </v>
      </c>
      <c r="AD230" s="274" t="str">
        <f t="shared" si="392"/>
        <v xml:space="preserve"> </v>
      </c>
      <c r="AE230" s="275" t="str">
        <f t="shared" si="393"/>
        <v xml:space="preserve"> </v>
      </c>
      <c r="AF230" s="275" t="str">
        <f t="shared" si="394"/>
        <v xml:space="preserve"> </v>
      </c>
      <c r="AG230" s="275" t="str">
        <f t="shared" si="395"/>
        <v xml:space="preserve"> </v>
      </c>
      <c r="AH230" s="275" t="str">
        <f t="shared" si="396"/>
        <v xml:space="preserve"> </v>
      </c>
      <c r="AI230" s="275" t="str">
        <f t="shared" si="397"/>
        <v xml:space="preserve"> </v>
      </c>
      <c r="AJ230" s="276" t="str">
        <f t="shared" si="398"/>
        <v xml:space="preserve"> </v>
      </c>
      <c r="AK230" s="314" t="str">
        <f t="shared" si="361"/>
        <v xml:space="preserve"> </v>
      </c>
      <c r="AL230" s="315" t="str">
        <f t="shared" si="362"/>
        <v xml:space="preserve"> </v>
      </c>
      <c r="AM230" s="315" t="str">
        <f t="shared" si="363"/>
        <v xml:space="preserve"> </v>
      </c>
      <c r="AN230" s="315" t="str">
        <f t="shared" si="364"/>
        <v xml:space="preserve"> </v>
      </c>
      <c r="AO230" s="315" t="str">
        <f t="shared" si="365"/>
        <v xml:space="preserve"> </v>
      </c>
      <c r="AP230" s="315" t="str">
        <f t="shared" si="366"/>
        <v xml:space="preserve"> </v>
      </c>
      <c r="AQ230" s="315" t="str">
        <f t="shared" si="367"/>
        <v xml:space="preserve"> </v>
      </c>
      <c r="AR230" s="276">
        <f>SUM(AK220:AQ231)</f>
        <v>0</v>
      </c>
      <c r="AS230" s="321" t="str">
        <f t="shared" si="385"/>
        <v xml:space="preserve"> </v>
      </c>
      <c r="AT230" s="324" t="str">
        <f t="shared" si="386"/>
        <v xml:space="preserve"> </v>
      </c>
      <c r="AU230" s="324" t="str">
        <f t="shared" si="387"/>
        <v xml:space="preserve"> </v>
      </c>
      <c r="AV230" s="324" t="str">
        <f t="shared" si="388"/>
        <v xml:space="preserve"> </v>
      </c>
      <c r="AW230" s="324" t="str">
        <f t="shared" si="389"/>
        <v xml:space="preserve"> </v>
      </c>
      <c r="AX230" s="324" t="str">
        <f t="shared" si="390"/>
        <v xml:space="preserve"> </v>
      </c>
      <c r="AY230" s="324" t="str">
        <f t="shared" si="391"/>
        <v xml:space="preserve"> </v>
      </c>
      <c r="AZ230" s="276">
        <f>SUM(AS220:AY231)</f>
        <v>0</v>
      </c>
      <c r="BA230" s="267" t="str">
        <f>IF($A230="N/A"," ",(IF(MONTH(A230)&gt;=4,IF(MONTH(A230)&lt;=10,Inputs!$F$13,Inputs!$F$14),Inputs!$F$14))*$BW230)</f>
        <v xml:space="preserve"> </v>
      </c>
      <c r="BB230" s="268" t="str">
        <f t="shared" si="382"/>
        <v xml:space="preserve"> </v>
      </c>
      <c r="BC230" s="268" t="str">
        <f t="shared" si="383"/>
        <v xml:space="preserve"> </v>
      </c>
      <c r="BD230" s="268" t="str">
        <f t="shared" si="350"/>
        <v xml:space="preserve"> </v>
      </c>
      <c r="BE230" s="268" t="str">
        <f t="shared" si="351"/>
        <v xml:space="preserve"> </v>
      </c>
      <c r="BF230" s="268" t="str">
        <f t="shared" si="352"/>
        <v xml:space="preserve"> </v>
      </c>
      <c r="BG230" s="268" t="str">
        <f t="shared" si="353"/>
        <v xml:space="preserve"> </v>
      </c>
      <c r="BH230" s="268" t="str">
        <f t="shared" si="359"/>
        <v xml:space="preserve"> </v>
      </c>
      <c r="BI230" s="268" t="str">
        <f t="shared" si="354"/>
        <v xml:space="preserve"> </v>
      </c>
      <c r="BJ230" s="296" t="str">
        <f t="shared" si="355"/>
        <v xml:space="preserve"> </v>
      </c>
      <c r="BK230" s="296" t="str">
        <f t="shared" si="356"/>
        <v xml:space="preserve"> </v>
      </c>
      <c r="BL230" s="296" t="str">
        <f t="shared" si="357"/>
        <v xml:space="preserve"> </v>
      </c>
      <c r="BM230" s="296" t="str">
        <f t="shared" si="358"/>
        <v xml:space="preserve"> </v>
      </c>
      <c r="BN230" s="405" t="str">
        <f>IF(A230="N/A"," ",(VLOOKUP(A230,PowerVolTable,(IF('Pricing Inputs'!$AT$3=2,7,IF('Pricing Inputs'!$AT$3=1,6,8))),FALSE)))</f>
        <v xml:space="preserve"> </v>
      </c>
      <c r="BO230" s="405" t="str">
        <f>IF(A230="N/A"," ",(VLOOKUP(A230,IntraPowerVol,(IF('Pricing Inputs'!$AT$3=2,3,IF('Pricing Inputs'!$AT$3=1,2,4))),FALSE)*VLOOKUP(MONTH($A230),Inputs!$A$28:$B$39,2)))</f>
        <v xml:space="preserve"> </v>
      </c>
      <c r="BP230" s="406" t="str">
        <f t="shared" si="336"/>
        <v xml:space="preserve"> </v>
      </c>
      <c r="BQ230" s="405" t="str">
        <f>IF($A230="N/A"," ",(VLOOKUP($A230,GasVolTable,(IF('Pricing Inputs'!$AT$3=2,6,IF('Pricing Inputs'!$AT$3=1,7,5))),FALSE)))</f>
        <v xml:space="preserve"> </v>
      </c>
      <c r="BR230" s="405" t="str">
        <f>IF($A230="N/A"," ",(VLOOKUP($A230,OmicronVol,(IF('Pricing Inputs'!$AT$3=2,3,IF('Pricing Inputs'!$AT$3=1,4,2))),FALSE)))</f>
        <v xml:space="preserve"> </v>
      </c>
      <c r="BS230" s="406" t="str">
        <f>IF($A230="N/A"," ",IF('Pricing Inputs'!$AN$3=1,(IF(DateToday&gt;$A230,$BR230,((($BQ230^2)*((($A230-1)-DateToday)/((EOMONTH($A230,0)+1)-DateToday-15)))+((($BR230)^2)*((15)/((EOMONTH($A230,0)+1)-DateToday-15))))^0.5)),0.0001))</f>
        <v xml:space="preserve"> </v>
      </c>
      <c r="BT230" s="405" t="str">
        <f>IF($A230="N/A"," ",IF('Pricing Inputs'!$AN$3=1,(VLOOKUP($A230,CorrelationTable,2,FALSE)),0))</f>
        <v xml:space="preserve"> </v>
      </c>
      <c r="BU230" s="407" t="str">
        <f>IF($A230="N/A"," ",F230+G230+(D230*(VLOOKUP($A230,'Gas Curves'!$B$17:$P$310,14,FALSE))))</f>
        <v xml:space="preserve"> </v>
      </c>
      <c r="BV230" s="405" t="str">
        <f>IF($A230="N/A"," ",IF('Pricing Inputs'!$AW$3=1,0,(VLOOKUP($A230,InterestRatesTable,2))))</f>
        <v xml:space="preserve"> </v>
      </c>
      <c r="BW230" s="408" t="str">
        <f t="shared" si="337"/>
        <v xml:space="preserve"> </v>
      </c>
    </row>
    <row r="231" spans="1:75">
      <c r="A231" s="248" t="str">
        <f>IF(A230="N/A","N/A",IF(EDATE(A230,1)&gt;Inputs!$K$3,"N/A",EDATE(A230,1)))</f>
        <v>N/A</v>
      </c>
      <c r="B231" s="262" t="str">
        <f t="shared" si="338"/>
        <v xml:space="preserve"> </v>
      </c>
      <c r="C231" s="249" t="str">
        <f t="shared" si="339"/>
        <v xml:space="preserve"> </v>
      </c>
      <c r="D231" s="250" t="str">
        <f>IF(A231="N/A"," ",(VLOOKUP(MONTH($A231),Inputs!$A$14:$B$25,2))/1000)</f>
        <v xml:space="preserve"> </v>
      </c>
      <c r="E231" s="304" t="str">
        <f t="shared" si="340"/>
        <v xml:space="preserve"> </v>
      </c>
      <c r="F231" s="251" t="str">
        <f>IF(A231="N/A"," ",Inputs!$F$6)</f>
        <v xml:space="preserve"> </v>
      </c>
      <c r="G231" s="251" t="str">
        <f>IF(A231="N/A"," ",Inputs!$F$9/IF(AND('Pricing Inputs'!$AQ$3&gt;=4,'Pricing Inputs'!$AQ$3&lt;=6),16,IF(AND('Pricing Inputs'!$AQ$3&gt;=7,'Pricing Inputs'!$AQ$3&lt;=9),8,24))/(BA231/BW231))</f>
        <v xml:space="preserve"> </v>
      </c>
      <c r="H231" s="252" t="str">
        <f t="shared" si="341"/>
        <v xml:space="preserve"> </v>
      </c>
      <c r="I231" s="255" t="str">
        <f>VLOOKUP(A231,ScaledPrice,(IF(AND('Pricing Inputs'!$AQ$3&gt;=1,'Pricing Inputs'!$AQ$3&lt;=6),2,4)))</f>
        <v xml:space="preserve"> </v>
      </c>
      <c r="J231" s="255" t="str">
        <f>IF(A231="N/A"," ",IF(AND('Pricing Inputs'!$AQ$3&gt;=1,'Pricing Inputs'!$AQ$3&lt;=6),I231,(VLOOKUP(A231,ScaledPrice,2))*(2-(VLOOKUP(A231,ScaledPrice,3)))))</f>
        <v xml:space="preserve"> </v>
      </c>
      <c r="K231" s="255" t="str">
        <f>IF(A231="N/A"," ",IF(OR('Pricing Inputs'!$AQ$3=2,'Pricing Inputs'!$AQ$3=3,'Pricing Inputs'!$AQ$3=5,'Pricing Inputs'!$AQ$3=6,'Pricing Inputs'!$AQ$3=8,'Pricing Inputs'!$AQ$3=9),VLOOKUP(A231,ScaledPrice,IF(AND('Pricing Inputs'!$AQ$3&gt;=2,'Pricing Inputs'!$AQ$3&lt;=6),5,6)),0))</f>
        <v xml:space="preserve"> </v>
      </c>
      <c r="L231" s="255" t="str">
        <f>IF(A231="N/A"," ",IF(OR('Pricing Inputs'!$AQ$3=2,'Pricing Inputs'!$AQ$3=3,'Pricing Inputs'!$AQ$3=5,'Pricing Inputs'!$AQ$3=6,'Pricing Inputs'!$AQ$3=8,'Pricing Inputs'!$AQ$3=9),IF(AND('Pricing Inputs'!$AQ$3&gt;=2,'Pricing Inputs'!$AQ$3&lt;=6),K231,(VLOOKUP(A231,ScaledPrice,5))*(2-(VLOOKUP(A231,ScaledPrice,3)))),0))</f>
        <v xml:space="preserve"> </v>
      </c>
      <c r="M231" s="255" t="str">
        <f>IF(A231="N/A"," ",IF(OR('Pricing Inputs'!$AQ$3=3,'Pricing Inputs'!$AQ$3=6,'Pricing Inputs'!$AQ$3=9),(VLOOKUP(A231,ScaledPrice,IF(AND('Pricing Inputs'!$AQ$3&gt;=3,'Pricing Inputs'!$AQ$3&lt;=6),7,8))),0))</f>
        <v xml:space="preserve"> </v>
      </c>
      <c r="N231" s="255" t="str">
        <f>IF(A231="N/A"," ",IF(OR('Pricing Inputs'!$AQ$3=3,'Pricing Inputs'!$AQ$3=6,'Pricing Inputs'!$AQ$3=9),IF(AND('Pricing Inputs'!$AQ$3&gt;=3,'Pricing Inputs'!$AQ$3&lt;=6),M231,(VLOOKUP(A231,ScaledPrice,7))*(2-(VLOOKUP(A231,ScaledPrice,3)))),0))</f>
        <v xml:space="preserve"> </v>
      </c>
      <c r="O231" s="255" t="str">
        <f>IF(A231="N/A"," ",IF(AND('Pricing Inputs'!$AQ$3&gt;=1,'Pricing Inputs'!$AQ$3&lt;=3),VLOOKUP(A231,ScaledPrice,9),0))</f>
        <v xml:space="preserve"> </v>
      </c>
      <c r="P231" s="320" t="str">
        <f>IF($A231="N/A"," ",IF('Pricing Inputs'!$AN$8=2,(I231-H231),IF('Pricing Inputs'!$AN$3=2,IF((I231-$H231)&gt;0,I231-$H231,0),(_xll.xSPRDOPT(I231,$E231,$BU231,0,$BP231,$BS231,$BT231,($A231-Inputs!$D$1)+15,1,0)))))</f>
        <v xml:space="preserve"> </v>
      </c>
      <c r="Q231" s="320" t="str">
        <f>IF($A231="N/A"," ",IF('Pricing Inputs'!$AN$8=2,(J231-$H231),IF('Pricing Inputs'!$AN$3=2,IF((J231-$H231)&gt;0,J231-$H231,0),(_xll.xSPRDOPT(J231,$E231,$BU231,0,$BP231,$BS231,$BT231,($A231-Inputs!$D$1)+15,1,0)))))</f>
        <v xml:space="preserve"> </v>
      </c>
      <c r="R231" s="320" t="str">
        <f>IF($A231="N/A"," ",IF('Pricing Inputs'!$AN$8=2,(K231-$H231),IF('Pricing Inputs'!$AN$3=2,IF((K231-$H231)&gt;0,K231-$H231,0),(_xll.xSPRDOPT(K231,$E231,$BU231,0,$BP231,$BS231,$BT231,($A231-Inputs!$D$1)+15,1,0)))))</f>
        <v xml:space="preserve"> </v>
      </c>
      <c r="S231" s="320" t="str">
        <f>IF($A231="N/A"," ",IF('Pricing Inputs'!$AN$8=2,(L231-$H231),IF('Pricing Inputs'!$AN$3=2,IF((L231-$H231)&gt;0,L231-$H231,0),(_xll.xSPRDOPT(L231,$E231,$BU231,0,$BP231,$BS231,$BT231,($A231-Inputs!$D$1)+15,1,0)))))</f>
        <v xml:space="preserve"> </v>
      </c>
      <c r="T231" s="320" t="str">
        <f>IF($A231="N/A"," ",IF('Pricing Inputs'!$AN$8=2,(M231-$H231),IF('Pricing Inputs'!$AN$3=2,IF((M231-$H231)&gt;0,M231-$H231,0),(_xll.xSPRDOPT(M231,$E231,$BU231,0,$BP231,$BS231,$BT231,($A231-Inputs!$D$1)+15,1,0)))))</f>
        <v xml:space="preserve"> </v>
      </c>
      <c r="U231" s="320" t="str">
        <f>IF($A231="N/A"," ",IF('Pricing Inputs'!$AN$8=2,(N231-$H231),IF('Pricing Inputs'!$AN$3=2,IF((N231-$H231)&gt;0,N231-$H231,0),(_xll.xSPRDOPT(N231,$E231,$BU231,0,$BP231,$BS231,$BT231,($A231-Inputs!$D$1)+15,1,0)))))</f>
        <v xml:space="preserve"> </v>
      </c>
      <c r="V231" s="259" t="str">
        <f>IF($A231="N/A"," ",(IF('Pricing Inputs'!$AN$8=2,(O231-$H231),IF((O231-$H231)&lt;=0,0,(O231-$H231)))))</f>
        <v xml:space="preserve"> </v>
      </c>
      <c r="W231" s="306" t="str">
        <f>IF($A231="N/A"," ",IF(0&lt;&gt;P231,IF('Pricing Inputs'!$AN$3=2,8*VLOOKUP($A231,NumberofDaysTable,2),(_xll.xSPRDOPT(I231,$E231,$BU231,0,$BP231,$BS231,$BT231,$A231-Inputs!$D$1,1,1))*(8*VLOOKUP($A231,NumberofDaysTable,2))),0))</f>
        <v xml:space="preserve"> </v>
      </c>
      <c r="X231" s="306" t="str">
        <f>IF($A231="N/A"," ",IF(Q231&lt;&gt;0,IF('Pricing Inputs'!$AN$3=2,8*VLOOKUP($A231,NumberofDaysTable,2),(_xll.xSPRDOPT(J231,$E231,$BU231,0,$BP231,$BS231,$BT231,$A231-Inputs!$D$1,1,1))*(8*VLOOKUP($A231,NumberofDaysTable,2))),0))</f>
        <v xml:space="preserve"> </v>
      </c>
      <c r="Y231" s="306" t="str">
        <f>IF($A231="N/A"," ",IF(R231&lt;&gt;0,IF('Pricing Inputs'!$AN$3=2,8*VLOOKUP($A231,NumberofDaysTable,3),(_xll.xSPRDOPT(K231,$E231,$BU231,0,$BP231,$BS231,$BT231,$A231-Inputs!$D$1,1,1))*(8*VLOOKUP($A231,NumberofDaysTable,3))),0))</f>
        <v xml:space="preserve"> </v>
      </c>
      <c r="Z231" s="306" t="str">
        <f>IF($A231="N/A"," ",IF(S231&lt;&gt;0,IF('Pricing Inputs'!$AN$3=2,8*VLOOKUP($A231,NumberofDaysTable,3),(_xll.xSPRDOPT(L231,$E231,$BU231,0,$BP231,$BS231,$BT231,$A231-Inputs!$D$1,1,1))*(8*VLOOKUP($A231,NumberofDaysTable,3))),0))</f>
        <v xml:space="preserve"> </v>
      </c>
      <c r="AA231" s="306" t="str">
        <f>IF($A231="N/A"," ",IF(T231&lt;&gt;0,IF('Pricing Inputs'!$AN$3=2,8*VLOOKUP($A231,NumberofDaysTable,4),(_xll.xSPRDOPT(M231,$E231,$BU231,0,$BP231,$BS231,$BT231,$A231-Inputs!$D$1,1,1))*(8*VLOOKUP($A231,NumberofDaysTable,4))),0))</f>
        <v xml:space="preserve"> </v>
      </c>
      <c r="AB231" s="306" t="str">
        <f>IF($A231="N/A"," ",IF(U231&lt;&gt;0,IF('Pricing Inputs'!$AN$3=2,8*VLOOKUP($A231,NumberofDaysTable,4),(_xll.xSPRDOPT(N231,$E231,$BU231,0,$BP231,$BS231,$BT231,$A231-Inputs!$D$1,1,1))*(8*VLOOKUP($A231,NumberofDaysTable,4))),0))</f>
        <v xml:space="preserve"> </v>
      </c>
      <c r="AC231" s="306" t="str">
        <f t="shared" si="342"/>
        <v xml:space="preserve"> </v>
      </c>
      <c r="AD231" s="277" t="str">
        <f t="shared" si="392"/>
        <v xml:space="preserve"> </v>
      </c>
      <c r="AE231" s="278" t="str">
        <f t="shared" si="393"/>
        <v xml:space="preserve"> </v>
      </c>
      <c r="AF231" s="278" t="str">
        <f t="shared" si="394"/>
        <v xml:space="preserve"> </v>
      </c>
      <c r="AG231" s="278" t="str">
        <f t="shared" si="395"/>
        <v xml:space="preserve"> </v>
      </c>
      <c r="AH231" s="278" t="str">
        <f t="shared" si="396"/>
        <v xml:space="preserve"> </v>
      </c>
      <c r="AI231" s="278" t="str">
        <f t="shared" si="397"/>
        <v xml:space="preserve"> </v>
      </c>
      <c r="AJ231" s="279" t="str">
        <f t="shared" si="398"/>
        <v xml:space="preserve"> </v>
      </c>
      <c r="AK231" s="316" t="str">
        <f t="shared" si="361"/>
        <v xml:space="preserve"> </v>
      </c>
      <c r="AL231" s="317" t="str">
        <f t="shared" si="362"/>
        <v xml:space="preserve"> </v>
      </c>
      <c r="AM231" s="317" t="str">
        <f t="shared" si="363"/>
        <v xml:space="preserve"> </v>
      </c>
      <c r="AN231" s="317" t="str">
        <f t="shared" si="364"/>
        <v xml:space="preserve"> </v>
      </c>
      <c r="AO231" s="317" t="str">
        <f t="shared" si="365"/>
        <v xml:space="preserve"> </v>
      </c>
      <c r="AP231" s="317" t="str">
        <f t="shared" si="366"/>
        <v xml:space="preserve"> </v>
      </c>
      <c r="AQ231" s="317" t="str">
        <f t="shared" si="367"/>
        <v xml:space="preserve"> </v>
      </c>
      <c r="AR231" s="279">
        <f>IF(($AP$2-AR230)&gt;=0,$AP$2-AR230,0)</f>
        <v>1400</v>
      </c>
      <c r="AS231" s="325" t="str">
        <f t="shared" si="385"/>
        <v xml:space="preserve"> </v>
      </c>
      <c r="AT231" s="326" t="str">
        <f t="shared" si="386"/>
        <v xml:space="preserve"> </v>
      </c>
      <c r="AU231" s="326" t="str">
        <f t="shared" si="387"/>
        <v xml:space="preserve"> </v>
      </c>
      <c r="AV231" s="326" t="str">
        <f t="shared" si="388"/>
        <v xml:space="preserve"> </v>
      </c>
      <c r="AW231" s="326" t="str">
        <f t="shared" si="389"/>
        <v xml:space="preserve"> </v>
      </c>
      <c r="AX231" s="326" t="str">
        <f t="shared" si="390"/>
        <v xml:space="preserve"> </v>
      </c>
      <c r="AY231" s="326" t="str">
        <f t="shared" si="391"/>
        <v xml:space="preserve"> </v>
      </c>
      <c r="AZ231" s="285">
        <f>AR230+AZ230</f>
        <v>0</v>
      </c>
      <c r="BA231" s="267" t="str">
        <f>IF($A231="N/A"," ",(IF(MONTH(A231)&gt;=4,IF(MONTH(A231)&lt;=10,Inputs!$F$13,Inputs!$F$14),Inputs!$F$14))*$BW231)</f>
        <v xml:space="preserve"> </v>
      </c>
      <c r="BB231" s="268" t="str">
        <f t="shared" si="382"/>
        <v xml:space="preserve"> </v>
      </c>
      <c r="BC231" s="268" t="str">
        <f t="shared" si="383"/>
        <v xml:space="preserve"> </v>
      </c>
      <c r="BD231" s="268" t="str">
        <f t="shared" si="350"/>
        <v xml:space="preserve"> </v>
      </c>
      <c r="BE231" s="268" t="str">
        <f t="shared" si="351"/>
        <v xml:space="preserve"> </v>
      </c>
      <c r="BF231" s="268" t="str">
        <f t="shared" si="352"/>
        <v xml:space="preserve"> </v>
      </c>
      <c r="BG231" s="268" t="str">
        <f t="shared" si="353"/>
        <v xml:space="preserve"> </v>
      </c>
      <c r="BH231" s="268" t="str">
        <f t="shared" si="359"/>
        <v xml:space="preserve"> </v>
      </c>
      <c r="BI231" s="268" t="str">
        <f t="shared" si="354"/>
        <v xml:space="preserve"> </v>
      </c>
      <c r="BJ231" s="296" t="str">
        <f t="shared" si="355"/>
        <v xml:space="preserve"> </v>
      </c>
      <c r="BK231" s="296" t="str">
        <f t="shared" si="356"/>
        <v xml:space="preserve"> </v>
      </c>
      <c r="BL231" s="296" t="str">
        <f t="shared" si="357"/>
        <v xml:space="preserve"> </v>
      </c>
      <c r="BM231" s="296" t="str">
        <f t="shared" si="358"/>
        <v xml:space="preserve"> </v>
      </c>
      <c r="BN231" s="405" t="str">
        <f>IF(A231="N/A"," ",(VLOOKUP(A231,PowerVolTable,(IF('Pricing Inputs'!$AT$3=2,7,IF('Pricing Inputs'!$AT$3=1,6,8))),FALSE)))</f>
        <v xml:space="preserve"> </v>
      </c>
      <c r="BO231" s="405" t="str">
        <f>IF(A231="N/A"," ",(VLOOKUP(A231,IntraPowerVol,(IF('Pricing Inputs'!$AT$3=2,3,IF('Pricing Inputs'!$AT$3=1,2,4))),FALSE)*VLOOKUP(MONTH($A231),Inputs!$A$28:$B$39,2)))</f>
        <v xml:space="preserve"> </v>
      </c>
      <c r="BP231" s="406" t="str">
        <f t="shared" si="336"/>
        <v xml:space="preserve"> </v>
      </c>
      <c r="BQ231" s="405" t="str">
        <f>IF($A231="N/A"," ",(VLOOKUP($A231,GasVolTable,(IF('Pricing Inputs'!$AT$3=2,6,IF('Pricing Inputs'!$AT$3=1,7,5))),FALSE)))</f>
        <v xml:space="preserve"> </v>
      </c>
      <c r="BR231" s="405" t="str">
        <f>IF($A231="N/A"," ",(VLOOKUP($A231,OmicronVol,(IF('Pricing Inputs'!$AT$3=2,3,IF('Pricing Inputs'!$AT$3=1,4,2))),FALSE)))</f>
        <v xml:space="preserve"> </v>
      </c>
      <c r="BS231" s="406" t="str">
        <f>IF($A231="N/A"," ",IF('Pricing Inputs'!$AN$3=1,(IF(DateToday&gt;$A231,$BR231,((($BQ231^2)*((($A231-1)-DateToday)/((EOMONTH($A231,0)+1)-DateToday-15)))+((($BR231)^2)*((15)/((EOMONTH($A231,0)+1)-DateToday-15))))^0.5)),0.0001))</f>
        <v xml:space="preserve"> </v>
      </c>
      <c r="BT231" s="405" t="str">
        <f>IF($A231="N/A"," ",IF('Pricing Inputs'!$AN$3=1,(VLOOKUP($A231,CorrelationTable,2,FALSE)),0))</f>
        <v xml:space="preserve"> </v>
      </c>
      <c r="BU231" s="407" t="str">
        <f>IF($A231="N/A"," ",F231+G231+(D231*(VLOOKUP($A231,'Gas Curves'!$B$17:$P$310,14,FALSE))))</f>
        <v xml:space="preserve"> </v>
      </c>
      <c r="BV231" s="405" t="str">
        <f>IF($A231="N/A"," ",IF('Pricing Inputs'!$AW$3=1,0,(VLOOKUP($A231,InterestRatesTable,2))))</f>
        <v xml:space="preserve"> </v>
      </c>
      <c r="BW231" s="408" t="str">
        <f t="shared" si="337"/>
        <v xml:space="preserve"> </v>
      </c>
    </row>
    <row r="232" spans="1:75">
      <c r="A232" s="248" t="str">
        <f>IF(A231="N/A","N/A",IF(EDATE(A231,1)&gt;Inputs!$K$3,"N/A",EDATE(A231,1)))</f>
        <v>N/A</v>
      </c>
      <c r="B232" s="262" t="str">
        <f t="shared" si="338"/>
        <v xml:space="preserve"> </v>
      </c>
      <c r="C232" s="249" t="str">
        <f t="shared" si="339"/>
        <v xml:space="preserve"> </v>
      </c>
      <c r="D232" s="250" t="str">
        <f>IF(A232="N/A"," ",(VLOOKUP(MONTH($A232),Inputs!$A$14:$B$25,2))/1000)</f>
        <v xml:space="preserve"> </v>
      </c>
      <c r="E232" s="304" t="str">
        <f t="shared" si="340"/>
        <v xml:space="preserve"> </v>
      </c>
      <c r="F232" s="251" t="str">
        <f>IF(A232="N/A"," ",Inputs!$F$6)</f>
        <v xml:space="preserve"> </v>
      </c>
      <c r="G232" s="251" t="str">
        <f>IF(A232="N/A"," ",Inputs!$F$9/IF(AND('Pricing Inputs'!$AQ$3&gt;=4,'Pricing Inputs'!$AQ$3&lt;=6),16,IF(AND('Pricing Inputs'!$AQ$3&gt;=7,'Pricing Inputs'!$AQ$3&lt;=9),8,24))/(BA232/BW232))</f>
        <v xml:space="preserve"> </v>
      </c>
      <c r="H232" s="252" t="str">
        <f t="shared" si="341"/>
        <v xml:space="preserve"> </v>
      </c>
      <c r="I232" s="255" t="str">
        <f>VLOOKUP(A232,ScaledPrice,(IF(AND('Pricing Inputs'!$AQ$3&gt;=1,'Pricing Inputs'!$AQ$3&lt;=6),2,4)))</f>
        <v xml:space="preserve"> </v>
      </c>
      <c r="J232" s="255" t="str">
        <f>IF(A232="N/A"," ",IF(AND('Pricing Inputs'!$AQ$3&gt;=1,'Pricing Inputs'!$AQ$3&lt;=6),I232,(VLOOKUP(A232,ScaledPrice,2))*(2-(VLOOKUP(A232,ScaledPrice,3)))))</f>
        <v xml:space="preserve"> </v>
      </c>
      <c r="K232" s="255" t="str">
        <f>IF(A232="N/A"," ",IF(OR('Pricing Inputs'!$AQ$3=2,'Pricing Inputs'!$AQ$3=3,'Pricing Inputs'!$AQ$3=5,'Pricing Inputs'!$AQ$3=6,'Pricing Inputs'!$AQ$3=8,'Pricing Inputs'!$AQ$3=9),VLOOKUP(A232,ScaledPrice,IF(AND('Pricing Inputs'!$AQ$3&gt;=2,'Pricing Inputs'!$AQ$3&lt;=6),5,6)),0))</f>
        <v xml:space="preserve"> </v>
      </c>
      <c r="L232" s="255" t="str">
        <f>IF(A232="N/A"," ",IF(OR('Pricing Inputs'!$AQ$3=2,'Pricing Inputs'!$AQ$3=3,'Pricing Inputs'!$AQ$3=5,'Pricing Inputs'!$AQ$3=6,'Pricing Inputs'!$AQ$3=8,'Pricing Inputs'!$AQ$3=9),IF(AND('Pricing Inputs'!$AQ$3&gt;=2,'Pricing Inputs'!$AQ$3&lt;=6),K232,(VLOOKUP(A232,ScaledPrice,5))*(2-(VLOOKUP(A232,ScaledPrice,3)))),0))</f>
        <v xml:space="preserve"> </v>
      </c>
      <c r="M232" s="255" t="str">
        <f>IF(A232="N/A"," ",IF(OR('Pricing Inputs'!$AQ$3=3,'Pricing Inputs'!$AQ$3=6,'Pricing Inputs'!$AQ$3=9),(VLOOKUP(A232,ScaledPrice,IF(AND('Pricing Inputs'!$AQ$3&gt;=3,'Pricing Inputs'!$AQ$3&lt;=6),7,8))),0))</f>
        <v xml:space="preserve"> </v>
      </c>
      <c r="N232" s="255" t="str">
        <f>IF(A232="N/A"," ",IF(OR('Pricing Inputs'!$AQ$3=3,'Pricing Inputs'!$AQ$3=6,'Pricing Inputs'!$AQ$3=9),IF(AND('Pricing Inputs'!$AQ$3&gt;=3,'Pricing Inputs'!$AQ$3&lt;=6),M232,(VLOOKUP(A232,ScaledPrice,7))*(2-(VLOOKUP(A232,ScaledPrice,3)))),0))</f>
        <v xml:space="preserve"> </v>
      </c>
      <c r="O232" s="255" t="str">
        <f>IF(A232="N/A"," ",IF(AND('Pricing Inputs'!$AQ$3&gt;=1,'Pricing Inputs'!$AQ$3&lt;=3),VLOOKUP(A232,ScaledPrice,9),0))</f>
        <v xml:space="preserve"> </v>
      </c>
      <c r="P232" s="320" t="str">
        <f>IF($A232="N/A"," ",IF('Pricing Inputs'!$AN$8=2,(I232-H232),IF('Pricing Inputs'!$AN$3=2,IF((I232-$H232)&gt;0,I232-$H232,0),(_xll.xSPRDOPT(I232,$E232,$BU232,0,$BP232,$BS232,$BT232,($A232-Inputs!$D$1)+15,1,0)))))</f>
        <v xml:space="preserve"> </v>
      </c>
      <c r="Q232" s="320" t="str">
        <f>IF($A232="N/A"," ",IF('Pricing Inputs'!$AN$8=2,(J232-$H232),IF('Pricing Inputs'!$AN$3=2,IF((J232-$H232)&gt;0,J232-$H232,0),(_xll.xSPRDOPT(J232,$E232,$BU232,0,$BP232,$BS232,$BT232,($A232-Inputs!$D$1)+15,1,0)))))</f>
        <v xml:space="preserve"> </v>
      </c>
      <c r="R232" s="320" t="str">
        <f>IF($A232="N/A"," ",IF('Pricing Inputs'!$AN$8=2,(K232-$H232),IF('Pricing Inputs'!$AN$3=2,IF((K232-$H232)&gt;0,K232-$H232,0),(_xll.xSPRDOPT(K232,$E232,$BU232,0,$BP232,$BS232,$BT232,($A232-Inputs!$D$1)+15,1,0)))))</f>
        <v xml:space="preserve"> </v>
      </c>
      <c r="S232" s="320" t="str">
        <f>IF($A232="N/A"," ",IF('Pricing Inputs'!$AN$8=2,(L232-$H232),IF('Pricing Inputs'!$AN$3=2,IF((L232-$H232)&gt;0,L232-$H232,0),(_xll.xSPRDOPT(L232,$E232,$BU232,0,$BP232,$BS232,$BT232,($A232-Inputs!$D$1)+15,1,0)))))</f>
        <v xml:space="preserve"> </v>
      </c>
      <c r="T232" s="320" t="str">
        <f>IF($A232="N/A"," ",IF('Pricing Inputs'!$AN$8=2,(M232-$H232),IF('Pricing Inputs'!$AN$3=2,IF((M232-$H232)&gt;0,M232-$H232,0),(_xll.xSPRDOPT(M232,$E232,$BU232,0,$BP232,$BS232,$BT232,($A232-Inputs!$D$1)+15,1,0)))))</f>
        <v xml:space="preserve"> </v>
      </c>
      <c r="U232" s="320" t="str">
        <f>IF($A232="N/A"," ",IF('Pricing Inputs'!$AN$8=2,(N232-$H232),IF('Pricing Inputs'!$AN$3=2,IF((N232-$H232)&gt;0,N232-$H232,0),(_xll.xSPRDOPT(N232,$E232,$BU232,0,$BP232,$BS232,$BT232,($A232-Inputs!$D$1)+15,1,0)))))</f>
        <v xml:space="preserve"> </v>
      </c>
      <c r="V232" s="259" t="str">
        <f>IF($A232="N/A"," ",(IF('Pricing Inputs'!$AN$8=2,(O232-$H232),IF((O232-$H232)&lt;=0,0,(O232-$H232)))))</f>
        <v xml:space="preserve"> </v>
      </c>
      <c r="W232" s="306" t="str">
        <f>IF($A232="N/A"," ",IF(0&lt;&gt;P232,IF('Pricing Inputs'!$AN$3=2,8*VLOOKUP($A232,NumberofDaysTable,2),(_xll.xSPRDOPT(I232,$E232,$BU232,0,$BP232,$BS232,$BT232,$A232-Inputs!$D$1,1,1))*(8*VLOOKUP($A232,NumberofDaysTable,2))),0))</f>
        <v xml:space="preserve"> </v>
      </c>
      <c r="X232" s="306" t="str">
        <f>IF($A232="N/A"," ",IF(Q232&lt;&gt;0,IF('Pricing Inputs'!$AN$3=2,8*VLOOKUP($A232,NumberofDaysTable,2),(_xll.xSPRDOPT(J232,$E232,$BU232,0,$BP232,$BS232,$BT232,$A232-Inputs!$D$1,1,1))*(8*VLOOKUP($A232,NumberofDaysTable,2))),0))</f>
        <v xml:space="preserve"> </v>
      </c>
      <c r="Y232" s="306" t="str">
        <f>IF($A232="N/A"," ",IF(R232&lt;&gt;0,IF('Pricing Inputs'!$AN$3=2,8*VLOOKUP($A232,NumberofDaysTable,3),(_xll.xSPRDOPT(K232,$E232,$BU232,0,$BP232,$BS232,$BT232,$A232-Inputs!$D$1,1,1))*(8*VLOOKUP($A232,NumberofDaysTable,3))),0))</f>
        <v xml:space="preserve"> </v>
      </c>
      <c r="Z232" s="306" t="str">
        <f>IF($A232="N/A"," ",IF(S232&lt;&gt;0,IF('Pricing Inputs'!$AN$3=2,8*VLOOKUP($A232,NumberofDaysTable,3),(_xll.xSPRDOPT(L232,$E232,$BU232,0,$BP232,$BS232,$BT232,$A232-Inputs!$D$1,1,1))*(8*VLOOKUP($A232,NumberofDaysTable,3))),0))</f>
        <v xml:space="preserve"> </v>
      </c>
      <c r="AA232" s="306" t="str">
        <f>IF($A232="N/A"," ",IF(T232&lt;&gt;0,IF('Pricing Inputs'!$AN$3=2,8*VLOOKUP($A232,NumberofDaysTable,4),(_xll.xSPRDOPT(M232,$E232,$BU232,0,$BP232,$BS232,$BT232,$A232-Inputs!$D$1,1,1))*(8*VLOOKUP($A232,NumberofDaysTable,4))),0))</f>
        <v xml:space="preserve"> </v>
      </c>
      <c r="AB232" s="306" t="str">
        <f>IF($A232="N/A"," ",IF(U232&lt;&gt;0,IF('Pricing Inputs'!$AN$3=2,8*VLOOKUP($A232,NumberofDaysTable,4),(_xll.xSPRDOPT(N232,$E232,$BU232,0,$BP232,$BS232,$BT232,$A232-Inputs!$D$1,1,1))*(8*VLOOKUP($A232,NumberofDaysTable,4))),0))</f>
        <v xml:space="preserve"> </v>
      </c>
      <c r="AC232" s="306" t="str">
        <f t="shared" si="342"/>
        <v xml:space="preserve"> </v>
      </c>
      <c r="AD232" s="271" t="str">
        <f t="shared" ref="AD232:AJ232" si="399">IF($A232="N/A"," ",RANK(P232,$P$232:$V$243))</f>
        <v xml:space="preserve"> </v>
      </c>
      <c r="AE232" s="272" t="str">
        <f t="shared" si="399"/>
        <v xml:space="preserve"> </v>
      </c>
      <c r="AF232" s="272" t="str">
        <f t="shared" si="399"/>
        <v xml:space="preserve"> </v>
      </c>
      <c r="AG232" s="272" t="str">
        <f t="shared" si="399"/>
        <v xml:space="preserve"> </v>
      </c>
      <c r="AH232" s="272" t="str">
        <f t="shared" si="399"/>
        <v xml:space="preserve"> </v>
      </c>
      <c r="AI232" s="272" t="str">
        <f t="shared" si="399"/>
        <v xml:space="preserve"> </v>
      </c>
      <c r="AJ232" s="273" t="str">
        <f t="shared" si="399"/>
        <v xml:space="preserve"> </v>
      </c>
      <c r="AK232" s="312" t="str">
        <f t="shared" si="361"/>
        <v xml:space="preserve"> </v>
      </c>
      <c r="AL232" s="313" t="str">
        <f t="shared" si="362"/>
        <v xml:space="preserve"> </v>
      </c>
      <c r="AM232" s="313" t="str">
        <f t="shared" si="363"/>
        <v xml:space="preserve"> </v>
      </c>
      <c r="AN232" s="313" t="str">
        <f t="shared" si="364"/>
        <v xml:space="preserve"> </v>
      </c>
      <c r="AO232" s="313" t="str">
        <f t="shared" si="365"/>
        <v xml:space="preserve"> </v>
      </c>
      <c r="AP232" s="313" t="str">
        <f t="shared" si="366"/>
        <v xml:space="preserve"> </v>
      </c>
      <c r="AQ232" s="313" t="str">
        <f t="shared" si="367"/>
        <v xml:space="preserve"> </v>
      </c>
      <c r="AR232" s="273"/>
      <c r="AS232" s="327" t="str">
        <f t="shared" ref="AS232:AS243" si="400">IF($A232="N/A"," ",IF(AND(AD232=$AJ$2+1,AK232=0),MIN($AR$243,W232),0))</f>
        <v xml:space="preserve"> </v>
      </c>
      <c r="AT232" s="322" t="str">
        <f t="shared" ref="AT232:AT243" si="401">IF($A232="N/A"," ",IF(AND(AE232=$AJ$2+1,AL232=0),MIN($AR$243,X232),0))</f>
        <v xml:space="preserve"> </v>
      </c>
      <c r="AU232" s="322" t="str">
        <f t="shared" ref="AU232:AU243" si="402">IF($A232="N/A"," ",IF(AND(AF232=$AJ$2+1,AM232=0),MIN($AR$243,Y232),0))</f>
        <v xml:space="preserve"> </v>
      </c>
      <c r="AV232" s="322" t="str">
        <f t="shared" ref="AV232:AV243" si="403">IF($A232="N/A"," ",IF(AND(AG232=$AJ$2+1,AN232=0),MIN($AR$243,Z232),0))</f>
        <v xml:space="preserve"> </v>
      </c>
      <c r="AW232" s="322" t="str">
        <f t="shared" ref="AW232:AW243" si="404">IF($A232="N/A"," ",IF(AND(AH232=$AJ$2+1,AO232=0),MIN($AR$243,AA232),0))</f>
        <v xml:space="preserve"> </v>
      </c>
      <c r="AX232" s="322" t="str">
        <f t="shared" ref="AX232:AX243" si="405">IF($A232="N/A"," ",IF(AND(AI232=$AJ$2+1,AP232=0),MIN($AR$243,AB232),0))</f>
        <v xml:space="preserve"> </v>
      </c>
      <c r="AY232" s="322" t="str">
        <f t="shared" ref="AY232:AY243" si="406">IF($A232="N/A"," ",IF(AND(AJ232=$AJ$2+1,AQ232=0),MIN($AR$243,AC232),0))</f>
        <v xml:space="preserve"> </v>
      </c>
      <c r="AZ232" s="273"/>
      <c r="BA232" s="267" t="str">
        <f>IF($A232="N/A"," ",(IF(MONTH(A232)&gt;=4,IF(MONTH(A232)&lt;=10,Inputs!$F$13,Inputs!$F$14),Inputs!$F$14))*$BW232)</f>
        <v xml:space="preserve"> </v>
      </c>
      <c r="BB232" s="268" t="str">
        <f t="shared" si="382"/>
        <v xml:space="preserve"> </v>
      </c>
      <c r="BC232" s="268" t="str">
        <f t="shared" si="383"/>
        <v xml:space="preserve"> </v>
      </c>
      <c r="BD232" s="268" t="str">
        <f t="shared" si="350"/>
        <v xml:space="preserve"> </v>
      </c>
      <c r="BE232" s="268" t="str">
        <f t="shared" si="351"/>
        <v xml:space="preserve"> </v>
      </c>
      <c r="BF232" s="268" t="str">
        <f t="shared" si="352"/>
        <v xml:space="preserve"> </v>
      </c>
      <c r="BG232" s="268" t="str">
        <f t="shared" si="353"/>
        <v xml:space="preserve"> </v>
      </c>
      <c r="BH232" s="268" t="str">
        <f t="shared" si="359"/>
        <v xml:space="preserve"> </v>
      </c>
      <c r="BI232" s="268" t="str">
        <f t="shared" si="354"/>
        <v xml:space="preserve"> </v>
      </c>
      <c r="BJ232" s="296" t="str">
        <f t="shared" si="355"/>
        <v xml:space="preserve"> </v>
      </c>
      <c r="BK232" s="296" t="str">
        <f t="shared" si="356"/>
        <v xml:space="preserve"> </v>
      </c>
      <c r="BL232" s="296" t="str">
        <f t="shared" si="357"/>
        <v xml:space="preserve"> </v>
      </c>
      <c r="BM232" s="296" t="str">
        <f t="shared" si="358"/>
        <v xml:space="preserve"> </v>
      </c>
      <c r="BN232" s="405" t="str">
        <f>IF(A232="N/A"," ",(VLOOKUP(A232,PowerVolTable,(IF('Pricing Inputs'!$AT$3=2,7,IF('Pricing Inputs'!$AT$3=1,6,8))),FALSE)))</f>
        <v xml:space="preserve"> </v>
      </c>
      <c r="BO232" s="405" t="str">
        <f>IF(A232="N/A"," ",(VLOOKUP(A232,IntraPowerVol,(IF('Pricing Inputs'!$AT$3=2,3,IF('Pricing Inputs'!$AT$3=1,2,4))),FALSE)*VLOOKUP(MONTH($A232),Inputs!$A$28:$B$39,2)))</f>
        <v xml:space="preserve"> </v>
      </c>
      <c r="BP232" s="406" t="str">
        <f t="shared" si="336"/>
        <v xml:space="preserve"> </v>
      </c>
      <c r="BQ232" s="405" t="str">
        <f>IF($A232="N/A"," ",(VLOOKUP($A232,GasVolTable,(IF('Pricing Inputs'!$AT$3=2,6,IF('Pricing Inputs'!$AT$3=1,7,5))),FALSE)))</f>
        <v xml:space="preserve"> </v>
      </c>
      <c r="BR232" s="405" t="str">
        <f>IF($A232="N/A"," ",(VLOOKUP($A232,OmicronVol,(IF('Pricing Inputs'!$AT$3=2,3,IF('Pricing Inputs'!$AT$3=1,4,2))),FALSE)))</f>
        <v xml:space="preserve"> </v>
      </c>
      <c r="BS232" s="406" t="str">
        <f>IF($A232="N/A"," ",IF('Pricing Inputs'!$AN$3=1,(IF(DateToday&gt;$A232,$BR232,((($BQ232^2)*((($A232-1)-DateToday)/((EOMONTH($A232,0)+1)-DateToday-15)))+((($BR232)^2)*((15)/((EOMONTH($A232,0)+1)-DateToday-15))))^0.5)),0.0001))</f>
        <v xml:space="preserve"> </v>
      </c>
      <c r="BT232" s="405" t="str">
        <f>IF($A232="N/A"," ",IF('Pricing Inputs'!$AN$3=1,(VLOOKUP($A232,CorrelationTable,2,FALSE)),0))</f>
        <v xml:space="preserve"> </v>
      </c>
      <c r="BU232" s="407" t="str">
        <f>IF($A232="N/A"," ",F232+G232+(D232*(VLOOKUP($A232,'Gas Curves'!$B$17:$P$310,14,FALSE))))</f>
        <v xml:space="preserve"> </v>
      </c>
      <c r="BV232" s="405" t="str">
        <f>IF($A232="N/A"," ",IF('Pricing Inputs'!$AW$3=1,0,(VLOOKUP($A232,InterestRatesTable,2))))</f>
        <v xml:space="preserve"> </v>
      </c>
      <c r="BW232" s="408" t="str">
        <f t="shared" si="337"/>
        <v xml:space="preserve"> </v>
      </c>
    </row>
    <row r="233" spans="1:75">
      <c r="A233" s="248" t="str">
        <f>IF(A232="N/A","N/A",IF(EDATE(A232,1)&gt;Inputs!$K$3,"N/A",EDATE(A232,1)))</f>
        <v>N/A</v>
      </c>
      <c r="B233" s="262" t="str">
        <f t="shared" si="338"/>
        <v xml:space="preserve"> </v>
      </c>
      <c r="C233" s="249" t="str">
        <f t="shared" si="339"/>
        <v xml:space="preserve"> </v>
      </c>
      <c r="D233" s="250" t="str">
        <f>IF(A233="N/A"," ",(VLOOKUP(MONTH($A233),Inputs!$A$14:$B$25,2))/1000)</f>
        <v xml:space="preserve"> </v>
      </c>
      <c r="E233" s="304" t="str">
        <f t="shared" si="340"/>
        <v xml:space="preserve"> </v>
      </c>
      <c r="F233" s="251" t="str">
        <f>IF(A233="N/A"," ",Inputs!$F$6)</f>
        <v xml:space="preserve"> </v>
      </c>
      <c r="G233" s="251" t="str">
        <f>IF(A233="N/A"," ",Inputs!$F$9/IF(AND('Pricing Inputs'!$AQ$3&gt;=4,'Pricing Inputs'!$AQ$3&lt;=6),16,IF(AND('Pricing Inputs'!$AQ$3&gt;=7,'Pricing Inputs'!$AQ$3&lt;=9),8,24))/(BA233/BW233))</f>
        <v xml:space="preserve"> </v>
      </c>
      <c r="H233" s="252" t="str">
        <f t="shared" si="341"/>
        <v xml:space="preserve"> </v>
      </c>
      <c r="I233" s="255" t="str">
        <f>VLOOKUP(A233,ScaledPrice,(IF(AND('Pricing Inputs'!$AQ$3&gt;=1,'Pricing Inputs'!$AQ$3&lt;=6),2,4)))</f>
        <v xml:space="preserve"> </v>
      </c>
      <c r="J233" s="255" t="str">
        <f>IF(A233="N/A"," ",IF(AND('Pricing Inputs'!$AQ$3&gt;=1,'Pricing Inputs'!$AQ$3&lt;=6),I233,(VLOOKUP(A233,ScaledPrice,2))*(2-(VLOOKUP(A233,ScaledPrice,3)))))</f>
        <v xml:space="preserve"> </v>
      </c>
      <c r="K233" s="255" t="str">
        <f>IF(A233="N/A"," ",IF(OR('Pricing Inputs'!$AQ$3=2,'Pricing Inputs'!$AQ$3=3,'Pricing Inputs'!$AQ$3=5,'Pricing Inputs'!$AQ$3=6,'Pricing Inputs'!$AQ$3=8,'Pricing Inputs'!$AQ$3=9),VLOOKUP(A233,ScaledPrice,IF(AND('Pricing Inputs'!$AQ$3&gt;=2,'Pricing Inputs'!$AQ$3&lt;=6),5,6)),0))</f>
        <v xml:space="preserve"> </v>
      </c>
      <c r="L233" s="255" t="str">
        <f>IF(A233="N/A"," ",IF(OR('Pricing Inputs'!$AQ$3=2,'Pricing Inputs'!$AQ$3=3,'Pricing Inputs'!$AQ$3=5,'Pricing Inputs'!$AQ$3=6,'Pricing Inputs'!$AQ$3=8,'Pricing Inputs'!$AQ$3=9),IF(AND('Pricing Inputs'!$AQ$3&gt;=2,'Pricing Inputs'!$AQ$3&lt;=6),K233,(VLOOKUP(A233,ScaledPrice,5))*(2-(VLOOKUP(A233,ScaledPrice,3)))),0))</f>
        <v xml:space="preserve"> </v>
      </c>
      <c r="M233" s="255" t="str">
        <f>IF(A233="N/A"," ",IF(OR('Pricing Inputs'!$AQ$3=3,'Pricing Inputs'!$AQ$3=6,'Pricing Inputs'!$AQ$3=9),(VLOOKUP(A233,ScaledPrice,IF(AND('Pricing Inputs'!$AQ$3&gt;=3,'Pricing Inputs'!$AQ$3&lt;=6),7,8))),0))</f>
        <v xml:space="preserve"> </v>
      </c>
      <c r="N233" s="255" t="str">
        <f>IF(A233="N/A"," ",IF(OR('Pricing Inputs'!$AQ$3=3,'Pricing Inputs'!$AQ$3=6,'Pricing Inputs'!$AQ$3=9),IF(AND('Pricing Inputs'!$AQ$3&gt;=3,'Pricing Inputs'!$AQ$3&lt;=6),M233,(VLOOKUP(A233,ScaledPrice,7))*(2-(VLOOKUP(A233,ScaledPrice,3)))),0))</f>
        <v xml:space="preserve"> </v>
      </c>
      <c r="O233" s="255" t="str">
        <f>IF(A233="N/A"," ",IF(AND('Pricing Inputs'!$AQ$3&gt;=1,'Pricing Inputs'!$AQ$3&lt;=3),VLOOKUP(A233,ScaledPrice,9),0))</f>
        <v xml:space="preserve"> </v>
      </c>
      <c r="P233" s="320" t="str">
        <f>IF($A233="N/A"," ",IF('Pricing Inputs'!$AN$8=2,(I233-H233),IF('Pricing Inputs'!$AN$3=2,IF((I233-$H233)&gt;0,I233-$H233,0),(_xll.xSPRDOPT(I233,$E233,$BU233,0,$BP233,$BS233,$BT233,($A233-Inputs!$D$1)+15,1,0)))))</f>
        <v xml:space="preserve"> </v>
      </c>
      <c r="Q233" s="320" t="str">
        <f>IF($A233="N/A"," ",IF('Pricing Inputs'!$AN$8=2,(J233-$H233),IF('Pricing Inputs'!$AN$3=2,IF((J233-$H233)&gt;0,J233-$H233,0),(_xll.xSPRDOPT(J233,$E233,$BU233,0,$BP233,$BS233,$BT233,($A233-Inputs!$D$1)+15,1,0)))))</f>
        <v xml:space="preserve"> </v>
      </c>
      <c r="R233" s="320" t="str">
        <f>IF($A233="N/A"," ",IF('Pricing Inputs'!$AN$8=2,(K233-$H233),IF('Pricing Inputs'!$AN$3=2,IF((K233-$H233)&gt;0,K233-$H233,0),(_xll.xSPRDOPT(K233,$E233,$BU233,0,$BP233,$BS233,$BT233,($A233-Inputs!$D$1)+15,1,0)))))</f>
        <v xml:space="preserve"> </v>
      </c>
      <c r="S233" s="320" t="str">
        <f>IF($A233="N/A"," ",IF('Pricing Inputs'!$AN$8=2,(L233-$H233),IF('Pricing Inputs'!$AN$3=2,IF((L233-$H233)&gt;0,L233-$H233,0),(_xll.xSPRDOPT(L233,$E233,$BU233,0,$BP233,$BS233,$BT233,($A233-Inputs!$D$1)+15,1,0)))))</f>
        <v xml:space="preserve"> </v>
      </c>
      <c r="T233" s="320" t="str">
        <f>IF($A233="N/A"," ",IF('Pricing Inputs'!$AN$8=2,(M233-$H233),IF('Pricing Inputs'!$AN$3=2,IF((M233-$H233)&gt;0,M233-$H233,0),(_xll.xSPRDOPT(M233,$E233,$BU233,0,$BP233,$BS233,$BT233,($A233-Inputs!$D$1)+15,1,0)))))</f>
        <v xml:space="preserve"> </v>
      </c>
      <c r="U233" s="320" t="str">
        <f>IF($A233="N/A"," ",IF('Pricing Inputs'!$AN$8=2,(N233-$H233),IF('Pricing Inputs'!$AN$3=2,IF((N233-$H233)&gt;0,N233-$H233,0),(_xll.xSPRDOPT(N233,$E233,$BU233,0,$BP233,$BS233,$BT233,($A233-Inputs!$D$1)+15,1,0)))))</f>
        <v xml:space="preserve"> </v>
      </c>
      <c r="V233" s="259" t="str">
        <f>IF($A233="N/A"," ",(IF('Pricing Inputs'!$AN$8=2,(O233-$H233),IF((O233-$H233)&lt;=0,0,(O233-$H233)))))</f>
        <v xml:space="preserve"> </v>
      </c>
      <c r="W233" s="306" t="str">
        <f>IF($A233="N/A"," ",IF(0&lt;&gt;P233,IF('Pricing Inputs'!$AN$3=2,8*VLOOKUP($A233,NumberofDaysTable,2),(_xll.xSPRDOPT(I233,$E233,$BU233,0,$BP233,$BS233,$BT233,$A233-Inputs!$D$1,1,1))*(8*VLOOKUP($A233,NumberofDaysTable,2))),0))</f>
        <v xml:space="preserve"> </v>
      </c>
      <c r="X233" s="306" t="str">
        <f>IF($A233="N/A"," ",IF(Q233&lt;&gt;0,IF('Pricing Inputs'!$AN$3=2,8*VLOOKUP($A233,NumberofDaysTable,2),(_xll.xSPRDOPT(J233,$E233,$BU233,0,$BP233,$BS233,$BT233,$A233-Inputs!$D$1,1,1))*(8*VLOOKUP($A233,NumberofDaysTable,2))),0))</f>
        <v xml:space="preserve"> </v>
      </c>
      <c r="Y233" s="306" t="str">
        <f>IF($A233="N/A"," ",IF(R233&lt;&gt;0,IF('Pricing Inputs'!$AN$3=2,8*VLOOKUP($A233,NumberofDaysTable,3),(_xll.xSPRDOPT(K233,$E233,$BU233,0,$BP233,$BS233,$BT233,$A233-Inputs!$D$1,1,1))*(8*VLOOKUP($A233,NumberofDaysTable,3))),0))</f>
        <v xml:space="preserve"> </v>
      </c>
      <c r="Z233" s="306" t="str">
        <f>IF($A233="N/A"," ",IF(S233&lt;&gt;0,IF('Pricing Inputs'!$AN$3=2,8*VLOOKUP($A233,NumberofDaysTable,3),(_xll.xSPRDOPT(L233,$E233,$BU233,0,$BP233,$BS233,$BT233,$A233-Inputs!$D$1,1,1))*(8*VLOOKUP($A233,NumberofDaysTable,3))),0))</f>
        <v xml:space="preserve"> </v>
      </c>
      <c r="AA233" s="306" t="str">
        <f>IF($A233="N/A"," ",IF(T233&lt;&gt;0,IF('Pricing Inputs'!$AN$3=2,8*VLOOKUP($A233,NumberofDaysTable,4),(_xll.xSPRDOPT(M233,$E233,$BU233,0,$BP233,$BS233,$BT233,$A233-Inputs!$D$1,1,1))*(8*VLOOKUP($A233,NumberofDaysTable,4))),0))</f>
        <v xml:space="preserve"> </v>
      </c>
      <c r="AB233" s="306" t="str">
        <f>IF($A233="N/A"," ",IF(U233&lt;&gt;0,IF('Pricing Inputs'!$AN$3=2,8*VLOOKUP($A233,NumberofDaysTable,4),(_xll.xSPRDOPT(N233,$E233,$BU233,0,$BP233,$BS233,$BT233,$A233-Inputs!$D$1,1,1))*(8*VLOOKUP($A233,NumberofDaysTable,4))),0))</f>
        <v xml:space="preserve"> </v>
      </c>
      <c r="AC233" s="306" t="str">
        <f t="shared" si="342"/>
        <v xml:space="preserve"> </v>
      </c>
      <c r="AD233" s="274" t="str">
        <f t="shared" ref="AD233:AD243" si="407">IF($A233="N/A"," ",RANK(P233,$P$232:$V$243))</f>
        <v xml:space="preserve"> </v>
      </c>
      <c r="AE233" s="275" t="str">
        <f t="shared" ref="AE233:AE243" si="408">IF($A233="N/A"," ",RANK(Q233,$P$232:$V$243))</f>
        <v xml:space="preserve"> </v>
      </c>
      <c r="AF233" s="275" t="str">
        <f t="shared" ref="AF233:AF243" si="409">IF($A233="N/A"," ",RANK(R233,$P$232:$V$243))</f>
        <v xml:space="preserve"> </v>
      </c>
      <c r="AG233" s="275" t="str">
        <f t="shared" ref="AG233:AG243" si="410">IF($A233="N/A"," ",RANK(S233,$P$232:$V$243))</f>
        <v xml:space="preserve"> </v>
      </c>
      <c r="AH233" s="275" t="str">
        <f t="shared" ref="AH233:AH243" si="411">IF($A233="N/A"," ",RANK(T233,$P$232:$V$243))</f>
        <v xml:space="preserve"> </v>
      </c>
      <c r="AI233" s="275" t="str">
        <f t="shared" ref="AI233:AI243" si="412">IF($A233="N/A"," ",RANK(U233,$P$232:$V$243))</f>
        <v xml:space="preserve"> </v>
      </c>
      <c r="AJ233" s="276" t="str">
        <f t="shared" ref="AJ233:AJ243" si="413">IF($A233="N/A"," ",RANK(V233,$P$232:$V$243))</f>
        <v xml:space="preserve"> </v>
      </c>
      <c r="AK233" s="314" t="str">
        <f t="shared" si="361"/>
        <v xml:space="preserve"> </v>
      </c>
      <c r="AL233" s="315" t="str">
        <f t="shared" si="362"/>
        <v xml:space="preserve"> </v>
      </c>
      <c r="AM233" s="315" t="str">
        <f t="shared" si="363"/>
        <v xml:space="preserve"> </v>
      </c>
      <c r="AN233" s="315" t="str">
        <f t="shared" si="364"/>
        <v xml:space="preserve"> </v>
      </c>
      <c r="AO233" s="315" t="str">
        <f t="shared" si="365"/>
        <v xml:space="preserve"> </v>
      </c>
      <c r="AP233" s="315" t="str">
        <f t="shared" si="366"/>
        <v xml:space="preserve"> </v>
      </c>
      <c r="AQ233" s="315" t="str">
        <f t="shared" si="367"/>
        <v xml:space="preserve"> </v>
      </c>
      <c r="AR233" s="276"/>
      <c r="AS233" s="321" t="str">
        <f t="shared" si="400"/>
        <v xml:space="preserve"> </v>
      </c>
      <c r="AT233" s="324" t="str">
        <f t="shared" si="401"/>
        <v xml:space="preserve"> </v>
      </c>
      <c r="AU233" s="324" t="str">
        <f t="shared" si="402"/>
        <v xml:space="preserve"> </v>
      </c>
      <c r="AV233" s="324" t="str">
        <f t="shared" si="403"/>
        <v xml:space="preserve"> </v>
      </c>
      <c r="AW233" s="324" t="str">
        <f t="shared" si="404"/>
        <v xml:space="preserve"> </v>
      </c>
      <c r="AX233" s="324" t="str">
        <f t="shared" si="405"/>
        <v xml:space="preserve"> </v>
      </c>
      <c r="AY233" s="324" t="str">
        <f t="shared" si="406"/>
        <v xml:space="preserve"> </v>
      </c>
      <c r="AZ233" s="276"/>
      <c r="BA233" s="267" t="str">
        <f>IF($A233="N/A"," ",(IF(MONTH(A233)&gt;=4,IF(MONTH(A233)&lt;=10,Inputs!$F$13,Inputs!$F$14),Inputs!$F$14))*$BW233)</f>
        <v xml:space="preserve"> </v>
      </c>
      <c r="BB233" s="268" t="str">
        <f t="shared" si="382"/>
        <v xml:space="preserve"> </v>
      </c>
      <c r="BC233" s="268" t="str">
        <f t="shared" si="383"/>
        <v xml:space="preserve"> </v>
      </c>
      <c r="BD233" s="268" t="str">
        <f t="shared" si="350"/>
        <v xml:space="preserve"> </v>
      </c>
      <c r="BE233" s="268" t="str">
        <f t="shared" si="351"/>
        <v xml:space="preserve"> </v>
      </c>
      <c r="BF233" s="268" t="str">
        <f t="shared" si="352"/>
        <v xml:space="preserve"> </v>
      </c>
      <c r="BG233" s="268" t="str">
        <f t="shared" si="353"/>
        <v xml:space="preserve"> </v>
      </c>
      <c r="BH233" s="268" t="str">
        <f t="shared" si="359"/>
        <v xml:space="preserve"> </v>
      </c>
      <c r="BI233" s="268" t="str">
        <f t="shared" si="354"/>
        <v xml:space="preserve"> </v>
      </c>
      <c r="BJ233" s="296" t="str">
        <f t="shared" si="355"/>
        <v xml:space="preserve"> </v>
      </c>
      <c r="BK233" s="296" t="str">
        <f t="shared" si="356"/>
        <v xml:space="preserve"> </v>
      </c>
      <c r="BL233" s="296" t="str">
        <f t="shared" si="357"/>
        <v xml:space="preserve"> </v>
      </c>
      <c r="BM233" s="296" t="str">
        <f t="shared" si="358"/>
        <v xml:space="preserve"> </v>
      </c>
      <c r="BN233" s="405" t="str">
        <f>IF(A233="N/A"," ",(VLOOKUP(A233,PowerVolTable,(IF('Pricing Inputs'!$AT$3=2,7,IF('Pricing Inputs'!$AT$3=1,6,8))),FALSE)))</f>
        <v xml:space="preserve"> </v>
      </c>
      <c r="BO233" s="405" t="str">
        <f>IF(A233="N/A"," ",(VLOOKUP(A233,IntraPowerVol,(IF('Pricing Inputs'!$AT$3=2,3,IF('Pricing Inputs'!$AT$3=1,2,4))),FALSE)*VLOOKUP(MONTH($A233),Inputs!$A$28:$B$39,2)))</f>
        <v xml:space="preserve"> </v>
      </c>
      <c r="BP233" s="406" t="str">
        <f t="shared" si="336"/>
        <v xml:space="preserve"> </v>
      </c>
      <c r="BQ233" s="405" t="str">
        <f>IF($A233="N/A"," ",(VLOOKUP($A233,GasVolTable,(IF('Pricing Inputs'!$AT$3=2,6,IF('Pricing Inputs'!$AT$3=1,7,5))),FALSE)))</f>
        <v xml:space="preserve"> </v>
      </c>
      <c r="BR233" s="405" t="str">
        <f>IF($A233="N/A"," ",(VLOOKUP($A233,OmicronVol,(IF('Pricing Inputs'!$AT$3=2,3,IF('Pricing Inputs'!$AT$3=1,4,2))),FALSE)))</f>
        <v xml:space="preserve"> </v>
      </c>
      <c r="BS233" s="406" t="str">
        <f>IF($A233="N/A"," ",IF('Pricing Inputs'!$AN$3=1,(IF(DateToday&gt;$A233,$BR233,((($BQ233^2)*((($A233-1)-DateToday)/((EOMONTH($A233,0)+1)-DateToday-15)))+((($BR233)^2)*((15)/((EOMONTH($A233,0)+1)-DateToday-15))))^0.5)),0.0001))</f>
        <v xml:space="preserve"> </v>
      </c>
      <c r="BT233" s="405" t="str">
        <f>IF($A233="N/A"," ",IF('Pricing Inputs'!$AN$3=1,(VLOOKUP($A233,CorrelationTable,2,FALSE)),0))</f>
        <v xml:space="preserve"> </v>
      </c>
      <c r="BU233" s="407" t="str">
        <f>IF($A233="N/A"," ",F233+G233+(D233*(VLOOKUP($A233,'Gas Curves'!$B$17:$P$310,14,FALSE))))</f>
        <v xml:space="preserve"> </v>
      </c>
      <c r="BV233" s="405" t="str">
        <f>IF($A233="N/A"," ",IF('Pricing Inputs'!$AW$3=1,0,(VLOOKUP($A233,InterestRatesTable,2))))</f>
        <v xml:space="preserve"> </v>
      </c>
      <c r="BW233" s="408" t="str">
        <f t="shared" si="337"/>
        <v xml:space="preserve"> </v>
      </c>
    </row>
    <row r="234" spans="1:75">
      <c r="A234" s="248" t="str">
        <f>IF(A233="N/A","N/A",IF(EDATE(A233,1)&gt;Inputs!$K$3,"N/A",EDATE(A233,1)))</f>
        <v>N/A</v>
      </c>
      <c r="B234" s="262" t="str">
        <f t="shared" si="338"/>
        <v xml:space="preserve"> </v>
      </c>
      <c r="C234" s="249" t="str">
        <f t="shared" si="339"/>
        <v xml:space="preserve"> </v>
      </c>
      <c r="D234" s="250" t="str">
        <f>IF(A234="N/A"," ",(VLOOKUP(MONTH($A234),Inputs!$A$14:$B$25,2))/1000)</f>
        <v xml:space="preserve"> </v>
      </c>
      <c r="E234" s="304" t="str">
        <f t="shared" si="340"/>
        <v xml:space="preserve"> </v>
      </c>
      <c r="F234" s="251" t="str">
        <f>IF(A234="N/A"," ",Inputs!$F$6)</f>
        <v xml:space="preserve"> </v>
      </c>
      <c r="G234" s="251" t="str">
        <f>IF(A234="N/A"," ",Inputs!$F$9/IF(AND('Pricing Inputs'!$AQ$3&gt;=4,'Pricing Inputs'!$AQ$3&lt;=6),16,IF(AND('Pricing Inputs'!$AQ$3&gt;=7,'Pricing Inputs'!$AQ$3&lt;=9),8,24))/(BA234/BW234))</f>
        <v xml:space="preserve"> </v>
      </c>
      <c r="H234" s="252" t="str">
        <f t="shared" si="341"/>
        <v xml:space="preserve"> </v>
      </c>
      <c r="I234" s="255" t="str">
        <f>VLOOKUP(A234,ScaledPrice,(IF(AND('Pricing Inputs'!$AQ$3&gt;=1,'Pricing Inputs'!$AQ$3&lt;=6),2,4)))</f>
        <v xml:space="preserve"> </v>
      </c>
      <c r="J234" s="255" t="str">
        <f>IF(A234="N/A"," ",IF(AND('Pricing Inputs'!$AQ$3&gt;=1,'Pricing Inputs'!$AQ$3&lt;=6),I234,(VLOOKUP(A234,ScaledPrice,2))*(2-(VLOOKUP(A234,ScaledPrice,3)))))</f>
        <v xml:space="preserve"> </v>
      </c>
      <c r="K234" s="255" t="str">
        <f>IF(A234="N/A"," ",IF(OR('Pricing Inputs'!$AQ$3=2,'Pricing Inputs'!$AQ$3=3,'Pricing Inputs'!$AQ$3=5,'Pricing Inputs'!$AQ$3=6,'Pricing Inputs'!$AQ$3=8,'Pricing Inputs'!$AQ$3=9),VLOOKUP(A234,ScaledPrice,IF(AND('Pricing Inputs'!$AQ$3&gt;=2,'Pricing Inputs'!$AQ$3&lt;=6),5,6)),0))</f>
        <v xml:space="preserve"> </v>
      </c>
      <c r="L234" s="255" t="str">
        <f>IF(A234="N/A"," ",IF(OR('Pricing Inputs'!$AQ$3=2,'Pricing Inputs'!$AQ$3=3,'Pricing Inputs'!$AQ$3=5,'Pricing Inputs'!$AQ$3=6,'Pricing Inputs'!$AQ$3=8,'Pricing Inputs'!$AQ$3=9),IF(AND('Pricing Inputs'!$AQ$3&gt;=2,'Pricing Inputs'!$AQ$3&lt;=6),K234,(VLOOKUP(A234,ScaledPrice,5))*(2-(VLOOKUP(A234,ScaledPrice,3)))),0))</f>
        <v xml:space="preserve"> </v>
      </c>
      <c r="M234" s="255" t="str">
        <f>IF(A234="N/A"," ",IF(OR('Pricing Inputs'!$AQ$3=3,'Pricing Inputs'!$AQ$3=6,'Pricing Inputs'!$AQ$3=9),(VLOOKUP(A234,ScaledPrice,IF(AND('Pricing Inputs'!$AQ$3&gt;=3,'Pricing Inputs'!$AQ$3&lt;=6),7,8))),0))</f>
        <v xml:space="preserve"> </v>
      </c>
      <c r="N234" s="255" t="str">
        <f>IF(A234="N/A"," ",IF(OR('Pricing Inputs'!$AQ$3=3,'Pricing Inputs'!$AQ$3=6,'Pricing Inputs'!$AQ$3=9),IF(AND('Pricing Inputs'!$AQ$3&gt;=3,'Pricing Inputs'!$AQ$3&lt;=6),M234,(VLOOKUP(A234,ScaledPrice,7))*(2-(VLOOKUP(A234,ScaledPrice,3)))),0))</f>
        <v xml:space="preserve"> </v>
      </c>
      <c r="O234" s="255" t="str">
        <f>IF(A234="N/A"," ",IF(AND('Pricing Inputs'!$AQ$3&gt;=1,'Pricing Inputs'!$AQ$3&lt;=3),VLOOKUP(A234,ScaledPrice,9),0))</f>
        <v xml:space="preserve"> </v>
      </c>
      <c r="P234" s="320" t="str">
        <f>IF($A234="N/A"," ",IF('Pricing Inputs'!$AN$8=2,(I234-H234),IF('Pricing Inputs'!$AN$3=2,IF((I234-$H234)&gt;0,I234-$H234,0),(_xll.xSPRDOPT(I234,$E234,$BU234,0,$BP234,$BS234,$BT234,($A234-Inputs!$D$1)+15,1,0)))))</f>
        <v xml:space="preserve"> </v>
      </c>
      <c r="Q234" s="320" t="str">
        <f>IF($A234="N/A"," ",IF('Pricing Inputs'!$AN$8=2,(J234-$H234),IF('Pricing Inputs'!$AN$3=2,IF((J234-$H234)&gt;0,J234-$H234,0),(_xll.xSPRDOPT(J234,$E234,$BU234,0,$BP234,$BS234,$BT234,($A234-Inputs!$D$1)+15,1,0)))))</f>
        <v xml:space="preserve"> </v>
      </c>
      <c r="R234" s="320" t="str">
        <f>IF($A234="N/A"," ",IF('Pricing Inputs'!$AN$8=2,(K234-$H234),IF('Pricing Inputs'!$AN$3=2,IF((K234-$H234)&gt;0,K234-$H234,0),(_xll.xSPRDOPT(K234,$E234,$BU234,0,$BP234,$BS234,$BT234,($A234-Inputs!$D$1)+15,1,0)))))</f>
        <v xml:space="preserve"> </v>
      </c>
      <c r="S234" s="320" t="str">
        <f>IF($A234="N/A"," ",IF('Pricing Inputs'!$AN$8=2,(L234-$H234),IF('Pricing Inputs'!$AN$3=2,IF((L234-$H234)&gt;0,L234-$H234,0),(_xll.xSPRDOPT(L234,$E234,$BU234,0,$BP234,$BS234,$BT234,($A234-Inputs!$D$1)+15,1,0)))))</f>
        <v xml:space="preserve"> </v>
      </c>
      <c r="T234" s="320" t="str">
        <f>IF($A234="N/A"," ",IF('Pricing Inputs'!$AN$8=2,(M234-$H234),IF('Pricing Inputs'!$AN$3=2,IF((M234-$H234)&gt;0,M234-$H234,0),(_xll.xSPRDOPT(M234,$E234,$BU234,0,$BP234,$BS234,$BT234,($A234-Inputs!$D$1)+15,1,0)))))</f>
        <v xml:space="preserve"> </v>
      </c>
      <c r="U234" s="320" t="str">
        <f>IF($A234="N/A"," ",IF('Pricing Inputs'!$AN$8=2,(N234-$H234),IF('Pricing Inputs'!$AN$3=2,IF((N234-$H234)&gt;0,N234-$H234,0),(_xll.xSPRDOPT(N234,$E234,$BU234,0,$BP234,$BS234,$BT234,($A234-Inputs!$D$1)+15,1,0)))))</f>
        <v xml:space="preserve"> </v>
      </c>
      <c r="V234" s="259" t="str">
        <f>IF($A234="N/A"," ",(IF('Pricing Inputs'!$AN$8=2,(O234-$H234),IF((O234-$H234)&lt;=0,0,(O234-$H234)))))</f>
        <v xml:space="preserve"> </v>
      </c>
      <c r="W234" s="306" t="str">
        <f>IF($A234="N/A"," ",IF(0&lt;&gt;P234,IF('Pricing Inputs'!$AN$3=2,8*VLOOKUP($A234,NumberofDaysTable,2),(_xll.xSPRDOPT(I234,$E234,$BU234,0,$BP234,$BS234,$BT234,$A234-Inputs!$D$1,1,1))*(8*VLOOKUP($A234,NumberofDaysTable,2))),0))</f>
        <v xml:space="preserve"> </v>
      </c>
      <c r="X234" s="306" t="str">
        <f>IF($A234="N/A"," ",IF(Q234&lt;&gt;0,IF('Pricing Inputs'!$AN$3=2,8*VLOOKUP($A234,NumberofDaysTable,2),(_xll.xSPRDOPT(J234,$E234,$BU234,0,$BP234,$BS234,$BT234,$A234-Inputs!$D$1,1,1))*(8*VLOOKUP($A234,NumberofDaysTable,2))),0))</f>
        <v xml:space="preserve"> </v>
      </c>
      <c r="Y234" s="306" t="str">
        <f>IF($A234="N/A"," ",IF(R234&lt;&gt;0,IF('Pricing Inputs'!$AN$3=2,8*VLOOKUP($A234,NumberofDaysTable,3),(_xll.xSPRDOPT(K234,$E234,$BU234,0,$BP234,$BS234,$BT234,$A234-Inputs!$D$1,1,1))*(8*VLOOKUP($A234,NumberofDaysTable,3))),0))</f>
        <v xml:space="preserve"> </v>
      </c>
      <c r="Z234" s="306" t="str">
        <f>IF($A234="N/A"," ",IF(S234&lt;&gt;0,IF('Pricing Inputs'!$AN$3=2,8*VLOOKUP($A234,NumberofDaysTable,3),(_xll.xSPRDOPT(L234,$E234,$BU234,0,$BP234,$BS234,$BT234,$A234-Inputs!$D$1,1,1))*(8*VLOOKUP($A234,NumberofDaysTable,3))),0))</f>
        <v xml:space="preserve"> </v>
      </c>
      <c r="AA234" s="306" t="str">
        <f>IF($A234="N/A"," ",IF(T234&lt;&gt;0,IF('Pricing Inputs'!$AN$3=2,8*VLOOKUP($A234,NumberofDaysTable,4),(_xll.xSPRDOPT(M234,$E234,$BU234,0,$BP234,$BS234,$BT234,$A234-Inputs!$D$1,1,1))*(8*VLOOKUP($A234,NumberofDaysTable,4))),0))</f>
        <v xml:space="preserve"> </v>
      </c>
      <c r="AB234" s="306" t="str">
        <f>IF($A234="N/A"," ",IF(U234&lt;&gt;0,IF('Pricing Inputs'!$AN$3=2,8*VLOOKUP($A234,NumberofDaysTable,4),(_xll.xSPRDOPT(N234,$E234,$BU234,0,$BP234,$BS234,$BT234,$A234-Inputs!$D$1,1,1))*(8*VLOOKUP($A234,NumberofDaysTable,4))),0))</f>
        <v xml:space="preserve"> </v>
      </c>
      <c r="AC234" s="306" t="str">
        <f t="shared" si="342"/>
        <v xml:space="preserve"> </v>
      </c>
      <c r="AD234" s="274" t="str">
        <f t="shared" si="407"/>
        <v xml:space="preserve"> </v>
      </c>
      <c r="AE234" s="275" t="str">
        <f t="shared" si="408"/>
        <v xml:space="preserve"> </v>
      </c>
      <c r="AF234" s="275" t="str">
        <f t="shared" si="409"/>
        <v xml:space="preserve"> </v>
      </c>
      <c r="AG234" s="275" t="str">
        <f t="shared" si="410"/>
        <v xml:space="preserve"> </v>
      </c>
      <c r="AH234" s="275" t="str">
        <f t="shared" si="411"/>
        <v xml:space="preserve"> </v>
      </c>
      <c r="AI234" s="275" t="str">
        <f t="shared" si="412"/>
        <v xml:space="preserve"> </v>
      </c>
      <c r="AJ234" s="276" t="str">
        <f t="shared" si="413"/>
        <v xml:space="preserve"> </v>
      </c>
      <c r="AK234" s="314" t="str">
        <f t="shared" si="361"/>
        <v xml:space="preserve"> </v>
      </c>
      <c r="AL234" s="315" t="str">
        <f t="shared" si="362"/>
        <v xml:space="preserve"> </v>
      </c>
      <c r="AM234" s="315" t="str">
        <f t="shared" si="363"/>
        <v xml:space="preserve"> </v>
      </c>
      <c r="AN234" s="315" t="str">
        <f t="shared" si="364"/>
        <v xml:space="preserve"> </v>
      </c>
      <c r="AO234" s="315" t="str">
        <f t="shared" si="365"/>
        <v xml:space="preserve"> </v>
      </c>
      <c r="AP234" s="315" t="str">
        <f t="shared" si="366"/>
        <v xml:space="preserve"> </v>
      </c>
      <c r="AQ234" s="315" t="str">
        <f t="shared" si="367"/>
        <v xml:space="preserve"> </v>
      </c>
      <c r="AR234" s="276"/>
      <c r="AS234" s="321" t="str">
        <f t="shared" si="400"/>
        <v xml:space="preserve"> </v>
      </c>
      <c r="AT234" s="324" t="str">
        <f t="shared" si="401"/>
        <v xml:space="preserve"> </v>
      </c>
      <c r="AU234" s="324" t="str">
        <f t="shared" si="402"/>
        <v xml:space="preserve"> </v>
      </c>
      <c r="AV234" s="324" t="str">
        <f t="shared" si="403"/>
        <v xml:space="preserve"> </v>
      </c>
      <c r="AW234" s="324" t="str">
        <f t="shared" si="404"/>
        <v xml:space="preserve"> </v>
      </c>
      <c r="AX234" s="324" t="str">
        <f t="shared" si="405"/>
        <v xml:space="preserve"> </v>
      </c>
      <c r="AY234" s="324" t="str">
        <f t="shared" si="406"/>
        <v xml:space="preserve"> </v>
      </c>
      <c r="AZ234" s="276"/>
      <c r="BA234" s="267" t="str">
        <f>IF($A234="N/A"," ",(IF(MONTH(A234)&gt;=4,IF(MONTH(A234)&lt;=10,Inputs!$F$13,Inputs!$F$14),Inputs!$F$14))*$BW234)</f>
        <v xml:space="preserve"> </v>
      </c>
      <c r="BB234" s="268" t="str">
        <f t="shared" si="382"/>
        <v xml:space="preserve"> </v>
      </c>
      <c r="BC234" s="268" t="str">
        <f t="shared" si="383"/>
        <v xml:space="preserve"> </v>
      </c>
      <c r="BD234" s="268" t="str">
        <f t="shared" si="350"/>
        <v xml:space="preserve"> </v>
      </c>
      <c r="BE234" s="268" t="str">
        <f t="shared" si="351"/>
        <v xml:space="preserve"> </v>
      </c>
      <c r="BF234" s="268" t="str">
        <f t="shared" si="352"/>
        <v xml:space="preserve"> </v>
      </c>
      <c r="BG234" s="268" t="str">
        <f t="shared" si="353"/>
        <v xml:space="preserve"> </v>
      </c>
      <c r="BH234" s="268" t="str">
        <f t="shared" si="359"/>
        <v xml:space="preserve"> </v>
      </c>
      <c r="BI234" s="268" t="str">
        <f t="shared" si="354"/>
        <v xml:space="preserve"> </v>
      </c>
      <c r="BJ234" s="296" t="str">
        <f t="shared" si="355"/>
        <v xml:space="preserve"> </v>
      </c>
      <c r="BK234" s="296" t="str">
        <f t="shared" si="356"/>
        <v xml:space="preserve"> </v>
      </c>
      <c r="BL234" s="296" t="str">
        <f t="shared" si="357"/>
        <v xml:space="preserve"> </v>
      </c>
      <c r="BM234" s="296" t="str">
        <f t="shared" si="358"/>
        <v xml:space="preserve"> </v>
      </c>
      <c r="BN234" s="405" t="str">
        <f>IF(A234="N/A"," ",(VLOOKUP(A234,PowerVolTable,(IF('Pricing Inputs'!$AT$3=2,7,IF('Pricing Inputs'!$AT$3=1,6,8))),FALSE)))</f>
        <v xml:space="preserve"> </v>
      </c>
      <c r="BO234" s="405" t="str">
        <f>IF(A234="N/A"," ",(VLOOKUP(A234,IntraPowerVol,(IF('Pricing Inputs'!$AT$3=2,3,IF('Pricing Inputs'!$AT$3=1,2,4))),FALSE)*VLOOKUP(MONTH($A234),Inputs!$A$28:$B$39,2)))</f>
        <v xml:space="preserve"> </v>
      </c>
      <c r="BP234" s="406" t="str">
        <f t="shared" si="336"/>
        <v xml:space="preserve"> </v>
      </c>
      <c r="BQ234" s="405" t="str">
        <f>IF($A234="N/A"," ",(VLOOKUP($A234,GasVolTable,(IF('Pricing Inputs'!$AT$3=2,6,IF('Pricing Inputs'!$AT$3=1,7,5))),FALSE)))</f>
        <v xml:space="preserve"> </v>
      </c>
      <c r="BR234" s="405" t="str">
        <f>IF($A234="N/A"," ",(VLOOKUP($A234,OmicronVol,(IF('Pricing Inputs'!$AT$3=2,3,IF('Pricing Inputs'!$AT$3=1,4,2))),FALSE)))</f>
        <v xml:space="preserve"> </v>
      </c>
      <c r="BS234" s="406" t="str">
        <f>IF($A234="N/A"," ",IF('Pricing Inputs'!$AN$3=1,(IF(DateToday&gt;$A234,$BR234,((($BQ234^2)*((($A234-1)-DateToday)/((EOMONTH($A234,0)+1)-DateToday-15)))+((($BR234)^2)*((15)/((EOMONTH($A234,0)+1)-DateToday-15))))^0.5)),0.0001))</f>
        <v xml:space="preserve"> </v>
      </c>
      <c r="BT234" s="405" t="str">
        <f>IF($A234="N/A"," ",IF('Pricing Inputs'!$AN$3=1,(VLOOKUP($A234,CorrelationTable,2,FALSE)),0))</f>
        <v xml:space="preserve"> </v>
      </c>
      <c r="BU234" s="407" t="str">
        <f>IF($A234="N/A"," ",F234+G234+(D234*(VLOOKUP($A234,'Gas Curves'!$B$17:$P$310,14,FALSE))))</f>
        <v xml:space="preserve"> </v>
      </c>
      <c r="BV234" s="405" t="str">
        <f>IF($A234="N/A"," ",IF('Pricing Inputs'!$AW$3=1,0,(VLOOKUP($A234,InterestRatesTable,2))))</f>
        <v xml:space="preserve"> </v>
      </c>
      <c r="BW234" s="408" t="str">
        <f t="shared" si="337"/>
        <v xml:space="preserve"> </v>
      </c>
    </row>
    <row r="235" spans="1:75">
      <c r="A235" s="248" t="str">
        <f>IF(A234="N/A","N/A",IF(EDATE(A234,1)&gt;Inputs!$K$3,"N/A",EDATE(A234,1)))</f>
        <v>N/A</v>
      </c>
      <c r="B235" s="262" t="str">
        <f t="shared" si="338"/>
        <v xml:space="preserve"> </v>
      </c>
      <c r="C235" s="249" t="str">
        <f t="shared" si="339"/>
        <v xml:space="preserve"> </v>
      </c>
      <c r="D235" s="250" t="str">
        <f>IF(A235="N/A"," ",(VLOOKUP(MONTH($A235),Inputs!$A$14:$B$25,2))/1000)</f>
        <v xml:space="preserve"> </v>
      </c>
      <c r="E235" s="304" t="str">
        <f t="shared" si="340"/>
        <v xml:space="preserve"> </v>
      </c>
      <c r="F235" s="251" t="str">
        <f>IF(A235="N/A"," ",Inputs!$F$6)</f>
        <v xml:space="preserve"> </v>
      </c>
      <c r="G235" s="251" t="str">
        <f>IF(A235="N/A"," ",Inputs!$F$9/IF(AND('Pricing Inputs'!$AQ$3&gt;=4,'Pricing Inputs'!$AQ$3&lt;=6),16,IF(AND('Pricing Inputs'!$AQ$3&gt;=7,'Pricing Inputs'!$AQ$3&lt;=9),8,24))/(BA235/BW235))</f>
        <v xml:space="preserve"> </v>
      </c>
      <c r="H235" s="252" t="str">
        <f t="shared" si="341"/>
        <v xml:space="preserve"> </v>
      </c>
      <c r="I235" s="255" t="str">
        <f>VLOOKUP(A235,ScaledPrice,(IF(AND('Pricing Inputs'!$AQ$3&gt;=1,'Pricing Inputs'!$AQ$3&lt;=6),2,4)))</f>
        <v xml:space="preserve"> </v>
      </c>
      <c r="J235" s="255" t="str">
        <f>IF(A235="N/A"," ",IF(AND('Pricing Inputs'!$AQ$3&gt;=1,'Pricing Inputs'!$AQ$3&lt;=6),I235,(VLOOKUP(A235,ScaledPrice,2))*(2-(VLOOKUP(A235,ScaledPrice,3)))))</f>
        <v xml:space="preserve"> </v>
      </c>
      <c r="K235" s="255" t="str">
        <f>IF(A235="N/A"," ",IF(OR('Pricing Inputs'!$AQ$3=2,'Pricing Inputs'!$AQ$3=3,'Pricing Inputs'!$AQ$3=5,'Pricing Inputs'!$AQ$3=6,'Pricing Inputs'!$AQ$3=8,'Pricing Inputs'!$AQ$3=9),VLOOKUP(A235,ScaledPrice,IF(AND('Pricing Inputs'!$AQ$3&gt;=2,'Pricing Inputs'!$AQ$3&lt;=6),5,6)),0))</f>
        <v xml:space="preserve"> </v>
      </c>
      <c r="L235" s="255" t="str">
        <f>IF(A235="N/A"," ",IF(OR('Pricing Inputs'!$AQ$3=2,'Pricing Inputs'!$AQ$3=3,'Pricing Inputs'!$AQ$3=5,'Pricing Inputs'!$AQ$3=6,'Pricing Inputs'!$AQ$3=8,'Pricing Inputs'!$AQ$3=9),IF(AND('Pricing Inputs'!$AQ$3&gt;=2,'Pricing Inputs'!$AQ$3&lt;=6),K235,(VLOOKUP(A235,ScaledPrice,5))*(2-(VLOOKUP(A235,ScaledPrice,3)))),0))</f>
        <v xml:space="preserve"> </v>
      </c>
      <c r="M235" s="255" t="str">
        <f>IF(A235="N/A"," ",IF(OR('Pricing Inputs'!$AQ$3=3,'Pricing Inputs'!$AQ$3=6,'Pricing Inputs'!$AQ$3=9),(VLOOKUP(A235,ScaledPrice,IF(AND('Pricing Inputs'!$AQ$3&gt;=3,'Pricing Inputs'!$AQ$3&lt;=6),7,8))),0))</f>
        <v xml:space="preserve"> </v>
      </c>
      <c r="N235" s="255" t="str">
        <f>IF(A235="N/A"," ",IF(OR('Pricing Inputs'!$AQ$3=3,'Pricing Inputs'!$AQ$3=6,'Pricing Inputs'!$AQ$3=9),IF(AND('Pricing Inputs'!$AQ$3&gt;=3,'Pricing Inputs'!$AQ$3&lt;=6),M235,(VLOOKUP(A235,ScaledPrice,7))*(2-(VLOOKUP(A235,ScaledPrice,3)))),0))</f>
        <v xml:space="preserve"> </v>
      </c>
      <c r="O235" s="255" t="str">
        <f>IF(A235="N/A"," ",IF(AND('Pricing Inputs'!$AQ$3&gt;=1,'Pricing Inputs'!$AQ$3&lt;=3),VLOOKUP(A235,ScaledPrice,9),0))</f>
        <v xml:space="preserve"> </v>
      </c>
      <c r="P235" s="320" t="str">
        <f>IF($A235="N/A"," ",IF('Pricing Inputs'!$AN$8=2,(I235-H235),IF('Pricing Inputs'!$AN$3=2,IF((I235-$H235)&gt;0,I235-$H235,0),(_xll.xSPRDOPT(I235,$E235,$BU235,0,$BP235,$BS235,$BT235,($A235-Inputs!$D$1)+15,1,0)))))</f>
        <v xml:space="preserve"> </v>
      </c>
      <c r="Q235" s="320" t="str">
        <f>IF($A235="N/A"," ",IF('Pricing Inputs'!$AN$8=2,(J235-$H235),IF('Pricing Inputs'!$AN$3=2,IF((J235-$H235)&gt;0,J235-$H235,0),(_xll.xSPRDOPT(J235,$E235,$BU235,0,$BP235,$BS235,$BT235,($A235-Inputs!$D$1)+15,1,0)))))</f>
        <v xml:space="preserve"> </v>
      </c>
      <c r="R235" s="320" t="str">
        <f>IF($A235="N/A"," ",IF('Pricing Inputs'!$AN$8=2,(K235-$H235),IF('Pricing Inputs'!$AN$3=2,IF((K235-$H235)&gt;0,K235-$H235,0),(_xll.xSPRDOPT(K235,$E235,$BU235,0,$BP235,$BS235,$BT235,($A235-Inputs!$D$1)+15,1,0)))))</f>
        <v xml:space="preserve"> </v>
      </c>
      <c r="S235" s="320" t="str">
        <f>IF($A235="N/A"," ",IF('Pricing Inputs'!$AN$8=2,(L235-$H235),IF('Pricing Inputs'!$AN$3=2,IF((L235-$H235)&gt;0,L235-$H235,0),(_xll.xSPRDOPT(L235,$E235,$BU235,0,$BP235,$BS235,$BT235,($A235-Inputs!$D$1)+15,1,0)))))</f>
        <v xml:space="preserve"> </v>
      </c>
      <c r="T235" s="320" t="str">
        <f>IF($A235="N/A"," ",IF('Pricing Inputs'!$AN$8=2,(M235-$H235),IF('Pricing Inputs'!$AN$3=2,IF((M235-$H235)&gt;0,M235-$H235,0),(_xll.xSPRDOPT(M235,$E235,$BU235,0,$BP235,$BS235,$BT235,($A235-Inputs!$D$1)+15,1,0)))))</f>
        <v xml:space="preserve"> </v>
      </c>
      <c r="U235" s="320" t="str">
        <f>IF($A235="N/A"," ",IF('Pricing Inputs'!$AN$8=2,(N235-$H235),IF('Pricing Inputs'!$AN$3=2,IF((N235-$H235)&gt;0,N235-$H235,0),(_xll.xSPRDOPT(N235,$E235,$BU235,0,$BP235,$BS235,$BT235,($A235-Inputs!$D$1)+15,1,0)))))</f>
        <v xml:space="preserve"> </v>
      </c>
      <c r="V235" s="259" t="str">
        <f>IF($A235="N/A"," ",(IF('Pricing Inputs'!$AN$8=2,(O235-$H235),IF((O235-$H235)&lt;=0,0,(O235-$H235)))))</f>
        <v xml:space="preserve"> </v>
      </c>
      <c r="W235" s="306" t="str">
        <f>IF($A235="N/A"," ",IF(0&lt;&gt;P235,IF('Pricing Inputs'!$AN$3=2,8*VLOOKUP($A235,NumberofDaysTable,2),(_xll.xSPRDOPT(I235,$E235,$BU235,0,$BP235,$BS235,$BT235,$A235-Inputs!$D$1,1,1))*(8*VLOOKUP($A235,NumberofDaysTable,2))),0))</f>
        <v xml:space="preserve"> </v>
      </c>
      <c r="X235" s="306" t="str">
        <f>IF($A235="N/A"," ",IF(Q235&lt;&gt;0,IF('Pricing Inputs'!$AN$3=2,8*VLOOKUP($A235,NumberofDaysTable,2),(_xll.xSPRDOPT(J235,$E235,$BU235,0,$BP235,$BS235,$BT235,$A235-Inputs!$D$1,1,1))*(8*VLOOKUP($A235,NumberofDaysTable,2))),0))</f>
        <v xml:space="preserve"> </v>
      </c>
      <c r="Y235" s="306" t="str">
        <f>IF($A235="N/A"," ",IF(R235&lt;&gt;0,IF('Pricing Inputs'!$AN$3=2,8*VLOOKUP($A235,NumberofDaysTable,3),(_xll.xSPRDOPT(K235,$E235,$BU235,0,$BP235,$BS235,$BT235,$A235-Inputs!$D$1,1,1))*(8*VLOOKUP($A235,NumberofDaysTable,3))),0))</f>
        <v xml:space="preserve"> </v>
      </c>
      <c r="Z235" s="306" t="str">
        <f>IF($A235="N/A"," ",IF(S235&lt;&gt;0,IF('Pricing Inputs'!$AN$3=2,8*VLOOKUP($A235,NumberofDaysTable,3),(_xll.xSPRDOPT(L235,$E235,$BU235,0,$BP235,$BS235,$BT235,$A235-Inputs!$D$1,1,1))*(8*VLOOKUP($A235,NumberofDaysTable,3))),0))</f>
        <v xml:space="preserve"> </v>
      </c>
      <c r="AA235" s="306" t="str">
        <f>IF($A235="N/A"," ",IF(T235&lt;&gt;0,IF('Pricing Inputs'!$AN$3=2,8*VLOOKUP($A235,NumberofDaysTable,4),(_xll.xSPRDOPT(M235,$E235,$BU235,0,$BP235,$BS235,$BT235,$A235-Inputs!$D$1,1,1))*(8*VLOOKUP($A235,NumberofDaysTable,4))),0))</f>
        <v xml:space="preserve"> </v>
      </c>
      <c r="AB235" s="306" t="str">
        <f>IF($A235="N/A"," ",IF(U235&lt;&gt;0,IF('Pricing Inputs'!$AN$3=2,8*VLOOKUP($A235,NumberofDaysTable,4),(_xll.xSPRDOPT(N235,$E235,$BU235,0,$BP235,$BS235,$BT235,$A235-Inputs!$D$1,1,1))*(8*VLOOKUP($A235,NumberofDaysTable,4))),0))</f>
        <v xml:space="preserve"> </v>
      </c>
      <c r="AC235" s="306" t="str">
        <f t="shared" si="342"/>
        <v xml:space="preserve"> </v>
      </c>
      <c r="AD235" s="274" t="str">
        <f t="shared" si="407"/>
        <v xml:space="preserve"> </v>
      </c>
      <c r="AE235" s="275" t="str">
        <f t="shared" si="408"/>
        <v xml:space="preserve"> </v>
      </c>
      <c r="AF235" s="275" t="str">
        <f t="shared" si="409"/>
        <v xml:space="preserve"> </v>
      </c>
      <c r="AG235" s="275" t="str">
        <f t="shared" si="410"/>
        <v xml:space="preserve"> </v>
      </c>
      <c r="AH235" s="275" t="str">
        <f t="shared" si="411"/>
        <v xml:space="preserve"> </v>
      </c>
      <c r="AI235" s="275" t="str">
        <f t="shared" si="412"/>
        <v xml:space="preserve"> </v>
      </c>
      <c r="AJ235" s="276" t="str">
        <f t="shared" si="413"/>
        <v xml:space="preserve"> </v>
      </c>
      <c r="AK235" s="314" t="str">
        <f t="shared" si="361"/>
        <v xml:space="preserve"> </v>
      </c>
      <c r="AL235" s="315" t="str">
        <f t="shared" si="362"/>
        <v xml:space="preserve"> </v>
      </c>
      <c r="AM235" s="315" t="str">
        <f t="shared" si="363"/>
        <v xml:space="preserve"> </v>
      </c>
      <c r="AN235" s="315" t="str">
        <f t="shared" si="364"/>
        <v xml:space="preserve"> </v>
      </c>
      <c r="AO235" s="315" t="str">
        <f t="shared" si="365"/>
        <v xml:space="preserve"> </v>
      </c>
      <c r="AP235" s="315" t="str">
        <f t="shared" si="366"/>
        <v xml:space="preserve"> </v>
      </c>
      <c r="AQ235" s="315" t="str">
        <f t="shared" si="367"/>
        <v xml:space="preserve"> </v>
      </c>
      <c r="AR235" s="276"/>
      <c r="AS235" s="321" t="str">
        <f t="shared" si="400"/>
        <v xml:space="preserve"> </v>
      </c>
      <c r="AT235" s="324" t="str">
        <f t="shared" si="401"/>
        <v xml:space="preserve"> </v>
      </c>
      <c r="AU235" s="324" t="str">
        <f t="shared" si="402"/>
        <v xml:space="preserve"> </v>
      </c>
      <c r="AV235" s="324" t="str">
        <f t="shared" si="403"/>
        <v xml:space="preserve"> </v>
      </c>
      <c r="AW235" s="324" t="str">
        <f t="shared" si="404"/>
        <v xml:space="preserve"> </v>
      </c>
      <c r="AX235" s="324" t="str">
        <f t="shared" si="405"/>
        <v xml:space="preserve"> </v>
      </c>
      <c r="AY235" s="324" t="str">
        <f t="shared" si="406"/>
        <v xml:space="preserve"> </v>
      </c>
      <c r="AZ235" s="276"/>
      <c r="BA235" s="267" t="str">
        <f>IF($A235="N/A"," ",(IF(MONTH(A235)&gt;=4,IF(MONTH(A235)&lt;=10,Inputs!$F$13,Inputs!$F$14),Inputs!$F$14))*$BW235)</f>
        <v xml:space="preserve"> </v>
      </c>
      <c r="BB235" s="268" t="str">
        <f t="shared" si="382"/>
        <v xml:space="preserve"> </v>
      </c>
      <c r="BC235" s="268" t="str">
        <f t="shared" si="383"/>
        <v xml:space="preserve"> </v>
      </c>
      <c r="BD235" s="268" t="str">
        <f t="shared" si="350"/>
        <v xml:space="preserve"> </v>
      </c>
      <c r="BE235" s="268" t="str">
        <f t="shared" si="351"/>
        <v xml:space="preserve"> </v>
      </c>
      <c r="BF235" s="268" t="str">
        <f t="shared" si="352"/>
        <v xml:space="preserve"> </v>
      </c>
      <c r="BG235" s="268" t="str">
        <f t="shared" si="353"/>
        <v xml:space="preserve"> </v>
      </c>
      <c r="BH235" s="268" t="str">
        <f t="shared" si="359"/>
        <v xml:space="preserve"> </v>
      </c>
      <c r="BI235" s="268" t="str">
        <f t="shared" si="354"/>
        <v xml:space="preserve"> </v>
      </c>
      <c r="BJ235" s="296" t="str">
        <f t="shared" si="355"/>
        <v xml:space="preserve"> </v>
      </c>
      <c r="BK235" s="296" t="str">
        <f t="shared" si="356"/>
        <v xml:space="preserve"> </v>
      </c>
      <c r="BL235" s="296" t="str">
        <f t="shared" si="357"/>
        <v xml:space="preserve"> </v>
      </c>
      <c r="BM235" s="296" t="str">
        <f t="shared" si="358"/>
        <v xml:space="preserve"> </v>
      </c>
      <c r="BN235" s="405" t="str">
        <f>IF(A235="N/A"," ",(VLOOKUP(A235,PowerVolTable,(IF('Pricing Inputs'!$AT$3=2,7,IF('Pricing Inputs'!$AT$3=1,6,8))),FALSE)))</f>
        <v xml:space="preserve"> </v>
      </c>
      <c r="BO235" s="405" t="str">
        <f>IF(A235="N/A"," ",(VLOOKUP(A235,IntraPowerVol,(IF('Pricing Inputs'!$AT$3=2,3,IF('Pricing Inputs'!$AT$3=1,2,4))),FALSE)*VLOOKUP(MONTH($A235),Inputs!$A$28:$B$39,2)))</f>
        <v xml:space="preserve"> </v>
      </c>
      <c r="BP235" s="406" t="str">
        <f t="shared" si="336"/>
        <v xml:space="preserve"> </v>
      </c>
      <c r="BQ235" s="405" t="str">
        <f>IF($A235="N/A"," ",(VLOOKUP($A235,GasVolTable,(IF('Pricing Inputs'!$AT$3=2,6,IF('Pricing Inputs'!$AT$3=1,7,5))),FALSE)))</f>
        <v xml:space="preserve"> </v>
      </c>
      <c r="BR235" s="405" t="str">
        <f>IF($A235="N/A"," ",(VLOOKUP($A235,OmicronVol,(IF('Pricing Inputs'!$AT$3=2,3,IF('Pricing Inputs'!$AT$3=1,4,2))),FALSE)))</f>
        <v xml:space="preserve"> </v>
      </c>
      <c r="BS235" s="406" t="str">
        <f>IF($A235="N/A"," ",IF('Pricing Inputs'!$AN$3=1,(IF(DateToday&gt;$A235,$BR235,((($BQ235^2)*((($A235-1)-DateToday)/((EOMONTH($A235,0)+1)-DateToday-15)))+((($BR235)^2)*((15)/((EOMONTH($A235,0)+1)-DateToday-15))))^0.5)),0.0001))</f>
        <v xml:space="preserve"> </v>
      </c>
      <c r="BT235" s="405" t="str">
        <f>IF($A235="N/A"," ",IF('Pricing Inputs'!$AN$3=1,(VLOOKUP($A235,CorrelationTable,2,FALSE)),0))</f>
        <v xml:space="preserve"> </v>
      </c>
      <c r="BU235" s="407" t="str">
        <f>IF($A235="N/A"," ",F235+G235+(D235*(VLOOKUP($A235,'Gas Curves'!$B$17:$P$310,14,FALSE))))</f>
        <v xml:space="preserve"> </v>
      </c>
      <c r="BV235" s="405" t="str">
        <f>IF($A235="N/A"," ",IF('Pricing Inputs'!$AW$3=1,0,(VLOOKUP($A235,InterestRatesTable,2))))</f>
        <v xml:space="preserve"> </v>
      </c>
      <c r="BW235" s="408" t="str">
        <f t="shared" si="337"/>
        <v xml:space="preserve"> </v>
      </c>
    </row>
    <row r="236" spans="1:75">
      <c r="A236" s="248" t="str">
        <f>IF(A235="N/A","N/A",IF(EDATE(A235,1)&gt;Inputs!$K$3,"N/A",EDATE(A235,1)))</f>
        <v>N/A</v>
      </c>
      <c r="B236" s="262" t="str">
        <f t="shared" si="338"/>
        <v xml:space="preserve"> </v>
      </c>
      <c r="C236" s="249" t="str">
        <f t="shared" si="339"/>
        <v xml:space="preserve"> </v>
      </c>
      <c r="D236" s="250" t="str">
        <f>IF(A236="N/A"," ",(VLOOKUP(MONTH($A236),Inputs!$A$14:$B$25,2))/1000)</f>
        <v xml:space="preserve"> </v>
      </c>
      <c r="E236" s="304" t="str">
        <f t="shared" si="340"/>
        <v xml:space="preserve"> </v>
      </c>
      <c r="F236" s="251" t="str">
        <f>IF(A236="N/A"," ",Inputs!$F$6)</f>
        <v xml:space="preserve"> </v>
      </c>
      <c r="G236" s="251" t="str">
        <f>IF(A236="N/A"," ",Inputs!$F$9/IF(AND('Pricing Inputs'!$AQ$3&gt;=4,'Pricing Inputs'!$AQ$3&lt;=6),16,IF(AND('Pricing Inputs'!$AQ$3&gt;=7,'Pricing Inputs'!$AQ$3&lt;=9),8,24))/(BA236/BW236))</f>
        <v xml:space="preserve"> </v>
      </c>
      <c r="H236" s="252" t="str">
        <f t="shared" si="341"/>
        <v xml:space="preserve"> </v>
      </c>
      <c r="I236" s="255" t="str">
        <f>VLOOKUP(A236,ScaledPrice,(IF(AND('Pricing Inputs'!$AQ$3&gt;=1,'Pricing Inputs'!$AQ$3&lt;=6),2,4)))</f>
        <v xml:space="preserve"> </v>
      </c>
      <c r="J236" s="255" t="str">
        <f>IF(A236="N/A"," ",IF(AND('Pricing Inputs'!$AQ$3&gt;=1,'Pricing Inputs'!$AQ$3&lt;=6),I236,(VLOOKUP(A236,ScaledPrice,2))*(2-(VLOOKUP(A236,ScaledPrice,3)))))</f>
        <v xml:space="preserve"> </v>
      </c>
      <c r="K236" s="255" t="str">
        <f>IF(A236="N/A"," ",IF(OR('Pricing Inputs'!$AQ$3=2,'Pricing Inputs'!$AQ$3=3,'Pricing Inputs'!$AQ$3=5,'Pricing Inputs'!$AQ$3=6,'Pricing Inputs'!$AQ$3=8,'Pricing Inputs'!$AQ$3=9),VLOOKUP(A236,ScaledPrice,IF(AND('Pricing Inputs'!$AQ$3&gt;=2,'Pricing Inputs'!$AQ$3&lt;=6),5,6)),0))</f>
        <v xml:space="preserve"> </v>
      </c>
      <c r="L236" s="255" t="str">
        <f>IF(A236="N/A"," ",IF(OR('Pricing Inputs'!$AQ$3=2,'Pricing Inputs'!$AQ$3=3,'Pricing Inputs'!$AQ$3=5,'Pricing Inputs'!$AQ$3=6,'Pricing Inputs'!$AQ$3=8,'Pricing Inputs'!$AQ$3=9),IF(AND('Pricing Inputs'!$AQ$3&gt;=2,'Pricing Inputs'!$AQ$3&lt;=6),K236,(VLOOKUP(A236,ScaledPrice,5))*(2-(VLOOKUP(A236,ScaledPrice,3)))),0))</f>
        <v xml:space="preserve"> </v>
      </c>
      <c r="M236" s="255" t="str">
        <f>IF(A236="N/A"," ",IF(OR('Pricing Inputs'!$AQ$3=3,'Pricing Inputs'!$AQ$3=6,'Pricing Inputs'!$AQ$3=9),(VLOOKUP(A236,ScaledPrice,IF(AND('Pricing Inputs'!$AQ$3&gt;=3,'Pricing Inputs'!$AQ$3&lt;=6),7,8))),0))</f>
        <v xml:space="preserve"> </v>
      </c>
      <c r="N236" s="255" t="str">
        <f>IF(A236="N/A"," ",IF(OR('Pricing Inputs'!$AQ$3=3,'Pricing Inputs'!$AQ$3=6,'Pricing Inputs'!$AQ$3=9),IF(AND('Pricing Inputs'!$AQ$3&gt;=3,'Pricing Inputs'!$AQ$3&lt;=6),M236,(VLOOKUP(A236,ScaledPrice,7))*(2-(VLOOKUP(A236,ScaledPrice,3)))),0))</f>
        <v xml:space="preserve"> </v>
      </c>
      <c r="O236" s="255" t="str">
        <f>IF(A236="N/A"," ",IF(AND('Pricing Inputs'!$AQ$3&gt;=1,'Pricing Inputs'!$AQ$3&lt;=3),VLOOKUP(A236,ScaledPrice,9),0))</f>
        <v xml:space="preserve"> </v>
      </c>
      <c r="P236" s="320" t="str">
        <f>IF($A236="N/A"," ",IF('Pricing Inputs'!$AN$8=2,(I236-H236),IF('Pricing Inputs'!$AN$3=2,IF((I236-$H236)&gt;0,I236-$H236,0),(_xll.xSPRDOPT(I236,$E236,$BU236,0,$BP236,$BS236,$BT236,($A236-Inputs!$D$1)+15,1,0)))))</f>
        <v xml:space="preserve"> </v>
      </c>
      <c r="Q236" s="320" t="str">
        <f>IF($A236="N/A"," ",IF('Pricing Inputs'!$AN$8=2,(J236-$H236),IF('Pricing Inputs'!$AN$3=2,IF((J236-$H236)&gt;0,J236-$H236,0),(_xll.xSPRDOPT(J236,$E236,$BU236,0,$BP236,$BS236,$BT236,($A236-Inputs!$D$1)+15,1,0)))))</f>
        <v xml:space="preserve"> </v>
      </c>
      <c r="R236" s="320" t="str">
        <f>IF($A236="N/A"," ",IF('Pricing Inputs'!$AN$8=2,(K236-$H236),IF('Pricing Inputs'!$AN$3=2,IF((K236-$H236)&gt;0,K236-$H236,0),(_xll.xSPRDOPT(K236,$E236,$BU236,0,$BP236,$BS236,$BT236,($A236-Inputs!$D$1)+15,1,0)))))</f>
        <v xml:space="preserve"> </v>
      </c>
      <c r="S236" s="320" t="str">
        <f>IF($A236="N/A"," ",IF('Pricing Inputs'!$AN$8=2,(L236-$H236),IF('Pricing Inputs'!$AN$3=2,IF((L236-$H236)&gt;0,L236-$H236,0),(_xll.xSPRDOPT(L236,$E236,$BU236,0,$BP236,$BS236,$BT236,($A236-Inputs!$D$1)+15,1,0)))))</f>
        <v xml:space="preserve"> </v>
      </c>
      <c r="T236" s="320" t="str">
        <f>IF($A236="N/A"," ",IF('Pricing Inputs'!$AN$8=2,(M236-$H236),IF('Pricing Inputs'!$AN$3=2,IF((M236-$H236)&gt;0,M236-$H236,0),(_xll.xSPRDOPT(M236,$E236,$BU236,0,$BP236,$BS236,$BT236,($A236-Inputs!$D$1)+15,1,0)))))</f>
        <v xml:space="preserve"> </v>
      </c>
      <c r="U236" s="320" t="str">
        <f>IF($A236="N/A"," ",IF('Pricing Inputs'!$AN$8=2,(N236-$H236),IF('Pricing Inputs'!$AN$3=2,IF((N236-$H236)&gt;0,N236-$H236,0),(_xll.xSPRDOPT(N236,$E236,$BU236,0,$BP236,$BS236,$BT236,($A236-Inputs!$D$1)+15,1,0)))))</f>
        <v xml:space="preserve"> </v>
      </c>
      <c r="V236" s="259" t="str">
        <f>IF($A236="N/A"," ",(IF('Pricing Inputs'!$AN$8=2,(O236-$H236),IF((O236-$H236)&lt;=0,0,(O236-$H236)))))</f>
        <v xml:space="preserve"> </v>
      </c>
      <c r="W236" s="306" t="str">
        <f>IF($A236="N/A"," ",IF(0&lt;&gt;P236,IF('Pricing Inputs'!$AN$3=2,8*VLOOKUP($A236,NumberofDaysTable,2),(_xll.xSPRDOPT(I236,$E236,$BU236,0,$BP236,$BS236,$BT236,$A236-Inputs!$D$1,1,1))*(8*VLOOKUP($A236,NumberofDaysTable,2))),0))</f>
        <v xml:space="preserve"> </v>
      </c>
      <c r="X236" s="306" t="str">
        <f>IF($A236="N/A"," ",IF(Q236&lt;&gt;0,IF('Pricing Inputs'!$AN$3=2,8*VLOOKUP($A236,NumberofDaysTable,2),(_xll.xSPRDOPT(J236,$E236,$BU236,0,$BP236,$BS236,$BT236,$A236-Inputs!$D$1,1,1))*(8*VLOOKUP($A236,NumberofDaysTable,2))),0))</f>
        <v xml:space="preserve"> </v>
      </c>
      <c r="Y236" s="306" t="str">
        <f>IF($A236="N/A"," ",IF(R236&lt;&gt;0,IF('Pricing Inputs'!$AN$3=2,8*VLOOKUP($A236,NumberofDaysTable,3),(_xll.xSPRDOPT(K236,$E236,$BU236,0,$BP236,$BS236,$BT236,$A236-Inputs!$D$1,1,1))*(8*VLOOKUP($A236,NumberofDaysTable,3))),0))</f>
        <v xml:space="preserve"> </v>
      </c>
      <c r="Z236" s="306" t="str">
        <f>IF($A236="N/A"," ",IF(S236&lt;&gt;0,IF('Pricing Inputs'!$AN$3=2,8*VLOOKUP($A236,NumberofDaysTable,3),(_xll.xSPRDOPT(L236,$E236,$BU236,0,$BP236,$BS236,$BT236,$A236-Inputs!$D$1,1,1))*(8*VLOOKUP($A236,NumberofDaysTable,3))),0))</f>
        <v xml:space="preserve"> </v>
      </c>
      <c r="AA236" s="306" t="str">
        <f>IF($A236="N/A"," ",IF(T236&lt;&gt;0,IF('Pricing Inputs'!$AN$3=2,8*VLOOKUP($A236,NumberofDaysTable,4),(_xll.xSPRDOPT(M236,$E236,$BU236,0,$BP236,$BS236,$BT236,$A236-Inputs!$D$1,1,1))*(8*VLOOKUP($A236,NumberofDaysTable,4))),0))</f>
        <v xml:space="preserve"> </v>
      </c>
      <c r="AB236" s="306" t="str">
        <f>IF($A236="N/A"," ",IF(U236&lt;&gt;0,IF('Pricing Inputs'!$AN$3=2,8*VLOOKUP($A236,NumberofDaysTable,4),(_xll.xSPRDOPT(N236,$E236,$BU236,0,$BP236,$BS236,$BT236,$A236-Inputs!$D$1,1,1))*(8*VLOOKUP($A236,NumberofDaysTable,4))),0))</f>
        <v xml:space="preserve"> </v>
      </c>
      <c r="AC236" s="306" t="str">
        <f t="shared" si="342"/>
        <v xml:space="preserve"> </v>
      </c>
      <c r="AD236" s="274" t="str">
        <f t="shared" si="407"/>
        <v xml:space="preserve"> </v>
      </c>
      <c r="AE236" s="275" t="str">
        <f t="shared" si="408"/>
        <v xml:space="preserve"> </v>
      </c>
      <c r="AF236" s="275" t="str">
        <f t="shared" si="409"/>
        <v xml:space="preserve"> </v>
      </c>
      <c r="AG236" s="275" t="str">
        <f t="shared" si="410"/>
        <v xml:space="preserve"> </v>
      </c>
      <c r="AH236" s="275" t="str">
        <f t="shared" si="411"/>
        <v xml:space="preserve"> </v>
      </c>
      <c r="AI236" s="275" t="str">
        <f t="shared" si="412"/>
        <v xml:space="preserve"> </v>
      </c>
      <c r="AJ236" s="276" t="str">
        <f t="shared" si="413"/>
        <v xml:space="preserve"> </v>
      </c>
      <c r="AK236" s="314" t="str">
        <f t="shared" si="361"/>
        <v xml:space="preserve"> </v>
      </c>
      <c r="AL236" s="315" t="str">
        <f t="shared" si="362"/>
        <v xml:space="preserve"> </v>
      </c>
      <c r="AM236" s="315" t="str">
        <f t="shared" si="363"/>
        <v xml:space="preserve"> </v>
      </c>
      <c r="AN236" s="315" t="str">
        <f t="shared" si="364"/>
        <v xml:space="preserve"> </v>
      </c>
      <c r="AO236" s="315" t="str">
        <f t="shared" si="365"/>
        <v xml:space="preserve"> </v>
      </c>
      <c r="AP236" s="315" t="str">
        <f t="shared" si="366"/>
        <v xml:space="preserve"> </v>
      </c>
      <c r="AQ236" s="315" t="str">
        <f t="shared" si="367"/>
        <v xml:space="preserve"> </v>
      </c>
      <c r="AR236" s="276"/>
      <c r="AS236" s="321" t="str">
        <f t="shared" si="400"/>
        <v xml:space="preserve"> </v>
      </c>
      <c r="AT236" s="324" t="str">
        <f t="shared" si="401"/>
        <v xml:space="preserve"> </v>
      </c>
      <c r="AU236" s="324" t="str">
        <f t="shared" si="402"/>
        <v xml:space="preserve"> </v>
      </c>
      <c r="AV236" s="324" t="str">
        <f t="shared" si="403"/>
        <v xml:space="preserve"> </v>
      </c>
      <c r="AW236" s="324" t="str">
        <f t="shared" si="404"/>
        <v xml:space="preserve"> </v>
      </c>
      <c r="AX236" s="324" t="str">
        <f t="shared" si="405"/>
        <v xml:space="preserve"> </v>
      </c>
      <c r="AY236" s="324" t="str">
        <f t="shared" si="406"/>
        <v xml:space="preserve"> </v>
      </c>
      <c r="AZ236" s="276"/>
      <c r="BA236" s="267" t="str">
        <f>IF($A236="N/A"," ",(IF(MONTH(A236)&gt;=4,IF(MONTH(A236)&lt;=10,Inputs!$F$13,Inputs!$F$14),Inputs!$F$14))*$BW236)</f>
        <v xml:space="preserve"> </v>
      </c>
      <c r="BB236" s="268" t="str">
        <f t="shared" si="382"/>
        <v xml:space="preserve"> </v>
      </c>
      <c r="BC236" s="268" t="str">
        <f t="shared" si="383"/>
        <v xml:space="preserve"> </v>
      </c>
      <c r="BD236" s="268" t="str">
        <f t="shared" si="350"/>
        <v xml:space="preserve"> </v>
      </c>
      <c r="BE236" s="268" t="str">
        <f t="shared" si="351"/>
        <v xml:space="preserve"> </v>
      </c>
      <c r="BF236" s="268" t="str">
        <f t="shared" si="352"/>
        <v xml:space="preserve"> </v>
      </c>
      <c r="BG236" s="268" t="str">
        <f t="shared" si="353"/>
        <v xml:space="preserve"> </v>
      </c>
      <c r="BH236" s="268" t="str">
        <f t="shared" si="359"/>
        <v xml:space="preserve"> </v>
      </c>
      <c r="BI236" s="268" t="str">
        <f t="shared" si="354"/>
        <v xml:space="preserve"> </v>
      </c>
      <c r="BJ236" s="296" t="str">
        <f t="shared" si="355"/>
        <v xml:space="preserve"> </v>
      </c>
      <c r="BK236" s="296" t="str">
        <f t="shared" si="356"/>
        <v xml:space="preserve"> </v>
      </c>
      <c r="BL236" s="296" t="str">
        <f t="shared" si="357"/>
        <v xml:space="preserve"> </v>
      </c>
      <c r="BM236" s="296" t="str">
        <f t="shared" si="358"/>
        <v xml:space="preserve"> </v>
      </c>
      <c r="BN236" s="405" t="str">
        <f>IF(A236="N/A"," ",(VLOOKUP(A236,PowerVolTable,(IF('Pricing Inputs'!$AT$3=2,7,IF('Pricing Inputs'!$AT$3=1,6,8))),FALSE)))</f>
        <v xml:space="preserve"> </v>
      </c>
      <c r="BO236" s="405" t="str">
        <f>IF(A236="N/A"," ",(VLOOKUP(A236,IntraPowerVol,(IF('Pricing Inputs'!$AT$3=2,3,IF('Pricing Inputs'!$AT$3=1,2,4))),FALSE)*VLOOKUP(MONTH($A236),Inputs!$A$28:$B$39,2)))</f>
        <v xml:space="preserve"> </v>
      </c>
      <c r="BP236" s="406" t="str">
        <f t="shared" si="336"/>
        <v xml:space="preserve"> </v>
      </c>
      <c r="BQ236" s="405" t="str">
        <f>IF($A236="N/A"," ",(VLOOKUP($A236,GasVolTable,(IF('Pricing Inputs'!$AT$3=2,6,IF('Pricing Inputs'!$AT$3=1,7,5))),FALSE)))</f>
        <v xml:space="preserve"> </v>
      </c>
      <c r="BR236" s="405" t="str">
        <f>IF($A236="N/A"," ",(VLOOKUP($A236,OmicronVol,(IF('Pricing Inputs'!$AT$3=2,3,IF('Pricing Inputs'!$AT$3=1,4,2))),FALSE)))</f>
        <v xml:space="preserve"> </v>
      </c>
      <c r="BS236" s="406" t="str">
        <f>IF($A236="N/A"," ",IF('Pricing Inputs'!$AN$3=1,(IF(DateToday&gt;$A236,$BR236,((($BQ236^2)*((($A236-1)-DateToday)/((EOMONTH($A236,0)+1)-DateToday-15)))+((($BR236)^2)*((15)/((EOMONTH($A236,0)+1)-DateToday-15))))^0.5)),0.0001))</f>
        <v xml:space="preserve"> </v>
      </c>
      <c r="BT236" s="405" t="str">
        <f>IF($A236="N/A"," ",IF('Pricing Inputs'!$AN$3=1,(VLOOKUP($A236,CorrelationTable,2,FALSE)),0))</f>
        <v xml:space="preserve"> </v>
      </c>
      <c r="BU236" s="407" t="str">
        <f>IF($A236="N/A"," ",F236+G236+(D236*(VLOOKUP($A236,'Gas Curves'!$B$17:$P$310,14,FALSE))))</f>
        <v xml:space="preserve"> </v>
      </c>
      <c r="BV236" s="405" t="str">
        <f>IF($A236="N/A"," ",IF('Pricing Inputs'!$AW$3=1,0,(VLOOKUP($A236,InterestRatesTable,2))))</f>
        <v xml:space="preserve"> </v>
      </c>
      <c r="BW236" s="408" t="str">
        <f t="shared" si="337"/>
        <v xml:space="preserve"> </v>
      </c>
    </row>
    <row r="237" spans="1:75">
      <c r="A237" s="248" t="str">
        <f>IF(A236="N/A","N/A",IF(EDATE(A236,1)&gt;Inputs!$K$3,"N/A",EDATE(A236,1)))</f>
        <v>N/A</v>
      </c>
      <c r="B237" s="262" t="str">
        <f t="shared" si="338"/>
        <v xml:space="preserve"> </v>
      </c>
      <c r="C237" s="249" t="str">
        <f t="shared" si="339"/>
        <v xml:space="preserve"> </v>
      </c>
      <c r="D237" s="250" t="str">
        <f>IF(A237="N/A"," ",(VLOOKUP(MONTH($A237),Inputs!$A$14:$B$25,2))/1000)</f>
        <v xml:space="preserve"> </v>
      </c>
      <c r="E237" s="304" t="str">
        <f t="shared" si="340"/>
        <v xml:space="preserve"> </v>
      </c>
      <c r="F237" s="251" t="str">
        <f>IF(A237="N/A"," ",Inputs!$F$6)</f>
        <v xml:space="preserve"> </v>
      </c>
      <c r="G237" s="251" t="str">
        <f>IF(A237="N/A"," ",Inputs!$F$9/IF(AND('Pricing Inputs'!$AQ$3&gt;=4,'Pricing Inputs'!$AQ$3&lt;=6),16,IF(AND('Pricing Inputs'!$AQ$3&gt;=7,'Pricing Inputs'!$AQ$3&lt;=9),8,24))/(BA237/BW237))</f>
        <v xml:space="preserve"> </v>
      </c>
      <c r="H237" s="252" t="str">
        <f t="shared" si="341"/>
        <v xml:space="preserve"> </v>
      </c>
      <c r="I237" s="255" t="str">
        <f>VLOOKUP(A237,ScaledPrice,(IF(AND('Pricing Inputs'!$AQ$3&gt;=1,'Pricing Inputs'!$AQ$3&lt;=6),2,4)))</f>
        <v xml:space="preserve"> </v>
      </c>
      <c r="J237" s="255" t="str">
        <f>IF(A237="N/A"," ",IF(AND('Pricing Inputs'!$AQ$3&gt;=1,'Pricing Inputs'!$AQ$3&lt;=6),I237,(VLOOKUP(A237,ScaledPrice,2))*(2-(VLOOKUP(A237,ScaledPrice,3)))))</f>
        <v xml:space="preserve"> </v>
      </c>
      <c r="K237" s="255" t="str">
        <f>IF(A237="N/A"," ",IF(OR('Pricing Inputs'!$AQ$3=2,'Pricing Inputs'!$AQ$3=3,'Pricing Inputs'!$AQ$3=5,'Pricing Inputs'!$AQ$3=6,'Pricing Inputs'!$AQ$3=8,'Pricing Inputs'!$AQ$3=9),VLOOKUP(A237,ScaledPrice,IF(AND('Pricing Inputs'!$AQ$3&gt;=2,'Pricing Inputs'!$AQ$3&lt;=6),5,6)),0))</f>
        <v xml:space="preserve"> </v>
      </c>
      <c r="L237" s="255" t="str">
        <f>IF(A237="N/A"," ",IF(OR('Pricing Inputs'!$AQ$3=2,'Pricing Inputs'!$AQ$3=3,'Pricing Inputs'!$AQ$3=5,'Pricing Inputs'!$AQ$3=6,'Pricing Inputs'!$AQ$3=8,'Pricing Inputs'!$AQ$3=9),IF(AND('Pricing Inputs'!$AQ$3&gt;=2,'Pricing Inputs'!$AQ$3&lt;=6),K237,(VLOOKUP(A237,ScaledPrice,5))*(2-(VLOOKUP(A237,ScaledPrice,3)))),0))</f>
        <v xml:space="preserve"> </v>
      </c>
      <c r="M237" s="255" t="str">
        <f>IF(A237="N/A"," ",IF(OR('Pricing Inputs'!$AQ$3=3,'Pricing Inputs'!$AQ$3=6,'Pricing Inputs'!$AQ$3=9),(VLOOKUP(A237,ScaledPrice,IF(AND('Pricing Inputs'!$AQ$3&gt;=3,'Pricing Inputs'!$AQ$3&lt;=6),7,8))),0))</f>
        <v xml:space="preserve"> </v>
      </c>
      <c r="N237" s="255" t="str">
        <f>IF(A237="N/A"," ",IF(OR('Pricing Inputs'!$AQ$3=3,'Pricing Inputs'!$AQ$3=6,'Pricing Inputs'!$AQ$3=9),IF(AND('Pricing Inputs'!$AQ$3&gt;=3,'Pricing Inputs'!$AQ$3&lt;=6),M237,(VLOOKUP(A237,ScaledPrice,7))*(2-(VLOOKUP(A237,ScaledPrice,3)))),0))</f>
        <v xml:space="preserve"> </v>
      </c>
      <c r="O237" s="255" t="str">
        <f>IF(A237="N/A"," ",IF(AND('Pricing Inputs'!$AQ$3&gt;=1,'Pricing Inputs'!$AQ$3&lt;=3),VLOOKUP(A237,ScaledPrice,9),0))</f>
        <v xml:space="preserve"> </v>
      </c>
      <c r="P237" s="320" t="str">
        <f>IF($A237="N/A"," ",IF('Pricing Inputs'!$AN$8=2,(I237-H237),IF('Pricing Inputs'!$AN$3=2,IF((I237-$H237)&gt;0,I237-$H237,0),(_xll.xSPRDOPT(I237,$E237,$BU237,0,$BP237,$BS237,$BT237,($A237-Inputs!$D$1)+15,1,0)))))</f>
        <v xml:space="preserve"> </v>
      </c>
      <c r="Q237" s="320" t="str">
        <f>IF($A237="N/A"," ",IF('Pricing Inputs'!$AN$8=2,(J237-$H237),IF('Pricing Inputs'!$AN$3=2,IF((J237-$H237)&gt;0,J237-$H237,0),(_xll.xSPRDOPT(J237,$E237,$BU237,0,$BP237,$BS237,$BT237,($A237-Inputs!$D$1)+15,1,0)))))</f>
        <v xml:space="preserve"> </v>
      </c>
      <c r="R237" s="320" t="str">
        <f>IF($A237="N/A"," ",IF('Pricing Inputs'!$AN$8=2,(K237-$H237),IF('Pricing Inputs'!$AN$3=2,IF((K237-$H237)&gt;0,K237-$H237,0),(_xll.xSPRDOPT(K237,$E237,$BU237,0,$BP237,$BS237,$BT237,($A237-Inputs!$D$1)+15,1,0)))))</f>
        <v xml:space="preserve"> </v>
      </c>
      <c r="S237" s="320" t="str">
        <f>IF($A237="N/A"," ",IF('Pricing Inputs'!$AN$8=2,(L237-$H237),IF('Pricing Inputs'!$AN$3=2,IF((L237-$H237)&gt;0,L237-$H237,0),(_xll.xSPRDOPT(L237,$E237,$BU237,0,$BP237,$BS237,$BT237,($A237-Inputs!$D$1)+15,1,0)))))</f>
        <v xml:space="preserve"> </v>
      </c>
      <c r="T237" s="320" t="str">
        <f>IF($A237="N/A"," ",IF('Pricing Inputs'!$AN$8=2,(M237-$H237),IF('Pricing Inputs'!$AN$3=2,IF((M237-$H237)&gt;0,M237-$H237,0),(_xll.xSPRDOPT(M237,$E237,$BU237,0,$BP237,$BS237,$BT237,($A237-Inputs!$D$1)+15,1,0)))))</f>
        <v xml:space="preserve"> </v>
      </c>
      <c r="U237" s="320" t="str">
        <f>IF($A237="N/A"," ",IF('Pricing Inputs'!$AN$8=2,(N237-$H237),IF('Pricing Inputs'!$AN$3=2,IF((N237-$H237)&gt;0,N237-$H237,0),(_xll.xSPRDOPT(N237,$E237,$BU237,0,$BP237,$BS237,$BT237,($A237-Inputs!$D$1)+15,1,0)))))</f>
        <v xml:space="preserve"> </v>
      </c>
      <c r="V237" s="259" t="str">
        <f>IF($A237="N/A"," ",(IF('Pricing Inputs'!$AN$8=2,(O237-$H237),IF((O237-$H237)&lt;=0,0,(O237-$H237)))))</f>
        <v xml:space="preserve"> </v>
      </c>
      <c r="W237" s="306" t="str">
        <f>IF($A237="N/A"," ",IF(0&lt;&gt;P237,IF('Pricing Inputs'!$AN$3=2,8*VLOOKUP($A237,NumberofDaysTable,2),(_xll.xSPRDOPT(I237,$E237,$BU237,0,$BP237,$BS237,$BT237,$A237-Inputs!$D$1,1,1))*(8*VLOOKUP($A237,NumberofDaysTable,2))),0))</f>
        <v xml:space="preserve"> </v>
      </c>
      <c r="X237" s="306" t="str">
        <f>IF($A237="N/A"," ",IF(Q237&lt;&gt;0,IF('Pricing Inputs'!$AN$3=2,8*VLOOKUP($A237,NumberofDaysTable,2),(_xll.xSPRDOPT(J237,$E237,$BU237,0,$BP237,$BS237,$BT237,$A237-Inputs!$D$1,1,1))*(8*VLOOKUP($A237,NumberofDaysTable,2))),0))</f>
        <v xml:space="preserve"> </v>
      </c>
      <c r="Y237" s="306" t="str">
        <f>IF($A237="N/A"," ",IF(R237&lt;&gt;0,IF('Pricing Inputs'!$AN$3=2,8*VLOOKUP($A237,NumberofDaysTable,3),(_xll.xSPRDOPT(K237,$E237,$BU237,0,$BP237,$BS237,$BT237,$A237-Inputs!$D$1,1,1))*(8*VLOOKUP($A237,NumberofDaysTable,3))),0))</f>
        <v xml:space="preserve"> </v>
      </c>
      <c r="Z237" s="306" t="str">
        <f>IF($A237="N/A"," ",IF(S237&lt;&gt;0,IF('Pricing Inputs'!$AN$3=2,8*VLOOKUP($A237,NumberofDaysTable,3),(_xll.xSPRDOPT(L237,$E237,$BU237,0,$BP237,$BS237,$BT237,$A237-Inputs!$D$1,1,1))*(8*VLOOKUP($A237,NumberofDaysTable,3))),0))</f>
        <v xml:space="preserve"> </v>
      </c>
      <c r="AA237" s="306" t="str">
        <f>IF($A237="N/A"," ",IF(T237&lt;&gt;0,IF('Pricing Inputs'!$AN$3=2,8*VLOOKUP($A237,NumberofDaysTable,4),(_xll.xSPRDOPT(M237,$E237,$BU237,0,$BP237,$BS237,$BT237,$A237-Inputs!$D$1,1,1))*(8*VLOOKUP($A237,NumberofDaysTable,4))),0))</f>
        <v xml:space="preserve"> </v>
      </c>
      <c r="AB237" s="306" t="str">
        <f>IF($A237="N/A"," ",IF(U237&lt;&gt;0,IF('Pricing Inputs'!$AN$3=2,8*VLOOKUP($A237,NumberofDaysTable,4),(_xll.xSPRDOPT(N237,$E237,$BU237,0,$BP237,$BS237,$BT237,$A237-Inputs!$D$1,1,1))*(8*VLOOKUP($A237,NumberofDaysTable,4))),0))</f>
        <v xml:space="preserve"> </v>
      </c>
      <c r="AC237" s="306" t="str">
        <f t="shared" si="342"/>
        <v xml:space="preserve"> </v>
      </c>
      <c r="AD237" s="274" t="str">
        <f t="shared" si="407"/>
        <v xml:space="preserve"> </v>
      </c>
      <c r="AE237" s="275" t="str">
        <f t="shared" si="408"/>
        <v xml:space="preserve"> </v>
      </c>
      <c r="AF237" s="275" t="str">
        <f t="shared" si="409"/>
        <v xml:space="preserve"> </v>
      </c>
      <c r="AG237" s="275" t="str">
        <f t="shared" si="410"/>
        <v xml:space="preserve"> </v>
      </c>
      <c r="AH237" s="275" t="str">
        <f t="shared" si="411"/>
        <v xml:space="preserve"> </v>
      </c>
      <c r="AI237" s="275" t="str">
        <f t="shared" si="412"/>
        <v xml:space="preserve"> </v>
      </c>
      <c r="AJ237" s="276" t="str">
        <f t="shared" si="413"/>
        <v xml:space="preserve"> </v>
      </c>
      <c r="AK237" s="314" t="str">
        <f t="shared" si="361"/>
        <v xml:space="preserve"> </v>
      </c>
      <c r="AL237" s="315" t="str">
        <f t="shared" si="362"/>
        <v xml:space="preserve"> </v>
      </c>
      <c r="AM237" s="315" t="str">
        <f t="shared" si="363"/>
        <v xml:space="preserve"> </v>
      </c>
      <c r="AN237" s="315" t="str">
        <f t="shared" si="364"/>
        <v xml:space="preserve"> </v>
      </c>
      <c r="AO237" s="315" t="str">
        <f t="shared" si="365"/>
        <v xml:space="preserve"> </v>
      </c>
      <c r="AP237" s="315" t="str">
        <f t="shared" si="366"/>
        <v xml:space="preserve"> </v>
      </c>
      <c r="AQ237" s="315" t="str">
        <f t="shared" si="367"/>
        <v xml:space="preserve"> </v>
      </c>
      <c r="AR237" s="276"/>
      <c r="AS237" s="321" t="str">
        <f t="shared" si="400"/>
        <v xml:space="preserve"> </v>
      </c>
      <c r="AT237" s="324" t="str">
        <f t="shared" si="401"/>
        <v xml:space="preserve"> </v>
      </c>
      <c r="AU237" s="324" t="str">
        <f t="shared" si="402"/>
        <v xml:space="preserve"> </v>
      </c>
      <c r="AV237" s="324" t="str">
        <f t="shared" si="403"/>
        <v xml:space="preserve"> </v>
      </c>
      <c r="AW237" s="324" t="str">
        <f t="shared" si="404"/>
        <v xml:space="preserve"> </v>
      </c>
      <c r="AX237" s="324" t="str">
        <f t="shared" si="405"/>
        <v xml:space="preserve"> </v>
      </c>
      <c r="AY237" s="324" t="str">
        <f t="shared" si="406"/>
        <v xml:space="preserve"> </v>
      </c>
      <c r="AZ237" s="276"/>
      <c r="BA237" s="267" t="str">
        <f>IF($A237="N/A"," ",(IF(MONTH(A237)&gt;=4,IF(MONTH(A237)&lt;=10,Inputs!$F$13,Inputs!$F$14),Inputs!$F$14))*$BW237)</f>
        <v xml:space="preserve"> </v>
      </c>
      <c r="BB237" s="268" t="str">
        <f t="shared" si="382"/>
        <v xml:space="preserve"> </v>
      </c>
      <c r="BC237" s="268" t="str">
        <f t="shared" si="383"/>
        <v xml:space="preserve"> </v>
      </c>
      <c r="BD237" s="268" t="str">
        <f t="shared" si="350"/>
        <v xml:space="preserve"> </v>
      </c>
      <c r="BE237" s="268" t="str">
        <f t="shared" si="351"/>
        <v xml:space="preserve"> </v>
      </c>
      <c r="BF237" s="268" t="str">
        <f t="shared" si="352"/>
        <v xml:space="preserve"> </v>
      </c>
      <c r="BG237" s="268" t="str">
        <f t="shared" si="353"/>
        <v xml:space="preserve"> </v>
      </c>
      <c r="BH237" s="268" t="str">
        <f t="shared" si="359"/>
        <v xml:space="preserve"> </v>
      </c>
      <c r="BI237" s="268" t="str">
        <f t="shared" si="354"/>
        <v xml:space="preserve"> </v>
      </c>
      <c r="BJ237" s="296" t="str">
        <f t="shared" si="355"/>
        <v xml:space="preserve"> </v>
      </c>
      <c r="BK237" s="296" t="str">
        <f t="shared" si="356"/>
        <v xml:space="preserve"> </v>
      </c>
      <c r="BL237" s="296" t="str">
        <f t="shared" si="357"/>
        <v xml:space="preserve"> </v>
      </c>
      <c r="BM237" s="296" t="str">
        <f t="shared" si="358"/>
        <v xml:space="preserve"> </v>
      </c>
      <c r="BN237" s="405" t="str">
        <f>IF(A237="N/A"," ",(VLOOKUP(A237,PowerVolTable,(IF('Pricing Inputs'!$AT$3=2,7,IF('Pricing Inputs'!$AT$3=1,6,8))),FALSE)))</f>
        <v xml:space="preserve"> </v>
      </c>
      <c r="BO237" s="405" t="str">
        <f>IF(A237="N/A"," ",(VLOOKUP(A237,IntraPowerVol,(IF('Pricing Inputs'!$AT$3=2,3,IF('Pricing Inputs'!$AT$3=1,2,4))),FALSE)*VLOOKUP(MONTH($A237),Inputs!$A$28:$B$39,2)))</f>
        <v xml:space="preserve"> </v>
      </c>
      <c r="BP237" s="406" t="str">
        <f t="shared" si="336"/>
        <v xml:space="preserve"> </v>
      </c>
      <c r="BQ237" s="405" t="str">
        <f>IF($A237="N/A"," ",(VLOOKUP($A237,GasVolTable,(IF('Pricing Inputs'!$AT$3=2,6,IF('Pricing Inputs'!$AT$3=1,7,5))),FALSE)))</f>
        <v xml:space="preserve"> </v>
      </c>
      <c r="BR237" s="405" t="str">
        <f>IF($A237="N/A"," ",(VLOOKUP($A237,OmicronVol,(IF('Pricing Inputs'!$AT$3=2,3,IF('Pricing Inputs'!$AT$3=1,4,2))),FALSE)))</f>
        <v xml:space="preserve"> </v>
      </c>
      <c r="BS237" s="406" t="str">
        <f>IF($A237="N/A"," ",IF('Pricing Inputs'!$AN$3=1,(IF(DateToday&gt;$A237,$BR237,((($BQ237^2)*((($A237-1)-DateToday)/((EOMONTH($A237,0)+1)-DateToday-15)))+((($BR237)^2)*((15)/((EOMONTH($A237,0)+1)-DateToday-15))))^0.5)),0.0001))</f>
        <v xml:space="preserve"> </v>
      </c>
      <c r="BT237" s="405" t="str">
        <f>IF($A237="N/A"," ",IF('Pricing Inputs'!$AN$3=1,(VLOOKUP($A237,CorrelationTable,2,FALSE)),0))</f>
        <v xml:space="preserve"> </v>
      </c>
      <c r="BU237" s="407" t="str">
        <f>IF($A237="N/A"," ",F237+G237+(D237*(VLOOKUP($A237,'Gas Curves'!$B$17:$P$310,14,FALSE))))</f>
        <v xml:space="preserve"> </v>
      </c>
      <c r="BV237" s="405" t="str">
        <f>IF($A237="N/A"," ",IF('Pricing Inputs'!$AW$3=1,0,(VLOOKUP($A237,InterestRatesTable,2))))</f>
        <v xml:space="preserve"> </v>
      </c>
      <c r="BW237" s="408" t="str">
        <f t="shared" si="337"/>
        <v xml:space="preserve"> </v>
      </c>
    </row>
    <row r="238" spans="1:75">
      <c r="A238" s="248" t="str">
        <f>IF(A237="N/A","N/A",IF(EDATE(A237,1)&gt;Inputs!$K$3,"N/A",EDATE(A237,1)))</f>
        <v>N/A</v>
      </c>
      <c r="B238" s="262" t="str">
        <f t="shared" si="338"/>
        <v xml:space="preserve"> </v>
      </c>
      <c r="C238" s="249" t="str">
        <f t="shared" si="339"/>
        <v xml:space="preserve"> </v>
      </c>
      <c r="D238" s="250" t="str">
        <f>IF(A238="N/A"," ",(VLOOKUP(MONTH($A238),Inputs!$A$14:$B$25,2))/1000)</f>
        <v xml:space="preserve"> </v>
      </c>
      <c r="E238" s="304" t="str">
        <f t="shared" si="340"/>
        <v xml:space="preserve"> </v>
      </c>
      <c r="F238" s="251" t="str">
        <f>IF(A238="N/A"," ",Inputs!$F$6)</f>
        <v xml:space="preserve"> </v>
      </c>
      <c r="G238" s="251" t="str">
        <f>IF(A238="N/A"," ",Inputs!$F$9/IF(AND('Pricing Inputs'!$AQ$3&gt;=4,'Pricing Inputs'!$AQ$3&lt;=6),16,IF(AND('Pricing Inputs'!$AQ$3&gt;=7,'Pricing Inputs'!$AQ$3&lt;=9),8,24))/(BA238/BW238))</f>
        <v xml:space="preserve"> </v>
      </c>
      <c r="H238" s="252" t="str">
        <f t="shared" si="341"/>
        <v xml:space="preserve"> </v>
      </c>
      <c r="I238" s="255" t="str">
        <f>VLOOKUP(A238,ScaledPrice,(IF(AND('Pricing Inputs'!$AQ$3&gt;=1,'Pricing Inputs'!$AQ$3&lt;=6),2,4)))</f>
        <v xml:space="preserve"> </v>
      </c>
      <c r="J238" s="255" t="str">
        <f>IF(A238="N/A"," ",IF(AND('Pricing Inputs'!$AQ$3&gt;=1,'Pricing Inputs'!$AQ$3&lt;=6),I238,(VLOOKUP(A238,ScaledPrice,2))*(2-(VLOOKUP(A238,ScaledPrice,3)))))</f>
        <v xml:space="preserve"> </v>
      </c>
      <c r="K238" s="255" t="str">
        <f>IF(A238="N/A"," ",IF(OR('Pricing Inputs'!$AQ$3=2,'Pricing Inputs'!$AQ$3=3,'Pricing Inputs'!$AQ$3=5,'Pricing Inputs'!$AQ$3=6,'Pricing Inputs'!$AQ$3=8,'Pricing Inputs'!$AQ$3=9),VLOOKUP(A238,ScaledPrice,IF(AND('Pricing Inputs'!$AQ$3&gt;=2,'Pricing Inputs'!$AQ$3&lt;=6),5,6)),0))</f>
        <v xml:space="preserve"> </v>
      </c>
      <c r="L238" s="255" t="str">
        <f>IF(A238="N/A"," ",IF(OR('Pricing Inputs'!$AQ$3=2,'Pricing Inputs'!$AQ$3=3,'Pricing Inputs'!$AQ$3=5,'Pricing Inputs'!$AQ$3=6,'Pricing Inputs'!$AQ$3=8,'Pricing Inputs'!$AQ$3=9),IF(AND('Pricing Inputs'!$AQ$3&gt;=2,'Pricing Inputs'!$AQ$3&lt;=6),K238,(VLOOKUP(A238,ScaledPrice,5))*(2-(VLOOKUP(A238,ScaledPrice,3)))),0))</f>
        <v xml:space="preserve"> </v>
      </c>
      <c r="M238" s="255" t="str">
        <f>IF(A238="N/A"," ",IF(OR('Pricing Inputs'!$AQ$3=3,'Pricing Inputs'!$AQ$3=6,'Pricing Inputs'!$AQ$3=9),(VLOOKUP(A238,ScaledPrice,IF(AND('Pricing Inputs'!$AQ$3&gt;=3,'Pricing Inputs'!$AQ$3&lt;=6),7,8))),0))</f>
        <v xml:space="preserve"> </v>
      </c>
      <c r="N238" s="255" t="str">
        <f>IF(A238="N/A"," ",IF(OR('Pricing Inputs'!$AQ$3=3,'Pricing Inputs'!$AQ$3=6,'Pricing Inputs'!$AQ$3=9),IF(AND('Pricing Inputs'!$AQ$3&gt;=3,'Pricing Inputs'!$AQ$3&lt;=6),M238,(VLOOKUP(A238,ScaledPrice,7))*(2-(VLOOKUP(A238,ScaledPrice,3)))),0))</f>
        <v xml:space="preserve"> </v>
      </c>
      <c r="O238" s="255" t="str">
        <f>IF(A238="N/A"," ",IF(AND('Pricing Inputs'!$AQ$3&gt;=1,'Pricing Inputs'!$AQ$3&lt;=3),VLOOKUP(A238,ScaledPrice,9),0))</f>
        <v xml:space="preserve"> </v>
      </c>
      <c r="P238" s="320" t="str">
        <f>IF($A238="N/A"," ",IF('Pricing Inputs'!$AN$8=2,(I238-H238),IF('Pricing Inputs'!$AN$3=2,IF((I238-$H238)&gt;0,I238-$H238,0),(_xll.xSPRDOPT(I238,$E238,$BU238,0,$BP238,$BS238,$BT238,($A238-Inputs!$D$1)+15,1,0)))))</f>
        <v xml:space="preserve"> </v>
      </c>
      <c r="Q238" s="320" t="str">
        <f>IF($A238="N/A"," ",IF('Pricing Inputs'!$AN$8=2,(J238-$H238),IF('Pricing Inputs'!$AN$3=2,IF((J238-$H238)&gt;0,J238-$H238,0),(_xll.xSPRDOPT(J238,$E238,$BU238,0,$BP238,$BS238,$BT238,($A238-Inputs!$D$1)+15,1,0)))))</f>
        <v xml:space="preserve"> </v>
      </c>
      <c r="R238" s="320" t="str">
        <f>IF($A238="N/A"," ",IF('Pricing Inputs'!$AN$8=2,(K238-$H238),IF('Pricing Inputs'!$AN$3=2,IF((K238-$H238)&gt;0,K238-$H238,0),(_xll.xSPRDOPT(K238,$E238,$BU238,0,$BP238,$BS238,$BT238,($A238-Inputs!$D$1)+15,1,0)))))</f>
        <v xml:space="preserve"> </v>
      </c>
      <c r="S238" s="320" t="str">
        <f>IF($A238="N/A"," ",IF('Pricing Inputs'!$AN$8=2,(L238-$H238),IF('Pricing Inputs'!$AN$3=2,IF((L238-$H238)&gt;0,L238-$H238,0),(_xll.xSPRDOPT(L238,$E238,$BU238,0,$BP238,$BS238,$BT238,($A238-Inputs!$D$1)+15,1,0)))))</f>
        <v xml:space="preserve"> </v>
      </c>
      <c r="T238" s="320" t="str">
        <f>IF($A238="N/A"," ",IF('Pricing Inputs'!$AN$8=2,(M238-$H238),IF('Pricing Inputs'!$AN$3=2,IF((M238-$H238)&gt;0,M238-$H238,0),(_xll.xSPRDOPT(M238,$E238,$BU238,0,$BP238,$BS238,$BT238,($A238-Inputs!$D$1)+15,1,0)))))</f>
        <v xml:space="preserve"> </v>
      </c>
      <c r="U238" s="320" t="str">
        <f>IF($A238="N/A"," ",IF('Pricing Inputs'!$AN$8=2,(N238-$H238),IF('Pricing Inputs'!$AN$3=2,IF((N238-$H238)&gt;0,N238-$H238,0),(_xll.xSPRDOPT(N238,$E238,$BU238,0,$BP238,$BS238,$BT238,($A238-Inputs!$D$1)+15,1,0)))))</f>
        <v xml:space="preserve"> </v>
      </c>
      <c r="V238" s="259" t="str">
        <f>IF($A238="N/A"," ",(IF('Pricing Inputs'!$AN$8=2,(O238-$H238),IF((O238-$H238)&lt;=0,0,(O238-$H238)))))</f>
        <v xml:space="preserve"> </v>
      </c>
      <c r="W238" s="306" t="str">
        <f>IF($A238="N/A"," ",IF(0&lt;&gt;P238,IF('Pricing Inputs'!$AN$3=2,8*VLOOKUP($A238,NumberofDaysTable,2),(_xll.xSPRDOPT(I238,$E238,$BU238,0,$BP238,$BS238,$BT238,$A238-Inputs!$D$1,1,1))*(8*VLOOKUP($A238,NumberofDaysTable,2))),0))</f>
        <v xml:space="preserve"> </v>
      </c>
      <c r="X238" s="306" t="str">
        <f>IF($A238="N/A"," ",IF(Q238&lt;&gt;0,IF('Pricing Inputs'!$AN$3=2,8*VLOOKUP($A238,NumberofDaysTable,2),(_xll.xSPRDOPT(J238,$E238,$BU238,0,$BP238,$BS238,$BT238,$A238-Inputs!$D$1,1,1))*(8*VLOOKUP($A238,NumberofDaysTable,2))),0))</f>
        <v xml:space="preserve"> </v>
      </c>
      <c r="Y238" s="306" t="str">
        <f>IF($A238="N/A"," ",IF(R238&lt;&gt;0,IF('Pricing Inputs'!$AN$3=2,8*VLOOKUP($A238,NumberofDaysTable,3),(_xll.xSPRDOPT(K238,$E238,$BU238,0,$BP238,$BS238,$BT238,$A238-Inputs!$D$1,1,1))*(8*VLOOKUP($A238,NumberofDaysTable,3))),0))</f>
        <v xml:space="preserve"> </v>
      </c>
      <c r="Z238" s="306" t="str">
        <f>IF($A238="N/A"," ",IF(S238&lt;&gt;0,IF('Pricing Inputs'!$AN$3=2,8*VLOOKUP($A238,NumberofDaysTable,3),(_xll.xSPRDOPT(L238,$E238,$BU238,0,$BP238,$BS238,$BT238,$A238-Inputs!$D$1,1,1))*(8*VLOOKUP($A238,NumberofDaysTable,3))),0))</f>
        <v xml:space="preserve"> </v>
      </c>
      <c r="AA238" s="306" t="str">
        <f>IF($A238="N/A"," ",IF(T238&lt;&gt;0,IF('Pricing Inputs'!$AN$3=2,8*VLOOKUP($A238,NumberofDaysTable,4),(_xll.xSPRDOPT(M238,$E238,$BU238,0,$BP238,$BS238,$BT238,$A238-Inputs!$D$1,1,1))*(8*VLOOKUP($A238,NumberofDaysTable,4))),0))</f>
        <v xml:space="preserve"> </v>
      </c>
      <c r="AB238" s="306" t="str">
        <f>IF($A238="N/A"," ",IF(U238&lt;&gt;0,IF('Pricing Inputs'!$AN$3=2,8*VLOOKUP($A238,NumberofDaysTable,4),(_xll.xSPRDOPT(N238,$E238,$BU238,0,$BP238,$BS238,$BT238,$A238-Inputs!$D$1,1,1))*(8*VLOOKUP($A238,NumberofDaysTable,4))),0))</f>
        <v xml:space="preserve"> </v>
      </c>
      <c r="AC238" s="306" t="str">
        <f t="shared" si="342"/>
        <v xml:space="preserve"> </v>
      </c>
      <c r="AD238" s="274" t="str">
        <f t="shared" si="407"/>
        <v xml:space="preserve"> </v>
      </c>
      <c r="AE238" s="275" t="str">
        <f t="shared" si="408"/>
        <v xml:space="preserve"> </v>
      </c>
      <c r="AF238" s="275" t="str">
        <f t="shared" si="409"/>
        <v xml:space="preserve"> </v>
      </c>
      <c r="AG238" s="275" t="str">
        <f t="shared" si="410"/>
        <v xml:space="preserve"> </v>
      </c>
      <c r="AH238" s="275" t="str">
        <f t="shared" si="411"/>
        <v xml:space="preserve"> </v>
      </c>
      <c r="AI238" s="275" t="str">
        <f t="shared" si="412"/>
        <v xml:space="preserve"> </v>
      </c>
      <c r="AJ238" s="276" t="str">
        <f t="shared" si="413"/>
        <v xml:space="preserve"> </v>
      </c>
      <c r="AK238" s="314" t="str">
        <f t="shared" si="361"/>
        <v xml:space="preserve"> </v>
      </c>
      <c r="AL238" s="315" t="str">
        <f t="shared" si="362"/>
        <v xml:space="preserve"> </v>
      </c>
      <c r="AM238" s="315" t="str">
        <f t="shared" si="363"/>
        <v xml:space="preserve"> </v>
      </c>
      <c r="AN238" s="315" t="str">
        <f t="shared" si="364"/>
        <v xml:space="preserve"> </v>
      </c>
      <c r="AO238" s="315" t="str">
        <f t="shared" si="365"/>
        <v xml:space="preserve"> </v>
      </c>
      <c r="AP238" s="315" t="str">
        <f t="shared" si="366"/>
        <v xml:space="preserve"> </v>
      </c>
      <c r="AQ238" s="315" t="str">
        <f t="shared" si="367"/>
        <v xml:space="preserve"> </v>
      </c>
      <c r="AR238" s="276"/>
      <c r="AS238" s="321" t="str">
        <f t="shared" si="400"/>
        <v xml:space="preserve"> </v>
      </c>
      <c r="AT238" s="324" t="str">
        <f t="shared" si="401"/>
        <v xml:space="preserve"> </v>
      </c>
      <c r="AU238" s="324" t="str">
        <f t="shared" si="402"/>
        <v xml:space="preserve"> </v>
      </c>
      <c r="AV238" s="324" t="str">
        <f t="shared" si="403"/>
        <v xml:space="preserve"> </v>
      </c>
      <c r="AW238" s="324" t="str">
        <f t="shared" si="404"/>
        <v xml:space="preserve"> </v>
      </c>
      <c r="AX238" s="324" t="str">
        <f t="shared" si="405"/>
        <v xml:space="preserve"> </v>
      </c>
      <c r="AY238" s="324" t="str">
        <f t="shared" si="406"/>
        <v xml:space="preserve"> </v>
      </c>
      <c r="AZ238" s="276"/>
      <c r="BA238" s="267" t="str">
        <f>IF($A238="N/A"," ",(IF(MONTH(A238)&gt;=4,IF(MONTH(A238)&lt;=10,Inputs!$F$13,Inputs!$F$14),Inputs!$F$14))*$BW238)</f>
        <v xml:space="preserve"> </v>
      </c>
      <c r="BB238" s="268" t="str">
        <f t="shared" si="382"/>
        <v xml:space="preserve"> </v>
      </c>
      <c r="BC238" s="268" t="str">
        <f t="shared" si="383"/>
        <v xml:space="preserve"> </v>
      </c>
      <c r="BD238" s="268" t="str">
        <f t="shared" si="350"/>
        <v xml:space="preserve"> </v>
      </c>
      <c r="BE238" s="268" t="str">
        <f t="shared" si="351"/>
        <v xml:space="preserve"> </v>
      </c>
      <c r="BF238" s="268" t="str">
        <f t="shared" si="352"/>
        <v xml:space="preserve"> </v>
      </c>
      <c r="BG238" s="268" t="str">
        <f t="shared" si="353"/>
        <v xml:space="preserve"> </v>
      </c>
      <c r="BH238" s="268" t="str">
        <f t="shared" si="359"/>
        <v xml:space="preserve"> </v>
      </c>
      <c r="BI238" s="268" t="str">
        <f t="shared" si="354"/>
        <v xml:space="preserve"> </v>
      </c>
      <c r="BJ238" s="296" t="str">
        <f t="shared" si="355"/>
        <v xml:space="preserve"> </v>
      </c>
      <c r="BK238" s="296" t="str">
        <f t="shared" si="356"/>
        <v xml:space="preserve"> </v>
      </c>
      <c r="BL238" s="296" t="str">
        <f t="shared" si="357"/>
        <v xml:space="preserve"> </v>
      </c>
      <c r="BM238" s="296" t="str">
        <f t="shared" si="358"/>
        <v xml:space="preserve"> </v>
      </c>
      <c r="BN238" s="405" t="str">
        <f>IF(A238="N/A"," ",(VLOOKUP(A238,PowerVolTable,(IF('Pricing Inputs'!$AT$3=2,7,IF('Pricing Inputs'!$AT$3=1,6,8))),FALSE)))</f>
        <v xml:space="preserve"> </v>
      </c>
      <c r="BO238" s="405" t="str">
        <f>IF(A238="N/A"," ",(VLOOKUP(A238,IntraPowerVol,(IF('Pricing Inputs'!$AT$3=2,3,IF('Pricing Inputs'!$AT$3=1,2,4))),FALSE)*VLOOKUP(MONTH($A238),Inputs!$A$28:$B$39,2)))</f>
        <v xml:space="preserve"> </v>
      </c>
      <c r="BP238" s="406" t="str">
        <f t="shared" si="336"/>
        <v xml:space="preserve"> </v>
      </c>
      <c r="BQ238" s="405" t="str">
        <f>IF($A238="N/A"," ",(VLOOKUP($A238,GasVolTable,(IF('Pricing Inputs'!$AT$3=2,6,IF('Pricing Inputs'!$AT$3=1,7,5))),FALSE)))</f>
        <v xml:space="preserve"> </v>
      </c>
      <c r="BR238" s="405" t="str">
        <f>IF($A238="N/A"," ",(VLOOKUP($A238,OmicronVol,(IF('Pricing Inputs'!$AT$3=2,3,IF('Pricing Inputs'!$AT$3=1,4,2))),FALSE)))</f>
        <v xml:space="preserve"> </v>
      </c>
      <c r="BS238" s="406" t="str">
        <f>IF($A238="N/A"," ",IF('Pricing Inputs'!$AN$3=1,(IF(DateToday&gt;$A238,$BR238,((($BQ238^2)*((($A238-1)-DateToday)/((EOMONTH($A238,0)+1)-DateToday-15)))+((($BR238)^2)*((15)/((EOMONTH($A238,0)+1)-DateToday-15))))^0.5)),0.0001))</f>
        <v xml:space="preserve"> </v>
      </c>
      <c r="BT238" s="405" t="str">
        <f>IF($A238="N/A"," ",IF('Pricing Inputs'!$AN$3=1,(VLOOKUP($A238,CorrelationTable,2,FALSE)),0))</f>
        <v xml:space="preserve"> </v>
      </c>
      <c r="BU238" s="407" t="str">
        <f>IF($A238="N/A"," ",F238+G238+(D238*(VLOOKUP($A238,'Gas Curves'!$B$17:$P$310,14,FALSE))))</f>
        <v xml:space="preserve"> </v>
      </c>
      <c r="BV238" s="405" t="str">
        <f>IF($A238="N/A"," ",IF('Pricing Inputs'!$AW$3=1,0,(VLOOKUP($A238,InterestRatesTable,2))))</f>
        <v xml:space="preserve"> </v>
      </c>
      <c r="BW238" s="408" t="str">
        <f t="shared" si="337"/>
        <v xml:space="preserve"> </v>
      </c>
    </row>
    <row r="239" spans="1:75">
      <c r="A239" s="248" t="str">
        <f>IF(A238="N/A","N/A",IF(EDATE(A238,1)&gt;Inputs!$K$3,"N/A",EDATE(A238,1)))</f>
        <v>N/A</v>
      </c>
      <c r="B239" s="262" t="str">
        <f t="shared" si="338"/>
        <v xml:space="preserve"> </v>
      </c>
      <c r="C239" s="249" t="str">
        <f t="shared" si="339"/>
        <v xml:space="preserve"> </v>
      </c>
      <c r="D239" s="250" t="str">
        <f>IF(A239="N/A"," ",(VLOOKUP(MONTH($A239),Inputs!$A$14:$B$25,2))/1000)</f>
        <v xml:space="preserve"> </v>
      </c>
      <c r="E239" s="304" t="str">
        <f t="shared" si="340"/>
        <v xml:space="preserve"> </v>
      </c>
      <c r="F239" s="251" t="str">
        <f>IF(A239="N/A"," ",Inputs!$F$6)</f>
        <v xml:space="preserve"> </v>
      </c>
      <c r="G239" s="251" t="str">
        <f>IF(A239="N/A"," ",Inputs!$F$9/IF(AND('Pricing Inputs'!$AQ$3&gt;=4,'Pricing Inputs'!$AQ$3&lt;=6),16,IF(AND('Pricing Inputs'!$AQ$3&gt;=7,'Pricing Inputs'!$AQ$3&lt;=9),8,24))/(BA239/BW239))</f>
        <v xml:space="preserve"> </v>
      </c>
      <c r="H239" s="252" t="str">
        <f t="shared" si="341"/>
        <v xml:space="preserve"> </v>
      </c>
      <c r="I239" s="255" t="str">
        <f>VLOOKUP(A239,ScaledPrice,(IF(AND('Pricing Inputs'!$AQ$3&gt;=1,'Pricing Inputs'!$AQ$3&lt;=6),2,4)))</f>
        <v xml:space="preserve"> </v>
      </c>
      <c r="J239" s="255" t="str">
        <f>IF(A239="N/A"," ",IF(AND('Pricing Inputs'!$AQ$3&gt;=1,'Pricing Inputs'!$AQ$3&lt;=6),I239,(VLOOKUP(A239,ScaledPrice,2))*(2-(VLOOKUP(A239,ScaledPrice,3)))))</f>
        <v xml:space="preserve"> </v>
      </c>
      <c r="K239" s="255" t="str">
        <f>IF(A239="N/A"," ",IF(OR('Pricing Inputs'!$AQ$3=2,'Pricing Inputs'!$AQ$3=3,'Pricing Inputs'!$AQ$3=5,'Pricing Inputs'!$AQ$3=6,'Pricing Inputs'!$AQ$3=8,'Pricing Inputs'!$AQ$3=9),VLOOKUP(A239,ScaledPrice,IF(AND('Pricing Inputs'!$AQ$3&gt;=2,'Pricing Inputs'!$AQ$3&lt;=6),5,6)),0))</f>
        <v xml:space="preserve"> </v>
      </c>
      <c r="L239" s="255" t="str">
        <f>IF(A239="N/A"," ",IF(OR('Pricing Inputs'!$AQ$3=2,'Pricing Inputs'!$AQ$3=3,'Pricing Inputs'!$AQ$3=5,'Pricing Inputs'!$AQ$3=6,'Pricing Inputs'!$AQ$3=8,'Pricing Inputs'!$AQ$3=9),IF(AND('Pricing Inputs'!$AQ$3&gt;=2,'Pricing Inputs'!$AQ$3&lt;=6),K239,(VLOOKUP(A239,ScaledPrice,5))*(2-(VLOOKUP(A239,ScaledPrice,3)))),0))</f>
        <v xml:space="preserve"> </v>
      </c>
      <c r="M239" s="255" t="str">
        <f>IF(A239="N/A"," ",IF(OR('Pricing Inputs'!$AQ$3=3,'Pricing Inputs'!$AQ$3=6,'Pricing Inputs'!$AQ$3=9),(VLOOKUP(A239,ScaledPrice,IF(AND('Pricing Inputs'!$AQ$3&gt;=3,'Pricing Inputs'!$AQ$3&lt;=6),7,8))),0))</f>
        <v xml:space="preserve"> </v>
      </c>
      <c r="N239" s="255" t="str">
        <f>IF(A239="N/A"," ",IF(OR('Pricing Inputs'!$AQ$3=3,'Pricing Inputs'!$AQ$3=6,'Pricing Inputs'!$AQ$3=9),IF(AND('Pricing Inputs'!$AQ$3&gt;=3,'Pricing Inputs'!$AQ$3&lt;=6),M239,(VLOOKUP(A239,ScaledPrice,7))*(2-(VLOOKUP(A239,ScaledPrice,3)))),0))</f>
        <v xml:space="preserve"> </v>
      </c>
      <c r="O239" s="255" t="str">
        <f>IF(A239="N/A"," ",IF(AND('Pricing Inputs'!$AQ$3&gt;=1,'Pricing Inputs'!$AQ$3&lt;=3),VLOOKUP(A239,ScaledPrice,9),0))</f>
        <v xml:space="preserve"> </v>
      </c>
      <c r="P239" s="320" t="str">
        <f>IF($A239="N/A"," ",IF('Pricing Inputs'!$AN$8=2,(I239-H239),IF('Pricing Inputs'!$AN$3=2,IF((I239-$H239)&gt;0,I239-$H239,0),(_xll.xSPRDOPT(I239,$E239,$BU239,0,$BP239,$BS239,$BT239,($A239-Inputs!$D$1)+15,1,0)))))</f>
        <v xml:space="preserve"> </v>
      </c>
      <c r="Q239" s="320" t="str">
        <f>IF($A239="N/A"," ",IF('Pricing Inputs'!$AN$8=2,(J239-$H239),IF('Pricing Inputs'!$AN$3=2,IF((J239-$H239)&gt;0,J239-$H239,0),(_xll.xSPRDOPT(J239,$E239,$BU239,0,$BP239,$BS239,$BT239,($A239-Inputs!$D$1)+15,1,0)))))</f>
        <v xml:space="preserve"> </v>
      </c>
      <c r="R239" s="320" t="str">
        <f>IF($A239="N/A"," ",IF('Pricing Inputs'!$AN$8=2,(K239-$H239),IF('Pricing Inputs'!$AN$3=2,IF((K239-$H239)&gt;0,K239-$H239,0),(_xll.xSPRDOPT(K239,$E239,$BU239,0,$BP239,$BS239,$BT239,($A239-Inputs!$D$1)+15,1,0)))))</f>
        <v xml:space="preserve"> </v>
      </c>
      <c r="S239" s="320" t="str">
        <f>IF($A239="N/A"," ",IF('Pricing Inputs'!$AN$8=2,(L239-$H239),IF('Pricing Inputs'!$AN$3=2,IF((L239-$H239)&gt;0,L239-$H239,0),(_xll.xSPRDOPT(L239,$E239,$BU239,0,$BP239,$BS239,$BT239,($A239-Inputs!$D$1)+15,1,0)))))</f>
        <v xml:space="preserve"> </v>
      </c>
      <c r="T239" s="320" t="str">
        <f>IF($A239="N/A"," ",IF('Pricing Inputs'!$AN$8=2,(M239-$H239),IF('Pricing Inputs'!$AN$3=2,IF((M239-$H239)&gt;0,M239-$H239,0),(_xll.xSPRDOPT(M239,$E239,$BU239,0,$BP239,$BS239,$BT239,($A239-Inputs!$D$1)+15,1,0)))))</f>
        <v xml:space="preserve"> </v>
      </c>
      <c r="U239" s="320" t="str">
        <f>IF($A239="N/A"," ",IF('Pricing Inputs'!$AN$8=2,(N239-$H239),IF('Pricing Inputs'!$AN$3=2,IF((N239-$H239)&gt;0,N239-$H239,0),(_xll.xSPRDOPT(N239,$E239,$BU239,0,$BP239,$BS239,$BT239,($A239-Inputs!$D$1)+15,1,0)))))</f>
        <v xml:space="preserve"> </v>
      </c>
      <c r="V239" s="259" t="str">
        <f>IF($A239="N/A"," ",(IF('Pricing Inputs'!$AN$8=2,(O239-$H239),IF((O239-$H239)&lt;=0,0,(O239-$H239)))))</f>
        <v xml:space="preserve"> </v>
      </c>
      <c r="W239" s="306" t="str">
        <f>IF($A239="N/A"," ",IF(0&lt;&gt;P239,IF('Pricing Inputs'!$AN$3=2,8*VLOOKUP($A239,NumberofDaysTable,2),(_xll.xSPRDOPT(I239,$E239,$BU239,0,$BP239,$BS239,$BT239,$A239-Inputs!$D$1,1,1))*(8*VLOOKUP($A239,NumberofDaysTable,2))),0))</f>
        <v xml:space="preserve"> </v>
      </c>
      <c r="X239" s="306" t="str">
        <f>IF($A239="N/A"," ",IF(Q239&lt;&gt;0,IF('Pricing Inputs'!$AN$3=2,8*VLOOKUP($A239,NumberofDaysTable,2),(_xll.xSPRDOPT(J239,$E239,$BU239,0,$BP239,$BS239,$BT239,$A239-Inputs!$D$1,1,1))*(8*VLOOKUP($A239,NumberofDaysTable,2))),0))</f>
        <v xml:space="preserve"> </v>
      </c>
      <c r="Y239" s="306" t="str">
        <f>IF($A239="N/A"," ",IF(R239&lt;&gt;0,IF('Pricing Inputs'!$AN$3=2,8*VLOOKUP($A239,NumberofDaysTable,3),(_xll.xSPRDOPT(K239,$E239,$BU239,0,$BP239,$BS239,$BT239,$A239-Inputs!$D$1,1,1))*(8*VLOOKUP($A239,NumberofDaysTable,3))),0))</f>
        <v xml:space="preserve"> </v>
      </c>
      <c r="Z239" s="306" t="str">
        <f>IF($A239="N/A"," ",IF(S239&lt;&gt;0,IF('Pricing Inputs'!$AN$3=2,8*VLOOKUP($A239,NumberofDaysTable,3),(_xll.xSPRDOPT(L239,$E239,$BU239,0,$BP239,$BS239,$BT239,$A239-Inputs!$D$1,1,1))*(8*VLOOKUP($A239,NumberofDaysTable,3))),0))</f>
        <v xml:space="preserve"> </v>
      </c>
      <c r="AA239" s="306" t="str">
        <f>IF($A239="N/A"," ",IF(T239&lt;&gt;0,IF('Pricing Inputs'!$AN$3=2,8*VLOOKUP($A239,NumberofDaysTable,4),(_xll.xSPRDOPT(M239,$E239,$BU239,0,$BP239,$BS239,$BT239,$A239-Inputs!$D$1,1,1))*(8*VLOOKUP($A239,NumberofDaysTable,4))),0))</f>
        <v xml:space="preserve"> </v>
      </c>
      <c r="AB239" s="306" t="str">
        <f>IF($A239="N/A"," ",IF(U239&lt;&gt;0,IF('Pricing Inputs'!$AN$3=2,8*VLOOKUP($A239,NumberofDaysTable,4),(_xll.xSPRDOPT(N239,$E239,$BU239,0,$BP239,$BS239,$BT239,$A239-Inputs!$D$1,1,1))*(8*VLOOKUP($A239,NumberofDaysTable,4))),0))</f>
        <v xml:space="preserve"> </v>
      </c>
      <c r="AC239" s="306" t="str">
        <f t="shared" si="342"/>
        <v xml:space="preserve"> </v>
      </c>
      <c r="AD239" s="274" t="str">
        <f t="shared" si="407"/>
        <v xml:space="preserve"> </v>
      </c>
      <c r="AE239" s="275" t="str">
        <f t="shared" si="408"/>
        <v xml:space="preserve"> </v>
      </c>
      <c r="AF239" s="275" t="str">
        <f t="shared" si="409"/>
        <v xml:space="preserve"> </v>
      </c>
      <c r="AG239" s="275" t="str">
        <f t="shared" si="410"/>
        <v xml:space="preserve"> </v>
      </c>
      <c r="AH239" s="275" t="str">
        <f t="shared" si="411"/>
        <v xml:space="preserve"> </v>
      </c>
      <c r="AI239" s="275" t="str">
        <f t="shared" si="412"/>
        <v xml:space="preserve"> </v>
      </c>
      <c r="AJ239" s="276" t="str">
        <f t="shared" si="413"/>
        <v xml:space="preserve"> </v>
      </c>
      <c r="AK239" s="314" t="str">
        <f t="shared" si="361"/>
        <v xml:space="preserve"> </v>
      </c>
      <c r="AL239" s="315" t="str">
        <f t="shared" si="362"/>
        <v xml:space="preserve"> </v>
      </c>
      <c r="AM239" s="315" t="str">
        <f t="shared" si="363"/>
        <v xml:space="preserve"> </v>
      </c>
      <c r="AN239" s="315" t="str">
        <f t="shared" si="364"/>
        <v xml:space="preserve"> </v>
      </c>
      <c r="AO239" s="315" t="str">
        <f t="shared" si="365"/>
        <v xml:space="preserve"> </v>
      </c>
      <c r="AP239" s="315" t="str">
        <f t="shared" si="366"/>
        <v xml:space="preserve"> </v>
      </c>
      <c r="AQ239" s="315" t="str">
        <f t="shared" si="367"/>
        <v xml:space="preserve"> </v>
      </c>
      <c r="AR239" s="276"/>
      <c r="AS239" s="321" t="str">
        <f t="shared" si="400"/>
        <v xml:space="preserve"> </v>
      </c>
      <c r="AT239" s="324" t="str">
        <f t="shared" si="401"/>
        <v xml:space="preserve"> </v>
      </c>
      <c r="AU239" s="324" t="str">
        <f t="shared" si="402"/>
        <v xml:space="preserve"> </v>
      </c>
      <c r="AV239" s="324" t="str">
        <f t="shared" si="403"/>
        <v xml:space="preserve"> </v>
      </c>
      <c r="AW239" s="324" t="str">
        <f t="shared" si="404"/>
        <v xml:space="preserve"> </v>
      </c>
      <c r="AX239" s="324" t="str">
        <f t="shared" si="405"/>
        <v xml:space="preserve"> </v>
      </c>
      <c r="AY239" s="324" t="str">
        <f t="shared" si="406"/>
        <v xml:space="preserve"> </v>
      </c>
      <c r="AZ239" s="276"/>
      <c r="BA239" s="267" t="str">
        <f>IF($A239="N/A"," ",(IF(MONTH(A239)&gt;=4,IF(MONTH(A239)&lt;=10,Inputs!$F$13,Inputs!$F$14),Inputs!$F$14))*$BW239)</f>
        <v xml:space="preserve"> </v>
      </c>
      <c r="BB239" s="268" t="str">
        <f t="shared" si="382"/>
        <v xml:space="preserve"> </v>
      </c>
      <c r="BC239" s="268" t="str">
        <f t="shared" si="383"/>
        <v xml:space="preserve"> </v>
      </c>
      <c r="BD239" s="268" t="str">
        <f t="shared" si="350"/>
        <v xml:space="preserve"> </v>
      </c>
      <c r="BE239" s="268" t="str">
        <f t="shared" si="351"/>
        <v xml:space="preserve"> </v>
      </c>
      <c r="BF239" s="268" t="str">
        <f t="shared" si="352"/>
        <v xml:space="preserve"> </v>
      </c>
      <c r="BG239" s="268" t="str">
        <f t="shared" si="353"/>
        <v xml:space="preserve"> </v>
      </c>
      <c r="BH239" s="268" t="str">
        <f t="shared" si="359"/>
        <v xml:space="preserve"> </v>
      </c>
      <c r="BI239" s="268" t="str">
        <f t="shared" si="354"/>
        <v xml:space="preserve"> </v>
      </c>
      <c r="BJ239" s="296" t="str">
        <f t="shared" si="355"/>
        <v xml:space="preserve"> </v>
      </c>
      <c r="BK239" s="296" t="str">
        <f t="shared" si="356"/>
        <v xml:space="preserve"> </v>
      </c>
      <c r="BL239" s="296" t="str">
        <f t="shared" si="357"/>
        <v xml:space="preserve"> </v>
      </c>
      <c r="BM239" s="296" t="str">
        <f t="shared" si="358"/>
        <v xml:space="preserve"> </v>
      </c>
      <c r="BN239" s="405" t="str">
        <f>IF(A239="N/A"," ",(VLOOKUP(A239,PowerVolTable,(IF('Pricing Inputs'!$AT$3=2,7,IF('Pricing Inputs'!$AT$3=1,6,8))),FALSE)))</f>
        <v xml:space="preserve"> </v>
      </c>
      <c r="BO239" s="405" t="str">
        <f>IF(A239="N/A"," ",(VLOOKUP(A239,IntraPowerVol,(IF('Pricing Inputs'!$AT$3=2,3,IF('Pricing Inputs'!$AT$3=1,2,4))),FALSE)*VLOOKUP(MONTH($A239),Inputs!$A$28:$B$39,2)))</f>
        <v xml:space="preserve"> </v>
      </c>
      <c r="BP239" s="406" t="str">
        <f t="shared" si="336"/>
        <v xml:space="preserve"> </v>
      </c>
      <c r="BQ239" s="405" t="str">
        <f>IF($A239="N/A"," ",(VLOOKUP($A239,GasVolTable,(IF('Pricing Inputs'!$AT$3=2,6,IF('Pricing Inputs'!$AT$3=1,7,5))),FALSE)))</f>
        <v xml:space="preserve"> </v>
      </c>
      <c r="BR239" s="405" t="str">
        <f>IF($A239="N/A"," ",(VLOOKUP($A239,OmicronVol,(IF('Pricing Inputs'!$AT$3=2,3,IF('Pricing Inputs'!$AT$3=1,4,2))),FALSE)))</f>
        <v xml:space="preserve"> </v>
      </c>
      <c r="BS239" s="406" t="str">
        <f>IF($A239="N/A"," ",IF('Pricing Inputs'!$AN$3=1,(IF(DateToday&gt;$A239,$BR239,((($BQ239^2)*((($A239-1)-DateToday)/((EOMONTH($A239,0)+1)-DateToday-15)))+((($BR239)^2)*((15)/((EOMONTH($A239,0)+1)-DateToday-15))))^0.5)),0.0001))</f>
        <v xml:space="preserve"> </v>
      </c>
      <c r="BT239" s="405" t="str">
        <f>IF($A239="N/A"," ",IF('Pricing Inputs'!$AN$3=1,(VLOOKUP($A239,CorrelationTable,2,FALSE)),0))</f>
        <v xml:space="preserve"> </v>
      </c>
      <c r="BU239" s="407" t="str">
        <f>IF($A239="N/A"," ",F239+G239+(D239*(VLOOKUP($A239,'Gas Curves'!$B$17:$P$310,14,FALSE))))</f>
        <v xml:space="preserve"> </v>
      </c>
      <c r="BV239" s="405" t="str">
        <f>IF($A239="N/A"," ",IF('Pricing Inputs'!$AW$3=1,0,(VLOOKUP($A239,InterestRatesTable,2))))</f>
        <v xml:space="preserve"> </v>
      </c>
      <c r="BW239" s="408" t="str">
        <f t="shared" si="337"/>
        <v xml:space="preserve"> </v>
      </c>
    </row>
    <row r="240" spans="1:75">
      <c r="A240" s="248" t="str">
        <f>IF(A239="N/A","N/A",IF(EDATE(A239,1)&gt;Inputs!$K$3,"N/A",EDATE(A239,1)))</f>
        <v>N/A</v>
      </c>
      <c r="B240" s="262" t="str">
        <f t="shared" si="338"/>
        <v xml:space="preserve"> </v>
      </c>
      <c r="C240" s="249" t="str">
        <f t="shared" si="339"/>
        <v xml:space="preserve"> </v>
      </c>
      <c r="D240" s="250" t="str">
        <f>IF(A240="N/A"," ",(VLOOKUP(MONTH($A240),Inputs!$A$14:$B$25,2))/1000)</f>
        <v xml:space="preserve"> </v>
      </c>
      <c r="E240" s="304" t="str">
        <f t="shared" si="340"/>
        <v xml:space="preserve"> </v>
      </c>
      <c r="F240" s="251" t="str">
        <f>IF(A240="N/A"," ",Inputs!$F$6)</f>
        <v xml:space="preserve"> </v>
      </c>
      <c r="G240" s="251" t="str">
        <f>IF(A240="N/A"," ",Inputs!$F$9/IF(AND('Pricing Inputs'!$AQ$3&gt;=4,'Pricing Inputs'!$AQ$3&lt;=6),16,IF(AND('Pricing Inputs'!$AQ$3&gt;=7,'Pricing Inputs'!$AQ$3&lt;=9),8,24))/(BA240/BW240))</f>
        <v xml:space="preserve"> </v>
      </c>
      <c r="H240" s="252" t="str">
        <f t="shared" si="341"/>
        <v xml:space="preserve"> </v>
      </c>
      <c r="I240" s="255" t="str">
        <f>VLOOKUP(A240,ScaledPrice,(IF(AND('Pricing Inputs'!$AQ$3&gt;=1,'Pricing Inputs'!$AQ$3&lt;=6),2,4)))</f>
        <v xml:space="preserve"> </v>
      </c>
      <c r="J240" s="255" t="str">
        <f>IF(A240="N/A"," ",IF(AND('Pricing Inputs'!$AQ$3&gt;=1,'Pricing Inputs'!$AQ$3&lt;=6),I240,(VLOOKUP(A240,ScaledPrice,2))*(2-(VLOOKUP(A240,ScaledPrice,3)))))</f>
        <v xml:space="preserve"> </v>
      </c>
      <c r="K240" s="255" t="str">
        <f>IF(A240="N/A"," ",IF(OR('Pricing Inputs'!$AQ$3=2,'Pricing Inputs'!$AQ$3=3,'Pricing Inputs'!$AQ$3=5,'Pricing Inputs'!$AQ$3=6,'Pricing Inputs'!$AQ$3=8,'Pricing Inputs'!$AQ$3=9),VLOOKUP(A240,ScaledPrice,IF(AND('Pricing Inputs'!$AQ$3&gt;=2,'Pricing Inputs'!$AQ$3&lt;=6),5,6)),0))</f>
        <v xml:space="preserve"> </v>
      </c>
      <c r="L240" s="255" t="str">
        <f>IF(A240="N/A"," ",IF(OR('Pricing Inputs'!$AQ$3=2,'Pricing Inputs'!$AQ$3=3,'Pricing Inputs'!$AQ$3=5,'Pricing Inputs'!$AQ$3=6,'Pricing Inputs'!$AQ$3=8,'Pricing Inputs'!$AQ$3=9),IF(AND('Pricing Inputs'!$AQ$3&gt;=2,'Pricing Inputs'!$AQ$3&lt;=6),K240,(VLOOKUP(A240,ScaledPrice,5))*(2-(VLOOKUP(A240,ScaledPrice,3)))),0))</f>
        <v xml:space="preserve"> </v>
      </c>
      <c r="M240" s="255" t="str">
        <f>IF(A240="N/A"," ",IF(OR('Pricing Inputs'!$AQ$3=3,'Pricing Inputs'!$AQ$3=6,'Pricing Inputs'!$AQ$3=9),(VLOOKUP(A240,ScaledPrice,IF(AND('Pricing Inputs'!$AQ$3&gt;=3,'Pricing Inputs'!$AQ$3&lt;=6),7,8))),0))</f>
        <v xml:space="preserve"> </v>
      </c>
      <c r="N240" s="255" t="str">
        <f>IF(A240="N/A"," ",IF(OR('Pricing Inputs'!$AQ$3=3,'Pricing Inputs'!$AQ$3=6,'Pricing Inputs'!$AQ$3=9),IF(AND('Pricing Inputs'!$AQ$3&gt;=3,'Pricing Inputs'!$AQ$3&lt;=6),M240,(VLOOKUP(A240,ScaledPrice,7))*(2-(VLOOKUP(A240,ScaledPrice,3)))),0))</f>
        <v xml:space="preserve"> </v>
      </c>
      <c r="O240" s="255" t="str">
        <f>IF(A240="N/A"," ",IF(AND('Pricing Inputs'!$AQ$3&gt;=1,'Pricing Inputs'!$AQ$3&lt;=3),VLOOKUP(A240,ScaledPrice,9),0))</f>
        <v xml:space="preserve"> </v>
      </c>
      <c r="P240" s="320" t="str">
        <f>IF($A240="N/A"," ",IF('Pricing Inputs'!$AN$8=2,(I240-H240),IF('Pricing Inputs'!$AN$3=2,IF((I240-$H240)&gt;0,I240-$H240,0),(_xll.xSPRDOPT(I240,$E240,$BU240,0,$BP240,$BS240,$BT240,($A240-Inputs!$D$1)+15,1,0)))))</f>
        <v xml:space="preserve"> </v>
      </c>
      <c r="Q240" s="320" t="str">
        <f>IF($A240="N/A"," ",IF('Pricing Inputs'!$AN$8=2,(J240-$H240),IF('Pricing Inputs'!$AN$3=2,IF((J240-$H240)&gt;0,J240-$H240,0),(_xll.xSPRDOPT(J240,$E240,$BU240,0,$BP240,$BS240,$BT240,($A240-Inputs!$D$1)+15,1,0)))))</f>
        <v xml:space="preserve"> </v>
      </c>
      <c r="R240" s="320" t="str">
        <f>IF($A240="N/A"," ",IF('Pricing Inputs'!$AN$8=2,(K240-$H240),IF('Pricing Inputs'!$AN$3=2,IF((K240-$H240)&gt;0,K240-$H240,0),(_xll.xSPRDOPT(K240,$E240,$BU240,0,$BP240,$BS240,$BT240,($A240-Inputs!$D$1)+15,1,0)))))</f>
        <v xml:space="preserve"> </v>
      </c>
      <c r="S240" s="320" t="str">
        <f>IF($A240="N/A"," ",IF('Pricing Inputs'!$AN$8=2,(L240-$H240),IF('Pricing Inputs'!$AN$3=2,IF((L240-$H240)&gt;0,L240-$H240,0),(_xll.xSPRDOPT(L240,$E240,$BU240,0,$BP240,$BS240,$BT240,($A240-Inputs!$D$1)+15,1,0)))))</f>
        <v xml:space="preserve"> </v>
      </c>
      <c r="T240" s="320" t="str">
        <f>IF($A240="N/A"," ",IF('Pricing Inputs'!$AN$8=2,(M240-$H240),IF('Pricing Inputs'!$AN$3=2,IF((M240-$H240)&gt;0,M240-$H240,0),(_xll.xSPRDOPT(M240,$E240,$BU240,0,$BP240,$BS240,$BT240,($A240-Inputs!$D$1)+15,1,0)))))</f>
        <v xml:space="preserve"> </v>
      </c>
      <c r="U240" s="320" t="str">
        <f>IF($A240="N/A"," ",IF('Pricing Inputs'!$AN$8=2,(N240-$H240),IF('Pricing Inputs'!$AN$3=2,IF((N240-$H240)&gt;0,N240-$H240,0),(_xll.xSPRDOPT(N240,$E240,$BU240,0,$BP240,$BS240,$BT240,($A240-Inputs!$D$1)+15,1,0)))))</f>
        <v xml:space="preserve"> </v>
      </c>
      <c r="V240" s="259" t="str">
        <f>IF($A240="N/A"," ",(IF('Pricing Inputs'!$AN$8=2,(O240-$H240),IF((O240-$H240)&lt;=0,0,(O240-$H240)))))</f>
        <v xml:space="preserve"> </v>
      </c>
      <c r="W240" s="306" t="str">
        <f>IF($A240="N/A"," ",IF(0&lt;&gt;P240,IF('Pricing Inputs'!$AN$3=2,8*VLOOKUP($A240,NumberofDaysTable,2),(_xll.xSPRDOPT(I240,$E240,$BU240,0,$BP240,$BS240,$BT240,$A240-Inputs!$D$1,1,1))*(8*VLOOKUP($A240,NumberofDaysTable,2))),0))</f>
        <v xml:space="preserve"> </v>
      </c>
      <c r="X240" s="306" t="str">
        <f>IF($A240="N/A"," ",IF(Q240&lt;&gt;0,IF('Pricing Inputs'!$AN$3=2,8*VLOOKUP($A240,NumberofDaysTable,2),(_xll.xSPRDOPT(J240,$E240,$BU240,0,$BP240,$BS240,$BT240,$A240-Inputs!$D$1,1,1))*(8*VLOOKUP($A240,NumberofDaysTable,2))),0))</f>
        <v xml:space="preserve"> </v>
      </c>
      <c r="Y240" s="306" t="str">
        <f>IF($A240="N/A"," ",IF(R240&lt;&gt;0,IF('Pricing Inputs'!$AN$3=2,8*VLOOKUP($A240,NumberofDaysTable,3),(_xll.xSPRDOPT(K240,$E240,$BU240,0,$BP240,$BS240,$BT240,$A240-Inputs!$D$1,1,1))*(8*VLOOKUP($A240,NumberofDaysTable,3))),0))</f>
        <v xml:space="preserve"> </v>
      </c>
      <c r="Z240" s="306" t="str">
        <f>IF($A240="N/A"," ",IF(S240&lt;&gt;0,IF('Pricing Inputs'!$AN$3=2,8*VLOOKUP($A240,NumberofDaysTable,3),(_xll.xSPRDOPT(L240,$E240,$BU240,0,$BP240,$BS240,$BT240,$A240-Inputs!$D$1,1,1))*(8*VLOOKUP($A240,NumberofDaysTable,3))),0))</f>
        <v xml:space="preserve"> </v>
      </c>
      <c r="AA240" s="306" t="str">
        <f>IF($A240="N/A"," ",IF(T240&lt;&gt;0,IF('Pricing Inputs'!$AN$3=2,8*VLOOKUP($A240,NumberofDaysTable,4),(_xll.xSPRDOPT(M240,$E240,$BU240,0,$BP240,$BS240,$BT240,$A240-Inputs!$D$1,1,1))*(8*VLOOKUP($A240,NumberofDaysTable,4))),0))</f>
        <v xml:space="preserve"> </v>
      </c>
      <c r="AB240" s="306" t="str">
        <f>IF($A240="N/A"," ",IF(U240&lt;&gt;0,IF('Pricing Inputs'!$AN$3=2,8*VLOOKUP($A240,NumberofDaysTable,4),(_xll.xSPRDOPT(N240,$E240,$BU240,0,$BP240,$BS240,$BT240,$A240-Inputs!$D$1,1,1))*(8*VLOOKUP($A240,NumberofDaysTable,4))),0))</f>
        <v xml:space="preserve"> </v>
      </c>
      <c r="AC240" s="306" t="str">
        <f t="shared" si="342"/>
        <v xml:space="preserve"> </v>
      </c>
      <c r="AD240" s="274" t="str">
        <f t="shared" si="407"/>
        <v xml:space="preserve"> </v>
      </c>
      <c r="AE240" s="275" t="str">
        <f t="shared" si="408"/>
        <v xml:space="preserve"> </v>
      </c>
      <c r="AF240" s="275" t="str">
        <f t="shared" si="409"/>
        <v xml:space="preserve"> </v>
      </c>
      <c r="AG240" s="275" t="str">
        <f t="shared" si="410"/>
        <v xml:space="preserve"> </v>
      </c>
      <c r="AH240" s="275" t="str">
        <f t="shared" si="411"/>
        <v xml:space="preserve"> </v>
      </c>
      <c r="AI240" s="275" t="str">
        <f t="shared" si="412"/>
        <v xml:space="preserve"> </v>
      </c>
      <c r="AJ240" s="276" t="str">
        <f t="shared" si="413"/>
        <v xml:space="preserve"> </v>
      </c>
      <c r="AK240" s="314" t="str">
        <f t="shared" si="361"/>
        <v xml:space="preserve"> </v>
      </c>
      <c r="AL240" s="315" t="str">
        <f t="shared" si="362"/>
        <v xml:space="preserve"> </v>
      </c>
      <c r="AM240" s="315" t="str">
        <f t="shared" si="363"/>
        <v xml:space="preserve"> </v>
      </c>
      <c r="AN240" s="315" t="str">
        <f t="shared" si="364"/>
        <v xml:space="preserve"> </v>
      </c>
      <c r="AO240" s="315" t="str">
        <f t="shared" si="365"/>
        <v xml:space="preserve"> </v>
      </c>
      <c r="AP240" s="315" t="str">
        <f t="shared" si="366"/>
        <v xml:space="preserve"> </v>
      </c>
      <c r="AQ240" s="315" t="str">
        <f t="shared" si="367"/>
        <v xml:space="preserve"> </v>
      </c>
      <c r="AR240" s="276"/>
      <c r="AS240" s="321" t="str">
        <f t="shared" si="400"/>
        <v xml:space="preserve"> </v>
      </c>
      <c r="AT240" s="324" t="str">
        <f t="shared" si="401"/>
        <v xml:space="preserve"> </v>
      </c>
      <c r="AU240" s="324" t="str">
        <f t="shared" si="402"/>
        <v xml:space="preserve"> </v>
      </c>
      <c r="AV240" s="324" t="str">
        <f t="shared" si="403"/>
        <v xml:space="preserve"> </v>
      </c>
      <c r="AW240" s="324" t="str">
        <f t="shared" si="404"/>
        <v xml:space="preserve"> </v>
      </c>
      <c r="AX240" s="324" t="str">
        <f t="shared" si="405"/>
        <v xml:space="preserve"> </v>
      </c>
      <c r="AY240" s="324" t="str">
        <f t="shared" si="406"/>
        <v xml:space="preserve"> </v>
      </c>
      <c r="AZ240" s="276"/>
      <c r="BA240" s="267" t="str">
        <f>IF($A240="N/A"," ",(IF(MONTH(A240)&gt;=4,IF(MONTH(A240)&lt;=10,Inputs!$F$13,Inputs!$F$14),Inputs!$F$14))*$BW240)</f>
        <v xml:space="preserve"> </v>
      </c>
      <c r="BB240" s="268" t="str">
        <f t="shared" si="382"/>
        <v xml:space="preserve"> </v>
      </c>
      <c r="BC240" s="268" t="str">
        <f t="shared" si="383"/>
        <v xml:space="preserve"> </v>
      </c>
      <c r="BD240" s="268" t="str">
        <f t="shared" si="350"/>
        <v xml:space="preserve"> </v>
      </c>
      <c r="BE240" s="268" t="str">
        <f t="shared" si="351"/>
        <v xml:space="preserve"> </v>
      </c>
      <c r="BF240" s="268" t="str">
        <f t="shared" si="352"/>
        <v xml:space="preserve"> </v>
      </c>
      <c r="BG240" s="268" t="str">
        <f t="shared" si="353"/>
        <v xml:space="preserve"> </v>
      </c>
      <c r="BH240" s="268" t="str">
        <f t="shared" si="359"/>
        <v xml:space="preserve"> </v>
      </c>
      <c r="BI240" s="268" t="str">
        <f t="shared" si="354"/>
        <v xml:space="preserve"> </v>
      </c>
      <c r="BJ240" s="296" t="str">
        <f t="shared" si="355"/>
        <v xml:space="preserve"> </v>
      </c>
      <c r="BK240" s="296" t="str">
        <f t="shared" si="356"/>
        <v xml:space="preserve"> </v>
      </c>
      <c r="BL240" s="296" t="str">
        <f t="shared" si="357"/>
        <v xml:space="preserve"> </v>
      </c>
      <c r="BM240" s="296" t="str">
        <f t="shared" si="358"/>
        <v xml:space="preserve"> </v>
      </c>
      <c r="BN240" s="405" t="str">
        <f>IF(A240="N/A"," ",(VLOOKUP(A240,PowerVolTable,(IF('Pricing Inputs'!$AT$3=2,7,IF('Pricing Inputs'!$AT$3=1,6,8))),FALSE)))</f>
        <v xml:space="preserve"> </v>
      </c>
      <c r="BO240" s="405" t="str">
        <f>IF(A240="N/A"," ",(VLOOKUP(A240,IntraPowerVol,(IF('Pricing Inputs'!$AT$3=2,3,IF('Pricing Inputs'!$AT$3=1,2,4))),FALSE)*VLOOKUP(MONTH($A240),Inputs!$A$28:$B$39,2)))</f>
        <v xml:space="preserve"> </v>
      </c>
      <c r="BP240" s="406" t="str">
        <f t="shared" si="336"/>
        <v xml:space="preserve"> </v>
      </c>
      <c r="BQ240" s="405" t="str">
        <f>IF($A240="N/A"," ",(VLOOKUP($A240,GasVolTable,(IF('Pricing Inputs'!$AT$3=2,6,IF('Pricing Inputs'!$AT$3=1,7,5))),FALSE)))</f>
        <v xml:space="preserve"> </v>
      </c>
      <c r="BR240" s="405" t="str">
        <f>IF($A240="N/A"," ",(VLOOKUP($A240,OmicronVol,(IF('Pricing Inputs'!$AT$3=2,3,IF('Pricing Inputs'!$AT$3=1,4,2))),FALSE)))</f>
        <v xml:space="preserve"> </v>
      </c>
      <c r="BS240" s="406" t="str">
        <f>IF($A240="N/A"," ",IF('Pricing Inputs'!$AN$3=1,(IF(DateToday&gt;$A240,$BR240,((($BQ240^2)*((($A240-1)-DateToday)/((EOMONTH($A240,0)+1)-DateToday-15)))+((($BR240)^2)*((15)/((EOMONTH($A240,0)+1)-DateToday-15))))^0.5)),0.0001))</f>
        <v xml:space="preserve"> </v>
      </c>
      <c r="BT240" s="405" t="str">
        <f>IF($A240="N/A"," ",IF('Pricing Inputs'!$AN$3=1,(VLOOKUP($A240,CorrelationTable,2,FALSE)),0))</f>
        <v xml:space="preserve"> </v>
      </c>
      <c r="BU240" s="407" t="str">
        <f>IF($A240="N/A"," ",F240+G240+(D240*(VLOOKUP($A240,'Gas Curves'!$B$17:$P$310,14,FALSE))))</f>
        <v xml:space="preserve"> </v>
      </c>
      <c r="BV240" s="405" t="str">
        <f>IF($A240="N/A"," ",IF('Pricing Inputs'!$AW$3=1,0,(VLOOKUP($A240,InterestRatesTable,2))))</f>
        <v xml:space="preserve"> </v>
      </c>
      <c r="BW240" s="408" t="str">
        <f t="shared" si="337"/>
        <v xml:space="preserve"> </v>
      </c>
    </row>
    <row r="241" spans="1:75">
      <c r="A241" s="248" t="str">
        <f>IF(A240="N/A","N/A",IF(EDATE(A240,1)&gt;Inputs!$K$3,"N/A",EDATE(A240,1)))</f>
        <v>N/A</v>
      </c>
      <c r="B241" s="262" t="str">
        <f t="shared" si="338"/>
        <v xml:space="preserve"> </v>
      </c>
      <c r="C241" s="249" t="str">
        <f t="shared" si="339"/>
        <v xml:space="preserve"> </v>
      </c>
      <c r="D241" s="250" t="str">
        <f>IF(A241="N/A"," ",(VLOOKUP(MONTH($A241),Inputs!$A$14:$B$25,2))/1000)</f>
        <v xml:space="preserve"> </v>
      </c>
      <c r="E241" s="304" t="str">
        <f t="shared" si="340"/>
        <v xml:space="preserve"> </v>
      </c>
      <c r="F241" s="251" t="str">
        <f>IF(A241="N/A"," ",Inputs!$F$6)</f>
        <v xml:space="preserve"> </v>
      </c>
      <c r="G241" s="251" t="str">
        <f>IF(A241="N/A"," ",Inputs!$F$9/IF(AND('Pricing Inputs'!$AQ$3&gt;=4,'Pricing Inputs'!$AQ$3&lt;=6),16,IF(AND('Pricing Inputs'!$AQ$3&gt;=7,'Pricing Inputs'!$AQ$3&lt;=9),8,24))/(BA241/BW241))</f>
        <v xml:space="preserve"> </v>
      </c>
      <c r="H241" s="252" t="str">
        <f t="shared" si="341"/>
        <v xml:space="preserve"> </v>
      </c>
      <c r="I241" s="255" t="str">
        <f>VLOOKUP(A241,ScaledPrice,(IF(AND('Pricing Inputs'!$AQ$3&gt;=1,'Pricing Inputs'!$AQ$3&lt;=6),2,4)))</f>
        <v xml:space="preserve"> </v>
      </c>
      <c r="J241" s="255" t="str">
        <f>IF(A241="N/A"," ",IF(AND('Pricing Inputs'!$AQ$3&gt;=1,'Pricing Inputs'!$AQ$3&lt;=6),I241,(VLOOKUP(A241,ScaledPrice,2))*(2-(VLOOKUP(A241,ScaledPrice,3)))))</f>
        <v xml:space="preserve"> </v>
      </c>
      <c r="K241" s="255" t="str">
        <f>IF(A241="N/A"," ",IF(OR('Pricing Inputs'!$AQ$3=2,'Pricing Inputs'!$AQ$3=3,'Pricing Inputs'!$AQ$3=5,'Pricing Inputs'!$AQ$3=6,'Pricing Inputs'!$AQ$3=8,'Pricing Inputs'!$AQ$3=9),VLOOKUP(A241,ScaledPrice,IF(AND('Pricing Inputs'!$AQ$3&gt;=2,'Pricing Inputs'!$AQ$3&lt;=6),5,6)),0))</f>
        <v xml:space="preserve"> </v>
      </c>
      <c r="L241" s="255" t="str">
        <f>IF(A241="N/A"," ",IF(OR('Pricing Inputs'!$AQ$3=2,'Pricing Inputs'!$AQ$3=3,'Pricing Inputs'!$AQ$3=5,'Pricing Inputs'!$AQ$3=6,'Pricing Inputs'!$AQ$3=8,'Pricing Inputs'!$AQ$3=9),IF(AND('Pricing Inputs'!$AQ$3&gt;=2,'Pricing Inputs'!$AQ$3&lt;=6),K241,(VLOOKUP(A241,ScaledPrice,5))*(2-(VLOOKUP(A241,ScaledPrice,3)))),0))</f>
        <v xml:space="preserve"> </v>
      </c>
      <c r="M241" s="255" t="str">
        <f>IF(A241="N/A"," ",IF(OR('Pricing Inputs'!$AQ$3=3,'Pricing Inputs'!$AQ$3=6,'Pricing Inputs'!$AQ$3=9),(VLOOKUP(A241,ScaledPrice,IF(AND('Pricing Inputs'!$AQ$3&gt;=3,'Pricing Inputs'!$AQ$3&lt;=6),7,8))),0))</f>
        <v xml:space="preserve"> </v>
      </c>
      <c r="N241" s="255" t="str">
        <f>IF(A241="N/A"," ",IF(OR('Pricing Inputs'!$AQ$3=3,'Pricing Inputs'!$AQ$3=6,'Pricing Inputs'!$AQ$3=9),IF(AND('Pricing Inputs'!$AQ$3&gt;=3,'Pricing Inputs'!$AQ$3&lt;=6),M241,(VLOOKUP(A241,ScaledPrice,7))*(2-(VLOOKUP(A241,ScaledPrice,3)))),0))</f>
        <v xml:space="preserve"> </v>
      </c>
      <c r="O241" s="255" t="str">
        <f>IF(A241="N/A"," ",IF(AND('Pricing Inputs'!$AQ$3&gt;=1,'Pricing Inputs'!$AQ$3&lt;=3),VLOOKUP(A241,ScaledPrice,9),0))</f>
        <v xml:space="preserve"> </v>
      </c>
      <c r="P241" s="320" t="str">
        <f>IF($A241="N/A"," ",IF('Pricing Inputs'!$AN$8=2,(I241-H241),IF('Pricing Inputs'!$AN$3=2,IF((I241-$H241)&gt;0,I241-$H241,0),(_xll.xSPRDOPT(I241,$E241,$BU241,0,$BP241,$BS241,$BT241,($A241-Inputs!$D$1)+15,1,0)))))</f>
        <v xml:space="preserve"> </v>
      </c>
      <c r="Q241" s="320" t="str">
        <f>IF($A241="N/A"," ",IF('Pricing Inputs'!$AN$8=2,(J241-$H241),IF('Pricing Inputs'!$AN$3=2,IF((J241-$H241)&gt;0,J241-$H241,0),(_xll.xSPRDOPT(J241,$E241,$BU241,0,$BP241,$BS241,$BT241,($A241-Inputs!$D$1)+15,1,0)))))</f>
        <v xml:space="preserve"> </v>
      </c>
      <c r="R241" s="320" t="str">
        <f>IF($A241="N/A"," ",IF('Pricing Inputs'!$AN$8=2,(K241-$H241),IF('Pricing Inputs'!$AN$3=2,IF((K241-$H241)&gt;0,K241-$H241,0),(_xll.xSPRDOPT(K241,$E241,$BU241,0,$BP241,$BS241,$BT241,($A241-Inputs!$D$1)+15,1,0)))))</f>
        <v xml:space="preserve"> </v>
      </c>
      <c r="S241" s="320" t="str">
        <f>IF($A241="N/A"," ",IF('Pricing Inputs'!$AN$8=2,(L241-$H241),IF('Pricing Inputs'!$AN$3=2,IF((L241-$H241)&gt;0,L241-$H241,0),(_xll.xSPRDOPT(L241,$E241,$BU241,0,$BP241,$BS241,$BT241,($A241-Inputs!$D$1)+15,1,0)))))</f>
        <v xml:space="preserve"> </v>
      </c>
      <c r="T241" s="320" t="str">
        <f>IF($A241="N/A"," ",IF('Pricing Inputs'!$AN$8=2,(M241-$H241),IF('Pricing Inputs'!$AN$3=2,IF((M241-$H241)&gt;0,M241-$H241,0),(_xll.xSPRDOPT(M241,$E241,$BU241,0,$BP241,$BS241,$BT241,($A241-Inputs!$D$1)+15,1,0)))))</f>
        <v xml:space="preserve"> </v>
      </c>
      <c r="U241" s="320" t="str">
        <f>IF($A241="N/A"," ",IF('Pricing Inputs'!$AN$8=2,(N241-$H241),IF('Pricing Inputs'!$AN$3=2,IF((N241-$H241)&gt;0,N241-$H241,0),(_xll.xSPRDOPT(N241,$E241,$BU241,0,$BP241,$BS241,$BT241,($A241-Inputs!$D$1)+15,1,0)))))</f>
        <v xml:space="preserve"> </v>
      </c>
      <c r="V241" s="259" t="str">
        <f>IF($A241="N/A"," ",(IF('Pricing Inputs'!$AN$8=2,(O241-$H241),IF((O241-$H241)&lt;=0,0,(O241-$H241)))))</f>
        <v xml:space="preserve"> </v>
      </c>
      <c r="W241" s="306" t="str">
        <f>IF($A241="N/A"," ",IF(0&lt;&gt;P241,IF('Pricing Inputs'!$AN$3=2,8*VLOOKUP($A241,NumberofDaysTable,2),(_xll.xSPRDOPT(I241,$E241,$BU241,0,$BP241,$BS241,$BT241,$A241-Inputs!$D$1,1,1))*(8*VLOOKUP($A241,NumberofDaysTable,2))),0))</f>
        <v xml:space="preserve"> </v>
      </c>
      <c r="X241" s="306" t="str">
        <f>IF($A241="N/A"," ",IF(Q241&lt;&gt;0,IF('Pricing Inputs'!$AN$3=2,8*VLOOKUP($A241,NumberofDaysTable,2),(_xll.xSPRDOPT(J241,$E241,$BU241,0,$BP241,$BS241,$BT241,$A241-Inputs!$D$1,1,1))*(8*VLOOKUP($A241,NumberofDaysTable,2))),0))</f>
        <v xml:space="preserve"> </v>
      </c>
      <c r="Y241" s="306" t="str">
        <f>IF($A241="N/A"," ",IF(R241&lt;&gt;0,IF('Pricing Inputs'!$AN$3=2,8*VLOOKUP($A241,NumberofDaysTable,3),(_xll.xSPRDOPT(K241,$E241,$BU241,0,$BP241,$BS241,$BT241,$A241-Inputs!$D$1,1,1))*(8*VLOOKUP($A241,NumberofDaysTable,3))),0))</f>
        <v xml:space="preserve"> </v>
      </c>
      <c r="Z241" s="306" t="str">
        <f>IF($A241="N/A"," ",IF(S241&lt;&gt;0,IF('Pricing Inputs'!$AN$3=2,8*VLOOKUP($A241,NumberofDaysTable,3),(_xll.xSPRDOPT(L241,$E241,$BU241,0,$BP241,$BS241,$BT241,$A241-Inputs!$D$1,1,1))*(8*VLOOKUP($A241,NumberofDaysTable,3))),0))</f>
        <v xml:space="preserve"> </v>
      </c>
      <c r="AA241" s="306" t="str">
        <f>IF($A241="N/A"," ",IF(T241&lt;&gt;0,IF('Pricing Inputs'!$AN$3=2,8*VLOOKUP($A241,NumberofDaysTable,4),(_xll.xSPRDOPT(M241,$E241,$BU241,0,$BP241,$BS241,$BT241,$A241-Inputs!$D$1,1,1))*(8*VLOOKUP($A241,NumberofDaysTable,4))),0))</f>
        <v xml:space="preserve"> </v>
      </c>
      <c r="AB241" s="306" t="str">
        <f>IF($A241="N/A"," ",IF(U241&lt;&gt;0,IF('Pricing Inputs'!$AN$3=2,8*VLOOKUP($A241,NumberofDaysTable,4),(_xll.xSPRDOPT(N241,$E241,$BU241,0,$BP241,$BS241,$BT241,$A241-Inputs!$D$1,1,1))*(8*VLOOKUP($A241,NumberofDaysTable,4))),0))</f>
        <v xml:space="preserve"> </v>
      </c>
      <c r="AC241" s="306" t="str">
        <f t="shared" si="342"/>
        <v xml:space="preserve"> </v>
      </c>
      <c r="AD241" s="274" t="str">
        <f t="shared" si="407"/>
        <v xml:space="preserve"> </v>
      </c>
      <c r="AE241" s="275" t="str">
        <f t="shared" si="408"/>
        <v xml:space="preserve"> </v>
      </c>
      <c r="AF241" s="275" t="str">
        <f t="shared" si="409"/>
        <v xml:space="preserve"> </v>
      </c>
      <c r="AG241" s="275" t="str">
        <f t="shared" si="410"/>
        <v xml:space="preserve"> </v>
      </c>
      <c r="AH241" s="275" t="str">
        <f t="shared" si="411"/>
        <v xml:space="preserve"> </v>
      </c>
      <c r="AI241" s="275" t="str">
        <f t="shared" si="412"/>
        <v xml:space="preserve"> </v>
      </c>
      <c r="AJ241" s="276" t="str">
        <f t="shared" si="413"/>
        <v xml:space="preserve"> </v>
      </c>
      <c r="AK241" s="314" t="str">
        <f t="shared" si="361"/>
        <v xml:space="preserve"> </v>
      </c>
      <c r="AL241" s="315" t="str">
        <f t="shared" si="362"/>
        <v xml:space="preserve"> </v>
      </c>
      <c r="AM241" s="315" t="str">
        <f t="shared" si="363"/>
        <v xml:space="preserve"> </v>
      </c>
      <c r="AN241" s="315" t="str">
        <f t="shared" si="364"/>
        <v xml:space="preserve"> </v>
      </c>
      <c r="AO241" s="315" t="str">
        <f t="shared" si="365"/>
        <v xml:space="preserve"> </v>
      </c>
      <c r="AP241" s="315" t="str">
        <f t="shared" si="366"/>
        <v xml:space="preserve"> </v>
      </c>
      <c r="AQ241" s="315" t="str">
        <f t="shared" si="367"/>
        <v xml:space="preserve"> </v>
      </c>
      <c r="AR241" s="284" t="s">
        <v>1292</v>
      </c>
      <c r="AS241" s="321" t="str">
        <f t="shared" si="400"/>
        <v xml:space="preserve"> </v>
      </c>
      <c r="AT241" s="324" t="str">
        <f t="shared" si="401"/>
        <v xml:space="preserve"> </v>
      </c>
      <c r="AU241" s="324" t="str">
        <f t="shared" si="402"/>
        <v xml:space="preserve"> </v>
      </c>
      <c r="AV241" s="324" t="str">
        <f t="shared" si="403"/>
        <v xml:space="preserve"> </v>
      </c>
      <c r="AW241" s="324" t="str">
        <f t="shared" si="404"/>
        <v xml:space="preserve"> </v>
      </c>
      <c r="AX241" s="324" t="str">
        <f t="shared" si="405"/>
        <v xml:space="preserve"> </v>
      </c>
      <c r="AY241" s="324" t="str">
        <f t="shared" si="406"/>
        <v xml:space="preserve"> </v>
      </c>
      <c r="AZ241" s="283" t="s">
        <v>1304</v>
      </c>
      <c r="BA241" s="267" t="str">
        <f>IF($A241="N/A"," ",(IF(MONTH(A241)&gt;=4,IF(MONTH(A241)&lt;=10,Inputs!$F$13,Inputs!$F$14),Inputs!$F$14))*$BW241)</f>
        <v xml:space="preserve"> </v>
      </c>
      <c r="BB241" s="268" t="str">
        <f t="shared" si="382"/>
        <v xml:space="preserve"> </v>
      </c>
      <c r="BC241" s="268" t="str">
        <f t="shared" si="383"/>
        <v xml:space="preserve"> </v>
      </c>
      <c r="BD241" s="268" t="str">
        <f t="shared" si="350"/>
        <v xml:space="preserve"> </v>
      </c>
      <c r="BE241" s="268" t="str">
        <f t="shared" si="351"/>
        <v xml:space="preserve"> </v>
      </c>
      <c r="BF241" s="268" t="str">
        <f t="shared" si="352"/>
        <v xml:space="preserve"> </v>
      </c>
      <c r="BG241" s="268" t="str">
        <f t="shared" si="353"/>
        <v xml:space="preserve"> </v>
      </c>
      <c r="BH241" s="268" t="str">
        <f t="shared" si="359"/>
        <v xml:space="preserve"> </v>
      </c>
      <c r="BI241" s="268" t="str">
        <f t="shared" si="354"/>
        <v xml:space="preserve"> </v>
      </c>
      <c r="BJ241" s="296" t="str">
        <f t="shared" si="355"/>
        <v xml:space="preserve"> </v>
      </c>
      <c r="BK241" s="296" t="str">
        <f t="shared" si="356"/>
        <v xml:space="preserve"> </v>
      </c>
      <c r="BL241" s="296" t="str">
        <f t="shared" si="357"/>
        <v xml:space="preserve"> </v>
      </c>
      <c r="BM241" s="296" t="str">
        <f t="shared" si="358"/>
        <v xml:space="preserve"> </v>
      </c>
      <c r="BN241" s="405" t="str">
        <f>IF(A241="N/A"," ",(VLOOKUP(A241,PowerVolTable,(IF('Pricing Inputs'!$AT$3=2,7,IF('Pricing Inputs'!$AT$3=1,6,8))),FALSE)))</f>
        <v xml:space="preserve"> </v>
      </c>
      <c r="BO241" s="405" t="str">
        <f>IF(A241="N/A"," ",(VLOOKUP(A241,IntraPowerVol,(IF('Pricing Inputs'!$AT$3=2,3,IF('Pricing Inputs'!$AT$3=1,2,4))),FALSE)*VLOOKUP(MONTH($A241),Inputs!$A$28:$B$39,2)))</f>
        <v xml:space="preserve"> </v>
      </c>
      <c r="BP241" s="406" t="str">
        <f t="shared" si="336"/>
        <v xml:space="preserve"> </v>
      </c>
      <c r="BQ241" s="405" t="str">
        <f>IF($A241="N/A"," ",(VLOOKUP($A241,GasVolTable,(IF('Pricing Inputs'!$AT$3=2,6,IF('Pricing Inputs'!$AT$3=1,7,5))),FALSE)))</f>
        <v xml:space="preserve"> </v>
      </c>
      <c r="BR241" s="405" t="str">
        <f>IF($A241="N/A"," ",(VLOOKUP($A241,OmicronVol,(IF('Pricing Inputs'!$AT$3=2,3,IF('Pricing Inputs'!$AT$3=1,4,2))),FALSE)))</f>
        <v xml:space="preserve"> </v>
      </c>
      <c r="BS241" s="406" t="str">
        <f>IF($A241="N/A"," ",IF('Pricing Inputs'!$AN$3=1,(IF(DateToday&gt;$A241,$BR241,((($BQ241^2)*((($A241-1)-DateToday)/((EOMONTH($A241,0)+1)-DateToday-15)))+((($BR241)^2)*((15)/((EOMONTH($A241,0)+1)-DateToday-15))))^0.5)),0.0001))</f>
        <v xml:space="preserve"> </v>
      </c>
      <c r="BT241" s="405" t="str">
        <f>IF($A241="N/A"," ",IF('Pricing Inputs'!$AN$3=1,(VLOOKUP($A241,CorrelationTable,2,FALSE)),0))</f>
        <v xml:space="preserve"> </v>
      </c>
      <c r="BU241" s="407" t="str">
        <f>IF($A241="N/A"," ",F241+G241+(D241*(VLOOKUP($A241,'Gas Curves'!$B$17:$P$310,14,FALSE))))</f>
        <v xml:space="preserve"> </v>
      </c>
      <c r="BV241" s="405" t="str">
        <f>IF($A241="N/A"," ",IF('Pricing Inputs'!$AW$3=1,0,(VLOOKUP($A241,InterestRatesTable,2))))</f>
        <v xml:space="preserve"> </v>
      </c>
      <c r="BW241" s="408" t="str">
        <f t="shared" si="337"/>
        <v xml:space="preserve"> </v>
      </c>
    </row>
    <row r="242" spans="1:75">
      <c r="A242" s="248" t="str">
        <f>IF(A241="N/A","N/A",IF(EDATE(A241,1)&gt;Inputs!$K$3,"N/A",EDATE(A241,1)))</f>
        <v>N/A</v>
      </c>
      <c r="B242" s="262" t="str">
        <f t="shared" si="338"/>
        <v xml:space="preserve"> </v>
      </c>
      <c r="C242" s="249" t="str">
        <f t="shared" si="339"/>
        <v xml:space="preserve"> </v>
      </c>
      <c r="D242" s="250" t="str">
        <f>IF(A242="N/A"," ",(VLOOKUP(MONTH($A242),Inputs!$A$14:$B$25,2))/1000)</f>
        <v xml:space="preserve"> </v>
      </c>
      <c r="E242" s="304" t="str">
        <f t="shared" si="340"/>
        <v xml:space="preserve"> </v>
      </c>
      <c r="F242" s="251" t="str">
        <f>IF(A242="N/A"," ",Inputs!$F$6)</f>
        <v xml:space="preserve"> </v>
      </c>
      <c r="G242" s="251" t="str">
        <f>IF(A242="N/A"," ",Inputs!$F$9/IF(AND('Pricing Inputs'!$AQ$3&gt;=4,'Pricing Inputs'!$AQ$3&lt;=6),16,IF(AND('Pricing Inputs'!$AQ$3&gt;=7,'Pricing Inputs'!$AQ$3&lt;=9),8,24))/(BA242/BW242))</f>
        <v xml:space="preserve"> </v>
      </c>
      <c r="H242" s="252" t="str">
        <f t="shared" si="341"/>
        <v xml:space="preserve"> </v>
      </c>
      <c r="I242" s="255" t="str">
        <f>VLOOKUP(A242,ScaledPrice,(IF(AND('Pricing Inputs'!$AQ$3&gt;=1,'Pricing Inputs'!$AQ$3&lt;=6),2,4)))</f>
        <v xml:space="preserve"> </v>
      </c>
      <c r="J242" s="255" t="str">
        <f>IF(A242="N/A"," ",IF(AND('Pricing Inputs'!$AQ$3&gt;=1,'Pricing Inputs'!$AQ$3&lt;=6),I242,(VLOOKUP(A242,ScaledPrice,2))*(2-(VLOOKUP(A242,ScaledPrice,3)))))</f>
        <v xml:space="preserve"> </v>
      </c>
      <c r="K242" s="255" t="str">
        <f>IF(A242="N/A"," ",IF(OR('Pricing Inputs'!$AQ$3=2,'Pricing Inputs'!$AQ$3=3,'Pricing Inputs'!$AQ$3=5,'Pricing Inputs'!$AQ$3=6,'Pricing Inputs'!$AQ$3=8,'Pricing Inputs'!$AQ$3=9),VLOOKUP(A242,ScaledPrice,IF(AND('Pricing Inputs'!$AQ$3&gt;=2,'Pricing Inputs'!$AQ$3&lt;=6),5,6)),0))</f>
        <v xml:space="preserve"> </v>
      </c>
      <c r="L242" s="255" t="str">
        <f>IF(A242="N/A"," ",IF(OR('Pricing Inputs'!$AQ$3=2,'Pricing Inputs'!$AQ$3=3,'Pricing Inputs'!$AQ$3=5,'Pricing Inputs'!$AQ$3=6,'Pricing Inputs'!$AQ$3=8,'Pricing Inputs'!$AQ$3=9),IF(AND('Pricing Inputs'!$AQ$3&gt;=2,'Pricing Inputs'!$AQ$3&lt;=6),K242,(VLOOKUP(A242,ScaledPrice,5))*(2-(VLOOKUP(A242,ScaledPrice,3)))),0))</f>
        <v xml:space="preserve"> </v>
      </c>
      <c r="M242" s="255" t="str">
        <f>IF(A242="N/A"," ",IF(OR('Pricing Inputs'!$AQ$3=3,'Pricing Inputs'!$AQ$3=6,'Pricing Inputs'!$AQ$3=9),(VLOOKUP(A242,ScaledPrice,IF(AND('Pricing Inputs'!$AQ$3&gt;=3,'Pricing Inputs'!$AQ$3&lt;=6),7,8))),0))</f>
        <v xml:space="preserve"> </v>
      </c>
      <c r="N242" s="255" t="str">
        <f>IF(A242="N/A"," ",IF(OR('Pricing Inputs'!$AQ$3=3,'Pricing Inputs'!$AQ$3=6,'Pricing Inputs'!$AQ$3=9),IF(AND('Pricing Inputs'!$AQ$3&gt;=3,'Pricing Inputs'!$AQ$3&lt;=6),M242,(VLOOKUP(A242,ScaledPrice,7))*(2-(VLOOKUP(A242,ScaledPrice,3)))),0))</f>
        <v xml:space="preserve"> </v>
      </c>
      <c r="O242" s="255" t="str">
        <f>IF(A242="N/A"," ",IF(AND('Pricing Inputs'!$AQ$3&gt;=1,'Pricing Inputs'!$AQ$3&lt;=3),VLOOKUP(A242,ScaledPrice,9),0))</f>
        <v xml:space="preserve"> </v>
      </c>
      <c r="P242" s="320" t="str">
        <f>IF($A242="N/A"," ",IF('Pricing Inputs'!$AN$8=2,(I242-H242),IF('Pricing Inputs'!$AN$3=2,IF((I242-$H242)&gt;0,I242-$H242,0),(_xll.xSPRDOPT(I242,$E242,$BU242,0,$BP242,$BS242,$BT242,($A242-Inputs!$D$1)+15,1,0)))))</f>
        <v xml:space="preserve"> </v>
      </c>
      <c r="Q242" s="320" t="str">
        <f>IF($A242="N/A"," ",IF('Pricing Inputs'!$AN$8=2,(J242-$H242),IF('Pricing Inputs'!$AN$3=2,IF((J242-$H242)&gt;0,J242-$H242,0),(_xll.xSPRDOPT(J242,$E242,$BU242,0,$BP242,$BS242,$BT242,($A242-Inputs!$D$1)+15,1,0)))))</f>
        <v xml:space="preserve"> </v>
      </c>
      <c r="R242" s="320" t="str">
        <f>IF($A242="N/A"," ",IF('Pricing Inputs'!$AN$8=2,(K242-$H242),IF('Pricing Inputs'!$AN$3=2,IF((K242-$H242)&gt;0,K242-$H242,0),(_xll.xSPRDOPT(K242,$E242,$BU242,0,$BP242,$BS242,$BT242,($A242-Inputs!$D$1)+15,1,0)))))</f>
        <v xml:space="preserve"> </v>
      </c>
      <c r="S242" s="320" t="str">
        <f>IF($A242="N/A"," ",IF('Pricing Inputs'!$AN$8=2,(L242-$H242),IF('Pricing Inputs'!$AN$3=2,IF((L242-$H242)&gt;0,L242-$H242,0),(_xll.xSPRDOPT(L242,$E242,$BU242,0,$BP242,$BS242,$BT242,($A242-Inputs!$D$1)+15,1,0)))))</f>
        <v xml:space="preserve"> </v>
      </c>
      <c r="T242" s="320" t="str">
        <f>IF($A242="N/A"," ",IF('Pricing Inputs'!$AN$8=2,(M242-$H242),IF('Pricing Inputs'!$AN$3=2,IF((M242-$H242)&gt;0,M242-$H242,0),(_xll.xSPRDOPT(M242,$E242,$BU242,0,$BP242,$BS242,$BT242,($A242-Inputs!$D$1)+15,1,0)))))</f>
        <v xml:space="preserve"> </v>
      </c>
      <c r="U242" s="320" t="str">
        <f>IF($A242="N/A"," ",IF('Pricing Inputs'!$AN$8=2,(N242-$H242),IF('Pricing Inputs'!$AN$3=2,IF((N242-$H242)&gt;0,N242-$H242,0),(_xll.xSPRDOPT(N242,$E242,$BU242,0,$BP242,$BS242,$BT242,($A242-Inputs!$D$1)+15,1,0)))))</f>
        <v xml:space="preserve"> </v>
      </c>
      <c r="V242" s="259" t="str">
        <f>IF($A242="N/A"," ",(IF('Pricing Inputs'!$AN$8=2,(O242-$H242),IF((O242-$H242)&lt;=0,0,(O242-$H242)))))</f>
        <v xml:space="preserve"> </v>
      </c>
      <c r="W242" s="306" t="str">
        <f>IF($A242="N/A"," ",IF(0&lt;&gt;P242,IF('Pricing Inputs'!$AN$3=2,8*VLOOKUP($A242,NumberofDaysTable,2),(_xll.xSPRDOPT(I242,$E242,$BU242,0,$BP242,$BS242,$BT242,$A242-Inputs!$D$1,1,1))*(8*VLOOKUP($A242,NumberofDaysTable,2))),0))</f>
        <v xml:space="preserve"> </v>
      </c>
      <c r="X242" s="306" t="str">
        <f>IF($A242="N/A"," ",IF(Q242&lt;&gt;0,IF('Pricing Inputs'!$AN$3=2,8*VLOOKUP($A242,NumberofDaysTable,2),(_xll.xSPRDOPT(J242,$E242,$BU242,0,$BP242,$BS242,$BT242,$A242-Inputs!$D$1,1,1))*(8*VLOOKUP($A242,NumberofDaysTable,2))),0))</f>
        <v xml:space="preserve"> </v>
      </c>
      <c r="Y242" s="306" t="str">
        <f>IF($A242="N/A"," ",IF(R242&lt;&gt;0,IF('Pricing Inputs'!$AN$3=2,8*VLOOKUP($A242,NumberofDaysTable,3),(_xll.xSPRDOPT(K242,$E242,$BU242,0,$BP242,$BS242,$BT242,$A242-Inputs!$D$1,1,1))*(8*VLOOKUP($A242,NumberofDaysTable,3))),0))</f>
        <v xml:space="preserve"> </v>
      </c>
      <c r="Z242" s="306" t="str">
        <f>IF($A242="N/A"," ",IF(S242&lt;&gt;0,IF('Pricing Inputs'!$AN$3=2,8*VLOOKUP($A242,NumberofDaysTable,3),(_xll.xSPRDOPT(L242,$E242,$BU242,0,$BP242,$BS242,$BT242,$A242-Inputs!$D$1,1,1))*(8*VLOOKUP($A242,NumberofDaysTable,3))),0))</f>
        <v xml:space="preserve"> </v>
      </c>
      <c r="AA242" s="306" t="str">
        <f>IF($A242="N/A"," ",IF(T242&lt;&gt;0,IF('Pricing Inputs'!$AN$3=2,8*VLOOKUP($A242,NumberofDaysTable,4),(_xll.xSPRDOPT(M242,$E242,$BU242,0,$BP242,$BS242,$BT242,$A242-Inputs!$D$1,1,1))*(8*VLOOKUP($A242,NumberofDaysTable,4))),0))</f>
        <v xml:space="preserve"> </v>
      </c>
      <c r="AB242" s="306" t="str">
        <f>IF($A242="N/A"," ",IF(U242&lt;&gt;0,IF('Pricing Inputs'!$AN$3=2,8*VLOOKUP($A242,NumberofDaysTable,4),(_xll.xSPRDOPT(N242,$E242,$BU242,0,$BP242,$BS242,$BT242,$A242-Inputs!$D$1,1,1))*(8*VLOOKUP($A242,NumberofDaysTable,4))),0))</f>
        <v xml:space="preserve"> </v>
      </c>
      <c r="AC242" s="306" t="str">
        <f t="shared" si="342"/>
        <v xml:space="preserve"> </v>
      </c>
      <c r="AD242" s="274" t="str">
        <f t="shared" si="407"/>
        <v xml:space="preserve"> </v>
      </c>
      <c r="AE242" s="275" t="str">
        <f t="shared" si="408"/>
        <v xml:space="preserve"> </v>
      </c>
      <c r="AF242" s="275" t="str">
        <f t="shared" si="409"/>
        <v xml:space="preserve"> </v>
      </c>
      <c r="AG242" s="275" t="str">
        <f t="shared" si="410"/>
        <v xml:space="preserve"> </v>
      </c>
      <c r="AH242" s="275" t="str">
        <f t="shared" si="411"/>
        <v xml:space="preserve"> </v>
      </c>
      <c r="AI242" s="275" t="str">
        <f t="shared" si="412"/>
        <v xml:space="preserve"> </v>
      </c>
      <c r="AJ242" s="276" t="str">
        <f t="shared" si="413"/>
        <v xml:space="preserve"> </v>
      </c>
      <c r="AK242" s="314" t="str">
        <f t="shared" si="361"/>
        <v xml:space="preserve"> </v>
      </c>
      <c r="AL242" s="315" t="str">
        <f t="shared" si="362"/>
        <v xml:space="preserve"> </v>
      </c>
      <c r="AM242" s="315" t="str">
        <f t="shared" si="363"/>
        <v xml:space="preserve"> </v>
      </c>
      <c r="AN242" s="315" t="str">
        <f t="shared" si="364"/>
        <v xml:space="preserve"> </v>
      </c>
      <c r="AO242" s="315" t="str">
        <f t="shared" si="365"/>
        <v xml:space="preserve"> </v>
      </c>
      <c r="AP242" s="315" t="str">
        <f t="shared" si="366"/>
        <v xml:space="preserve"> </v>
      </c>
      <c r="AQ242" s="315" t="str">
        <f t="shared" si="367"/>
        <v xml:space="preserve"> </v>
      </c>
      <c r="AR242" s="276">
        <f>SUM(AK232:AQ243)</f>
        <v>0</v>
      </c>
      <c r="AS242" s="321" t="str">
        <f t="shared" si="400"/>
        <v xml:space="preserve"> </v>
      </c>
      <c r="AT242" s="324" t="str">
        <f t="shared" si="401"/>
        <v xml:space="preserve"> </v>
      </c>
      <c r="AU242" s="324" t="str">
        <f t="shared" si="402"/>
        <v xml:space="preserve"> </v>
      </c>
      <c r="AV242" s="324" t="str">
        <f t="shared" si="403"/>
        <v xml:space="preserve"> </v>
      </c>
      <c r="AW242" s="324" t="str">
        <f t="shared" si="404"/>
        <v xml:space="preserve"> </v>
      </c>
      <c r="AX242" s="324" t="str">
        <f t="shared" si="405"/>
        <v xml:space="preserve"> </v>
      </c>
      <c r="AY242" s="324" t="str">
        <f t="shared" si="406"/>
        <v xml:space="preserve"> </v>
      </c>
      <c r="AZ242" s="276">
        <f>SUM(AS232:AY243)</f>
        <v>0</v>
      </c>
      <c r="BA242" s="267" t="str">
        <f>IF($A242="N/A"," ",(IF(MONTH(A242)&gt;=4,IF(MONTH(A242)&lt;=10,Inputs!$F$13,Inputs!$F$14),Inputs!$F$14))*$BW242)</f>
        <v xml:space="preserve"> </v>
      </c>
      <c r="BB242" s="268" t="str">
        <f t="shared" si="382"/>
        <v xml:space="preserve"> </v>
      </c>
      <c r="BC242" s="268" t="str">
        <f t="shared" si="383"/>
        <v xml:space="preserve"> </v>
      </c>
      <c r="BD242" s="268" t="str">
        <f t="shared" si="350"/>
        <v xml:space="preserve"> </v>
      </c>
      <c r="BE242" s="268" t="str">
        <f t="shared" si="351"/>
        <v xml:space="preserve"> </v>
      </c>
      <c r="BF242" s="268" t="str">
        <f t="shared" si="352"/>
        <v xml:space="preserve"> </v>
      </c>
      <c r="BG242" s="268" t="str">
        <f t="shared" si="353"/>
        <v xml:space="preserve"> </v>
      </c>
      <c r="BH242" s="268" t="str">
        <f t="shared" si="359"/>
        <v xml:space="preserve"> </v>
      </c>
      <c r="BI242" s="268" t="str">
        <f t="shared" si="354"/>
        <v xml:space="preserve"> </v>
      </c>
      <c r="BJ242" s="296" t="str">
        <f t="shared" si="355"/>
        <v xml:space="preserve"> </v>
      </c>
      <c r="BK242" s="296" t="str">
        <f t="shared" si="356"/>
        <v xml:space="preserve"> </v>
      </c>
      <c r="BL242" s="296" t="str">
        <f t="shared" si="357"/>
        <v xml:space="preserve"> </v>
      </c>
      <c r="BM242" s="296" t="str">
        <f t="shared" si="358"/>
        <v xml:space="preserve"> </v>
      </c>
      <c r="BN242" s="405" t="str">
        <f>IF(A242="N/A"," ",(VLOOKUP(A242,PowerVolTable,(IF('Pricing Inputs'!$AT$3=2,7,IF('Pricing Inputs'!$AT$3=1,6,8))),FALSE)))</f>
        <v xml:space="preserve"> </v>
      </c>
      <c r="BO242" s="405" t="str">
        <f>IF(A242="N/A"," ",(VLOOKUP(A242,IntraPowerVol,(IF('Pricing Inputs'!$AT$3=2,3,IF('Pricing Inputs'!$AT$3=1,2,4))),FALSE)*VLOOKUP(MONTH($A242),Inputs!$A$28:$B$39,2)))</f>
        <v xml:space="preserve"> </v>
      </c>
      <c r="BP242" s="406" t="str">
        <f t="shared" si="336"/>
        <v xml:space="preserve"> </v>
      </c>
      <c r="BQ242" s="405" t="str">
        <f>IF($A242="N/A"," ",(VLOOKUP($A242,GasVolTable,(IF('Pricing Inputs'!$AT$3=2,6,IF('Pricing Inputs'!$AT$3=1,7,5))),FALSE)))</f>
        <v xml:space="preserve"> </v>
      </c>
      <c r="BR242" s="405" t="str">
        <f>IF($A242="N/A"," ",(VLOOKUP($A242,OmicronVol,(IF('Pricing Inputs'!$AT$3=2,3,IF('Pricing Inputs'!$AT$3=1,4,2))),FALSE)))</f>
        <v xml:space="preserve"> </v>
      </c>
      <c r="BS242" s="406" t="str">
        <f>IF($A242="N/A"," ",IF('Pricing Inputs'!$AN$3=1,(IF(DateToday&gt;$A242,$BR242,((($BQ242^2)*((($A242-1)-DateToday)/((EOMONTH($A242,0)+1)-DateToday-15)))+((($BR242)^2)*((15)/((EOMONTH($A242,0)+1)-DateToday-15))))^0.5)),0.0001))</f>
        <v xml:space="preserve"> </v>
      </c>
      <c r="BT242" s="405" t="str">
        <f>IF($A242="N/A"," ",IF('Pricing Inputs'!$AN$3=1,(VLOOKUP($A242,CorrelationTable,2,FALSE)),0))</f>
        <v xml:space="preserve"> </v>
      </c>
      <c r="BU242" s="407" t="str">
        <f>IF($A242="N/A"," ",F242+G242+(D242*(VLOOKUP($A242,'Gas Curves'!$B$17:$P$310,14,FALSE))))</f>
        <v xml:space="preserve"> </v>
      </c>
      <c r="BV242" s="405" t="str">
        <f>IF($A242="N/A"," ",IF('Pricing Inputs'!$AW$3=1,0,(VLOOKUP($A242,InterestRatesTable,2))))</f>
        <v xml:space="preserve"> </v>
      </c>
      <c r="BW242" s="408" t="str">
        <f t="shared" si="337"/>
        <v xml:space="preserve"> </v>
      </c>
    </row>
    <row r="243" spans="1:75">
      <c r="A243" s="248" t="str">
        <f>IF(A242="N/A","N/A",IF(EDATE(A242,1)&gt;Inputs!$K$3,"N/A",EDATE(A242,1)))</f>
        <v>N/A</v>
      </c>
      <c r="B243" s="262" t="str">
        <f t="shared" si="338"/>
        <v xml:space="preserve"> </v>
      </c>
      <c r="C243" s="249" t="str">
        <f t="shared" si="339"/>
        <v xml:space="preserve"> </v>
      </c>
      <c r="D243" s="250" t="str">
        <f>IF(A243="N/A"," ",(VLOOKUP(MONTH($A243),Inputs!$A$14:$B$25,2))/1000)</f>
        <v xml:space="preserve"> </v>
      </c>
      <c r="E243" s="304" t="str">
        <f t="shared" si="340"/>
        <v xml:space="preserve"> </v>
      </c>
      <c r="F243" s="251" t="str">
        <f>IF(A243="N/A"," ",Inputs!$F$6)</f>
        <v xml:space="preserve"> </v>
      </c>
      <c r="G243" s="251" t="str">
        <f>IF(A243="N/A"," ",Inputs!$F$9/IF(AND('Pricing Inputs'!$AQ$3&gt;=4,'Pricing Inputs'!$AQ$3&lt;=6),16,IF(AND('Pricing Inputs'!$AQ$3&gt;=7,'Pricing Inputs'!$AQ$3&lt;=9),8,24))/(BA243/BW243))</f>
        <v xml:space="preserve"> </v>
      </c>
      <c r="H243" s="252" t="str">
        <f t="shared" si="341"/>
        <v xml:space="preserve"> </v>
      </c>
      <c r="I243" s="255" t="str">
        <f>VLOOKUP(A243,ScaledPrice,(IF(AND('Pricing Inputs'!$AQ$3&gt;=1,'Pricing Inputs'!$AQ$3&lt;=6),2,4)))</f>
        <v xml:space="preserve"> </v>
      </c>
      <c r="J243" s="255" t="str">
        <f>IF(A243="N/A"," ",IF(AND('Pricing Inputs'!$AQ$3&gt;=1,'Pricing Inputs'!$AQ$3&lt;=6),I243,(VLOOKUP(A243,ScaledPrice,2))*(2-(VLOOKUP(A243,ScaledPrice,3)))))</f>
        <v xml:space="preserve"> </v>
      </c>
      <c r="K243" s="255" t="str">
        <f>IF(A243="N/A"," ",IF(OR('Pricing Inputs'!$AQ$3=2,'Pricing Inputs'!$AQ$3=3,'Pricing Inputs'!$AQ$3=5,'Pricing Inputs'!$AQ$3=6,'Pricing Inputs'!$AQ$3=8,'Pricing Inputs'!$AQ$3=9),VLOOKUP(A243,ScaledPrice,IF(AND('Pricing Inputs'!$AQ$3&gt;=2,'Pricing Inputs'!$AQ$3&lt;=6),5,6)),0))</f>
        <v xml:space="preserve"> </v>
      </c>
      <c r="L243" s="255" t="str">
        <f>IF(A243="N/A"," ",IF(OR('Pricing Inputs'!$AQ$3=2,'Pricing Inputs'!$AQ$3=3,'Pricing Inputs'!$AQ$3=5,'Pricing Inputs'!$AQ$3=6,'Pricing Inputs'!$AQ$3=8,'Pricing Inputs'!$AQ$3=9),IF(AND('Pricing Inputs'!$AQ$3&gt;=2,'Pricing Inputs'!$AQ$3&lt;=6),K243,(VLOOKUP(A243,ScaledPrice,5))*(2-(VLOOKUP(A243,ScaledPrice,3)))),0))</f>
        <v xml:space="preserve"> </v>
      </c>
      <c r="M243" s="255" t="str">
        <f>IF(A243="N/A"," ",IF(OR('Pricing Inputs'!$AQ$3=3,'Pricing Inputs'!$AQ$3=6,'Pricing Inputs'!$AQ$3=9),(VLOOKUP(A243,ScaledPrice,IF(AND('Pricing Inputs'!$AQ$3&gt;=3,'Pricing Inputs'!$AQ$3&lt;=6),7,8))),0))</f>
        <v xml:space="preserve"> </v>
      </c>
      <c r="N243" s="255" t="str">
        <f>IF(A243="N/A"," ",IF(OR('Pricing Inputs'!$AQ$3=3,'Pricing Inputs'!$AQ$3=6,'Pricing Inputs'!$AQ$3=9),IF(AND('Pricing Inputs'!$AQ$3&gt;=3,'Pricing Inputs'!$AQ$3&lt;=6),M243,(VLOOKUP(A243,ScaledPrice,7))*(2-(VLOOKUP(A243,ScaledPrice,3)))),0))</f>
        <v xml:space="preserve"> </v>
      </c>
      <c r="O243" s="255" t="str">
        <f>IF(A243="N/A"," ",IF(AND('Pricing Inputs'!$AQ$3&gt;=1,'Pricing Inputs'!$AQ$3&lt;=3),VLOOKUP(A243,ScaledPrice,9),0))</f>
        <v xml:space="preserve"> </v>
      </c>
      <c r="P243" s="320" t="str">
        <f>IF($A243="N/A"," ",IF('Pricing Inputs'!$AN$8=2,(I243-H243),IF('Pricing Inputs'!$AN$3=2,IF((I243-$H243)&gt;0,I243-$H243,0),(_xll.xSPRDOPT(I243,$E243,$BU243,0,$BP243,$BS243,$BT243,($A243-Inputs!$D$1)+15,1,0)))))</f>
        <v xml:space="preserve"> </v>
      </c>
      <c r="Q243" s="320" t="str">
        <f>IF($A243="N/A"," ",IF('Pricing Inputs'!$AN$8=2,(J243-$H243),IF('Pricing Inputs'!$AN$3=2,IF((J243-$H243)&gt;0,J243-$H243,0),(_xll.xSPRDOPT(J243,$E243,$BU243,0,$BP243,$BS243,$BT243,($A243-Inputs!$D$1)+15,1,0)))))</f>
        <v xml:space="preserve"> </v>
      </c>
      <c r="R243" s="320" t="str">
        <f>IF($A243="N/A"," ",IF('Pricing Inputs'!$AN$8=2,(K243-$H243),IF('Pricing Inputs'!$AN$3=2,IF((K243-$H243)&gt;0,K243-$H243,0),(_xll.xSPRDOPT(K243,$E243,$BU243,0,$BP243,$BS243,$BT243,($A243-Inputs!$D$1)+15,1,0)))))</f>
        <v xml:space="preserve"> </v>
      </c>
      <c r="S243" s="320" t="str">
        <f>IF($A243="N/A"," ",IF('Pricing Inputs'!$AN$8=2,(L243-$H243),IF('Pricing Inputs'!$AN$3=2,IF((L243-$H243)&gt;0,L243-$H243,0),(_xll.xSPRDOPT(L243,$E243,$BU243,0,$BP243,$BS243,$BT243,($A243-Inputs!$D$1)+15,1,0)))))</f>
        <v xml:space="preserve"> </v>
      </c>
      <c r="T243" s="320" t="str">
        <f>IF($A243="N/A"," ",IF('Pricing Inputs'!$AN$8=2,(M243-$H243),IF('Pricing Inputs'!$AN$3=2,IF((M243-$H243)&gt;0,M243-$H243,0),(_xll.xSPRDOPT(M243,$E243,$BU243,0,$BP243,$BS243,$BT243,($A243-Inputs!$D$1)+15,1,0)))))</f>
        <v xml:space="preserve"> </v>
      </c>
      <c r="U243" s="320" t="str">
        <f>IF($A243="N/A"," ",IF('Pricing Inputs'!$AN$8=2,(N243-$H243),IF('Pricing Inputs'!$AN$3=2,IF((N243-$H243)&gt;0,N243-$H243,0),(_xll.xSPRDOPT(N243,$E243,$BU243,0,$BP243,$BS243,$BT243,($A243-Inputs!$D$1)+15,1,0)))))</f>
        <v xml:space="preserve"> </v>
      </c>
      <c r="V243" s="259" t="str">
        <f>IF($A243="N/A"," ",(IF('Pricing Inputs'!$AN$8=2,(O243-$H243),IF((O243-$H243)&lt;=0,0,(O243-$H243)))))</f>
        <v xml:space="preserve"> </v>
      </c>
      <c r="W243" s="306" t="str">
        <f>IF($A243="N/A"," ",IF(0&lt;&gt;P243,IF('Pricing Inputs'!$AN$3=2,8*VLOOKUP($A243,NumberofDaysTable,2),(_xll.xSPRDOPT(I243,$E243,$BU243,0,$BP243,$BS243,$BT243,$A243-Inputs!$D$1,1,1))*(8*VLOOKUP($A243,NumberofDaysTable,2))),0))</f>
        <v xml:space="preserve"> </v>
      </c>
      <c r="X243" s="306" t="str">
        <f>IF($A243="N/A"," ",IF(Q243&lt;&gt;0,IF('Pricing Inputs'!$AN$3=2,8*VLOOKUP($A243,NumberofDaysTable,2),(_xll.xSPRDOPT(J243,$E243,$BU243,0,$BP243,$BS243,$BT243,$A243-Inputs!$D$1,1,1))*(8*VLOOKUP($A243,NumberofDaysTable,2))),0))</f>
        <v xml:space="preserve"> </v>
      </c>
      <c r="Y243" s="306" t="str">
        <f>IF($A243="N/A"," ",IF(R243&lt;&gt;0,IF('Pricing Inputs'!$AN$3=2,8*VLOOKUP($A243,NumberofDaysTable,3),(_xll.xSPRDOPT(K243,$E243,$BU243,0,$BP243,$BS243,$BT243,$A243-Inputs!$D$1,1,1))*(8*VLOOKUP($A243,NumberofDaysTable,3))),0))</f>
        <v xml:space="preserve"> </v>
      </c>
      <c r="Z243" s="306" t="str">
        <f>IF($A243="N/A"," ",IF(S243&lt;&gt;0,IF('Pricing Inputs'!$AN$3=2,8*VLOOKUP($A243,NumberofDaysTable,3),(_xll.xSPRDOPT(L243,$E243,$BU243,0,$BP243,$BS243,$BT243,$A243-Inputs!$D$1,1,1))*(8*VLOOKUP($A243,NumberofDaysTable,3))),0))</f>
        <v xml:space="preserve"> </v>
      </c>
      <c r="AA243" s="306" t="str">
        <f>IF($A243="N/A"," ",IF(T243&lt;&gt;0,IF('Pricing Inputs'!$AN$3=2,8*VLOOKUP($A243,NumberofDaysTable,4),(_xll.xSPRDOPT(M243,$E243,$BU243,0,$BP243,$BS243,$BT243,$A243-Inputs!$D$1,1,1))*(8*VLOOKUP($A243,NumberofDaysTable,4))),0))</f>
        <v xml:space="preserve"> </v>
      </c>
      <c r="AB243" s="306" t="str">
        <f>IF($A243="N/A"," ",IF(U243&lt;&gt;0,IF('Pricing Inputs'!$AN$3=2,8*VLOOKUP($A243,NumberofDaysTable,4),(_xll.xSPRDOPT(N243,$E243,$BU243,0,$BP243,$BS243,$BT243,$A243-Inputs!$D$1,1,1))*(8*VLOOKUP($A243,NumberofDaysTable,4))),0))</f>
        <v xml:space="preserve"> </v>
      </c>
      <c r="AC243" s="306" t="str">
        <f t="shared" si="342"/>
        <v xml:space="preserve"> </v>
      </c>
      <c r="AD243" s="277" t="str">
        <f t="shared" si="407"/>
        <v xml:space="preserve"> </v>
      </c>
      <c r="AE243" s="278" t="str">
        <f t="shared" si="408"/>
        <v xml:space="preserve"> </v>
      </c>
      <c r="AF243" s="278" t="str">
        <f t="shared" si="409"/>
        <v xml:space="preserve"> </v>
      </c>
      <c r="AG243" s="278" t="str">
        <f t="shared" si="410"/>
        <v xml:space="preserve"> </v>
      </c>
      <c r="AH243" s="278" t="str">
        <f t="shared" si="411"/>
        <v xml:space="preserve"> </v>
      </c>
      <c r="AI243" s="278" t="str">
        <f t="shared" si="412"/>
        <v xml:space="preserve"> </v>
      </c>
      <c r="AJ243" s="279" t="str">
        <f t="shared" si="413"/>
        <v xml:space="preserve"> </v>
      </c>
      <c r="AK243" s="316" t="str">
        <f t="shared" si="361"/>
        <v xml:space="preserve"> </v>
      </c>
      <c r="AL243" s="317" t="str">
        <f t="shared" si="362"/>
        <v xml:space="preserve"> </v>
      </c>
      <c r="AM243" s="317" t="str">
        <f t="shared" si="363"/>
        <v xml:space="preserve"> </v>
      </c>
      <c r="AN243" s="317" t="str">
        <f t="shared" si="364"/>
        <v xml:space="preserve"> </v>
      </c>
      <c r="AO243" s="317" t="str">
        <f t="shared" si="365"/>
        <v xml:space="preserve"> </v>
      </c>
      <c r="AP243" s="317" t="str">
        <f t="shared" si="366"/>
        <v xml:space="preserve"> </v>
      </c>
      <c r="AQ243" s="317" t="str">
        <f t="shared" si="367"/>
        <v xml:space="preserve"> </v>
      </c>
      <c r="AR243" s="279">
        <f>IF(($AP$2-AR242)&gt;=0,$AP$2-AR242,0)</f>
        <v>1400</v>
      </c>
      <c r="AS243" s="325" t="str">
        <f t="shared" si="400"/>
        <v xml:space="preserve"> </v>
      </c>
      <c r="AT243" s="326" t="str">
        <f t="shared" si="401"/>
        <v xml:space="preserve"> </v>
      </c>
      <c r="AU243" s="326" t="str">
        <f t="shared" si="402"/>
        <v xml:space="preserve"> </v>
      </c>
      <c r="AV243" s="326" t="str">
        <f t="shared" si="403"/>
        <v xml:space="preserve"> </v>
      </c>
      <c r="AW243" s="326" t="str">
        <f t="shared" si="404"/>
        <v xml:space="preserve"> </v>
      </c>
      <c r="AX243" s="326" t="str">
        <f t="shared" si="405"/>
        <v xml:space="preserve"> </v>
      </c>
      <c r="AY243" s="326" t="str">
        <f t="shared" si="406"/>
        <v xml:space="preserve"> </v>
      </c>
      <c r="AZ243" s="285">
        <f>AR242+AZ242</f>
        <v>0</v>
      </c>
      <c r="BA243" s="267" t="str">
        <f>IF($A243="N/A"," ",(IF(MONTH(A243)&gt;=4,IF(MONTH(A243)&lt;=10,Inputs!$F$13,Inputs!$F$14),Inputs!$F$14))*$BW243)</f>
        <v xml:space="preserve"> </v>
      </c>
      <c r="BB243" s="268" t="str">
        <f t="shared" si="382"/>
        <v xml:space="preserve"> </v>
      </c>
      <c r="BC243" s="268" t="str">
        <f t="shared" si="383"/>
        <v xml:space="preserve"> </v>
      </c>
      <c r="BD243" s="268" t="str">
        <f t="shared" si="350"/>
        <v xml:space="preserve"> </v>
      </c>
      <c r="BE243" s="268" t="str">
        <f t="shared" si="351"/>
        <v xml:space="preserve"> </v>
      </c>
      <c r="BF243" s="268" t="str">
        <f t="shared" si="352"/>
        <v xml:space="preserve"> </v>
      </c>
      <c r="BG243" s="268" t="str">
        <f t="shared" si="353"/>
        <v xml:space="preserve"> </v>
      </c>
      <c r="BH243" s="268" t="str">
        <f t="shared" si="359"/>
        <v xml:space="preserve"> </v>
      </c>
      <c r="BI243" s="268" t="str">
        <f t="shared" si="354"/>
        <v xml:space="preserve"> </v>
      </c>
      <c r="BJ243" s="296" t="str">
        <f t="shared" si="355"/>
        <v xml:space="preserve"> </v>
      </c>
      <c r="BK243" s="296" t="str">
        <f t="shared" si="356"/>
        <v xml:space="preserve"> </v>
      </c>
      <c r="BL243" s="296" t="str">
        <f t="shared" si="357"/>
        <v xml:space="preserve"> </v>
      </c>
      <c r="BM243" s="296" t="str">
        <f t="shared" si="358"/>
        <v xml:space="preserve"> </v>
      </c>
      <c r="BN243" s="405" t="str">
        <f>IF(A243="N/A"," ",(VLOOKUP(A243,PowerVolTable,(IF('Pricing Inputs'!$AT$3=2,7,IF('Pricing Inputs'!$AT$3=1,6,8))),FALSE)))</f>
        <v xml:space="preserve"> </v>
      </c>
      <c r="BO243" s="405" t="str">
        <f>IF(A243="N/A"," ",(VLOOKUP(A243,IntraPowerVol,(IF('Pricing Inputs'!$AT$3=2,3,IF('Pricing Inputs'!$AT$3=1,2,4))),FALSE)*VLOOKUP(MONTH($A243),Inputs!$A$28:$B$39,2)))</f>
        <v xml:space="preserve"> </v>
      </c>
      <c r="BP243" s="406" t="str">
        <f t="shared" si="336"/>
        <v xml:space="preserve"> </v>
      </c>
      <c r="BQ243" s="405" t="str">
        <f>IF($A243="N/A"," ",(VLOOKUP($A243,GasVolTable,(IF('Pricing Inputs'!$AT$3=2,6,IF('Pricing Inputs'!$AT$3=1,7,5))),FALSE)))</f>
        <v xml:space="preserve"> </v>
      </c>
      <c r="BR243" s="405" t="str">
        <f>IF($A243="N/A"," ",(VLOOKUP($A243,OmicronVol,(IF('Pricing Inputs'!$AT$3=2,3,IF('Pricing Inputs'!$AT$3=1,4,2))),FALSE)))</f>
        <v xml:space="preserve"> </v>
      </c>
      <c r="BS243" s="406" t="str">
        <f>IF($A243="N/A"," ",IF('Pricing Inputs'!$AN$3=1,(IF(DateToday&gt;$A243,$BR243,((($BQ243^2)*((($A243-1)-DateToday)/((EOMONTH($A243,0)+1)-DateToday-15)))+((($BR243)^2)*((15)/((EOMONTH($A243,0)+1)-DateToday-15))))^0.5)),0.0001))</f>
        <v xml:space="preserve"> </v>
      </c>
      <c r="BT243" s="405" t="str">
        <f>IF($A243="N/A"," ",IF('Pricing Inputs'!$AN$3=1,(VLOOKUP($A243,CorrelationTable,2,FALSE)),0))</f>
        <v xml:space="preserve"> </v>
      </c>
      <c r="BU243" s="407" t="str">
        <f>IF($A243="N/A"," ",F243+G243+(D243*(VLOOKUP($A243,'Gas Curves'!$B$17:$P$310,14,FALSE))))</f>
        <v xml:space="preserve"> </v>
      </c>
      <c r="BV243" s="405" t="str">
        <f>IF($A243="N/A"," ",IF('Pricing Inputs'!$AW$3=1,0,(VLOOKUP($A243,InterestRatesTable,2))))</f>
        <v xml:space="preserve"> </v>
      </c>
      <c r="BW243" s="408" t="str">
        <f t="shared" si="337"/>
        <v xml:space="preserve"> </v>
      </c>
    </row>
    <row r="244" spans="1:75">
      <c r="A244" s="248" t="str">
        <f>IF(A243="N/A","N/A",IF(EDATE(A243,1)&gt;Inputs!$K$3,"N/A",EDATE(A243,1)))</f>
        <v>N/A</v>
      </c>
      <c r="B244" s="262" t="str">
        <f t="shared" si="338"/>
        <v xml:space="preserve"> </v>
      </c>
      <c r="C244" s="249" t="str">
        <f t="shared" si="339"/>
        <v xml:space="preserve"> </v>
      </c>
      <c r="D244" s="250" t="str">
        <f>IF(A244="N/A"," ",(VLOOKUP(MONTH($A244),Inputs!$A$14:$B$25,2))/1000)</f>
        <v xml:space="preserve"> </v>
      </c>
      <c r="E244" s="304" t="str">
        <f t="shared" si="340"/>
        <v xml:space="preserve"> </v>
      </c>
      <c r="F244" s="251" t="str">
        <f>IF(A244="N/A"," ",Inputs!$F$6)</f>
        <v xml:space="preserve"> </v>
      </c>
      <c r="G244" s="251" t="str">
        <f>IF(A244="N/A"," ",Inputs!$F$9/IF(AND('Pricing Inputs'!$AQ$3&gt;=4,'Pricing Inputs'!$AQ$3&lt;=6),16,IF(AND('Pricing Inputs'!$AQ$3&gt;=7,'Pricing Inputs'!$AQ$3&lt;=9),8,24))/(BA244/BW244))</f>
        <v xml:space="preserve"> </v>
      </c>
      <c r="H244" s="252" t="str">
        <f t="shared" si="341"/>
        <v xml:space="preserve"> </v>
      </c>
      <c r="I244" s="255" t="str">
        <f>VLOOKUP(A244,ScaledPrice,(IF(AND('Pricing Inputs'!$AQ$3&gt;=1,'Pricing Inputs'!$AQ$3&lt;=6),2,4)))</f>
        <v xml:space="preserve"> </v>
      </c>
      <c r="J244" s="255" t="str">
        <f>IF(A244="N/A"," ",IF(AND('Pricing Inputs'!$AQ$3&gt;=1,'Pricing Inputs'!$AQ$3&lt;=6),I244,(VLOOKUP(A244,ScaledPrice,2))*(2-(VLOOKUP(A244,ScaledPrice,3)))))</f>
        <v xml:space="preserve"> </v>
      </c>
      <c r="K244" s="255" t="str">
        <f>IF(A244="N/A"," ",IF(OR('Pricing Inputs'!$AQ$3=2,'Pricing Inputs'!$AQ$3=3,'Pricing Inputs'!$AQ$3=5,'Pricing Inputs'!$AQ$3=6,'Pricing Inputs'!$AQ$3=8,'Pricing Inputs'!$AQ$3=9),VLOOKUP(A244,ScaledPrice,IF(AND('Pricing Inputs'!$AQ$3&gt;=2,'Pricing Inputs'!$AQ$3&lt;=6),5,6)),0))</f>
        <v xml:space="preserve"> </v>
      </c>
      <c r="L244" s="255" t="str">
        <f>IF(A244="N/A"," ",IF(OR('Pricing Inputs'!$AQ$3=2,'Pricing Inputs'!$AQ$3=3,'Pricing Inputs'!$AQ$3=5,'Pricing Inputs'!$AQ$3=6,'Pricing Inputs'!$AQ$3=8,'Pricing Inputs'!$AQ$3=9),IF(AND('Pricing Inputs'!$AQ$3&gt;=2,'Pricing Inputs'!$AQ$3&lt;=6),K244,(VLOOKUP(A244,ScaledPrice,5))*(2-(VLOOKUP(A244,ScaledPrice,3)))),0))</f>
        <v xml:space="preserve"> </v>
      </c>
      <c r="M244" s="255" t="str">
        <f>IF(A244="N/A"," ",IF(OR('Pricing Inputs'!$AQ$3=3,'Pricing Inputs'!$AQ$3=6,'Pricing Inputs'!$AQ$3=9),(VLOOKUP(A244,ScaledPrice,IF(AND('Pricing Inputs'!$AQ$3&gt;=3,'Pricing Inputs'!$AQ$3&lt;=6),7,8))),0))</f>
        <v xml:space="preserve"> </v>
      </c>
      <c r="N244" s="255" t="str">
        <f>IF(A244="N/A"," ",IF(OR('Pricing Inputs'!$AQ$3=3,'Pricing Inputs'!$AQ$3=6,'Pricing Inputs'!$AQ$3=9),IF(AND('Pricing Inputs'!$AQ$3&gt;=3,'Pricing Inputs'!$AQ$3&lt;=6),M244,(VLOOKUP(A244,ScaledPrice,7))*(2-(VLOOKUP(A244,ScaledPrice,3)))),0))</f>
        <v xml:space="preserve"> </v>
      </c>
      <c r="O244" s="255" t="str">
        <f>IF(A244="N/A"," ",IF(AND('Pricing Inputs'!$AQ$3&gt;=1,'Pricing Inputs'!$AQ$3&lt;=3),VLOOKUP(A244,ScaledPrice,9),0))</f>
        <v xml:space="preserve"> </v>
      </c>
      <c r="P244" s="320" t="str">
        <f>IF($A244="N/A"," ",IF('Pricing Inputs'!$AN$8=2,(I244-H244),IF('Pricing Inputs'!$AN$3=2,IF((I244-$H244)&gt;0,I244-$H244,0),(_xll.xSPRDOPT(I244,$E244,$BU244,0,$BP244,$BS244,$BT244,($A244-Inputs!$D$1)+15,1,0)))))</f>
        <v xml:space="preserve"> </v>
      </c>
      <c r="Q244" s="320" t="str">
        <f>IF($A244="N/A"," ",IF('Pricing Inputs'!$AN$8=2,(J244-$H244),IF('Pricing Inputs'!$AN$3=2,IF((J244-$H244)&gt;0,J244-$H244,0),(_xll.xSPRDOPT(J244,$E244,$BU244,0,$BP244,$BS244,$BT244,($A244-Inputs!$D$1)+15,1,0)))))</f>
        <v xml:space="preserve"> </v>
      </c>
      <c r="R244" s="320" t="str">
        <f>IF($A244="N/A"," ",IF('Pricing Inputs'!$AN$8=2,(K244-$H244),IF('Pricing Inputs'!$AN$3=2,IF((K244-$H244)&gt;0,K244-$H244,0),(_xll.xSPRDOPT(K244,$E244,$BU244,0,$BP244,$BS244,$BT244,($A244-Inputs!$D$1)+15,1,0)))))</f>
        <v xml:space="preserve"> </v>
      </c>
      <c r="S244" s="320" t="str">
        <f>IF($A244="N/A"," ",IF('Pricing Inputs'!$AN$8=2,(L244-$H244),IF('Pricing Inputs'!$AN$3=2,IF((L244-$H244)&gt;0,L244-$H244,0),(_xll.xSPRDOPT(L244,$E244,$BU244,0,$BP244,$BS244,$BT244,($A244-Inputs!$D$1)+15,1,0)))))</f>
        <v xml:space="preserve"> </v>
      </c>
      <c r="T244" s="320" t="str">
        <f>IF($A244="N/A"," ",IF('Pricing Inputs'!$AN$8=2,(M244-$H244),IF('Pricing Inputs'!$AN$3=2,IF((M244-$H244)&gt;0,M244-$H244,0),(_xll.xSPRDOPT(M244,$E244,$BU244,0,$BP244,$BS244,$BT244,($A244-Inputs!$D$1)+15,1,0)))))</f>
        <v xml:space="preserve"> </v>
      </c>
      <c r="U244" s="320" t="str">
        <f>IF($A244="N/A"," ",IF('Pricing Inputs'!$AN$8=2,(N244-$H244),IF('Pricing Inputs'!$AN$3=2,IF((N244-$H244)&gt;0,N244-$H244,0),(_xll.xSPRDOPT(N244,$E244,$BU244,0,$BP244,$BS244,$BT244,($A244-Inputs!$D$1)+15,1,0)))))</f>
        <v xml:space="preserve"> </v>
      </c>
      <c r="V244" s="259" t="str">
        <f>IF($A244="N/A"," ",(IF('Pricing Inputs'!$AN$8=2,(O244-$H244),IF((O244-$H244)&lt;=0,0,(O244-$H244)))))</f>
        <v xml:space="preserve"> </v>
      </c>
      <c r="W244" s="306" t="str">
        <f>IF($A244="N/A"," ",IF(0&lt;&gt;P244,IF('Pricing Inputs'!$AN$3=2,8*VLOOKUP($A244,NumberofDaysTable,2),(_xll.xSPRDOPT(I244,$E244,$BU244,0,$BP244,$BS244,$BT244,$A244-Inputs!$D$1,1,1))*(8*VLOOKUP($A244,NumberofDaysTable,2))),0))</f>
        <v xml:space="preserve"> </v>
      </c>
      <c r="X244" s="306" t="str">
        <f>IF($A244="N/A"," ",IF(Q244&lt;&gt;0,IF('Pricing Inputs'!$AN$3=2,8*VLOOKUP($A244,NumberofDaysTable,2),(_xll.xSPRDOPT(J244,$E244,$BU244,0,$BP244,$BS244,$BT244,$A244-Inputs!$D$1,1,1))*(8*VLOOKUP($A244,NumberofDaysTable,2))),0))</f>
        <v xml:space="preserve"> </v>
      </c>
      <c r="Y244" s="306" t="str">
        <f>IF($A244="N/A"," ",IF(R244&lt;&gt;0,IF('Pricing Inputs'!$AN$3=2,8*VLOOKUP($A244,NumberofDaysTable,3),(_xll.xSPRDOPT(K244,$E244,$BU244,0,$BP244,$BS244,$BT244,$A244-Inputs!$D$1,1,1))*(8*VLOOKUP($A244,NumberofDaysTable,3))),0))</f>
        <v xml:space="preserve"> </v>
      </c>
      <c r="Z244" s="306" t="str">
        <f>IF($A244="N/A"," ",IF(S244&lt;&gt;0,IF('Pricing Inputs'!$AN$3=2,8*VLOOKUP($A244,NumberofDaysTable,3),(_xll.xSPRDOPT(L244,$E244,$BU244,0,$BP244,$BS244,$BT244,$A244-Inputs!$D$1,1,1))*(8*VLOOKUP($A244,NumberofDaysTable,3))),0))</f>
        <v xml:space="preserve"> </v>
      </c>
      <c r="AA244" s="306" t="str">
        <f>IF($A244="N/A"," ",IF(T244&lt;&gt;0,IF('Pricing Inputs'!$AN$3=2,8*VLOOKUP($A244,NumberofDaysTable,4),(_xll.xSPRDOPT(M244,$E244,$BU244,0,$BP244,$BS244,$BT244,$A244-Inputs!$D$1,1,1))*(8*VLOOKUP($A244,NumberofDaysTable,4))),0))</f>
        <v xml:space="preserve"> </v>
      </c>
      <c r="AB244" s="306" t="str">
        <f>IF($A244="N/A"," ",IF(U244&lt;&gt;0,IF('Pricing Inputs'!$AN$3=2,8*VLOOKUP($A244,NumberofDaysTable,4),(_xll.xSPRDOPT(N244,$E244,$BU244,0,$BP244,$BS244,$BT244,$A244-Inputs!$D$1,1,1))*(8*VLOOKUP($A244,NumberofDaysTable,4))),0))</f>
        <v xml:space="preserve"> </v>
      </c>
      <c r="AC244" s="306" t="str">
        <f t="shared" si="342"/>
        <v xml:space="preserve"> </v>
      </c>
      <c r="AD244" s="271" t="str">
        <f t="shared" ref="AD244:AJ244" si="414">IF($A244="N/A"," ",RANK(P244,$P$244:$V$255))</f>
        <v xml:space="preserve"> </v>
      </c>
      <c r="AE244" s="272" t="str">
        <f t="shared" si="414"/>
        <v xml:space="preserve"> </v>
      </c>
      <c r="AF244" s="272" t="str">
        <f t="shared" si="414"/>
        <v xml:space="preserve"> </v>
      </c>
      <c r="AG244" s="272" t="str">
        <f t="shared" si="414"/>
        <v xml:space="preserve"> </v>
      </c>
      <c r="AH244" s="272" t="str">
        <f t="shared" si="414"/>
        <v xml:space="preserve"> </v>
      </c>
      <c r="AI244" s="272" t="str">
        <f t="shared" si="414"/>
        <v xml:space="preserve"> </v>
      </c>
      <c r="AJ244" s="273" t="str">
        <f t="shared" si="414"/>
        <v xml:space="preserve"> </v>
      </c>
      <c r="AK244" s="312" t="str">
        <f t="shared" si="361"/>
        <v xml:space="preserve"> </v>
      </c>
      <c r="AL244" s="313" t="str">
        <f t="shared" si="362"/>
        <v xml:space="preserve"> </v>
      </c>
      <c r="AM244" s="313" t="str">
        <f t="shared" si="363"/>
        <v xml:space="preserve"> </v>
      </c>
      <c r="AN244" s="313" t="str">
        <f t="shared" si="364"/>
        <v xml:space="preserve"> </v>
      </c>
      <c r="AO244" s="313" t="str">
        <f t="shared" si="365"/>
        <v xml:space="preserve"> </v>
      </c>
      <c r="AP244" s="313" t="str">
        <f t="shared" si="366"/>
        <v xml:space="preserve"> </v>
      </c>
      <c r="AQ244" s="313" t="str">
        <f t="shared" si="367"/>
        <v xml:space="preserve"> </v>
      </c>
      <c r="AR244" s="273"/>
      <c r="AS244" s="327" t="str">
        <f t="shared" ref="AS244:AS255" si="415">IF($A244="N/A"," ",IF(AND(AD244=$AJ$2+1,AK244=0),MIN($AR$255,W244),0))</f>
        <v xml:space="preserve"> </v>
      </c>
      <c r="AT244" s="322" t="str">
        <f t="shared" ref="AT244:AT255" si="416">IF($A244="N/A"," ",IF(AND(AE244=$AJ$2+1,AL244=0),MIN($AR$255,X244),0))</f>
        <v xml:space="preserve"> </v>
      </c>
      <c r="AU244" s="322" t="str">
        <f t="shared" ref="AU244:AU255" si="417">IF($A244="N/A"," ",IF(AND(AF244=$AJ$2+1,AM244=0),MIN($AR$255,Y244),0))</f>
        <v xml:space="preserve"> </v>
      </c>
      <c r="AV244" s="322" t="str">
        <f t="shared" ref="AV244:AV255" si="418">IF($A244="N/A"," ",IF(AND(AG244=$AJ$2+1,AN244=0),MIN($AR$255,Z244),0))</f>
        <v xml:space="preserve"> </v>
      </c>
      <c r="AW244" s="322" t="str">
        <f t="shared" ref="AW244:AW255" si="419">IF($A244="N/A"," ",IF(AND(AH244=$AJ$2+1,AO244=0),MIN($AR$255,AA244),0))</f>
        <v xml:space="preserve"> </v>
      </c>
      <c r="AX244" s="322" t="str">
        <f t="shared" ref="AX244:AX255" si="420">IF($A244="N/A"," ",IF(AND(AI244=$AJ$2+1,AP244=0),MIN($AR$255,AB244),0))</f>
        <v xml:space="preserve"> </v>
      </c>
      <c r="AY244" s="322" t="str">
        <f t="shared" ref="AY244:AY255" si="421">IF($A244="N/A"," ",IF(AND(AJ244=$AJ$2+1,AQ244=0),MIN($AR$255,AC244),0))</f>
        <v xml:space="preserve"> </v>
      </c>
      <c r="AZ244" s="273"/>
      <c r="BA244" s="267" t="str">
        <f>IF($A244="N/A"," ",(IF(MONTH(A244)&gt;=4,IF(MONTH(A244)&lt;=10,Inputs!$F$13,Inputs!$F$14),Inputs!$F$14))*$BW244)</f>
        <v xml:space="preserve"> </v>
      </c>
      <c r="BB244" s="268" t="str">
        <f t="shared" si="382"/>
        <v xml:space="preserve"> </v>
      </c>
      <c r="BC244" s="268" t="str">
        <f t="shared" si="383"/>
        <v xml:space="preserve"> </v>
      </c>
      <c r="BD244" s="268" t="str">
        <f t="shared" si="350"/>
        <v xml:space="preserve"> </v>
      </c>
      <c r="BE244" s="268" t="str">
        <f t="shared" si="351"/>
        <v xml:space="preserve"> </v>
      </c>
      <c r="BF244" s="268" t="str">
        <f t="shared" si="352"/>
        <v xml:space="preserve"> </v>
      </c>
      <c r="BG244" s="268" t="str">
        <f t="shared" si="353"/>
        <v xml:space="preserve"> </v>
      </c>
      <c r="BH244" s="268" t="str">
        <f t="shared" si="359"/>
        <v xml:space="preserve"> </v>
      </c>
      <c r="BI244" s="268" t="str">
        <f t="shared" si="354"/>
        <v xml:space="preserve"> </v>
      </c>
      <c r="BJ244" s="296" t="str">
        <f t="shared" si="355"/>
        <v xml:space="preserve"> </v>
      </c>
      <c r="BK244" s="296" t="str">
        <f t="shared" si="356"/>
        <v xml:space="preserve"> </v>
      </c>
      <c r="BL244" s="296" t="str">
        <f t="shared" si="357"/>
        <v xml:space="preserve"> </v>
      </c>
      <c r="BM244" s="296" t="str">
        <f t="shared" si="358"/>
        <v xml:space="preserve"> </v>
      </c>
      <c r="BN244" s="405" t="str">
        <f>IF(A244="N/A"," ",(VLOOKUP(A244,PowerVolTable,(IF('Pricing Inputs'!$AT$3=2,7,IF('Pricing Inputs'!$AT$3=1,6,8))),FALSE)))</f>
        <v xml:space="preserve"> </v>
      </c>
      <c r="BO244" s="405" t="str">
        <f>IF(A244="N/A"," ",(VLOOKUP(A244,IntraPowerVol,(IF('Pricing Inputs'!$AT$3=2,3,IF('Pricing Inputs'!$AT$3=1,2,4))),FALSE)*VLOOKUP(MONTH($A244),Inputs!$A$28:$B$39,2)))</f>
        <v xml:space="preserve"> </v>
      </c>
      <c r="BP244" s="406" t="str">
        <f t="shared" si="336"/>
        <v xml:space="preserve"> </v>
      </c>
      <c r="BQ244" s="405" t="str">
        <f>IF($A244="N/A"," ",(VLOOKUP($A244,GasVolTable,(IF('Pricing Inputs'!$AT$3=2,6,IF('Pricing Inputs'!$AT$3=1,7,5))),FALSE)))</f>
        <v xml:space="preserve"> </v>
      </c>
      <c r="BR244" s="405" t="str">
        <f>IF($A244="N/A"," ",(VLOOKUP($A244,OmicronVol,(IF('Pricing Inputs'!$AT$3=2,3,IF('Pricing Inputs'!$AT$3=1,4,2))),FALSE)))</f>
        <v xml:space="preserve"> </v>
      </c>
      <c r="BS244" s="406" t="str">
        <f>IF($A244="N/A"," ",IF('Pricing Inputs'!$AN$3=1,(IF(DateToday&gt;$A244,$BR244,((($BQ244^2)*((($A244-1)-DateToday)/((EOMONTH($A244,0)+1)-DateToday-15)))+((($BR244)^2)*((15)/((EOMONTH($A244,0)+1)-DateToday-15))))^0.5)),0.0001))</f>
        <v xml:space="preserve"> </v>
      </c>
      <c r="BT244" s="405" t="str">
        <f>IF($A244="N/A"," ",IF('Pricing Inputs'!$AN$3=1,(VLOOKUP($A244,CorrelationTable,2,FALSE)),0))</f>
        <v xml:space="preserve"> </v>
      </c>
      <c r="BU244" s="407" t="str">
        <f>IF($A244="N/A"," ",F244+G244+(D244*(VLOOKUP($A244,'Gas Curves'!$B$17:$P$310,14,FALSE))))</f>
        <v xml:space="preserve"> </v>
      </c>
      <c r="BV244" s="405" t="str">
        <f>IF($A244="N/A"," ",IF('Pricing Inputs'!$AW$3=1,0,(VLOOKUP($A244,InterestRatesTable,2))))</f>
        <v xml:space="preserve"> </v>
      </c>
      <c r="BW244" s="408" t="str">
        <f t="shared" si="337"/>
        <v xml:space="preserve"> </v>
      </c>
    </row>
    <row r="245" spans="1:75">
      <c r="A245" s="248" t="str">
        <f>IF(A244="N/A","N/A",IF(EDATE(A244,1)&gt;Inputs!$K$3,"N/A",EDATE(A244,1)))</f>
        <v>N/A</v>
      </c>
      <c r="B245" s="262" t="str">
        <f t="shared" si="338"/>
        <v xml:space="preserve"> </v>
      </c>
      <c r="C245" s="249" t="str">
        <f t="shared" si="339"/>
        <v xml:space="preserve"> </v>
      </c>
      <c r="D245" s="250" t="str">
        <f>IF(A245="N/A"," ",(VLOOKUP(MONTH($A245),Inputs!$A$14:$B$25,2))/1000)</f>
        <v xml:space="preserve"> </v>
      </c>
      <c r="E245" s="304" t="str">
        <f t="shared" si="340"/>
        <v xml:space="preserve"> </v>
      </c>
      <c r="F245" s="251" t="str">
        <f>IF(A245="N/A"," ",Inputs!$F$6)</f>
        <v xml:space="preserve"> </v>
      </c>
      <c r="G245" s="251" t="str">
        <f>IF(A245="N/A"," ",Inputs!$F$9/IF(AND('Pricing Inputs'!$AQ$3&gt;=4,'Pricing Inputs'!$AQ$3&lt;=6),16,IF(AND('Pricing Inputs'!$AQ$3&gt;=7,'Pricing Inputs'!$AQ$3&lt;=9),8,24))/(BA245/BW245))</f>
        <v xml:space="preserve"> </v>
      </c>
      <c r="H245" s="252" t="str">
        <f t="shared" si="341"/>
        <v xml:space="preserve"> </v>
      </c>
      <c r="I245" s="255" t="str">
        <f>VLOOKUP(A245,ScaledPrice,(IF(AND('Pricing Inputs'!$AQ$3&gt;=1,'Pricing Inputs'!$AQ$3&lt;=6),2,4)))</f>
        <v xml:space="preserve"> </v>
      </c>
      <c r="J245" s="255" t="str">
        <f>IF(A245="N/A"," ",IF(AND('Pricing Inputs'!$AQ$3&gt;=1,'Pricing Inputs'!$AQ$3&lt;=6),I245,(VLOOKUP(A245,ScaledPrice,2))*(2-(VLOOKUP(A245,ScaledPrice,3)))))</f>
        <v xml:space="preserve"> </v>
      </c>
      <c r="K245" s="255" t="str">
        <f>IF(A245="N/A"," ",IF(OR('Pricing Inputs'!$AQ$3=2,'Pricing Inputs'!$AQ$3=3,'Pricing Inputs'!$AQ$3=5,'Pricing Inputs'!$AQ$3=6,'Pricing Inputs'!$AQ$3=8,'Pricing Inputs'!$AQ$3=9),VLOOKUP(A245,ScaledPrice,IF(AND('Pricing Inputs'!$AQ$3&gt;=2,'Pricing Inputs'!$AQ$3&lt;=6),5,6)),0))</f>
        <v xml:space="preserve"> </v>
      </c>
      <c r="L245" s="255" t="str">
        <f>IF(A245="N/A"," ",IF(OR('Pricing Inputs'!$AQ$3=2,'Pricing Inputs'!$AQ$3=3,'Pricing Inputs'!$AQ$3=5,'Pricing Inputs'!$AQ$3=6,'Pricing Inputs'!$AQ$3=8,'Pricing Inputs'!$AQ$3=9),IF(AND('Pricing Inputs'!$AQ$3&gt;=2,'Pricing Inputs'!$AQ$3&lt;=6),K245,(VLOOKUP(A245,ScaledPrice,5))*(2-(VLOOKUP(A245,ScaledPrice,3)))),0))</f>
        <v xml:space="preserve"> </v>
      </c>
      <c r="M245" s="255" t="str">
        <f>IF(A245="N/A"," ",IF(OR('Pricing Inputs'!$AQ$3=3,'Pricing Inputs'!$AQ$3=6,'Pricing Inputs'!$AQ$3=9),(VLOOKUP(A245,ScaledPrice,IF(AND('Pricing Inputs'!$AQ$3&gt;=3,'Pricing Inputs'!$AQ$3&lt;=6),7,8))),0))</f>
        <v xml:space="preserve"> </v>
      </c>
      <c r="N245" s="255" t="str">
        <f>IF(A245="N/A"," ",IF(OR('Pricing Inputs'!$AQ$3=3,'Pricing Inputs'!$AQ$3=6,'Pricing Inputs'!$AQ$3=9),IF(AND('Pricing Inputs'!$AQ$3&gt;=3,'Pricing Inputs'!$AQ$3&lt;=6),M245,(VLOOKUP(A245,ScaledPrice,7))*(2-(VLOOKUP(A245,ScaledPrice,3)))),0))</f>
        <v xml:space="preserve"> </v>
      </c>
      <c r="O245" s="255" t="str">
        <f>IF(A245="N/A"," ",IF(AND('Pricing Inputs'!$AQ$3&gt;=1,'Pricing Inputs'!$AQ$3&lt;=3),VLOOKUP(A245,ScaledPrice,9),0))</f>
        <v xml:space="preserve"> </v>
      </c>
      <c r="P245" s="320" t="str">
        <f>IF($A245="N/A"," ",IF('Pricing Inputs'!$AN$8=2,(I245-H245),IF('Pricing Inputs'!$AN$3=2,IF((I245-$H245)&gt;0,I245-$H245,0),(_xll.xSPRDOPT(I245,$E245,$BU245,0,$BP245,$BS245,$BT245,($A245-Inputs!$D$1)+15,1,0)))))</f>
        <v xml:space="preserve"> </v>
      </c>
      <c r="Q245" s="320" t="str">
        <f>IF($A245="N/A"," ",IF('Pricing Inputs'!$AN$8=2,(J245-$H245),IF('Pricing Inputs'!$AN$3=2,IF((J245-$H245)&gt;0,J245-$H245,0),(_xll.xSPRDOPT(J245,$E245,$BU245,0,$BP245,$BS245,$BT245,($A245-Inputs!$D$1)+15,1,0)))))</f>
        <v xml:space="preserve"> </v>
      </c>
      <c r="R245" s="320" t="str">
        <f>IF($A245="N/A"," ",IF('Pricing Inputs'!$AN$8=2,(K245-$H245),IF('Pricing Inputs'!$AN$3=2,IF((K245-$H245)&gt;0,K245-$H245,0),(_xll.xSPRDOPT(K245,$E245,$BU245,0,$BP245,$BS245,$BT245,($A245-Inputs!$D$1)+15,1,0)))))</f>
        <v xml:space="preserve"> </v>
      </c>
      <c r="S245" s="320" t="str">
        <f>IF($A245="N/A"," ",IF('Pricing Inputs'!$AN$8=2,(L245-$H245),IF('Pricing Inputs'!$AN$3=2,IF((L245-$H245)&gt;0,L245-$H245,0),(_xll.xSPRDOPT(L245,$E245,$BU245,0,$BP245,$BS245,$BT245,($A245-Inputs!$D$1)+15,1,0)))))</f>
        <v xml:space="preserve"> </v>
      </c>
      <c r="T245" s="320" t="str">
        <f>IF($A245="N/A"," ",IF('Pricing Inputs'!$AN$8=2,(M245-$H245),IF('Pricing Inputs'!$AN$3=2,IF((M245-$H245)&gt;0,M245-$H245,0),(_xll.xSPRDOPT(M245,$E245,$BU245,0,$BP245,$BS245,$BT245,($A245-Inputs!$D$1)+15,1,0)))))</f>
        <v xml:space="preserve"> </v>
      </c>
      <c r="U245" s="320" t="str">
        <f>IF($A245="N/A"," ",IF('Pricing Inputs'!$AN$8=2,(N245-$H245),IF('Pricing Inputs'!$AN$3=2,IF((N245-$H245)&gt;0,N245-$H245,0),(_xll.xSPRDOPT(N245,$E245,$BU245,0,$BP245,$BS245,$BT245,($A245-Inputs!$D$1)+15,1,0)))))</f>
        <v xml:space="preserve"> </v>
      </c>
      <c r="V245" s="259" t="str">
        <f>IF($A245="N/A"," ",(IF('Pricing Inputs'!$AN$8=2,(O245-$H245),IF((O245-$H245)&lt;=0,0,(O245-$H245)))))</f>
        <v xml:space="preserve"> </v>
      </c>
      <c r="W245" s="306" t="str">
        <f>IF($A245="N/A"," ",IF(0&lt;&gt;P245,IF('Pricing Inputs'!$AN$3=2,8*VLOOKUP($A245,NumberofDaysTable,2),(_xll.xSPRDOPT(I245,$E245,$BU245,0,$BP245,$BS245,$BT245,$A245-Inputs!$D$1,1,1))*(8*VLOOKUP($A245,NumberofDaysTable,2))),0))</f>
        <v xml:space="preserve"> </v>
      </c>
      <c r="X245" s="306" t="str">
        <f>IF($A245="N/A"," ",IF(Q245&lt;&gt;0,IF('Pricing Inputs'!$AN$3=2,8*VLOOKUP($A245,NumberofDaysTable,2),(_xll.xSPRDOPT(J245,$E245,$BU245,0,$BP245,$BS245,$BT245,$A245-Inputs!$D$1,1,1))*(8*VLOOKUP($A245,NumberofDaysTable,2))),0))</f>
        <v xml:space="preserve"> </v>
      </c>
      <c r="Y245" s="306" t="str">
        <f>IF($A245="N/A"," ",IF(R245&lt;&gt;0,IF('Pricing Inputs'!$AN$3=2,8*VLOOKUP($A245,NumberofDaysTable,3),(_xll.xSPRDOPT(K245,$E245,$BU245,0,$BP245,$BS245,$BT245,$A245-Inputs!$D$1,1,1))*(8*VLOOKUP($A245,NumberofDaysTable,3))),0))</f>
        <v xml:space="preserve"> </v>
      </c>
      <c r="Z245" s="306" t="str">
        <f>IF($A245="N/A"," ",IF(S245&lt;&gt;0,IF('Pricing Inputs'!$AN$3=2,8*VLOOKUP($A245,NumberofDaysTable,3),(_xll.xSPRDOPT(L245,$E245,$BU245,0,$BP245,$BS245,$BT245,$A245-Inputs!$D$1,1,1))*(8*VLOOKUP($A245,NumberofDaysTable,3))),0))</f>
        <v xml:space="preserve"> </v>
      </c>
      <c r="AA245" s="306" t="str">
        <f>IF($A245="N/A"," ",IF(T245&lt;&gt;0,IF('Pricing Inputs'!$AN$3=2,8*VLOOKUP($A245,NumberofDaysTable,4),(_xll.xSPRDOPT(M245,$E245,$BU245,0,$BP245,$BS245,$BT245,$A245-Inputs!$D$1,1,1))*(8*VLOOKUP($A245,NumberofDaysTable,4))),0))</f>
        <v xml:space="preserve"> </v>
      </c>
      <c r="AB245" s="306" t="str">
        <f>IF($A245="N/A"," ",IF(U245&lt;&gt;0,IF('Pricing Inputs'!$AN$3=2,8*VLOOKUP($A245,NumberofDaysTable,4),(_xll.xSPRDOPT(N245,$E245,$BU245,0,$BP245,$BS245,$BT245,$A245-Inputs!$D$1,1,1))*(8*VLOOKUP($A245,NumberofDaysTable,4))),0))</f>
        <v xml:space="preserve"> </v>
      </c>
      <c r="AC245" s="306" t="str">
        <f t="shared" si="342"/>
        <v xml:space="preserve"> </v>
      </c>
      <c r="AD245" s="274" t="str">
        <f t="shared" ref="AD245:AD255" si="422">IF($A245="N/A"," ",RANK(P245,$P$244:$V$255))</f>
        <v xml:space="preserve"> </v>
      </c>
      <c r="AE245" s="275" t="str">
        <f t="shared" ref="AE245:AE255" si="423">IF($A245="N/A"," ",RANK(Q245,$P$244:$V$255))</f>
        <v xml:space="preserve"> </v>
      </c>
      <c r="AF245" s="275" t="str">
        <f t="shared" ref="AF245:AF255" si="424">IF($A245="N/A"," ",RANK(R245,$P$244:$V$255))</f>
        <v xml:space="preserve"> </v>
      </c>
      <c r="AG245" s="275" t="str">
        <f t="shared" ref="AG245:AG255" si="425">IF($A245="N/A"," ",RANK(S245,$P$244:$V$255))</f>
        <v xml:space="preserve"> </v>
      </c>
      <c r="AH245" s="275" t="str">
        <f t="shared" ref="AH245:AH255" si="426">IF($A245="N/A"," ",RANK(T245,$P$244:$V$255))</f>
        <v xml:space="preserve"> </v>
      </c>
      <c r="AI245" s="275" t="str">
        <f t="shared" ref="AI245:AI255" si="427">IF($A245="N/A"," ",RANK(U245,$P$244:$V$255))</f>
        <v xml:space="preserve"> </v>
      </c>
      <c r="AJ245" s="276" t="str">
        <f t="shared" ref="AJ245:AJ255" si="428">IF($A245="N/A"," ",RANK(V245,$P$244:$V$255))</f>
        <v xml:space="preserve"> </v>
      </c>
      <c r="AK245" s="314" t="str">
        <f t="shared" si="361"/>
        <v xml:space="preserve"> </v>
      </c>
      <c r="AL245" s="315" t="str">
        <f t="shared" si="362"/>
        <v xml:space="preserve"> </v>
      </c>
      <c r="AM245" s="315" t="str">
        <f t="shared" si="363"/>
        <v xml:space="preserve"> </v>
      </c>
      <c r="AN245" s="315" t="str">
        <f t="shared" si="364"/>
        <v xml:space="preserve"> </v>
      </c>
      <c r="AO245" s="315" t="str">
        <f t="shared" si="365"/>
        <v xml:space="preserve"> </v>
      </c>
      <c r="AP245" s="315" t="str">
        <f t="shared" si="366"/>
        <v xml:space="preserve"> </v>
      </c>
      <c r="AQ245" s="315" t="str">
        <f t="shared" si="367"/>
        <v xml:space="preserve"> </v>
      </c>
      <c r="AR245" s="276"/>
      <c r="AS245" s="321" t="str">
        <f t="shared" si="415"/>
        <v xml:space="preserve"> </v>
      </c>
      <c r="AT245" s="324" t="str">
        <f t="shared" si="416"/>
        <v xml:space="preserve"> </v>
      </c>
      <c r="AU245" s="324" t="str">
        <f t="shared" si="417"/>
        <v xml:space="preserve"> </v>
      </c>
      <c r="AV245" s="324" t="str">
        <f t="shared" si="418"/>
        <v xml:space="preserve"> </v>
      </c>
      <c r="AW245" s="324" t="str">
        <f t="shared" si="419"/>
        <v xml:space="preserve"> </v>
      </c>
      <c r="AX245" s="324" t="str">
        <f t="shared" si="420"/>
        <v xml:space="preserve"> </v>
      </c>
      <c r="AY245" s="324" t="str">
        <f t="shared" si="421"/>
        <v xml:space="preserve"> </v>
      </c>
      <c r="AZ245" s="276"/>
      <c r="BA245" s="267" t="str">
        <f>IF($A245="N/A"," ",(IF(MONTH(A245)&gt;=4,IF(MONTH(A245)&lt;=10,Inputs!$F$13,Inputs!$F$14),Inputs!$F$14))*$BW245)</f>
        <v xml:space="preserve"> </v>
      </c>
      <c r="BB245" s="268" t="str">
        <f t="shared" si="382"/>
        <v xml:space="preserve"> </v>
      </c>
      <c r="BC245" s="268" t="str">
        <f t="shared" si="383"/>
        <v xml:space="preserve"> </v>
      </c>
      <c r="BD245" s="268" t="str">
        <f t="shared" si="350"/>
        <v xml:space="preserve"> </v>
      </c>
      <c r="BE245" s="268" t="str">
        <f t="shared" si="351"/>
        <v xml:space="preserve"> </v>
      </c>
      <c r="BF245" s="268" t="str">
        <f t="shared" si="352"/>
        <v xml:space="preserve"> </v>
      </c>
      <c r="BG245" s="268" t="str">
        <f t="shared" si="353"/>
        <v xml:space="preserve"> </v>
      </c>
      <c r="BH245" s="268" t="str">
        <f t="shared" si="359"/>
        <v xml:space="preserve"> </v>
      </c>
      <c r="BI245" s="268" t="str">
        <f t="shared" si="354"/>
        <v xml:space="preserve"> </v>
      </c>
      <c r="BJ245" s="296" t="str">
        <f t="shared" si="355"/>
        <v xml:space="preserve"> </v>
      </c>
      <c r="BK245" s="296" t="str">
        <f t="shared" si="356"/>
        <v xml:space="preserve"> </v>
      </c>
      <c r="BL245" s="296" t="str">
        <f t="shared" si="357"/>
        <v xml:space="preserve"> </v>
      </c>
      <c r="BM245" s="296" t="str">
        <f t="shared" si="358"/>
        <v xml:space="preserve"> </v>
      </c>
      <c r="BN245" s="405" t="str">
        <f>IF(A245="N/A"," ",(VLOOKUP(A245,PowerVolTable,(IF('Pricing Inputs'!$AT$3=2,7,IF('Pricing Inputs'!$AT$3=1,6,8))),FALSE)))</f>
        <v xml:space="preserve"> </v>
      </c>
      <c r="BO245" s="405" t="str">
        <f>IF(A245="N/A"," ",(VLOOKUP(A245,IntraPowerVol,(IF('Pricing Inputs'!$AT$3=2,3,IF('Pricing Inputs'!$AT$3=1,2,4))),FALSE)*VLOOKUP(MONTH($A245),Inputs!$A$28:$B$39,2)))</f>
        <v xml:space="preserve"> </v>
      </c>
      <c r="BP245" s="406" t="str">
        <f t="shared" si="336"/>
        <v xml:space="preserve"> </v>
      </c>
      <c r="BQ245" s="405" t="str">
        <f>IF($A245="N/A"," ",(VLOOKUP($A245,GasVolTable,(IF('Pricing Inputs'!$AT$3=2,6,IF('Pricing Inputs'!$AT$3=1,7,5))),FALSE)))</f>
        <v xml:space="preserve"> </v>
      </c>
      <c r="BR245" s="405" t="str">
        <f>IF($A245="N/A"," ",(VLOOKUP($A245,OmicronVol,(IF('Pricing Inputs'!$AT$3=2,3,IF('Pricing Inputs'!$AT$3=1,4,2))),FALSE)))</f>
        <v xml:space="preserve"> </v>
      </c>
      <c r="BS245" s="406" t="str">
        <f>IF($A245="N/A"," ",IF('Pricing Inputs'!$AN$3=1,(IF(DateToday&gt;$A245,$BR245,((($BQ245^2)*((($A245-1)-DateToday)/((EOMONTH($A245,0)+1)-DateToday-15)))+((($BR245)^2)*((15)/((EOMONTH($A245,0)+1)-DateToday-15))))^0.5)),0.0001))</f>
        <v xml:space="preserve"> </v>
      </c>
      <c r="BT245" s="405" t="str">
        <f>IF($A245="N/A"," ",IF('Pricing Inputs'!$AN$3=1,(VLOOKUP($A245,CorrelationTable,2,FALSE)),0))</f>
        <v xml:space="preserve"> </v>
      </c>
      <c r="BU245" s="407" t="str">
        <f>IF($A245="N/A"," ",F245+G245+(D245*(VLOOKUP($A245,'Gas Curves'!$B$17:$P$310,14,FALSE))))</f>
        <v xml:space="preserve"> </v>
      </c>
      <c r="BV245" s="405" t="str">
        <f>IF($A245="N/A"," ",IF('Pricing Inputs'!$AW$3=1,0,(VLOOKUP($A245,InterestRatesTable,2))))</f>
        <v xml:space="preserve"> </v>
      </c>
      <c r="BW245" s="408" t="str">
        <f t="shared" si="337"/>
        <v xml:space="preserve"> </v>
      </c>
    </row>
    <row r="246" spans="1:75">
      <c r="A246" s="248" t="str">
        <f>IF(A245="N/A","N/A",IF(EDATE(A245,1)&gt;Inputs!$K$3,"N/A",EDATE(A245,1)))</f>
        <v>N/A</v>
      </c>
      <c r="B246" s="262" t="str">
        <f t="shared" si="338"/>
        <v xml:space="preserve"> </v>
      </c>
      <c r="C246" s="249" t="str">
        <f t="shared" si="339"/>
        <v xml:space="preserve"> </v>
      </c>
      <c r="D246" s="250" t="str">
        <f>IF(A246="N/A"," ",(VLOOKUP(MONTH($A246),Inputs!$A$14:$B$25,2))/1000)</f>
        <v xml:space="preserve"> </v>
      </c>
      <c r="E246" s="304" t="str">
        <f t="shared" si="340"/>
        <v xml:space="preserve"> </v>
      </c>
      <c r="F246" s="251" t="str">
        <f>IF(A246="N/A"," ",Inputs!$F$6)</f>
        <v xml:space="preserve"> </v>
      </c>
      <c r="G246" s="251" t="str">
        <f>IF(A246="N/A"," ",Inputs!$F$9/IF(AND('Pricing Inputs'!$AQ$3&gt;=4,'Pricing Inputs'!$AQ$3&lt;=6),16,IF(AND('Pricing Inputs'!$AQ$3&gt;=7,'Pricing Inputs'!$AQ$3&lt;=9),8,24))/(BA246/BW246))</f>
        <v xml:space="preserve"> </v>
      </c>
      <c r="H246" s="252" t="str">
        <f t="shared" si="341"/>
        <v xml:space="preserve"> </v>
      </c>
      <c r="I246" s="255" t="str">
        <f>VLOOKUP(A246,ScaledPrice,(IF(AND('Pricing Inputs'!$AQ$3&gt;=1,'Pricing Inputs'!$AQ$3&lt;=6),2,4)))</f>
        <v xml:space="preserve"> </v>
      </c>
      <c r="J246" s="255" t="str">
        <f>IF(A246="N/A"," ",IF(AND('Pricing Inputs'!$AQ$3&gt;=1,'Pricing Inputs'!$AQ$3&lt;=6),I246,(VLOOKUP(A246,ScaledPrice,2))*(2-(VLOOKUP(A246,ScaledPrice,3)))))</f>
        <v xml:space="preserve"> </v>
      </c>
      <c r="K246" s="255" t="str">
        <f>IF(A246="N/A"," ",IF(OR('Pricing Inputs'!$AQ$3=2,'Pricing Inputs'!$AQ$3=3,'Pricing Inputs'!$AQ$3=5,'Pricing Inputs'!$AQ$3=6,'Pricing Inputs'!$AQ$3=8,'Pricing Inputs'!$AQ$3=9),VLOOKUP(A246,ScaledPrice,IF(AND('Pricing Inputs'!$AQ$3&gt;=2,'Pricing Inputs'!$AQ$3&lt;=6),5,6)),0))</f>
        <v xml:space="preserve"> </v>
      </c>
      <c r="L246" s="255" t="str">
        <f>IF(A246="N/A"," ",IF(OR('Pricing Inputs'!$AQ$3=2,'Pricing Inputs'!$AQ$3=3,'Pricing Inputs'!$AQ$3=5,'Pricing Inputs'!$AQ$3=6,'Pricing Inputs'!$AQ$3=8,'Pricing Inputs'!$AQ$3=9),IF(AND('Pricing Inputs'!$AQ$3&gt;=2,'Pricing Inputs'!$AQ$3&lt;=6),K246,(VLOOKUP(A246,ScaledPrice,5))*(2-(VLOOKUP(A246,ScaledPrice,3)))),0))</f>
        <v xml:space="preserve"> </v>
      </c>
      <c r="M246" s="255" t="str">
        <f>IF(A246="N/A"," ",IF(OR('Pricing Inputs'!$AQ$3=3,'Pricing Inputs'!$AQ$3=6,'Pricing Inputs'!$AQ$3=9),(VLOOKUP(A246,ScaledPrice,IF(AND('Pricing Inputs'!$AQ$3&gt;=3,'Pricing Inputs'!$AQ$3&lt;=6),7,8))),0))</f>
        <v xml:space="preserve"> </v>
      </c>
      <c r="N246" s="255" t="str">
        <f>IF(A246="N/A"," ",IF(OR('Pricing Inputs'!$AQ$3=3,'Pricing Inputs'!$AQ$3=6,'Pricing Inputs'!$AQ$3=9),IF(AND('Pricing Inputs'!$AQ$3&gt;=3,'Pricing Inputs'!$AQ$3&lt;=6),M246,(VLOOKUP(A246,ScaledPrice,7))*(2-(VLOOKUP(A246,ScaledPrice,3)))),0))</f>
        <v xml:space="preserve"> </v>
      </c>
      <c r="O246" s="255" t="str">
        <f>IF(A246="N/A"," ",IF(AND('Pricing Inputs'!$AQ$3&gt;=1,'Pricing Inputs'!$AQ$3&lt;=3),VLOOKUP(A246,ScaledPrice,9),0))</f>
        <v xml:space="preserve"> </v>
      </c>
      <c r="P246" s="320" t="str">
        <f>IF($A246="N/A"," ",IF('Pricing Inputs'!$AN$8=2,(I246-H246),IF('Pricing Inputs'!$AN$3=2,IF((I246-$H246)&gt;0,I246-$H246,0),(_xll.xSPRDOPT(I246,$E246,$BU246,0,$BP246,$BS246,$BT246,($A246-Inputs!$D$1)+15,1,0)))))</f>
        <v xml:space="preserve"> </v>
      </c>
      <c r="Q246" s="320" t="str">
        <f>IF($A246="N/A"," ",IF('Pricing Inputs'!$AN$8=2,(J246-$H246),IF('Pricing Inputs'!$AN$3=2,IF((J246-$H246)&gt;0,J246-$H246,0),(_xll.xSPRDOPT(J246,$E246,$BU246,0,$BP246,$BS246,$BT246,($A246-Inputs!$D$1)+15,1,0)))))</f>
        <v xml:space="preserve"> </v>
      </c>
      <c r="R246" s="320" t="str">
        <f>IF($A246="N/A"," ",IF('Pricing Inputs'!$AN$8=2,(K246-$H246),IF('Pricing Inputs'!$AN$3=2,IF((K246-$H246)&gt;0,K246-$H246,0),(_xll.xSPRDOPT(K246,$E246,$BU246,0,$BP246,$BS246,$BT246,($A246-Inputs!$D$1)+15,1,0)))))</f>
        <v xml:space="preserve"> </v>
      </c>
      <c r="S246" s="320" t="str">
        <f>IF($A246="N/A"," ",IF('Pricing Inputs'!$AN$8=2,(L246-$H246),IF('Pricing Inputs'!$AN$3=2,IF((L246-$H246)&gt;0,L246-$H246,0),(_xll.xSPRDOPT(L246,$E246,$BU246,0,$BP246,$BS246,$BT246,($A246-Inputs!$D$1)+15,1,0)))))</f>
        <v xml:space="preserve"> </v>
      </c>
      <c r="T246" s="320" t="str">
        <f>IF($A246="N/A"," ",IF('Pricing Inputs'!$AN$8=2,(M246-$H246),IF('Pricing Inputs'!$AN$3=2,IF((M246-$H246)&gt;0,M246-$H246,0),(_xll.xSPRDOPT(M246,$E246,$BU246,0,$BP246,$BS246,$BT246,($A246-Inputs!$D$1)+15,1,0)))))</f>
        <v xml:space="preserve"> </v>
      </c>
      <c r="U246" s="320" t="str">
        <f>IF($A246="N/A"," ",IF('Pricing Inputs'!$AN$8=2,(N246-$H246),IF('Pricing Inputs'!$AN$3=2,IF((N246-$H246)&gt;0,N246-$H246,0),(_xll.xSPRDOPT(N246,$E246,$BU246,0,$BP246,$BS246,$BT246,($A246-Inputs!$D$1)+15,1,0)))))</f>
        <v xml:space="preserve"> </v>
      </c>
      <c r="V246" s="259" t="str">
        <f>IF($A246="N/A"," ",(IF('Pricing Inputs'!$AN$8=2,(O246-$H246),IF((O246-$H246)&lt;=0,0,(O246-$H246)))))</f>
        <v xml:space="preserve"> </v>
      </c>
      <c r="W246" s="306" t="str">
        <f>IF($A246="N/A"," ",IF(0&lt;&gt;P246,IF('Pricing Inputs'!$AN$3=2,8*VLOOKUP($A246,NumberofDaysTable,2),(_xll.xSPRDOPT(I246,$E246,$BU246,0,$BP246,$BS246,$BT246,$A246-Inputs!$D$1,1,1))*(8*VLOOKUP($A246,NumberofDaysTable,2))),0))</f>
        <v xml:space="preserve"> </v>
      </c>
      <c r="X246" s="306" t="str">
        <f>IF($A246="N/A"," ",IF(Q246&lt;&gt;0,IF('Pricing Inputs'!$AN$3=2,8*VLOOKUP($A246,NumberofDaysTable,2),(_xll.xSPRDOPT(J246,$E246,$BU246,0,$BP246,$BS246,$BT246,$A246-Inputs!$D$1,1,1))*(8*VLOOKUP($A246,NumberofDaysTable,2))),0))</f>
        <v xml:space="preserve"> </v>
      </c>
      <c r="Y246" s="306" t="str">
        <f>IF($A246="N/A"," ",IF(R246&lt;&gt;0,IF('Pricing Inputs'!$AN$3=2,8*VLOOKUP($A246,NumberofDaysTable,3),(_xll.xSPRDOPT(K246,$E246,$BU246,0,$BP246,$BS246,$BT246,$A246-Inputs!$D$1,1,1))*(8*VLOOKUP($A246,NumberofDaysTable,3))),0))</f>
        <v xml:space="preserve"> </v>
      </c>
      <c r="Z246" s="306" t="str">
        <f>IF($A246="N/A"," ",IF(S246&lt;&gt;0,IF('Pricing Inputs'!$AN$3=2,8*VLOOKUP($A246,NumberofDaysTable,3),(_xll.xSPRDOPT(L246,$E246,$BU246,0,$BP246,$BS246,$BT246,$A246-Inputs!$D$1,1,1))*(8*VLOOKUP($A246,NumberofDaysTable,3))),0))</f>
        <v xml:space="preserve"> </v>
      </c>
      <c r="AA246" s="306" t="str">
        <f>IF($A246="N/A"," ",IF(T246&lt;&gt;0,IF('Pricing Inputs'!$AN$3=2,8*VLOOKUP($A246,NumberofDaysTable,4),(_xll.xSPRDOPT(M246,$E246,$BU246,0,$BP246,$BS246,$BT246,$A246-Inputs!$D$1,1,1))*(8*VLOOKUP($A246,NumberofDaysTable,4))),0))</f>
        <v xml:space="preserve"> </v>
      </c>
      <c r="AB246" s="306" t="str">
        <f>IF($A246="N/A"," ",IF(U246&lt;&gt;0,IF('Pricing Inputs'!$AN$3=2,8*VLOOKUP($A246,NumberofDaysTable,4),(_xll.xSPRDOPT(N246,$E246,$BU246,0,$BP246,$BS246,$BT246,$A246-Inputs!$D$1,1,1))*(8*VLOOKUP($A246,NumberofDaysTable,4))),0))</f>
        <v xml:space="preserve"> </v>
      </c>
      <c r="AC246" s="306" t="str">
        <f t="shared" si="342"/>
        <v xml:space="preserve"> </v>
      </c>
      <c r="AD246" s="274" t="str">
        <f t="shared" si="422"/>
        <v xml:space="preserve"> </v>
      </c>
      <c r="AE246" s="275" t="str">
        <f t="shared" si="423"/>
        <v xml:space="preserve"> </v>
      </c>
      <c r="AF246" s="275" t="str">
        <f t="shared" si="424"/>
        <v xml:space="preserve"> </v>
      </c>
      <c r="AG246" s="275" t="str">
        <f t="shared" si="425"/>
        <v xml:space="preserve"> </v>
      </c>
      <c r="AH246" s="275" t="str">
        <f t="shared" si="426"/>
        <v xml:space="preserve"> </v>
      </c>
      <c r="AI246" s="275" t="str">
        <f t="shared" si="427"/>
        <v xml:space="preserve"> </v>
      </c>
      <c r="AJ246" s="276" t="str">
        <f t="shared" si="428"/>
        <v xml:space="preserve"> </v>
      </c>
      <c r="AK246" s="314" t="str">
        <f t="shared" si="361"/>
        <v xml:space="preserve"> </v>
      </c>
      <c r="AL246" s="315" t="str">
        <f t="shared" si="362"/>
        <v xml:space="preserve"> </v>
      </c>
      <c r="AM246" s="315" t="str">
        <f t="shared" si="363"/>
        <v xml:space="preserve"> </v>
      </c>
      <c r="AN246" s="315" t="str">
        <f t="shared" si="364"/>
        <v xml:space="preserve"> </v>
      </c>
      <c r="AO246" s="315" t="str">
        <f t="shared" si="365"/>
        <v xml:space="preserve"> </v>
      </c>
      <c r="AP246" s="315" t="str">
        <f t="shared" si="366"/>
        <v xml:space="preserve"> </v>
      </c>
      <c r="AQ246" s="315" t="str">
        <f t="shared" si="367"/>
        <v xml:space="preserve"> </v>
      </c>
      <c r="AR246" s="276"/>
      <c r="AS246" s="321" t="str">
        <f t="shared" si="415"/>
        <v xml:space="preserve"> </v>
      </c>
      <c r="AT246" s="324" t="str">
        <f t="shared" si="416"/>
        <v xml:space="preserve"> </v>
      </c>
      <c r="AU246" s="324" t="str">
        <f t="shared" si="417"/>
        <v xml:space="preserve"> </v>
      </c>
      <c r="AV246" s="324" t="str">
        <f t="shared" si="418"/>
        <v xml:space="preserve"> </v>
      </c>
      <c r="AW246" s="324" t="str">
        <f t="shared" si="419"/>
        <v xml:space="preserve"> </v>
      </c>
      <c r="AX246" s="324" t="str">
        <f t="shared" si="420"/>
        <v xml:space="preserve"> </v>
      </c>
      <c r="AY246" s="324" t="str">
        <f t="shared" si="421"/>
        <v xml:space="preserve"> </v>
      </c>
      <c r="AZ246" s="276"/>
      <c r="BA246" s="267" t="str">
        <f>IF($A246="N/A"," ",(IF(MONTH(A246)&gt;=4,IF(MONTH(A246)&lt;=10,Inputs!$F$13,Inputs!$F$14),Inputs!$F$14))*$BW246)</f>
        <v xml:space="preserve"> </v>
      </c>
      <c r="BB246" s="268" t="str">
        <f t="shared" si="382"/>
        <v xml:space="preserve"> </v>
      </c>
      <c r="BC246" s="268" t="str">
        <f t="shared" si="383"/>
        <v xml:space="preserve"> </v>
      </c>
      <c r="BD246" s="268" t="str">
        <f t="shared" si="350"/>
        <v xml:space="preserve"> </v>
      </c>
      <c r="BE246" s="268" t="str">
        <f t="shared" si="351"/>
        <v xml:space="preserve"> </v>
      </c>
      <c r="BF246" s="268" t="str">
        <f t="shared" si="352"/>
        <v xml:space="preserve"> </v>
      </c>
      <c r="BG246" s="268" t="str">
        <f t="shared" si="353"/>
        <v xml:space="preserve"> </v>
      </c>
      <c r="BH246" s="268" t="str">
        <f t="shared" si="359"/>
        <v xml:space="preserve"> </v>
      </c>
      <c r="BI246" s="268" t="str">
        <f t="shared" si="354"/>
        <v xml:space="preserve"> </v>
      </c>
      <c r="BJ246" s="296" t="str">
        <f t="shared" si="355"/>
        <v xml:space="preserve"> </v>
      </c>
      <c r="BK246" s="296" t="str">
        <f t="shared" si="356"/>
        <v xml:space="preserve"> </v>
      </c>
      <c r="BL246" s="296" t="str">
        <f t="shared" si="357"/>
        <v xml:space="preserve"> </v>
      </c>
      <c r="BM246" s="296" t="str">
        <f t="shared" si="358"/>
        <v xml:space="preserve"> </v>
      </c>
      <c r="BN246" s="405" t="str">
        <f>IF(A246="N/A"," ",(VLOOKUP(A246,PowerVolTable,(IF('Pricing Inputs'!$AT$3=2,7,IF('Pricing Inputs'!$AT$3=1,6,8))),FALSE)))</f>
        <v xml:space="preserve"> </v>
      </c>
      <c r="BO246" s="405" t="str">
        <f>IF(A246="N/A"," ",(VLOOKUP(A246,IntraPowerVol,(IF('Pricing Inputs'!$AT$3=2,3,IF('Pricing Inputs'!$AT$3=1,2,4))),FALSE)*VLOOKUP(MONTH($A246),Inputs!$A$28:$B$39,2)))</f>
        <v xml:space="preserve"> </v>
      </c>
      <c r="BP246" s="406" t="str">
        <f t="shared" si="336"/>
        <v xml:space="preserve"> </v>
      </c>
      <c r="BQ246" s="405" t="str">
        <f>IF($A246="N/A"," ",(VLOOKUP($A246,GasVolTable,(IF('Pricing Inputs'!$AT$3=2,6,IF('Pricing Inputs'!$AT$3=1,7,5))),FALSE)))</f>
        <v xml:space="preserve"> </v>
      </c>
      <c r="BR246" s="405" t="str">
        <f>IF($A246="N/A"," ",(VLOOKUP($A246,OmicronVol,(IF('Pricing Inputs'!$AT$3=2,3,IF('Pricing Inputs'!$AT$3=1,4,2))),FALSE)))</f>
        <v xml:space="preserve"> </v>
      </c>
      <c r="BS246" s="406" t="str">
        <f>IF($A246="N/A"," ",IF('Pricing Inputs'!$AN$3=1,(IF(DateToday&gt;$A246,$BR246,((($BQ246^2)*((($A246-1)-DateToday)/((EOMONTH($A246,0)+1)-DateToday-15)))+((($BR246)^2)*((15)/((EOMONTH($A246,0)+1)-DateToday-15))))^0.5)),0.0001))</f>
        <v xml:space="preserve"> </v>
      </c>
      <c r="BT246" s="405" t="str">
        <f>IF($A246="N/A"," ",IF('Pricing Inputs'!$AN$3=1,(VLOOKUP($A246,CorrelationTable,2,FALSE)),0))</f>
        <v xml:space="preserve"> </v>
      </c>
      <c r="BU246" s="407" t="str">
        <f>IF($A246="N/A"," ",F246+G246+(D246*(VLOOKUP($A246,'Gas Curves'!$B$17:$P$310,14,FALSE))))</f>
        <v xml:space="preserve"> </v>
      </c>
      <c r="BV246" s="405" t="str">
        <f>IF($A246="N/A"," ",IF('Pricing Inputs'!$AW$3=1,0,(VLOOKUP($A246,InterestRatesTable,2))))</f>
        <v xml:space="preserve"> </v>
      </c>
      <c r="BW246" s="408" t="str">
        <f t="shared" si="337"/>
        <v xml:space="preserve"> </v>
      </c>
    </row>
    <row r="247" spans="1:75">
      <c r="A247" s="248" t="str">
        <f>IF(A246="N/A","N/A",IF(EDATE(A246,1)&gt;Inputs!$K$3,"N/A",EDATE(A246,1)))</f>
        <v>N/A</v>
      </c>
      <c r="B247" s="262" t="str">
        <f t="shared" si="338"/>
        <v xml:space="preserve"> </v>
      </c>
      <c r="C247" s="249" t="str">
        <f t="shared" si="339"/>
        <v xml:space="preserve"> </v>
      </c>
      <c r="D247" s="250" t="str">
        <f>IF(A247="N/A"," ",(VLOOKUP(MONTH($A247),Inputs!$A$14:$B$25,2))/1000)</f>
        <v xml:space="preserve"> </v>
      </c>
      <c r="E247" s="304" t="str">
        <f t="shared" si="340"/>
        <v xml:space="preserve"> </v>
      </c>
      <c r="F247" s="251" t="str">
        <f>IF(A247="N/A"," ",Inputs!$F$6)</f>
        <v xml:space="preserve"> </v>
      </c>
      <c r="G247" s="251" t="str">
        <f>IF(A247="N/A"," ",Inputs!$F$9/IF(AND('Pricing Inputs'!$AQ$3&gt;=4,'Pricing Inputs'!$AQ$3&lt;=6),16,IF(AND('Pricing Inputs'!$AQ$3&gt;=7,'Pricing Inputs'!$AQ$3&lt;=9),8,24))/(BA247/BW247))</f>
        <v xml:space="preserve"> </v>
      </c>
      <c r="H247" s="252" t="str">
        <f t="shared" si="341"/>
        <v xml:space="preserve"> </v>
      </c>
      <c r="I247" s="255" t="str">
        <f>VLOOKUP(A247,ScaledPrice,(IF(AND('Pricing Inputs'!$AQ$3&gt;=1,'Pricing Inputs'!$AQ$3&lt;=6),2,4)))</f>
        <v xml:space="preserve"> </v>
      </c>
      <c r="J247" s="255" t="str">
        <f>IF(A247="N/A"," ",IF(AND('Pricing Inputs'!$AQ$3&gt;=1,'Pricing Inputs'!$AQ$3&lt;=6),I247,(VLOOKUP(A247,ScaledPrice,2))*(2-(VLOOKUP(A247,ScaledPrice,3)))))</f>
        <v xml:space="preserve"> </v>
      </c>
      <c r="K247" s="255" t="str">
        <f>IF(A247="N/A"," ",IF(OR('Pricing Inputs'!$AQ$3=2,'Pricing Inputs'!$AQ$3=3,'Pricing Inputs'!$AQ$3=5,'Pricing Inputs'!$AQ$3=6,'Pricing Inputs'!$AQ$3=8,'Pricing Inputs'!$AQ$3=9),VLOOKUP(A247,ScaledPrice,IF(AND('Pricing Inputs'!$AQ$3&gt;=2,'Pricing Inputs'!$AQ$3&lt;=6),5,6)),0))</f>
        <v xml:space="preserve"> </v>
      </c>
      <c r="L247" s="255" t="str">
        <f>IF(A247="N/A"," ",IF(OR('Pricing Inputs'!$AQ$3=2,'Pricing Inputs'!$AQ$3=3,'Pricing Inputs'!$AQ$3=5,'Pricing Inputs'!$AQ$3=6,'Pricing Inputs'!$AQ$3=8,'Pricing Inputs'!$AQ$3=9),IF(AND('Pricing Inputs'!$AQ$3&gt;=2,'Pricing Inputs'!$AQ$3&lt;=6),K247,(VLOOKUP(A247,ScaledPrice,5))*(2-(VLOOKUP(A247,ScaledPrice,3)))),0))</f>
        <v xml:space="preserve"> </v>
      </c>
      <c r="M247" s="255" t="str">
        <f>IF(A247="N/A"," ",IF(OR('Pricing Inputs'!$AQ$3=3,'Pricing Inputs'!$AQ$3=6,'Pricing Inputs'!$AQ$3=9),(VLOOKUP(A247,ScaledPrice,IF(AND('Pricing Inputs'!$AQ$3&gt;=3,'Pricing Inputs'!$AQ$3&lt;=6),7,8))),0))</f>
        <v xml:space="preserve"> </v>
      </c>
      <c r="N247" s="255" t="str">
        <f>IF(A247="N/A"," ",IF(OR('Pricing Inputs'!$AQ$3=3,'Pricing Inputs'!$AQ$3=6,'Pricing Inputs'!$AQ$3=9),IF(AND('Pricing Inputs'!$AQ$3&gt;=3,'Pricing Inputs'!$AQ$3&lt;=6),M247,(VLOOKUP(A247,ScaledPrice,7))*(2-(VLOOKUP(A247,ScaledPrice,3)))),0))</f>
        <v xml:space="preserve"> </v>
      </c>
      <c r="O247" s="255" t="str">
        <f>IF(A247="N/A"," ",IF(AND('Pricing Inputs'!$AQ$3&gt;=1,'Pricing Inputs'!$AQ$3&lt;=3),VLOOKUP(A247,ScaledPrice,9),0))</f>
        <v xml:space="preserve"> </v>
      </c>
      <c r="P247" s="320" t="str">
        <f>IF($A247="N/A"," ",IF('Pricing Inputs'!$AN$8=2,(I247-H247),IF('Pricing Inputs'!$AN$3=2,IF((I247-$H247)&gt;0,I247-$H247,0),(_xll.xSPRDOPT(I247,$E247,$BU247,0,$BP247,$BS247,$BT247,($A247-Inputs!$D$1)+15,1,0)))))</f>
        <v xml:space="preserve"> </v>
      </c>
      <c r="Q247" s="320" t="str">
        <f>IF($A247="N/A"," ",IF('Pricing Inputs'!$AN$8=2,(J247-$H247),IF('Pricing Inputs'!$AN$3=2,IF((J247-$H247)&gt;0,J247-$H247,0),(_xll.xSPRDOPT(J247,$E247,$BU247,0,$BP247,$BS247,$BT247,($A247-Inputs!$D$1)+15,1,0)))))</f>
        <v xml:space="preserve"> </v>
      </c>
      <c r="R247" s="320" t="str">
        <f>IF($A247="N/A"," ",IF('Pricing Inputs'!$AN$8=2,(K247-$H247),IF('Pricing Inputs'!$AN$3=2,IF((K247-$H247)&gt;0,K247-$H247,0),(_xll.xSPRDOPT(K247,$E247,$BU247,0,$BP247,$BS247,$BT247,($A247-Inputs!$D$1)+15,1,0)))))</f>
        <v xml:space="preserve"> </v>
      </c>
      <c r="S247" s="320" t="str">
        <f>IF($A247="N/A"," ",IF('Pricing Inputs'!$AN$8=2,(L247-$H247),IF('Pricing Inputs'!$AN$3=2,IF((L247-$H247)&gt;0,L247-$H247,0),(_xll.xSPRDOPT(L247,$E247,$BU247,0,$BP247,$BS247,$BT247,($A247-Inputs!$D$1)+15,1,0)))))</f>
        <v xml:space="preserve"> </v>
      </c>
      <c r="T247" s="320" t="str">
        <f>IF($A247="N/A"," ",IF('Pricing Inputs'!$AN$8=2,(M247-$H247),IF('Pricing Inputs'!$AN$3=2,IF((M247-$H247)&gt;0,M247-$H247,0),(_xll.xSPRDOPT(M247,$E247,$BU247,0,$BP247,$BS247,$BT247,($A247-Inputs!$D$1)+15,1,0)))))</f>
        <v xml:space="preserve"> </v>
      </c>
      <c r="U247" s="320" t="str">
        <f>IF($A247="N/A"," ",IF('Pricing Inputs'!$AN$8=2,(N247-$H247),IF('Pricing Inputs'!$AN$3=2,IF((N247-$H247)&gt;0,N247-$H247,0),(_xll.xSPRDOPT(N247,$E247,$BU247,0,$BP247,$BS247,$BT247,($A247-Inputs!$D$1)+15,1,0)))))</f>
        <v xml:space="preserve"> </v>
      </c>
      <c r="V247" s="259" t="str">
        <f>IF($A247="N/A"," ",(IF('Pricing Inputs'!$AN$8=2,(O247-$H247),IF((O247-$H247)&lt;=0,0,(O247-$H247)))))</f>
        <v xml:space="preserve"> </v>
      </c>
      <c r="W247" s="306" t="str">
        <f>IF($A247="N/A"," ",IF(0&lt;&gt;P247,IF('Pricing Inputs'!$AN$3=2,8*VLOOKUP($A247,NumberofDaysTable,2),(_xll.xSPRDOPT(I247,$E247,$BU247,0,$BP247,$BS247,$BT247,$A247-Inputs!$D$1,1,1))*(8*VLOOKUP($A247,NumberofDaysTable,2))),0))</f>
        <v xml:space="preserve"> </v>
      </c>
      <c r="X247" s="306" t="str">
        <f>IF($A247="N/A"," ",IF(Q247&lt;&gt;0,IF('Pricing Inputs'!$AN$3=2,8*VLOOKUP($A247,NumberofDaysTable,2),(_xll.xSPRDOPT(J247,$E247,$BU247,0,$BP247,$BS247,$BT247,$A247-Inputs!$D$1,1,1))*(8*VLOOKUP($A247,NumberofDaysTable,2))),0))</f>
        <v xml:space="preserve"> </v>
      </c>
      <c r="Y247" s="306" t="str">
        <f>IF($A247="N/A"," ",IF(R247&lt;&gt;0,IF('Pricing Inputs'!$AN$3=2,8*VLOOKUP($A247,NumberofDaysTable,3),(_xll.xSPRDOPT(K247,$E247,$BU247,0,$BP247,$BS247,$BT247,$A247-Inputs!$D$1,1,1))*(8*VLOOKUP($A247,NumberofDaysTable,3))),0))</f>
        <v xml:space="preserve"> </v>
      </c>
      <c r="Z247" s="306" t="str">
        <f>IF($A247="N/A"," ",IF(S247&lt;&gt;0,IF('Pricing Inputs'!$AN$3=2,8*VLOOKUP($A247,NumberofDaysTable,3),(_xll.xSPRDOPT(L247,$E247,$BU247,0,$BP247,$BS247,$BT247,$A247-Inputs!$D$1,1,1))*(8*VLOOKUP($A247,NumberofDaysTable,3))),0))</f>
        <v xml:space="preserve"> </v>
      </c>
      <c r="AA247" s="306" t="str">
        <f>IF($A247="N/A"," ",IF(T247&lt;&gt;0,IF('Pricing Inputs'!$AN$3=2,8*VLOOKUP($A247,NumberofDaysTable,4),(_xll.xSPRDOPT(M247,$E247,$BU247,0,$BP247,$BS247,$BT247,$A247-Inputs!$D$1,1,1))*(8*VLOOKUP($A247,NumberofDaysTable,4))),0))</f>
        <v xml:space="preserve"> </v>
      </c>
      <c r="AB247" s="306" t="str">
        <f>IF($A247="N/A"," ",IF(U247&lt;&gt;0,IF('Pricing Inputs'!$AN$3=2,8*VLOOKUP($A247,NumberofDaysTable,4),(_xll.xSPRDOPT(N247,$E247,$BU247,0,$BP247,$BS247,$BT247,$A247-Inputs!$D$1,1,1))*(8*VLOOKUP($A247,NumberofDaysTable,4))),0))</f>
        <v xml:space="preserve"> </v>
      </c>
      <c r="AC247" s="306" t="str">
        <f t="shared" si="342"/>
        <v xml:space="preserve"> </v>
      </c>
      <c r="AD247" s="274" t="str">
        <f t="shared" si="422"/>
        <v xml:space="preserve"> </v>
      </c>
      <c r="AE247" s="275" t="str">
        <f t="shared" si="423"/>
        <v xml:space="preserve"> </v>
      </c>
      <c r="AF247" s="275" t="str">
        <f t="shared" si="424"/>
        <v xml:space="preserve"> </v>
      </c>
      <c r="AG247" s="275" t="str">
        <f t="shared" si="425"/>
        <v xml:space="preserve"> </v>
      </c>
      <c r="AH247" s="275" t="str">
        <f t="shared" si="426"/>
        <v xml:space="preserve"> </v>
      </c>
      <c r="AI247" s="275" t="str">
        <f t="shared" si="427"/>
        <v xml:space="preserve"> </v>
      </c>
      <c r="AJ247" s="276" t="str">
        <f t="shared" si="428"/>
        <v xml:space="preserve"> </v>
      </c>
      <c r="AK247" s="314" t="str">
        <f t="shared" si="361"/>
        <v xml:space="preserve"> </v>
      </c>
      <c r="AL247" s="315" t="str">
        <f t="shared" si="362"/>
        <v xml:space="preserve"> </v>
      </c>
      <c r="AM247" s="315" t="str">
        <f t="shared" si="363"/>
        <v xml:space="preserve"> </v>
      </c>
      <c r="AN247" s="315" t="str">
        <f t="shared" si="364"/>
        <v xml:space="preserve"> </v>
      </c>
      <c r="AO247" s="315" t="str">
        <f t="shared" si="365"/>
        <v xml:space="preserve"> </v>
      </c>
      <c r="AP247" s="315" t="str">
        <f t="shared" si="366"/>
        <v xml:space="preserve"> </v>
      </c>
      <c r="AQ247" s="315" t="str">
        <f t="shared" si="367"/>
        <v xml:space="preserve"> </v>
      </c>
      <c r="AR247" s="276"/>
      <c r="AS247" s="321" t="str">
        <f t="shared" si="415"/>
        <v xml:space="preserve"> </v>
      </c>
      <c r="AT247" s="324" t="str">
        <f t="shared" si="416"/>
        <v xml:space="preserve"> </v>
      </c>
      <c r="AU247" s="324" t="str">
        <f t="shared" si="417"/>
        <v xml:space="preserve"> </v>
      </c>
      <c r="AV247" s="324" t="str">
        <f t="shared" si="418"/>
        <v xml:space="preserve"> </v>
      </c>
      <c r="AW247" s="324" t="str">
        <f t="shared" si="419"/>
        <v xml:space="preserve"> </v>
      </c>
      <c r="AX247" s="324" t="str">
        <f t="shared" si="420"/>
        <v xml:space="preserve"> </v>
      </c>
      <c r="AY247" s="324" t="str">
        <f t="shared" si="421"/>
        <v xml:space="preserve"> </v>
      </c>
      <c r="AZ247" s="276"/>
      <c r="BA247" s="267" t="str">
        <f>IF($A247="N/A"," ",(IF(MONTH(A247)&gt;=4,IF(MONTH(A247)&lt;=10,Inputs!$F$13,Inputs!$F$14),Inputs!$F$14))*$BW247)</f>
        <v xml:space="preserve"> </v>
      </c>
      <c r="BB247" s="268" t="str">
        <f t="shared" si="382"/>
        <v xml:space="preserve"> </v>
      </c>
      <c r="BC247" s="268" t="str">
        <f t="shared" si="383"/>
        <v xml:space="preserve"> </v>
      </c>
      <c r="BD247" s="268" t="str">
        <f t="shared" si="350"/>
        <v xml:space="preserve"> </v>
      </c>
      <c r="BE247" s="268" t="str">
        <f t="shared" si="351"/>
        <v xml:space="preserve"> </v>
      </c>
      <c r="BF247" s="268" t="str">
        <f t="shared" si="352"/>
        <v xml:space="preserve"> </v>
      </c>
      <c r="BG247" s="268" t="str">
        <f t="shared" si="353"/>
        <v xml:space="preserve"> </v>
      </c>
      <c r="BH247" s="268" t="str">
        <f t="shared" si="359"/>
        <v xml:space="preserve"> </v>
      </c>
      <c r="BI247" s="268" t="str">
        <f t="shared" si="354"/>
        <v xml:space="preserve"> </v>
      </c>
      <c r="BJ247" s="296" t="str">
        <f t="shared" si="355"/>
        <v xml:space="preserve"> </v>
      </c>
      <c r="BK247" s="296" t="str">
        <f t="shared" si="356"/>
        <v xml:space="preserve"> </v>
      </c>
      <c r="BL247" s="296" t="str">
        <f t="shared" si="357"/>
        <v xml:space="preserve"> </v>
      </c>
      <c r="BM247" s="296" t="str">
        <f t="shared" si="358"/>
        <v xml:space="preserve"> </v>
      </c>
      <c r="BN247" s="405" t="str">
        <f>IF(A247="N/A"," ",(VLOOKUP(A247,PowerVolTable,(IF('Pricing Inputs'!$AT$3=2,7,IF('Pricing Inputs'!$AT$3=1,6,8))),FALSE)))</f>
        <v xml:space="preserve"> </v>
      </c>
      <c r="BO247" s="405" t="str">
        <f>IF(A247="N/A"," ",(VLOOKUP(A247,IntraPowerVol,(IF('Pricing Inputs'!$AT$3=2,3,IF('Pricing Inputs'!$AT$3=1,2,4))),FALSE)*VLOOKUP(MONTH($A247),Inputs!$A$28:$B$39,2)))</f>
        <v xml:space="preserve"> </v>
      </c>
      <c r="BP247" s="406" t="str">
        <f t="shared" si="336"/>
        <v xml:space="preserve"> </v>
      </c>
      <c r="BQ247" s="405" t="str">
        <f>IF($A247="N/A"," ",(VLOOKUP($A247,GasVolTable,(IF('Pricing Inputs'!$AT$3=2,6,IF('Pricing Inputs'!$AT$3=1,7,5))),FALSE)))</f>
        <v xml:space="preserve"> </v>
      </c>
      <c r="BR247" s="405" t="str">
        <f>IF($A247="N/A"," ",(VLOOKUP($A247,OmicronVol,(IF('Pricing Inputs'!$AT$3=2,3,IF('Pricing Inputs'!$AT$3=1,4,2))),FALSE)))</f>
        <v xml:space="preserve"> </v>
      </c>
      <c r="BS247" s="406" t="str">
        <f>IF($A247="N/A"," ",IF('Pricing Inputs'!$AN$3=1,(IF(DateToday&gt;$A247,$BR247,((($BQ247^2)*((($A247-1)-DateToday)/((EOMONTH($A247,0)+1)-DateToday-15)))+((($BR247)^2)*((15)/((EOMONTH($A247,0)+1)-DateToday-15))))^0.5)),0.0001))</f>
        <v xml:space="preserve"> </v>
      </c>
      <c r="BT247" s="405" t="str">
        <f>IF($A247="N/A"," ",IF('Pricing Inputs'!$AN$3=1,(VLOOKUP($A247,CorrelationTable,2,FALSE)),0))</f>
        <v xml:space="preserve"> </v>
      </c>
      <c r="BU247" s="407" t="str">
        <f>IF($A247="N/A"," ",F247+G247+(D247*(VLOOKUP($A247,'Gas Curves'!$B$17:$P$310,14,FALSE))))</f>
        <v xml:space="preserve"> </v>
      </c>
      <c r="BV247" s="405" t="str">
        <f>IF($A247="N/A"," ",IF('Pricing Inputs'!$AW$3=1,0,(VLOOKUP($A247,InterestRatesTable,2))))</f>
        <v xml:space="preserve"> </v>
      </c>
      <c r="BW247" s="408" t="str">
        <f t="shared" si="337"/>
        <v xml:space="preserve"> </v>
      </c>
    </row>
    <row r="248" spans="1:75">
      <c r="A248" s="248" t="str">
        <f>IF(A247="N/A","N/A",IF(EDATE(A247,1)&gt;Inputs!$K$3,"N/A",EDATE(A247,1)))</f>
        <v>N/A</v>
      </c>
      <c r="B248" s="262" t="str">
        <f t="shared" si="338"/>
        <v xml:space="preserve"> </v>
      </c>
      <c r="C248" s="249" t="str">
        <f t="shared" si="339"/>
        <v xml:space="preserve"> </v>
      </c>
      <c r="D248" s="250" t="str">
        <f>IF(A248="N/A"," ",(VLOOKUP(MONTH($A248),Inputs!$A$14:$B$25,2))/1000)</f>
        <v xml:space="preserve"> </v>
      </c>
      <c r="E248" s="304" t="str">
        <f t="shared" si="340"/>
        <v xml:space="preserve"> </v>
      </c>
      <c r="F248" s="251" t="str">
        <f>IF(A248="N/A"," ",Inputs!$F$6)</f>
        <v xml:space="preserve"> </v>
      </c>
      <c r="G248" s="251" t="str">
        <f>IF(A248="N/A"," ",Inputs!$F$9/IF(AND('Pricing Inputs'!$AQ$3&gt;=4,'Pricing Inputs'!$AQ$3&lt;=6),16,IF(AND('Pricing Inputs'!$AQ$3&gt;=7,'Pricing Inputs'!$AQ$3&lt;=9),8,24))/(BA248/BW248))</f>
        <v xml:space="preserve"> </v>
      </c>
      <c r="H248" s="252" t="str">
        <f t="shared" si="341"/>
        <v xml:space="preserve"> </v>
      </c>
      <c r="I248" s="255" t="str">
        <f>VLOOKUP(A248,ScaledPrice,(IF(AND('Pricing Inputs'!$AQ$3&gt;=1,'Pricing Inputs'!$AQ$3&lt;=6),2,4)))</f>
        <v xml:space="preserve"> </v>
      </c>
      <c r="J248" s="255" t="str">
        <f>IF(A248="N/A"," ",IF(AND('Pricing Inputs'!$AQ$3&gt;=1,'Pricing Inputs'!$AQ$3&lt;=6),I248,(VLOOKUP(A248,ScaledPrice,2))*(2-(VLOOKUP(A248,ScaledPrice,3)))))</f>
        <v xml:space="preserve"> </v>
      </c>
      <c r="K248" s="255" t="str">
        <f>IF(A248="N/A"," ",IF(OR('Pricing Inputs'!$AQ$3=2,'Pricing Inputs'!$AQ$3=3,'Pricing Inputs'!$AQ$3=5,'Pricing Inputs'!$AQ$3=6,'Pricing Inputs'!$AQ$3=8,'Pricing Inputs'!$AQ$3=9),VLOOKUP(A248,ScaledPrice,IF(AND('Pricing Inputs'!$AQ$3&gt;=2,'Pricing Inputs'!$AQ$3&lt;=6),5,6)),0))</f>
        <v xml:space="preserve"> </v>
      </c>
      <c r="L248" s="255" t="str">
        <f>IF(A248="N/A"," ",IF(OR('Pricing Inputs'!$AQ$3=2,'Pricing Inputs'!$AQ$3=3,'Pricing Inputs'!$AQ$3=5,'Pricing Inputs'!$AQ$3=6,'Pricing Inputs'!$AQ$3=8,'Pricing Inputs'!$AQ$3=9),IF(AND('Pricing Inputs'!$AQ$3&gt;=2,'Pricing Inputs'!$AQ$3&lt;=6),K248,(VLOOKUP(A248,ScaledPrice,5))*(2-(VLOOKUP(A248,ScaledPrice,3)))),0))</f>
        <v xml:space="preserve"> </v>
      </c>
      <c r="M248" s="255" t="str">
        <f>IF(A248="N/A"," ",IF(OR('Pricing Inputs'!$AQ$3=3,'Pricing Inputs'!$AQ$3=6,'Pricing Inputs'!$AQ$3=9),(VLOOKUP(A248,ScaledPrice,IF(AND('Pricing Inputs'!$AQ$3&gt;=3,'Pricing Inputs'!$AQ$3&lt;=6),7,8))),0))</f>
        <v xml:space="preserve"> </v>
      </c>
      <c r="N248" s="255" t="str">
        <f>IF(A248="N/A"," ",IF(OR('Pricing Inputs'!$AQ$3=3,'Pricing Inputs'!$AQ$3=6,'Pricing Inputs'!$AQ$3=9),IF(AND('Pricing Inputs'!$AQ$3&gt;=3,'Pricing Inputs'!$AQ$3&lt;=6),M248,(VLOOKUP(A248,ScaledPrice,7))*(2-(VLOOKUP(A248,ScaledPrice,3)))),0))</f>
        <v xml:space="preserve"> </v>
      </c>
      <c r="O248" s="255" t="str">
        <f>IF(A248="N/A"," ",IF(AND('Pricing Inputs'!$AQ$3&gt;=1,'Pricing Inputs'!$AQ$3&lt;=3),VLOOKUP(A248,ScaledPrice,9),0))</f>
        <v xml:space="preserve"> </v>
      </c>
      <c r="P248" s="320" t="str">
        <f>IF($A248="N/A"," ",IF('Pricing Inputs'!$AN$8=2,(I248-H248),IF('Pricing Inputs'!$AN$3=2,IF((I248-$H248)&gt;0,I248-$H248,0),(_xll.xSPRDOPT(I248,$E248,$BU248,0,$BP248,$BS248,$BT248,($A248-Inputs!$D$1)+15,1,0)))))</f>
        <v xml:space="preserve"> </v>
      </c>
      <c r="Q248" s="320" t="str">
        <f>IF($A248="N/A"," ",IF('Pricing Inputs'!$AN$8=2,(J248-$H248),IF('Pricing Inputs'!$AN$3=2,IF((J248-$H248)&gt;0,J248-$H248,0),(_xll.xSPRDOPT(J248,$E248,$BU248,0,$BP248,$BS248,$BT248,($A248-Inputs!$D$1)+15,1,0)))))</f>
        <v xml:space="preserve"> </v>
      </c>
      <c r="R248" s="320" t="str">
        <f>IF($A248="N/A"," ",IF('Pricing Inputs'!$AN$8=2,(K248-$H248),IF('Pricing Inputs'!$AN$3=2,IF((K248-$H248)&gt;0,K248-$H248,0),(_xll.xSPRDOPT(K248,$E248,$BU248,0,$BP248,$BS248,$BT248,($A248-Inputs!$D$1)+15,1,0)))))</f>
        <v xml:space="preserve"> </v>
      </c>
      <c r="S248" s="320" t="str">
        <f>IF($A248="N/A"," ",IF('Pricing Inputs'!$AN$8=2,(L248-$H248),IF('Pricing Inputs'!$AN$3=2,IF((L248-$H248)&gt;0,L248-$H248,0),(_xll.xSPRDOPT(L248,$E248,$BU248,0,$BP248,$BS248,$BT248,($A248-Inputs!$D$1)+15,1,0)))))</f>
        <v xml:space="preserve"> </v>
      </c>
      <c r="T248" s="320" t="str">
        <f>IF($A248="N/A"," ",IF('Pricing Inputs'!$AN$8=2,(M248-$H248),IF('Pricing Inputs'!$AN$3=2,IF((M248-$H248)&gt;0,M248-$H248,0),(_xll.xSPRDOPT(M248,$E248,$BU248,0,$BP248,$BS248,$BT248,($A248-Inputs!$D$1)+15,1,0)))))</f>
        <v xml:space="preserve"> </v>
      </c>
      <c r="U248" s="320" t="str">
        <f>IF($A248="N/A"," ",IF('Pricing Inputs'!$AN$8=2,(N248-$H248),IF('Pricing Inputs'!$AN$3=2,IF((N248-$H248)&gt;0,N248-$H248,0),(_xll.xSPRDOPT(N248,$E248,$BU248,0,$BP248,$BS248,$BT248,($A248-Inputs!$D$1)+15,1,0)))))</f>
        <v xml:space="preserve"> </v>
      </c>
      <c r="V248" s="259" t="str">
        <f>IF($A248="N/A"," ",(IF('Pricing Inputs'!$AN$8=2,(O248-$H248),IF((O248-$H248)&lt;=0,0,(O248-$H248)))))</f>
        <v xml:space="preserve"> </v>
      </c>
      <c r="W248" s="306" t="str">
        <f>IF($A248="N/A"," ",IF(0&lt;&gt;P248,IF('Pricing Inputs'!$AN$3=2,8*VLOOKUP($A248,NumberofDaysTable,2),(_xll.xSPRDOPT(I248,$E248,$BU248,0,$BP248,$BS248,$BT248,$A248-Inputs!$D$1,1,1))*(8*VLOOKUP($A248,NumberofDaysTable,2))),0))</f>
        <v xml:space="preserve"> </v>
      </c>
      <c r="X248" s="306" t="str">
        <f>IF($A248="N/A"," ",IF(Q248&lt;&gt;0,IF('Pricing Inputs'!$AN$3=2,8*VLOOKUP($A248,NumberofDaysTable,2),(_xll.xSPRDOPT(J248,$E248,$BU248,0,$BP248,$BS248,$BT248,$A248-Inputs!$D$1,1,1))*(8*VLOOKUP($A248,NumberofDaysTable,2))),0))</f>
        <v xml:space="preserve"> </v>
      </c>
      <c r="Y248" s="306" t="str">
        <f>IF($A248="N/A"," ",IF(R248&lt;&gt;0,IF('Pricing Inputs'!$AN$3=2,8*VLOOKUP($A248,NumberofDaysTable,3),(_xll.xSPRDOPT(K248,$E248,$BU248,0,$BP248,$BS248,$BT248,$A248-Inputs!$D$1,1,1))*(8*VLOOKUP($A248,NumberofDaysTable,3))),0))</f>
        <v xml:space="preserve"> </v>
      </c>
      <c r="Z248" s="306" t="str">
        <f>IF($A248="N/A"," ",IF(S248&lt;&gt;0,IF('Pricing Inputs'!$AN$3=2,8*VLOOKUP($A248,NumberofDaysTable,3),(_xll.xSPRDOPT(L248,$E248,$BU248,0,$BP248,$BS248,$BT248,$A248-Inputs!$D$1,1,1))*(8*VLOOKUP($A248,NumberofDaysTable,3))),0))</f>
        <v xml:space="preserve"> </v>
      </c>
      <c r="AA248" s="306" t="str">
        <f>IF($A248="N/A"," ",IF(T248&lt;&gt;0,IF('Pricing Inputs'!$AN$3=2,8*VLOOKUP($A248,NumberofDaysTable,4),(_xll.xSPRDOPT(M248,$E248,$BU248,0,$BP248,$BS248,$BT248,$A248-Inputs!$D$1,1,1))*(8*VLOOKUP($A248,NumberofDaysTable,4))),0))</f>
        <v xml:space="preserve"> </v>
      </c>
      <c r="AB248" s="306" t="str">
        <f>IF($A248="N/A"," ",IF(U248&lt;&gt;0,IF('Pricing Inputs'!$AN$3=2,8*VLOOKUP($A248,NumberofDaysTable,4),(_xll.xSPRDOPT(N248,$E248,$BU248,0,$BP248,$BS248,$BT248,$A248-Inputs!$D$1,1,1))*(8*VLOOKUP($A248,NumberofDaysTable,4))),0))</f>
        <v xml:space="preserve"> </v>
      </c>
      <c r="AC248" s="306" t="str">
        <f t="shared" si="342"/>
        <v xml:space="preserve"> </v>
      </c>
      <c r="AD248" s="274" t="str">
        <f t="shared" si="422"/>
        <v xml:space="preserve"> </v>
      </c>
      <c r="AE248" s="275" t="str">
        <f t="shared" si="423"/>
        <v xml:space="preserve"> </v>
      </c>
      <c r="AF248" s="275" t="str">
        <f t="shared" si="424"/>
        <v xml:space="preserve"> </v>
      </c>
      <c r="AG248" s="275" t="str">
        <f t="shared" si="425"/>
        <v xml:space="preserve"> </v>
      </c>
      <c r="AH248" s="275" t="str">
        <f t="shared" si="426"/>
        <v xml:space="preserve"> </v>
      </c>
      <c r="AI248" s="275" t="str">
        <f t="shared" si="427"/>
        <v xml:space="preserve"> </v>
      </c>
      <c r="AJ248" s="276" t="str">
        <f t="shared" si="428"/>
        <v xml:space="preserve"> </v>
      </c>
      <c r="AK248" s="314" t="str">
        <f t="shared" si="361"/>
        <v xml:space="preserve"> </v>
      </c>
      <c r="AL248" s="315" t="str">
        <f t="shared" si="362"/>
        <v xml:space="preserve"> </v>
      </c>
      <c r="AM248" s="315" t="str">
        <f t="shared" si="363"/>
        <v xml:space="preserve"> </v>
      </c>
      <c r="AN248" s="315" t="str">
        <f t="shared" si="364"/>
        <v xml:space="preserve"> </v>
      </c>
      <c r="AO248" s="315" t="str">
        <f t="shared" si="365"/>
        <v xml:space="preserve"> </v>
      </c>
      <c r="AP248" s="315" t="str">
        <f t="shared" si="366"/>
        <v xml:space="preserve"> </v>
      </c>
      <c r="AQ248" s="315" t="str">
        <f t="shared" si="367"/>
        <v xml:space="preserve"> </v>
      </c>
      <c r="AR248" s="276"/>
      <c r="AS248" s="321" t="str">
        <f t="shared" si="415"/>
        <v xml:space="preserve"> </v>
      </c>
      <c r="AT248" s="324" t="str">
        <f t="shared" si="416"/>
        <v xml:space="preserve"> </v>
      </c>
      <c r="AU248" s="324" t="str">
        <f t="shared" si="417"/>
        <v xml:space="preserve"> </v>
      </c>
      <c r="AV248" s="324" t="str">
        <f t="shared" si="418"/>
        <v xml:space="preserve"> </v>
      </c>
      <c r="AW248" s="324" t="str">
        <f t="shared" si="419"/>
        <v xml:space="preserve"> </v>
      </c>
      <c r="AX248" s="324" t="str">
        <f t="shared" si="420"/>
        <v xml:space="preserve"> </v>
      </c>
      <c r="AY248" s="324" t="str">
        <f t="shared" si="421"/>
        <v xml:space="preserve"> </v>
      </c>
      <c r="AZ248" s="276"/>
      <c r="BA248" s="267" t="str">
        <f>IF($A248="N/A"," ",(IF(MONTH(A248)&gt;=4,IF(MONTH(A248)&lt;=10,Inputs!$F$13,Inputs!$F$14),Inputs!$F$14))*$BW248)</f>
        <v xml:space="preserve"> </v>
      </c>
      <c r="BB248" s="268" t="str">
        <f t="shared" si="382"/>
        <v xml:space="preserve"> </v>
      </c>
      <c r="BC248" s="268" t="str">
        <f t="shared" si="383"/>
        <v xml:space="preserve"> </v>
      </c>
      <c r="BD248" s="268" t="str">
        <f t="shared" si="350"/>
        <v xml:space="preserve"> </v>
      </c>
      <c r="BE248" s="268" t="str">
        <f t="shared" si="351"/>
        <v xml:space="preserve"> </v>
      </c>
      <c r="BF248" s="268" t="str">
        <f t="shared" si="352"/>
        <v xml:space="preserve"> </v>
      </c>
      <c r="BG248" s="268" t="str">
        <f t="shared" si="353"/>
        <v xml:space="preserve"> </v>
      </c>
      <c r="BH248" s="268" t="str">
        <f t="shared" si="359"/>
        <v xml:space="preserve"> </v>
      </c>
      <c r="BI248" s="268" t="str">
        <f t="shared" si="354"/>
        <v xml:space="preserve"> </v>
      </c>
      <c r="BJ248" s="296" t="str">
        <f t="shared" si="355"/>
        <v xml:space="preserve"> </v>
      </c>
      <c r="BK248" s="296" t="str">
        <f t="shared" si="356"/>
        <v xml:space="preserve"> </v>
      </c>
      <c r="BL248" s="296" t="str">
        <f t="shared" si="357"/>
        <v xml:space="preserve"> </v>
      </c>
      <c r="BM248" s="296" t="str">
        <f t="shared" si="358"/>
        <v xml:space="preserve"> </v>
      </c>
      <c r="BN248" s="405" t="str">
        <f>IF(A248="N/A"," ",(VLOOKUP(A248,PowerVolTable,(IF('Pricing Inputs'!$AT$3=2,7,IF('Pricing Inputs'!$AT$3=1,6,8))),FALSE)))</f>
        <v xml:space="preserve"> </v>
      </c>
      <c r="BO248" s="405" t="str">
        <f>IF(A248="N/A"," ",(VLOOKUP(A248,IntraPowerVol,(IF('Pricing Inputs'!$AT$3=2,3,IF('Pricing Inputs'!$AT$3=1,2,4))),FALSE)*VLOOKUP(MONTH($A248),Inputs!$A$28:$B$39,2)))</f>
        <v xml:space="preserve"> </v>
      </c>
      <c r="BP248" s="406" t="str">
        <f t="shared" si="336"/>
        <v xml:space="preserve"> </v>
      </c>
      <c r="BQ248" s="405" t="str">
        <f>IF($A248="N/A"," ",(VLOOKUP($A248,GasVolTable,(IF('Pricing Inputs'!$AT$3=2,6,IF('Pricing Inputs'!$AT$3=1,7,5))),FALSE)))</f>
        <v xml:space="preserve"> </v>
      </c>
      <c r="BR248" s="405" t="str">
        <f>IF($A248="N/A"," ",(VLOOKUP($A248,OmicronVol,(IF('Pricing Inputs'!$AT$3=2,3,IF('Pricing Inputs'!$AT$3=1,4,2))),FALSE)))</f>
        <v xml:space="preserve"> </v>
      </c>
      <c r="BS248" s="406" t="str">
        <f>IF($A248="N/A"," ",IF('Pricing Inputs'!$AN$3=1,(IF(DateToday&gt;$A248,$BR248,((($BQ248^2)*((($A248-1)-DateToday)/((EOMONTH($A248,0)+1)-DateToday-15)))+((($BR248)^2)*((15)/((EOMONTH($A248,0)+1)-DateToday-15))))^0.5)),0.0001))</f>
        <v xml:space="preserve"> </v>
      </c>
      <c r="BT248" s="405" t="str">
        <f>IF($A248="N/A"," ",IF('Pricing Inputs'!$AN$3=1,(VLOOKUP($A248,CorrelationTable,2,FALSE)),0))</f>
        <v xml:space="preserve"> </v>
      </c>
      <c r="BU248" s="407" t="str">
        <f>IF($A248="N/A"," ",F248+G248+(D248*(VLOOKUP($A248,'Gas Curves'!$B$17:$P$310,14,FALSE))))</f>
        <v xml:space="preserve"> </v>
      </c>
      <c r="BV248" s="405" t="str">
        <f>IF($A248="N/A"," ",IF('Pricing Inputs'!$AW$3=1,0,(VLOOKUP($A248,InterestRatesTable,2))))</f>
        <v xml:space="preserve"> </v>
      </c>
      <c r="BW248" s="408" t="str">
        <f t="shared" si="337"/>
        <v xml:space="preserve"> </v>
      </c>
    </row>
    <row r="249" spans="1:75">
      <c r="A249" s="248" t="str">
        <f>IF(A248="N/A","N/A",IF(EDATE(A248,1)&gt;Inputs!$K$3,"N/A",EDATE(A248,1)))</f>
        <v>N/A</v>
      </c>
      <c r="B249" s="262" t="str">
        <f t="shared" si="338"/>
        <v xml:space="preserve"> </v>
      </c>
      <c r="C249" s="249" t="str">
        <f t="shared" si="339"/>
        <v xml:space="preserve"> </v>
      </c>
      <c r="D249" s="250" t="str">
        <f>IF(A249="N/A"," ",(VLOOKUP(MONTH($A249),Inputs!$A$14:$B$25,2))/1000)</f>
        <v xml:space="preserve"> </v>
      </c>
      <c r="E249" s="304" t="str">
        <f t="shared" si="340"/>
        <v xml:space="preserve"> </v>
      </c>
      <c r="F249" s="251" t="str">
        <f>IF(A249="N/A"," ",Inputs!$F$6)</f>
        <v xml:space="preserve"> </v>
      </c>
      <c r="G249" s="251" t="str">
        <f>IF(A249="N/A"," ",Inputs!$F$9/IF(AND('Pricing Inputs'!$AQ$3&gt;=4,'Pricing Inputs'!$AQ$3&lt;=6),16,IF(AND('Pricing Inputs'!$AQ$3&gt;=7,'Pricing Inputs'!$AQ$3&lt;=9),8,24))/(BA249/BW249))</f>
        <v xml:space="preserve"> </v>
      </c>
      <c r="H249" s="252" t="str">
        <f t="shared" si="341"/>
        <v xml:space="preserve"> </v>
      </c>
      <c r="I249" s="255" t="str">
        <f>VLOOKUP(A249,ScaledPrice,(IF(AND('Pricing Inputs'!$AQ$3&gt;=1,'Pricing Inputs'!$AQ$3&lt;=6),2,4)))</f>
        <v xml:space="preserve"> </v>
      </c>
      <c r="J249" s="255" t="str">
        <f>IF(A249="N/A"," ",IF(AND('Pricing Inputs'!$AQ$3&gt;=1,'Pricing Inputs'!$AQ$3&lt;=6),I249,(VLOOKUP(A249,ScaledPrice,2))*(2-(VLOOKUP(A249,ScaledPrice,3)))))</f>
        <v xml:space="preserve"> </v>
      </c>
      <c r="K249" s="255" t="str">
        <f>IF(A249="N/A"," ",IF(OR('Pricing Inputs'!$AQ$3=2,'Pricing Inputs'!$AQ$3=3,'Pricing Inputs'!$AQ$3=5,'Pricing Inputs'!$AQ$3=6,'Pricing Inputs'!$AQ$3=8,'Pricing Inputs'!$AQ$3=9),VLOOKUP(A249,ScaledPrice,IF(AND('Pricing Inputs'!$AQ$3&gt;=2,'Pricing Inputs'!$AQ$3&lt;=6),5,6)),0))</f>
        <v xml:space="preserve"> </v>
      </c>
      <c r="L249" s="255" t="str">
        <f>IF(A249="N/A"," ",IF(OR('Pricing Inputs'!$AQ$3=2,'Pricing Inputs'!$AQ$3=3,'Pricing Inputs'!$AQ$3=5,'Pricing Inputs'!$AQ$3=6,'Pricing Inputs'!$AQ$3=8,'Pricing Inputs'!$AQ$3=9),IF(AND('Pricing Inputs'!$AQ$3&gt;=2,'Pricing Inputs'!$AQ$3&lt;=6),K249,(VLOOKUP(A249,ScaledPrice,5))*(2-(VLOOKUP(A249,ScaledPrice,3)))),0))</f>
        <v xml:space="preserve"> </v>
      </c>
      <c r="M249" s="255" t="str">
        <f>IF(A249="N/A"," ",IF(OR('Pricing Inputs'!$AQ$3=3,'Pricing Inputs'!$AQ$3=6,'Pricing Inputs'!$AQ$3=9),(VLOOKUP(A249,ScaledPrice,IF(AND('Pricing Inputs'!$AQ$3&gt;=3,'Pricing Inputs'!$AQ$3&lt;=6),7,8))),0))</f>
        <v xml:space="preserve"> </v>
      </c>
      <c r="N249" s="255" t="str">
        <f>IF(A249="N/A"," ",IF(OR('Pricing Inputs'!$AQ$3=3,'Pricing Inputs'!$AQ$3=6,'Pricing Inputs'!$AQ$3=9),IF(AND('Pricing Inputs'!$AQ$3&gt;=3,'Pricing Inputs'!$AQ$3&lt;=6),M249,(VLOOKUP(A249,ScaledPrice,7))*(2-(VLOOKUP(A249,ScaledPrice,3)))),0))</f>
        <v xml:space="preserve"> </v>
      </c>
      <c r="O249" s="255" t="str">
        <f>IF(A249="N/A"," ",IF(AND('Pricing Inputs'!$AQ$3&gt;=1,'Pricing Inputs'!$AQ$3&lt;=3),VLOOKUP(A249,ScaledPrice,9),0))</f>
        <v xml:space="preserve"> </v>
      </c>
      <c r="P249" s="320" t="str">
        <f>IF($A249="N/A"," ",IF('Pricing Inputs'!$AN$8=2,(I249-H249),IF('Pricing Inputs'!$AN$3=2,IF((I249-$H249)&gt;0,I249-$H249,0),(_xll.xSPRDOPT(I249,$E249,$BU249,0,$BP249,$BS249,$BT249,($A249-Inputs!$D$1)+15,1,0)))))</f>
        <v xml:space="preserve"> </v>
      </c>
      <c r="Q249" s="320" t="str">
        <f>IF($A249="N/A"," ",IF('Pricing Inputs'!$AN$8=2,(J249-$H249),IF('Pricing Inputs'!$AN$3=2,IF((J249-$H249)&gt;0,J249-$H249,0),(_xll.xSPRDOPT(J249,$E249,$BU249,0,$BP249,$BS249,$BT249,($A249-Inputs!$D$1)+15,1,0)))))</f>
        <v xml:space="preserve"> </v>
      </c>
      <c r="R249" s="320" t="str">
        <f>IF($A249="N/A"," ",IF('Pricing Inputs'!$AN$8=2,(K249-$H249),IF('Pricing Inputs'!$AN$3=2,IF((K249-$H249)&gt;0,K249-$H249,0),(_xll.xSPRDOPT(K249,$E249,$BU249,0,$BP249,$BS249,$BT249,($A249-Inputs!$D$1)+15,1,0)))))</f>
        <v xml:space="preserve"> </v>
      </c>
      <c r="S249" s="320" t="str">
        <f>IF($A249="N/A"," ",IF('Pricing Inputs'!$AN$8=2,(L249-$H249),IF('Pricing Inputs'!$AN$3=2,IF((L249-$H249)&gt;0,L249-$H249,0),(_xll.xSPRDOPT(L249,$E249,$BU249,0,$BP249,$BS249,$BT249,($A249-Inputs!$D$1)+15,1,0)))))</f>
        <v xml:space="preserve"> </v>
      </c>
      <c r="T249" s="320" t="str">
        <f>IF($A249="N/A"," ",IF('Pricing Inputs'!$AN$8=2,(M249-$H249),IF('Pricing Inputs'!$AN$3=2,IF((M249-$H249)&gt;0,M249-$H249,0),(_xll.xSPRDOPT(M249,$E249,$BU249,0,$BP249,$BS249,$BT249,($A249-Inputs!$D$1)+15,1,0)))))</f>
        <v xml:space="preserve"> </v>
      </c>
      <c r="U249" s="320" t="str">
        <f>IF($A249="N/A"," ",IF('Pricing Inputs'!$AN$8=2,(N249-$H249),IF('Pricing Inputs'!$AN$3=2,IF((N249-$H249)&gt;0,N249-$H249,0),(_xll.xSPRDOPT(N249,$E249,$BU249,0,$BP249,$BS249,$BT249,($A249-Inputs!$D$1)+15,1,0)))))</f>
        <v xml:space="preserve"> </v>
      </c>
      <c r="V249" s="259" t="str">
        <f>IF($A249="N/A"," ",(IF('Pricing Inputs'!$AN$8=2,(O249-$H249),IF((O249-$H249)&lt;=0,0,(O249-$H249)))))</f>
        <v xml:space="preserve"> </v>
      </c>
      <c r="W249" s="306" t="str">
        <f>IF($A249="N/A"," ",IF(0&lt;&gt;P249,IF('Pricing Inputs'!$AN$3=2,8*VLOOKUP($A249,NumberofDaysTable,2),(_xll.xSPRDOPT(I249,$E249,$BU249,0,$BP249,$BS249,$BT249,$A249-Inputs!$D$1,1,1))*(8*VLOOKUP($A249,NumberofDaysTable,2))),0))</f>
        <v xml:space="preserve"> </v>
      </c>
      <c r="X249" s="306" t="str">
        <f>IF($A249="N/A"," ",IF(Q249&lt;&gt;0,IF('Pricing Inputs'!$AN$3=2,8*VLOOKUP($A249,NumberofDaysTable,2),(_xll.xSPRDOPT(J249,$E249,$BU249,0,$BP249,$BS249,$BT249,$A249-Inputs!$D$1,1,1))*(8*VLOOKUP($A249,NumberofDaysTable,2))),0))</f>
        <v xml:space="preserve"> </v>
      </c>
      <c r="Y249" s="306" t="str">
        <f>IF($A249="N/A"," ",IF(R249&lt;&gt;0,IF('Pricing Inputs'!$AN$3=2,8*VLOOKUP($A249,NumberofDaysTable,3),(_xll.xSPRDOPT(K249,$E249,$BU249,0,$BP249,$BS249,$BT249,$A249-Inputs!$D$1,1,1))*(8*VLOOKUP($A249,NumberofDaysTable,3))),0))</f>
        <v xml:space="preserve"> </v>
      </c>
      <c r="Z249" s="306" t="str">
        <f>IF($A249="N/A"," ",IF(S249&lt;&gt;0,IF('Pricing Inputs'!$AN$3=2,8*VLOOKUP($A249,NumberofDaysTable,3),(_xll.xSPRDOPT(L249,$E249,$BU249,0,$BP249,$BS249,$BT249,$A249-Inputs!$D$1,1,1))*(8*VLOOKUP($A249,NumberofDaysTable,3))),0))</f>
        <v xml:space="preserve"> </v>
      </c>
      <c r="AA249" s="306" t="str">
        <f>IF($A249="N/A"," ",IF(T249&lt;&gt;0,IF('Pricing Inputs'!$AN$3=2,8*VLOOKUP($A249,NumberofDaysTable,4),(_xll.xSPRDOPT(M249,$E249,$BU249,0,$BP249,$BS249,$BT249,$A249-Inputs!$D$1,1,1))*(8*VLOOKUP($A249,NumberofDaysTable,4))),0))</f>
        <v xml:space="preserve"> </v>
      </c>
      <c r="AB249" s="306" t="str">
        <f>IF($A249="N/A"," ",IF(U249&lt;&gt;0,IF('Pricing Inputs'!$AN$3=2,8*VLOOKUP($A249,NumberofDaysTable,4),(_xll.xSPRDOPT(N249,$E249,$BU249,0,$BP249,$BS249,$BT249,$A249-Inputs!$D$1,1,1))*(8*VLOOKUP($A249,NumberofDaysTable,4))),0))</f>
        <v xml:space="preserve"> </v>
      </c>
      <c r="AC249" s="306" t="str">
        <f t="shared" si="342"/>
        <v xml:space="preserve"> </v>
      </c>
      <c r="AD249" s="274" t="str">
        <f t="shared" si="422"/>
        <v xml:space="preserve"> </v>
      </c>
      <c r="AE249" s="275" t="str">
        <f t="shared" si="423"/>
        <v xml:space="preserve"> </v>
      </c>
      <c r="AF249" s="275" t="str">
        <f t="shared" si="424"/>
        <v xml:space="preserve"> </v>
      </c>
      <c r="AG249" s="275" t="str">
        <f t="shared" si="425"/>
        <v xml:space="preserve"> </v>
      </c>
      <c r="AH249" s="275" t="str">
        <f t="shared" si="426"/>
        <v xml:space="preserve"> </v>
      </c>
      <c r="AI249" s="275" t="str">
        <f t="shared" si="427"/>
        <v xml:space="preserve"> </v>
      </c>
      <c r="AJ249" s="276" t="str">
        <f t="shared" si="428"/>
        <v xml:space="preserve"> </v>
      </c>
      <c r="AK249" s="314" t="str">
        <f t="shared" si="361"/>
        <v xml:space="preserve"> </v>
      </c>
      <c r="AL249" s="315" t="str">
        <f t="shared" si="362"/>
        <v xml:space="preserve"> </v>
      </c>
      <c r="AM249" s="315" t="str">
        <f t="shared" si="363"/>
        <v xml:space="preserve"> </v>
      </c>
      <c r="AN249" s="315" t="str">
        <f t="shared" si="364"/>
        <v xml:space="preserve"> </v>
      </c>
      <c r="AO249" s="315" t="str">
        <f t="shared" si="365"/>
        <v xml:space="preserve"> </v>
      </c>
      <c r="AP249" s="315" t="str">
        <f t="shared" si="366"/>
        <v xml:space="preserve"> </v>
      </c>
      <c r="AQ249" s="315" t="str">
        <f t="shared" si="367"/>
        <v xml:space="preserve"> </v>
      </c>
      <c r="AR249" s="276"/>
      <c r="AS249" s="321" t="str">
        <f t="shared" si="415"/>
        <v xml:space="preserve"> </v>
      </c>
      <c r="AT249" s="324" t="str">
        <f t="shared" si="416"/>
        <v xml:space="preserve"> </v>
      </c>
      <c r="AU249" s="324" t="str">
        <f t="shared" si="417"/>
        <v xml:space="preserve"> </v>
      </c>
      <c r="AV249" s="324" t="str">
        <f t="shared" si="418"/>
        <v xml:space="preserve"> </v>
      </c>
      <c r="AW249" s="324" t="str">
        <f t="shared" si="419"/>
        <v xml:space="preserve"> </v>
      </c>
      <c r="AX249" s="324" t="str">
        <f t="shared" si="420"/>
        <v xml:space="preserve"> </v>
      </c>
      <c r="AY249" s="324" t="str">
        <f t="shared" si="421"/>
        <v xml:space="preserve"> </v>
      </c>
      <c r="AZ249" s="276"/>
      <c r="BA249" s="267" t="str">
        <f>IF($A249="N/A"," ",(IF(MONTH(A249)&gt;=4,IF(MONTH(A249)&lt;=10,Inputs!$F$13,Inputs!$F$14),Inputs!$F$14))*$BW249)</f>
        <v xml:space="preserve"> </v>
      </c>
      <c r="BB249" s="268" t="str">
        <f t="shared" si="382"/>
        <v xml:space="preserve"> </v>
      </c>
      <c r="BC249" s="268" t="str">
        <f t="shared" si="383"/>
        <v xml:space="preserve"> </v>
      </c>
      <c r="BD249" s="268" t="str">
        <f t="shared" si="350"/>
        <v xml:space="preserve"> </v>
      </c>
      <c r="BE249" s="268" t="str">
        <f t="shared" si="351"/>
        <v xml:space="preserve"> </v>
      </c>
      <c r="BF249" s="268" t="str">
        <f t="shared" si="352"/>
        <v xml:space="preserve"> </v>
      </c>
      <c r="BG249" s="268" t="str">
        <f t="shared" si="353"/>
        <v xml:space="preserve"> </v>
      </c>
      <c r="BH249" s="268" t="str">
        <f t="shared" si="359"/>
        <v xml:space="preserve"> </v>
      </c>
      <c r="BI249" s="268" t="str">
        <f t="shared" si="354"/>
        <v xml:space="preserve"> </v>
      </c>
      <c r="BJ249" s="296" t="str">
        <f t="shared" si="355"/>
        <v xml:space="preserve"> </v>
      </c>
      <c r="BK249" s="296" t="str">
        <f t="shared" si="356"/>
        <v xml:space="preserve"> </v>
      </c>
      <c r="BL249" s="296" t="str">
        <f t="shared" si="357"/>
        <v xml:space="preserve"> </v>
      </c>
      <c r="BM249" s="296" t="str">
        <f t="shared" si="358"/>
        <v xml:space="preserve"> </v>
      </c>
      <c r="BN249" s="405" t="str">
        <f>IF(A249="N/A"," ",(VLOOKUP(A249,PowerVolTable,(IF('Pricing Inputs'!$AT$3=2,7,IF('Pricing Inputs'!$AT$3=1,6,8))),FALSE)))</f>
        <v xml:space="preserve"> </v>
      </c>
      <c r="BO249" s="405" t="str">
        <f>IF(A249="N/A"," ",(VLOOKUP(A249,IntraPowerVol,(IF('Pricing Inputs'!$AT$3=2,3,IF('Pricing Inputs'!$AT$3=1,2,4))),FALSE)*VLOOKUP(MONTH($A249),Inputs!$A$28:$B$39,2)))</f>
        <v xml:space="preserve"> </v>
      </c>
      <c r="BP249" s="406" t="str">
        <f t="shared" si="336"/>
        <v xml:space="preserve"> </v>
      </c>
      <c r="BQ249" s="405" t="str">
        <f>IF($A249="N/A"," ",(VLOOKUP($A249,GasVolTable,(IF('Pricing Inputs'!$AT$3=2,6,IF('Pricing Inputs'!$AT$3=1,7,5))),FALSE)))</f>
        <v xml:space="preserve"> </v>
      </c>
      <c r="BR249" s="405" t="str">
        <f>IF($A249="N/A"," ",(VLOOKUP($A249,OmicronVol,(IF('Pricing Inputs'!$AT$3=2,3,IF('Pricing Inputs'!$AT$3=1,4,2))),FALSE)))</f>
        <v xml:space="preserve"> </v>
      </c>
      <c r="BS249" s="406" t="str">
        <f>IF($A249="N/A"," ",IF('Pricing Inputs'!$AN$3=1,(IF(DateToday&gt;$A249,$BR249,((($BQ249^2)*((($A249-1)-DateToday)/((EOMONTH($A249,0)+1)-DateToday-15)))+((($BR249)^2)*((15)/((EOMONTH($A249,0)+1)-DateToday-15))))^0.5)),0.0001))</f>
        <v xml:space="preserve"> </v>
      </c>
      <c r="BT249" s="405" t="str">
        <f>IF($A249="N/A"," ",IF('Pricing Inputs'!$AN$3=1,(VLOOKUP($A249,CorrelationTable,2,FALSE)),0))</f>
        <v xml:space="preserve"> </v>
      </c>
      <c r="BU249" s="407" t="str">
        <f>IF($A249="N/A"," ",F249+G249+(D249*(VLOOKUP($A249,'Gas Curves'!$B$17:$P$310,14,FALSE))))</f>
        <v xml:space="preserve"> </v>
      </c>
      <c r="BV249" s="405" t="str">
        <f>IF($A249="N/A"," ",IF('Pricing Inputs'!$AW$3=1,0,(VLOOKUP($A249,InterestRatesTable,2))))</f>
        <v xml:space="preserve"> </v>
      </c>
      <c r="BW249" s="408" t="str">
        <f t="shared" si="337"/>
        <v xml:space="preserve"> </v>
      </c>
    </row>
    <row r="250" spans="1:75">
      <c r="A250" s="248" t="str">
        <f>IF(A249="N/A","N/A",IF(EDATE(A249,1)&gt;Inputs!$K$3,"N/A",EDATE(A249,1)))</f>
        <v>N/A</v>
      </c>
      <c r="B250" s="262" t="str">
        <f t="shared" si="338"/>
        <v xml:space="preserve"> </v>
      </c>
      <c r="C250" s="249" t="str">
        <f t="shared" si="339"/>
        <v xml:space="preserve"> </v>
      </c>
      <c r="D250" s="250" t="str">
        <f>IF(A250="N/A"," ",(VLOOKUP(MONTH($A250),Inputs!$A$14:$B$25,2))/1000)</f>
        <v xml:space="preserve"> </v>
      </c>
      <c r="E250" s="304" t="str">
        <f t="shared" si="340"/>
        <v xml:space="preserve"> </v>
      </c>
      <c r="F250" s="251" t="str">
        <f>IF(A250="N/A"," ",Inputs!$F$6)</f>
        <v xml:space="preserve"> </v>
      </c>
      <c r="G250" s="251" t="str">
        <f>IF(A250="N/A"," ",Inputs!$F$9/IF(AND('Pricing Inputs'!$AQ$3&gt;=4,'Pricing Inputs'!$AQ$3&lt;=6),16,IF(AND('Pricing Inputs'!$AQ$3&gt;=7,'Pricing Inputs'!$AQ$3&lt;=9),8,24))/(BA250/BW250))</f>
        <v xml:space="preserve"> </v>
      </c>
      <c r="H250" s="252" t="str">
        <f t="shared" si="341"/>
        <v xml:space="preserve"> </v>
      </c>
      <c r="I250" s="255" t="str">
        <f>VLOOKUP(A250,ScaledPrice,(IF(AND('Pricing Inputs'!$AQ$3&gt;=1,'Pricing Inputs'!$AQ$3&lt;=6),2,4)))</f>
        <v xml:space="preserve"> </v>
      </c>
      <c r="J250" s="255" t="str">
        <f>IF(A250="N/A"," ",IF(AND('Pricing Inputs'!$AQ$3&gt;=1,'Pricing Inputs'!$AQ$3&lt;=6),I250,(VLOOKUP(A250,ScaledPrice,2))*(2-(VLOOKUP(A250,ScaledPrice,3)))))</f>
        <v xml:space="preserve"> </v>
      </c>
      <c r="K250" s="255" t="str">
        <f>IF(A250="N/A"," ",IF(OR('Pricing Inputs'!$AQ$3=2,'Pricing Inputs'!$AQ$3=3,'Pricing Inputs'!$AQ$3=5,'Pricing Inputs'!$AQ$3=6,'Pricing Inputs'!$AQ$3=8,'Pricing Inputs'!$AQ$3=9),VLOOKUP(A250,ScaledPrice,IF(AND('Pricing Inputs'!$AQ$3&gt;=2,'Pricing Inputs'!$AQ$3&lt;=6),5,6)),0))</f>
        <v xml:space="preserve"> </v>
      </c>
      <c r="L250" s="255" t="str">
        <f>IF(A250="N/A"," ",IF(OR('Pricing Inputs'!$AQ$3=2,'Pricing Inputs'!$AQ$3=3,'Pricing Inputs'!$AQ$3=5,'Pricing Inputs'!$AQ$3=6,'Pricing Inputs'!$AQ$3=8,'Pricing Inputs'!$AQ$3=9),IF(AND('Pricing Inputs'!$AQ$3&gt;=2,'Pricing Inputs'!$AQ$3&lt;=6),K250,(VLOOKUP(A250,ScaledPrice,5))*(2-(VLOOKUP(A250,ScaledPrice,3)))),0))</f>
        <v xml:space="preserve"> </v>
      </c>
      <c r="M250" s="255" t="str">
        <f>IF(A250="N/A"," ",IF(OR('Pricing Inputs'!$AQ$3=3,'Pricing Inputs'!$AQ$3=6,'Pricing Inputs'!$AQ$3=9),(VLOOKUP(A250,ScaledPrice,IF(AND('Pricing Inputs'!$AQ$3&gt;=3,'Pricing Inputs'!$AQ$3&lt;=6),7,8))),0))</f>
        <v xml:space="preserve"> </v>
      </c>
      <c r="N250" s="255" t="str">
        <f>IF(A250="N/A"," ",IF(OR('Pricing Inputs'!$AQ$3=3,'Pricing Inputs'!$AQ$3=6,'Pricing Inputs'!$AQ$3=9),IF(AND('Pricing Inputs'!$AQ$3&gt;=3,'Pricing Inputs'!$AQ$3&lt;=6),M250,(VLOOKUP(A250,ScaledPrice,7))*(2-(VLOOKUP(A250,ScaledPrice,3)))),0))</f>
        <v xml:space="preserve"> </v>
      </c>
      <c r="O250" s="255" t="str">
        <f>IF(A250="N/A"," ",IF(AND('Pricing Inputs'!$AQ$3&gt;=1,'Pricing Inputs'!$AQ$3&lt;=3),VLOOKUP(A250,ScaledPrice,9),0))</f>
        <v xml:space="preserve"> </v>
      </c>
      <c r="P250" s="320" t="str">
        <f>IF($A250="N/A"," ",IF('Pricing Inputs'!$AN$8=2,(I250-H250),IF('Pricing Inputs'!$AN$3=2,IF((I250-$H250)&gt;0,I250-$H250,0),(_xll.xSPRDOPT(I250,$E250,$BU250,0,$BP250,$BS250,$BT250,($A250-Inputs!$D$1)+15,1,0)))))</f>
        <v xml:space="preserve"> </v>
      </c>
      <c r="Q250" s="320" t="str">
        <f>IF($A250="N/A"," ",IF('Pricing Inputs'!$AN$8=2,(J250-$H250),IF('Pricing Inputs'!$AN$3=2,IF((J250-$H250)&gt;0,J250-$H250,0),(_xll.xSPRDOPT(J250,$E250,$BU250,0,$BP250,$BS250,$BT250,($A250-Inputs!$D$1)+15,1,0)))))</f>
        <v xml:space="preserve"> </v>
      </c>
      <c r="R250" s="320" t="str">
        <f>IF($A250="N/A"," ",IF('Pricing Inputs'!$AN$8=2,(K250-$H250),IF('Pricing Inputs'!$AN$3=2,IF((K250-$H250)&gt;0,K250-$H250,0),(_xll.xSPRDOPT(K250,$E250,$BU250,0,$BP250,$BS250,$BT250,($A250-Inputs!$D$1)+15,1,0)))))</f>
        <v xml:space="preserve"> </v>
      </c>
      <c r="S250" s="320" t="str">
        <f>IF($A250="N/A"," ",IF('Pricing Inputs'!$AN$8=2,(L250-$H250),IF('Pricing Inputs'!$AN$3=2,IF((L250-$H250)&gt;0,L250-$H250,0),(_xll.xSPRDOPT(L250,$E250,$BU250,0,$BP250,$BS250,$BT250,($A250-Inputs!$D$1)+15,1,0)))))</f>
        <v xml:space="preserve"> </v>
      </c>
      <c r="T250" s="320" t="str">
        <f>IF($A250="N/A"," ",IF('Pricing Inputs'!$AN$8=2,(M250-$H250),IF('Pricing Inputs'!$AN$3=2,IF((M250-$H250)&gt;0,M250-$H250,0),(_xll.xSPRDOPT(M250,$E250,$BU250,0,$BP250,$BS250,$BT250,($A250-Inputs!$D$1)+15,1,0)))))</f>
        <v xml:space="preserve"> </v>
      </c>
      <c r="U250" s="320" t="str">
        <f>IF($A250="N/A"," ",IF('Pricing Inputs'!$AN$8=2,(N250-$H250),IF('Pricing Inputs'!$AN$3=2,IF((N250-$H250)&gt;0,N250-$H250,0),(_xll.xSPRDOPT(N250,$E250,$BU250,0,$BP250,$BS250,$BT250,($A250-Inputs!$D$1)+15,1,0)))))</f>
        <v xml:space="preserve"> </v>
      </c>
      <c r="V250" s="259" t="str">
        <f>IF($A250="N/A"," ",(IF('Pricing Inputs'!$AN$8=2,(O250-$H250),IF((O250-$H250)&lt;=0,0,(O250-$H250)))))</f>
        <v xml:space="preserve"> </v>
      </c>
      <c r="W250" s="306" t="str">
        <f>IF($A250="N/A"," ",IF(0&lt;&gt;P250,IF('Pricing Inputs'!$AN$3=2,8*VLOOKUP($A250,NumberofDaysTable,2),(_xll.xSPRDOPT(I250,$E250,$BU250,0,$BP250,$BS250,$BT250,$A250-Inputs!$D$1,1,1))*(8*VLOOKUP($A250,NumberofDaysTable,2))),0))</f>
        <v xml:space="preserve"> </v>
      </c>
      <c r="X250" s="306" t="str">
        <f>IF($A250="N/A"," ",IF(Q250&lt;&gt;0,IF('Pricing Inputs'!$AN$3=2,8*VLOOKUP($A250,NumberofDaysTable,2),(_xll.xSPRDOPT(J250,$E250,$BU250,0,$BP250,$BS250,$BT250,$A250-Inputs!$D$1,1,1))*(8*VLOOKUP($A250,NumberofDaysTable,2))),0))</f>
        <v xml:space="preserve"> </v>
      </c>
      <c r="Y250" s="306" t="str">
        <f>IF($A250="N/A"," ",IF(R250&lt;&gt;0,IF('Pricing Inputs'!$AN$3=2,8*VLOOKUP($A250,NumberofDaysTable,3),(_xll.xSPRDOPT(K250,$E250,$BU250,0,$BP250,$BS250,$BT250,$A250-Inputs!$D$1,1,1))*(8*VLOOKUP($A250,NumberofDaysTable,3))),0))</f>
        <v xml:space="preserve"> </v>
      </c>
      <c r="Z250" s="306" t="str">
        <f>IF($A250="N/A"," ",IF(S250&lt;&gt;0,IF('Pricing Inputs'!$AN$3=2,8*VLOOKUP($A250,NumberofDaysTable,3),(_xll.xSPRDOPT(L250,$E250,$BU250,0,$BP250,$BS250,$BT250,$A250-Inputs!$D$1,1,1))*(8*VLOOKUP($A250,NumberofDaysTable,3))),0))</f>
        <v xml:space="preserve"> </v>
      </c>
      <c r="AA250" s="306" t="str">
        <f>IF($A250="N/A"," ",IF(T250&lt;&gt;0,IF('Pricing Inputs'!$AN$3=2,8*VLOOKUP($A250,NumberofDaysTable,4),(_xll.xSPRDOPT(M250,$E250,$BU250,0,$BP250,$BS250,$BT250,$A250-Inputs!$D$1,1,1))*(8*VLOOKUP($A250,NumberofDaysTable,4))),0))</f>
        <v xml:space="preserve"> </v>
      </c>
      <c r="AB250" s="306" t="str">
        <f>IF($A250="N/A"," ",IF(U250&lt;&gt;0,IF('Pricing Inputs'!$AN$3=2,8*VLOOKUP($A250,NumberofDaysTable,4),(_xll.xSPRDOPT(N250,$E250,$BU250,0,$BP250,$BS250,$BT250,$A250-Inputs!$D$1,1,1))*(8*VLOOKUP($A250,NumberofDaysTable,4))),0))</f>
        <v xml:space="preserve"> </v>
      </c>
      <c r="AC250" s="306" t="str">
        <f t="shared" si="342"/>
        <v xml:space="preserve"> </v>
      </c>
      <c r="AD250" s="274" t="str">
        <f t="shared" si="422"/>
        <v xml:space="preserve"> </v>
      </c>
      <c r="AE250" s="275" t="str">
        <f t="shared" si="423"/>
        <v xml:space="preserve"> </v>
      </c>
      <c r="AF250" s="275" t="str">
        <f t="shared" si="424"/>
        <v xml:space="preserve"> </v>
      </c>
      <c r="AG250" s="275" t="str">
        <f t="shared" si="425"/>
        <v xml:space="preserve"> </v>
      </c>
      <c r="AH250" s="275" t="str">
        <f t="shared" si="426"/>
        <v xml:space="preserve"> </v>
      </c>
      <c r="AI250" s="275" t="str">
        <f t="shared" si="427"/>
        <v xml:space="preserve"> </v>
      </c>
      <c r="AJ250" s="276" t="str">
        <f t="shared" si="428"/>
        <v xml:space="preserve"> </v>
      </c>
      <c r="AK250" s="314" t="str">
        <f t="shared" si="361"/>
        <v xml:space="preserve"> </v>
      </c>
      <c r="AL250" s="315" t="str">
        <f t="shared" si="362"/>
        <v xml:space="preserve"> </v>
      </c>
      <c r="AM250" s="315" t="str">
        <f t="shared" si="363"/>
        <v xml:space="preserve"> </v>
      </c>
      <c r="AN250" s="315" t="str">
        <f t="shared" si="364"/>
        <v xml:space="preserve"> </v>
      </c>
      <c r="AO250" s="315" t="str">
        <f t="shared" si="365"/>
        <v xml:space="preserve"> </v>
      </c>
      <c r="AP250" s="315" t="str">
        <f t="shared" si="366"/>
        <v xml:space="preserve"> </v>
      </c>
      <c r="AQ250" s="315" t="str">
        <f t="shared" si="367"/>
        <v xml:space="preserve"> </v>
      </c>
      <c r="AR250" s="276"/>
      <c r="AS250" s="321" t="str">
        <f t="shared" si="415"/>
        <v xml:space="preserve"> </v>
      </c>
      <c r="AT250" s="324" t="str">
        <f t="shared" si="416"/>
        <v xml:space="preserve"> </v>
      </c>
      <c r="AU250" s="324" t="str">
        <f t="shared" si="417"/>
        <v xml:space="preserve"> </v>
      </c>
      <c r="AV250" s="324" t="str">
        <f t="shared" si="418"/>
        <v xml:space="preserve"> </v>
      </c>
      <c r="AW250" s="324" t="str">
        <f t="shared" si="419"/>
        <v xml:space="preserve"> </v>
      </c>
      <c r="AX250" s="324" t="str">
        <f t="shared" si="420"/>
        <v xml:space="preserve"> </v>
      </c>
      <c r="AY250" s="324" t="str">
        <f t="shared" si="421"/>
        <v xml:space="preserve"> </v>
      </c>
      <c r="AZ250" s="276"/>
      <c r="BA250" s="267" t="str">
        <f>IF($A250="N/A"," ",(IF(MONTH(A250)&gt;=4,IF(MONTH(A250)&lt;=10,Inputs!$F$13,Inputs!$F$14),Inputs!$F$14))*$BW250)</f>
        <v xml:space="preserve"> </v>
      </c>
      <c r="BB250" s="268" t="str">
        <f t="shared" si="382"/>
        <v xml:space="preserve"> </v>
      </c>
      <c r="BC250" s="268" t="str">
        <f t="shared" si="383"/>
        <v xml:space="preserve"> </v>
      </c>
      <c r="BD250" s="268" t="str">
        <f t="shared" si="350"/>
        <v xml:space="preserve"> </v>
      </c>
      <c r="BE250" s="268" t="str">
        <f t="shared" si="351"/>
        <v xml:space="preserve"> </v>
      </c>
      <c r="BF250" s="268" t="str">
        <f t="shared" si="352"/>
        <v xml:space="preserve"> </v>
      </c>
      <c r="BG250" s="268" t="str">
        <f t="shared" si="353"/>
        <v xml:space="preserve"> </v>
      </c>
      <c r="BH250" s="268" t="str">
        <f t="shared" si="359"/>
        <v xml:space="preserve"> </v>
      </c>
      <c r="BI250" s="268" t="str">
        <f t="shared" si="354"/>
        <v xml:space="preserve"> </v>
      </c>
      <c r="BJ250" s="296" t="str">
        <f t="shared" si="355"/>
        <v xml:space="preserve"> </v>
      </c>
      <c r="BK250" s="296" t="str">
        <f t="shared" si="356"/>
        <v xml:space="preserve"> </v>
      </c>
      <c r="BL250" s="296" t="str">
        <f t="shared" si="357"/>
        <v xml:space="preserve"> </v>
      </c>
      <c r="BM250" s="296" t="str">
        <f t="shared" si="358"/>
        <v xml:space="preserve"> </v>
      </c>
      <c r="BN250" s="405" t="str">
        <f>IF(A250="N/A"," ",(VLOOKUP(A250,PowerVolTable,(IF('Pricing Inputs'!$AT$3=2,7,IF('Pricing Inputs'!$AT$3=1,6,8))),FALSE)))</f>
        <v xml:space="preserve"> </v>
      </c>
      <c r="BO250" s="405" t="str">
        <f>IF(A250="N/A"," ",(VLOOKUP(A250,IntraPowerVol,(IF('Pricing Inputs'!$AT$3=2,3,IF('Pricing Inputs'!$AT$3=1,2,4))),FALSE)*VLOOKUP(MONTH($A250),Inputs!$A$28:$B$39,2)))</f>
        <v xml:space="preserve"> </v>
      </c>
      <c r="BP250" s="406" t="str">
        <f t="shared" si="336"/>
        <v xml:space="preserve"> </v>
      </c>
      <c r="BQ250" s="405" t="str">
        <f>IF($A250="N/A"," ",(VLOOKUP($A250,GasVolTable,(IF('Pricing Inputs'!$AT$3=2,6,IF('Pricing Inputs'!$AT$3=1,7,5))),FALSE)))</f>
        <v xml:space="preserve"> </v>
      </c>
      <c r="BR250" s="405" t="str">
        <f>IF($A250="N/A"," ",(VLOOKUP($A250,OmicronVol,(IF('Pricing Inputs'!$AT$3=2,3,IF('Pricing Inputs'!$AT$3=1,4,2))),FALSE)))</f>
        <v xml:space="preserve"> </v>
      </c>
      <c r="BS250" s="406" t="str">
        <f>IF($A250="N/A"," ",IF('Pricing Inputs'!$AN$3=1,(IF(DateToday&gt;$A250,$BR250,((($BQ250^2)*((($A250-1)-DateToday)/((EOMONTH($A250,0)+1)-DateToday-15)))+((($BR250)^2)*((15)/((EOMONTH($A250,0)+1)-DateToday-15))))^0.5)),0.0001))</f>
        <v xml:space="preserve"> </v>
      </c>
      <c r="BT250" s="405" t="str">
        <f>IF($A250="N/A"," ",IF('Pricing Inputs'!$AN$3=1,(VLOOKUP($A250,CorrelationTable,2,FALSE)),0))</f>
        <v xml:space="preserve"> </v>
      </c>
      <c r="BU250" s="407" t="str">
        <f>IF($A250="N/A"," ",F250+G250+(D250*(VLOOKUP($A250,'Gas Curves'!$B$17:$P$310,14,FALSE))))</f>
        <v xml:space="preserve"> </v>
      </c>
      <c r="BV250" s="405" t="str">
        <f>IF($A250="N/A"," ",IF('Pricing Inputs'!$AW$3=1,0,(VLOOKUP($A250,InterestRatesTable,2))))</f>
        <v xml:space="preserve"> </v>
      </c>
      <c r="BW250" s="408" t="str">
        <f t="shared" si="337"/>
        <v xml:space="preserve"> </v>
      </c>
    </row>
    <row r="251" spans="1:75">
      <c r="A251" s="248" t="str">
        <f>IF(A250="N/A","N/A",IF(EDATE(A250,1)&gt;Inputs!$K$3,"N/A",EDATE(A250,1)))</f>
        <v>N/A</v>
      </c>
      <c r="B251" s="262" t="str">
        <f t="shared" si="338"/>
        <v xml:space="preserve"> </v>
      </c>
      <c r="C251" s="249" t="str">
        <f t="shared" si="339"/>
        <v xml:space="preserve"> </v>
      </c>
      <c r="D251" s="250" t="str">
        <f>IF(A251="N/A"," ",(VLOOKUP(MONTH($A251),Inputs!$A$14:$B$25,2))/1000)</f>
        <v xml:space="preserve"> </v>
      </c>
      <c r="E251" s="304" t="str">
        <f t="shared" si="340"/>
        <v xml:space="preserve"> </v>
      </c>
      <c r="F251" s="251" t="str">
        <f>IF(A251="N/A"," ",Inputs!$F$6)</f>
        <v xml:space="preserve"> </v>
      </c>
      <c r="G251" s="251" t="str">
        <f>IF(A251="N/A"," ",Inputs!$F$9/IF(AND('Pricing Inputs'!$AQ$3&gt;=4,'Pricing Inputs'!$AQ$3&lt;=6),16,IF(AND('Pricing Inputs'!$AQ$3&gt;=7,'Pricing Inputs'!$AQ$3&lt;=9),8,24))/(BA251/BW251))</f>
        <v xml:space="preserve"> </v>
      </c>
      <c r="H251" s="252" t="str">
        <f t="shared" si="341"/>
        <v xml:space="preserve"> </v>
      </c>
      <c r="I251" s="255" t="str">
        <f>VLOOKUP(A251,ScaledPrice,(IF(AND('Pricing Inputs'!$AQ$3&gt;=1,'Pricing Inputs'!$AQ$3&lt;=6),2,4)))</f>
        <v xml:space="preserve"> </v>
      </c>
      <c r="J251" s="255" t="str">
        <f>IF(A251="N/A"," ",IF(AND('Pricing Inputs'!$AQ$3&gt;=1,'Pricing Inputs'!$AQ$3&lt;=6),I251,(VLOOKUP(A251,ScaledPrice,2))*(2-(VLOOKUP(A251,ScaledPrice,3)))))</f>
        <v xml:space="preserve"> </v>
      </c>
      <c r="K251" s="255" t="str">
        <f>IF(A251="N/A"," ",IF(OR('Pricing Inputs'!$AQ$3=2,'Pricing Inputs'!$AQ$3=3,'Pricing Inputs'!$AQ$3=5,'Pricing Inputs'!$AQ$3=6,'Pricing Inputs'!$AQ$3=8,'Pricing Inputs'!$AQ$3=9),VLOOKUP(A251,ScaledPrice,IF(AND('Pricing Inputs'!$AQ$3&gt;=2,'Pricing Inputs'!$AQ$3&lt;=6),5,6)),0))</f>
        <v xml:space="preserve"> </v>
      </c>
      <c r="L251" s="255" t="str">
        <f>IF(A251="N/A"," ",IF(OR('Pricing Inputs'!$AQ$3=2,'Pricing Inputs'!$AQ$3=3,'Pricing Inputs'!$AQ$3=5,'Pricing Inputs'!$AQ$3=6,'Pricing Inputs'!$AQ$3=8,'Pricing Inputs'!$AQ$3=9),IF(AND('Pricing Inputs'!$AQ$3&gt;=2,'Pricing Inputs'!$AQ$3&lt;=6),K251,(VLOOKUP(A251,ScaledPrice,5))*(2-(VLOOKUP(A251,ScaledPrice,3)))),0))</f>
        <v xml:space="preserve"> </v>
      </c>
      <c r="M251" s="255" t="str">
        <f>IF(A251="N/A"," ",IF(OR('Pricing Inputs'!$AQ$3=3,'Pricing Inputs'!$AQ$3=6,'Pricing Inputs'!$AQ$3=9),(VLOOKUP(A251,ScaledPrice,IF(AND('Pricing Inputs'!$AQ$3&gt;=3,'Pricing Inputs'!$AQ$3&lt;=6),7,8))),0))</f>
        <v xml:space="preserve"> </v>
      </c>
      <c r="N251" s="255" t="str">
        <f>IF(A251="N/A"," ",IF(OR('Pricing Inputs'!$AQ$3=3,'Pricing Inputs'!$AQ$3=6,'Pricing Inputs'!$AQ$3=9),IF(AND('Pricing Inputs'!$AQ$3&gt;=3,'Pricing Inputs'!$AQ$3&lt;=6),M251,(VLOOKUP(A251,ScaledPrice,7))*(2-(VLOOKUP(A251,ScaledPrice,3)))),0))</f>
        <v xml:space="preserve"> </v>
      </c>
      <c r="O251" s="255" t="str">
        <f>IF(A251="N/A"," ",IF(AND('Pricing Inputs'!$AQ$3&gt;=1,'Pricing Inputs'!$AQ$3&lt;=3),VLOOKUP(A251,ScaledPrice,9),0))</f>
        <v xml:space="preserve"> </v>
      </c>
      <c r="P251" s="320" t="str">
        <f>IF($A251="N/A"," ",IF('Pricing Inputs'!$AN$8=2,(I251-H251),IF('Pricing Inputs'!$AN$3=2,IF((I251-$H251)&gt;0,I251-$H251,0),(_xll.xSPRDOPT(I251,$E251,$BU251,0,$BP251,$BS251,$BT251,($A251-Inputs!$D$1)+15,1,0)))))</f>
        <v xml:space="preserve"> </v>
      </c>
      <c r="Q251" s="320" t="str">
        <f>IF($A251="N/A"," ",IF('Pricing Inputs'!$AN$8=2,(J251-$H251),IF('Pricing Inputs'!$AN$3=2,IF((J251-$H251)&gt;0,J251-$H251,0),(_xll.xSPRDOPT(J251,$E251,$BU251,0,$BP251,$BS251,$BT251,($A251-Inputs!$D$1)+15,1,0)))))</f>
        <v xml:space="preserve"> </v>
      </c>
      <c r="R251" s="320" t="str">
        <f>IF($A251="N/A"," ",IF('Pricing Inputs'!$AN$8=2,(K251-$H251),IF('Pricing Inputs'!$AN$3=2,IF((K251-$H251)&gt;0,K251-$H251,0),(_xll.xSPRDOPT(K251,$E251,$BU251,0,$BP251,$BS251,$BT251,($A251-Inputs!$D$1)+15,1,0)))))</f>
        <v xml:space="preserve"> </v>
      </c>
      <c r="S251" s="320" t="str">
        <f>IF($A251="N/A"," ",IF('Pricing Inputs'!$AN$8=2,(L251-$H251),IF('Pricing Inputs'!$AN$3=2,IF((L251-$H251)&gt;0,L251-$H251,0),(_xll.xSPRDOPT(L251,$E251,$BU251,0,$BP251,$BS251,$BT251,($A251-Inputs!$D$1)+15,1,0)))))</f>
        <v xml:space="preserve"> </v>
      </c>
      <c r="T251" s="320" t="str">
        <f>IF($A251="N/A"," ",IF('Pricing Inputs'!$AN$8=2,(M251-$H251),IF('Pricing Inputs'!$AN$3=2,IF((M251-$H251)&gt;0,M251-$H251,0),(_xll.xSPRDOPT(M251,$E251,$BU251,0,$BP251,$BS251,$BT251,($A251-Inputs!$D$1)+15,1,0)))))</f>
        <v xml:space="preserve"> </v>
      </c>
      <c r="U251" s="320" t="str">
        <f>IF($A251="N/A"," ",IF('Pricing Inputs'!$AN$8=2,(N251-$H251),IF('Pricing Inputs'!$AN$3=2,IF((N251-$H251)&gt;0,N251-$H251,0),(_xll.xSPRDOPT(N251,$E251,$BU251,0,$BP251,$BS251,$BT251,($A251-Inputs!$D$1)+15,1,0)))))</f>
        <v xml:space="preserve"> </v>
      </c>
      <c r="V251" s="259" t="str">
        <f>IF($A251="N/A"," ",(IF('Pricing Inputs'!$AN$8=2,(O251-$H251),IF((O251-$H251)&lt;=0,0,(O251-$H251)))))</f>
        <v xml:space="preserve"> </v>
      </c>
      <c r="W251" s="306" t="str">
        <f>IF($A251="N/A"," ",IF(0&lt;&gt;P251,IF('Pricing Inputs'!$AN$3=2,8*VLOOKUP($A251,NumberofDaysTable,2),(_xll.xSPRDOPT(I251,$E251,$BU251,0,$BP251,$BS251,$BT251,$A251-Inputs!$D$1,1,1))*(8*VLOOKUP($A251,NumberofDaysTable,2))),0))</f>
        <v xml:space="preserve"> </v>
      </c>
      <c r="X251" s="306" t="str">
        <f>IF($A251="N/A"," ",IF(Q251&lt;&gt;0,IF('Pricing Inputs'!$AN$3=2,8*VLOOKUP($A251,NumberofDaysTable,2),(_xll.xSPRDOPT(J251,$E251,$BU251,0,$BP251,$BS251,$BT251,$A251-Inputs!$D$1,1,1))*(8*VLOOKUP($A251,NumberofDaysTable,2))),0))</f>
        <v xml:space="preserve"> </v>
      </c>
      <c r="Y251" s="306" t="str">
        <f>IF($A251="N/A"," ",IF(R251&lt;&gt;0,IF('Pricing Inputs'!$AN$3=2,8*VLOOKUP($A251,NumberofDaysTable,3),(_xll.xSPRDOPT(K251,$E251,$BU251,0,$BP251,$BS251,$BT251,$A251-Inputs!$D$1,1,1))*(8*VLOOKUP($A251,NumberofDaysTable,3))),0))</f>
        <v xml:space="preserve"> </v>
      </c>
      <c r="Z251" s="306" t="str">
        <f>IF($A251="N/A"," ",IF(S251&lt;&gt;0,IF('Pricing Inputs'!$AN$3=2,8*VLOOKUP($A251,NumberofDaysTable,3),(_xll.xSPRDOPT(L251,$E251,$BU251,0,$BP251,$BS251,$BT251,$A251-Inputs!$D$1,1,1))*(8*VLOOKUP($A251,NumberofDaysTable,3))),0))</f>
        <v xml:space="preserve"> </v>
      </c>
      <c r="AA251" s="306" t="str">
        <f>IF($A251="N/A"," ",IF(T251&lt;&gt;0,IF('Pricing Inputs'!$AN$3=2,8*VLOOKUP($A251,NumberofDaysTable,4),(_xll.xSPRDOPT(M251,$E251,$BU251,0,$BP251,$BS251,$BT251,$A251-Inputs!$D$1,1,1))*(8*VLOOKUP($A251,NumberofDaysTable,4))),0))</f>
        <v xml:space="preserve"> </v>
      </c>
      <c r="AB251" s="306" t="str">
        <f>IF($A251="N/A"," ",IF(U251&lt;&gt;0,IF('Pricing Inputs'!$AN$3=2,8*VLOOKUP($A251,NumberofDaysTable,4),(_xll.xSPRDOPT(N251,$E251,$BU251,0,$BP251,$BS251,$BT251,$A251-Inputs!$D$1,1,1))*(8*VLOOKUP($A251,NumberofDaysTable,4))),0))</f>
        <v xml:space="preserve"> </v>
      </c>
      <c r="AC251" s="306" t="str">
        <f t="shared" si="342"/>
        <v xml:space="preserve"> </v>
      </c>
      <c r="AD251" s="274" t="str">
        <f t="shared" si="422"/>
        <v xml:space="preserve"> </v>
      </c>
      <c r="AE251" s="275" t="str">
        <f t="shared" si="423"/>
        <v xml:space="preserve"> </v>
      </c>
      <c r="AF251" s="275" t="str">
        <f t="shared" si="424"/>
        <v xml:space="preserve"> </v>
      </c>
      <c r="AG251" s="275" t="str">
        <f t="shared" si="425"/>
        <v xml:space="preserve"> </v>
      </c>
      <c r="AH251" s="275" t="str">
        <f t="shared" si="426"/>
        <v xml:space="preserve"> </v>
      </c>
      <c r="AI251" s="275" t="str">
        <f t="shared" si="427"/>
        <v xml:space="preserve"> </v>
      </c>
      <c r="AJ251" s="276" t="str">
        <f t="shared" si="428"/>
        <v xml:space="preserve"> </v>
      </c>
      <c r="AK251" s="314" t="str">
        <f t="shared" si="361"/>
        <v xml:space="preserve"> </v>
      </c>
      <c r="AL251" s="315" t="str">
        <f t="shared" si="362"/>
        <v xml:space="preserve"> </v>
      </c>
      <c r="AM251" s="315" t="str">
        <f t="shared" si="363"/>
        <v xml:space="preserve"> </v>
      </c>
      <c r="AN251" s="315" t="str">
        <f t="shared" si="364"/>
        <v xml:space="preserve"> </v>
      </c>
      <c r="AO251" s="315" t="str">
        <f t="shared" si="365"/>
        <v xml:space="preserve"> </v>
      </c>
      <c r="AP251" s="315" t="str">
        <f t="shared" si="366"/>
        <v xml:space="preserve"> </v>
      </c>
      <c r="AQ251" s="315" t="str">
        <f t="shared" si="367"/>
        <v xml:space="preserve"> </v>
      </c>
      <c r="AR251" s="276"/>
      <c r="AS251" s="321" t="str">
        <f t="shared" si="415"/>
        <v xml:space="preserve"> </v>
      </c>
      <c r="AT251" s="324" t="str">
        <f t="shared" si="416"/>
        <v xml:space="preserve"> </v>
      </c>
      <c r="AU251" s="324" t="str">
        <f t="shared" si="417"/>
        <v xml:space="preserve"> </v>
      </c>
      <c r="AV251" s="324" t="str">
        <f t="shared" si="418"/>
        <v xml:space="preserve"> </v>
      </c>
      <c r="AW251" s="324" t="str">
        <f t="shared" si="419"/>
        <v xml:space="preserve"> </v>
      </c>
      <c r="AX251" s="324" t="str">
        <f t="shared" si="420"/>
        <v xml:space="preserve"> </v>
      </c>
      <c r="AY251" s="324" t="str">
        <f t="shared" si="421"/>
        <v xml:space="preserve"> </v>
      </c>
      <c r="AZ251" s="276"/>
      <c r="BA251" s="267" t="str">
        <f>IF($A251="N/A"," ",(IF(MONTH(A251)&gt;=4,IF(MONTH(A251)&lt;=10,Inputs!$F$13,Inputs!$F$14),Inputs!$F$14))*$BW251)</f>
        <v xml:space="preserve"> </v>
      </c>
      <c r="BB251" s="268" t="str">
        <f t="shared" si="382"/>
        <v xml:space="preserve"> </v>
      </c>
      <c r="BC251" s="268" t="str">
        <f t="shared" si="383"/>
        <v xml:space="preserve"> </v>
      </c>
      <c r="BD251" s="268" t="str">
        <f t="shared" si="350"/>
        <v xml:space="preserve"> </v>
      </c>
      <c r="BE251" s="268" t="str">
        <f t="shared" si="351"/>
        <v xml:space="preserve"> </v>
      </c>
      <c r="BF251" s="268" t="str">
        <f t="shared" si="352"/>
        <v xml:space="preserve"> </v>
      </c>
      <c r="BG251" s="268" t="str">
        <f t="shared" si="353"/>
        <v xml:space="preserve"> </v>
      </c>
      <c r="BH251" s="268" t="str">
        <f t="shared" si="359"/>
        <v xml:space="preserve"> </v>
      </c>
      <c r="BI251" s="268" t="str">
        <f t="shared" si="354"/>
        <v xml:space="preserve"> </v>
      </c>
      <c r="BJ251" s="296" t="str">
        <f t="shared" si="355"/>
        <v xml:space="preserve"> </v>
      </c>
      <c r="BK251" s="296" t="str">
        <f t="shared" si="356"/>
        <v xml:space="preserve"> </v>
      </c>
      <c r="BL251" s="296" t="str">
        <f t="shared" si="357"/>
        <v xml:space="preserve"> </v>
      </c>
      <c r="BM251" s="296" t="str">
        <f t="shared" si="358"/>
        <v xml:space="preserve"> </v>
      </c>
      <c r="BN251" s="405" t="str">
        <f>IF(A251="N/A"," ",(VLOOKUP(A251,PowerVolTable,(IF('Pricing Inputs'!$AT$3=2,7,IF('Pricing Inputs'!$AT$3=1,6,8))),FALSE)))</f>
        <v xml:space="preserve"> </v>
      </c>
      <c r="BO251" s="405" t="str">
        <f>IF(A251="N/A"," ",(VLOOKUP(A251,IntraPowerVol,(IF('Pricing Inputs'!$AT$3=2,3,IF('Pricing Inputs'!$AT$3=1,2,4))),FALSE)*VLOOKUP(MONTH($A251),Inputs!$A$28:$B$39,2)))</f>
        <v xml:space="preserve"> </v>
      </c>
      <c r="BP251" s="406" t="str">
        <f t="shared" si="336"/>
        <v xml:space="preserve"> </v>
      </c>
      <c r="BQ251" s="405" t="str">
        <f>IF($A251="N/A"," ",(VLOOKUP($A251,GasVolTable,(IF('Pricing Inputs'!$AT$3=2,6,IF('Pricing Inputs'!$AT$3=1,7,5))),FALSE)))</f>
        <v xml:space="preserve"> </v>
      </c>
      <c r="BR251" s="405" t="str">
        <f>IF($A251="N/A"," ",(VLOOKUP($A251,OmicronVol,(IF('Pricing Inputs'!$AT$3=2,3,IF('Pricing Inputs'!$AT$3=1,4,2))),FALSE)))</f>
        <v xml:space="preserve"> </v>
      </c>
      <c r="BS251" s="406" t="str">
        <f>IF($A251="N/A"," ",IF('Pricing Inputs'!$AN$3=1,(IF(DateToday&gt;$A251,$BR251,((($BQ251^2)*((($A251-1)-DateToday)/((EOMONTH($A251,0)+1)-DateToday-15)))+((($BR251)^2)*((15)/((EOMONTH($A251,0)+1)-DateToday-15))))^0.5)),0.0001))</f>
        <v xml:space="preserve"> </v>
      </c>
      <c r="BT251" s="405" t="str">
        <f>IF($A251="N/A"," ",IF('Pricing Inputs'!$AN$3=1,(VLOOKUP($A251,CorrelationTable,2,FALSE)),0))</f>
        <v xml:space="preserve"> </v>
      </c>
      <c r="BU251" s="407" t="str">
        <f>IF($A251="N/A"," ",F251+G251+(D251*(VLOOKUP($A251,'Gas Curves'!$B$17:$P$310,14,FALSE))))</f>
        <v xml:space="preserve"> </v>
      </c>
      <c r="BV251" s="405" t="str">
        <f>IF($A251="N/A"," ",IF('Pricing Inputs'!$AW$3=1,0,(VLOOKUP($A251,InterestRatesTable,2))))</f>
        <v xml:space="preserve"> </v>
      </c>
      <c r="BW251" s="408" t="str">
        <f t="shared" si="337"/>
        <v xml:space="preserve"> </v>
      </c>
    </row>
    <row r="252" spans="1:75">
      <c r="A252" s="248" t="str">
        <f>IF(A251="N/A","N/A",IF(EDATE(A251,1)&gt;Inputs!$K$3,"N/A",EDATE(A251,1)))</f>
        <v>N/A</v>
      </c>
      <c r="B252" s="262" t="str">
        <f t="shared" si="338"/>
        <v xml:space="preserve"> </v>
      </c>
      <c r="C252" s="249" t="str">
        <f t="shared" si="339"/>
        <v xml:space="preserve"> </v>
      </c>
      <c r="D252" s="250" t="str">
        <f>IF(A252="N/A"," ",(VLOOKUP(MONTH($A252),Inputs!$A$14:$B$25,2))/1000)</f>
        <v xml:space="preserve"> </v>
      </c>
      <c r="E252" s="304" t="str">
        <f t="shared" si="340"/>
        <v xml:space="preserve"> </v>
      </c>
      <c r="F252" s="251" t="str">
        <f>IF(A252="N/A"," ",Inputs!$F$6)</f>
        <v xml:space="preserve"> </v>
      </c>
      <c r="G252" s="251" t="str">
        <f>IF(A252="N/A"," ",Inputs!$F$9/IF(AND('Pricing Inputs'!$AQ$3&gt;=4,'Pricing Inputs'!$AQ$3&lt;=6),16,IF(AND('Pricing Inputs'!$AQ$3&gt;=7,'Pricing Inputs'!$AQ$3&lt;=9),8,24))/(BA252/BW252))</f>
        <v xml:space="preserve"> </v>
      </c>
      <c r="H252" s="252" t="str">
        <f t="shared" si="341"/>
        <v xml:space="preserve"> </v>
      </c>
      <c r="I252" s="255" t="str">
        <f>VLOOKUP(A252,ScaledPrice,(IF(AND('Pricing Inputs'!$AQ$3&gt;=1,'Pricing Inputs'!$AQ$3&lt;=6),2,4)))</f>
        <v xml:space="preserve"> </v>
      </c>
      <c r="J252" s="255" t="str">
        <f>IF(A252="N/A"," ",IF(AND('Pricing Inputs'!$AQ$3&gt;=1,'Pricing Inputs'!$AQ$3&lt;=6),I252,(VLOOKUP(A252,ScaledPrice,2))*(2-(VLOOKUP(A252,ScaledPrice,3)))))</f>
        <v xml:space="preserve"> </v>
      </c>
      <c r="K252" s="255" t="str">
        <f>IF(A252="N/A"," ",IF(OR('Pricing Inputs'!$AQ$3=2,'Pricing Inputs'!$AQ$3=3,'Pricing Inputs'!$AQ$3=5,'Pricing Inputs'!$AQ$3=6,'Pricing Inputs'!$AQ$3=8,'Pricing Inputs'!$AQ$3=9),VLOOKUP(A252,ScaledPrice,IF(AND('Pricing Inputs'!$AQ$3&gt;=2,'Pricing Inputs'!$AQ$3&lt;=6),5,6)),0))</f>
        <v xml:space="preserve"> </v>
      </c>
      <c r="L252" s="255" t="str">
        <f>IF(A252="N/A"," ",IF(OR('Pricing Inputs'!$AQ$3=2,'Pricing Inputs'!$AQ$3=3,'Pricing Inputs'!$AQ$3=5,'Pricing Inputs'!$AQ$3=6,'Pricing Inputs'!$AQ$3=8,'Pricing Inputs'!$AQ$3=9),IF(AND('Pricing Inputs'!$AQ$3&gt;=2,'Pricing Inputs'!$AQ$3&lt;=6),K252,(VLOOKUP(A252,ScaledPrice,5))*(2-(VLOOKUP(A252,ScaledPrice,3)))),0))</f>
        <v xml:space="preserve"> </v>
      </c>
      <c r="M252" s="255" t="str">
        <f>IF(A252="N/A"," ",IF(OR('Pricing Inputs'!$AQ$3=3,'Pricing Inputs'!$AQ$3=6,'Pricing Inputs'!$AQ$3=9),(VLOOKUP(A252,ScaledPrice,IF(AND('Pricing Inputs'!$AQ$3&gt;=3,'Pricing Inputs'!$AQ$3&lt;=6),7,8))),0))</f>
        <v xml:space="preserve"> </v>
      </c>
      <c r="N252" s="255" t="str">
        <f>IF(A252="N/A"," ",IF(OR('Pricing Inputs'!$AQ$3=3,'Pricing Inputs'!$AQ$3=6,'Pricing Inputs'!$AQ$3=9),IF(AND('Pricing Inputs'!$AQ$3&gt;=3,'Pricing Inputs'!$AQ$3&lt;=6),M252,(VLOOKUP(A252,ScaledPrice,7))*(2-(VLOOKUP(A252,ScaledPrice,3)))),0))</f>
        <v xml:space="preserve"> </v>
      </c>
      <c r="O252" s="255" t="str">
        <f>IF(A252="N/A"," ",IF(AND('Pricing Inputs'!$AQ$3&gt;=1,'Pricing Inputs'!$AQ$3&lt;=3),VLOOKUP(A252,ScaledPrice,9),0))</f>
        <v xml:space="preserve"> </v>
      </c>
      <c r="P252" s="320" t="str">
        <f>IF($A252="N/A"," ",IF('Pricing Inputs'!$AN$8=2,(I252-H252),IF('Pricing Inputs'!$AN$3=2,IF((I252-$H252)&gt;0,I252-$H252,0),(_xll.xSPRDOPT(I252,$E252,$BU252,0,$BP252,$BS252,$BT252,($A252-Inputs!$D$1)+15,1,0)))))</f>
        <v xml:space="preserve"> </v>
      </c>
      <c r="Q252" s="320" t="str">
        <f>IF($A252="N/A"," ",IF('Pricing Inputs'!$AN$8=2,(J252-$H252),IF('Pricing Inputs'!$AN$3=2,IF((J252-$H252)&gt;0,J252-$H252,0),(_xll.xSPRDOPT(J252,$E252,$BU252,0,$BP252,$BS252,$BT252,($A252-Inputs!$D$1)+15,1,0)))))</f>
        <v xml:space="preserve"> </v>
      </c>
      <c r="R252" s="320" t="str">
        <f>IF($A252="N/A"," ",IF('Pricing Inputs'!$AN$8=2,(K252-$H252),IF('Pricing Inputs'!$AN$3=2,IF((K252-$H252)&gt;0,K252-$H252,0),(_xll.xSPRDOPT(K252,$E252,$BU252,0,$BP252,$BS252,$BT252,($A252-Inputs!$D$1)+15,1,0)))))</f>
        <v xml:space="preserve"> </v>
      </c>
      <c r="S252" s="320" t="str">
        <f>IF($A252="N/A"," ",IF('Pricing Inputs'!$AN$8=2,(L252-$H252),IF('Pricing Inputs'!$AN$3=2,IF((L252-$H252)&gt;0,L252-$H252,0),(_xll.xSPRDOPT(L252,$E252,$BU252,0,$BP252,$BS252,$BT252,($A252-Inputs!$D$1)+15,1,0)))))</f>
        <v xml:space="preserve"> </v>
      </c>
      <c r="T252" s="320" t="str">
        <f>IF($A252="N/A"," ",IF('Pricing Inputs'!$AN$8=2,(M252-$H252),IF('Pricing Inputs'!$AN$3=2,IF((M252-$H252)&gt;0,M252-$H252,0),(_xll.xSPRDOPT(M252,$E252,$BU252,0,$BP252,$BS252,$BT252,($A252-Inputs!$D$1)+15,1,0)))))</f>
        <v xml:space="preserve"> </v>
      </c>
      <c r="U252" s="320" t="str">
        <f>IF($A252="N/A"," ",IF('Pricing Inputs'!$AN$8=2,(N252-$H252),IF('Pricing Inputs'!$AN$3=2,IF((N252-$H252)&gt;0,N252-$H252,0),(_xll.xSPRDOPT(N252,$E252,$BU252,0,$BP252,$BS252,$BT252,($A252-Inputs!$D$1)+15,1,0)))))</f>
        <v xml:space="preserve"> </v>
      </c>
      <c r="V252" s="259" t="str">
        <f>IF($A252="N/A"," ",(IF('Pricing Inputs'!$AN$8=2,(O252-$H252),IF((O252-$H252)&lt;=0,0,(O252-$H252)))))</f>
        <v xml:space="preserve"> </v>
      </c>
      <c r="W252" s="306" t="str">
        <f>IF($A252="N/A"," ",IF(0&lt;&gt;P252,IF('Pricing Inputs'!$AN$3=2,8*VLOOKUP($A252,NumberofDaysTable,2),(_xll.xSPRDOPT(I252,$E252,$BU252,0,$BP252,$BS252,$BT252,$A252-Inputs!$D$1,1,1))*(8*VLOOKUP($A252,NumberofDaysTable,2))),0))</f>
        <v xml:space="preserve"> </v>
      </c>
      <c r="X252" s="306" t="str">
        <f>IF($A252="N/A"," ",IF(Q252&lt;&gt;0,IF('Pricing Inputs'!$AN$3=2,8*VLOOKUP($A252,NumberofDaysTable,2),(_xll.xSPRDOPT(J252,$E252,$BU252,0,$BP252,$BS252,$BT252,$A252-Inputs!$D$1,1,1))*(8*VLOOKUP($A252,NumberofDaysTable,2))),0))</f>
        <v xml:space="preserve"> </v>
      </c>
      <c r="Y252" s="306" t="str">
        <f>IF($A252="N/A"," ",IF(R252&lt;&gt;0,IF('Pricing Inputs'!$AN$3=2,8*VLOOKUP($A252,NumberofDaysTable,3),(_xll.xSPRDOPT(K252,$E252,$BU252,0,$BP252,$BS252,$BT252,$A252-Inputs!$D$1,1,1))*(8*VLOOKUP($A252,NumberofDaysTable,3))),0))</f>
        <v xml:space="preserve"> </v>
      </c>
      <c r="Z252" s="306" t="str">
        <f>IF($A252="N/A"," ",IF(S252&lt;&gt;0,IF('Pricing Inputs'!$AN$3=2,8*VLOOKUP($A252,NumberofDaysTable,3),(_xll.xSPRDOPT(L252,$E252,$BU252,0,$BP252,$BS252,$BT252,$A252-Inputs!$D$1,1,1))*(8*VLOOKUP($A252,NumberofDaysTable,3))),0))</f>
        <v xml:space="preserve"> </v>
      </c>
      <c r="AA252" s="306" t="str">
        <f>IF($A252="N/A"," ",IF(T252&lt;&gt;0,IF('Pricing Inputs'!$AN$3=2,8*VLOOKUP($A252,NumberofDaysTable,4),(_xll.xSPRDOPT(M252,$E252,$BU252,0,$BP252,$BS252,$BT252,$A252-Inputs!$D$1,1,1))*(8*VLOOKUP($A252,NumberofDaysTable,4))),0))</f>
        <v xml:space="preserve"> </v>
      </c>
      <c r="AB252" s="306" t="str">
        <f>IF($A252="N/A"," ",IF(U252&lt;&gt;0,IF('Pricing Inputs'!$AN$3=2,8*VLOOKUP($A252,NumberofDaysTable,4),(_xll.xSPRDOPT(N252,$E252,$BU252,0,$BP252,$BS252,$BT252,$A252-Inputs!$D$1,1,1))*(8*VLOOKUP($A252,NumberofDaysTable,4))),0))</f>
        <v xml:space="preserve"> </v>
      </c>
      <c r="AC252" s="306" t="str">
        <f t="shared" si="342"/>
        <v xml:space="preserve"> </v>
      </c>
      <c r="AD252" s="274" t="str">
        <f t="shared" si="422"/>
        <v xml:space="preserve"> </v>
      </c>
      <c r="AE252" s="275" t="str">
        <f t="shared" si="423"/>
        <v xml:space="preserve"> </v>
      </c>
      <c r="AF252" s="275" t="str">
        <f t="shared" si="424"/>
        <v xml:space="preserve"> </v>
      </c>
      <c r="AG252" s="275" t="str">
        <f t="shared" si="425"/>
        <v xml:space="preserve"> </v>
      </c>
      <c r="AH252" s="275" t="str">
        <f t="shared" si="426"/>
        <v xml:space="preserve"> </v>
      </c>
      <c r="AI252" s="275" t="str">
        <f t="shared" si="427"/>
        <v xml:space="preserve"> </v>
      </c>
      <c r="AJ252" s="276" t="str">
        <f t="shared" si="428"/>
        <v xml:space="preserve"> </v>
      </c>
      <c r="AK252" s="314" t="str">
        <f t="shared" si="361"/>
        <v xml:space="preserve"> </v>
      </c>
      <c r="AL252" s="315" t="str">
        <f t="shared" si="362"/>
        <v xml:space="preserve"> </v>
      </c>
      <c r="AM252" s="315" t="str">
        <f t="shared" si="363"/>
        <v xml:space="preserve"> </v>
      </c>
      <c r="AN252" s="315" t="str">
        <f t="shared" si="364"/>
        <v xml:space="preserve"> </v>
      </c>
      <c r="AO252" s="315" t="str">
        <f t="shared" si="365"/>
        <v xml:space="preserve"> </v>
      </c>
      <c r="AP252" s="315" t="str">
        <f t="shared" si="366"/>
        <v xml:space="preserve"> </v>
      </c>
      <c r="AQ252" s="315" t="str">
        <f t="shared" si="367"/>
        <v xml:space="preserve"> </v>
      </c>
      <c r="AR252" s="283"/>
      <c r="AS252" s="321" t="str">
        <f t="shared" si="415"/>
        <v xml:space="preserve"> </v>
      </c>
      <c r="AT252" s="324" t="str">
        <f t="shared" si="416"/>
        <v xml:space="preserve"> </v>
      </c>
      <c r="AU252" s="324" t="str">
        <f t="shared" si="417"/>
        <v xml:space="preserve"> </v>
      </c>
      <c r="AV252" s="324" t="str">
        <f t="shared" si="418"/>
        <v xml:space="preserve"> </v>
      </c>
      <c r="AW252" s="324" t="str">
        <f t="shared" si="419"/>
        <v xml:space="preserve"> </v>
      </c>
      <c r="AX252" s="324" t="str">
        <f t="shared" si="420"/>
        <v xml:space="preserve"> </v>
      </c>
      <c r="AY252" s="324" t="str">
        <f t="shared" si="421"/>
        <v xml:space="preserve"> </v>
      </c>
      <c r="AZ252" s="276"/>
      <c r="BA252" s="267" t="str">
        <f>IF($A252="N/A"," ",(IF(MONTH(A252)&gt;=4,IF(MONTH(A252)&lt;=10,Inputs!$F$13,Inputs!$F$14),Inputs!$F$14))*$BW252)</f>
        <v xml:space="preserve"> </v>
      </c>
      <c r="BB252" s="268" t="str">
        <f t="shared" si="382"/>
        <v xml:space="preserve"> </v>
      </c>
      <c r="BC252" s="268" t="str">
        <f t="shared" si="383"/>
        <v xml:space="preserve"> </v>
      </c>
      <c r="BD252" s="268" t="str">
        <f t="shared" si="350"/>
        <v xml:space="preserve"> </v>
      </c>
      <c r="BE252" s="268" t="str">
        <f t="shared" si="351"/>
        <v xml:space="preserve"> </v>
      </c>
      <c r="BF252" s="268" t="str">
        <f t="shared" si="352"/>
        <v xml:space="preserve"> </v>
      </c>
      <c r="BG252" s="268" t="str">
        <f t="shared" si="353"/>
        <v xml:space="preserve"> </v>
      </c>
      <c r="BH252" s="268" t="str">
        <f t="shared" si="359"/>
        <v xml:space="preserve"> </v>
      </c>
      <c r="BI252" s="268" t="str">
        <f t="shared" si="354"/>
        <v xml:space="preserve"> </v>
      </c>
      <c r="BJ252" s="296" t="str">
        <f t="shared" si="355"/>
        <v xml:space="preserve"> </v>
      </c>
      <c r="BK252" s="296" t="str">
        <f t="shared" si="356"/>
        <v xml:space="preserve"> </v>
      </c>
      <c r="BL252" s="296" t="str">
        <f t="shared" si="357"/>
        <v xml:space="preserve"> </v>
      </c>
      <c r="BM252" s="296" t="str">
        <f t="shared" si="358"/>
        <v xml:space="preserve"> </v>
      </c>
      <c r="BN252" s="405" t="str">
        <f>IF(A252="N/A"," ",(VLOOKUP(A252,PowerVolTable,(IF('Pricing Inputs'!$AT$3=2,7,IF('Pricing Inputs'!$AT$3=1,6,8))),FALSE)))</f>
        <v xml:space="preserve"> </v>
      </c>
      <c r="BO252" s="405" t="str">
        <f>IF(A252="N/A"," ",(VLOOKUP(A252,IntraPowerVol,(IF('Pricing Inputs'!$AT$3=2,3,IF('Pricing Inputs'!$AT$3=1,2,4))),FALSE)*VLOOKUP(MONTH($A252),Inputs!$A$28:$B$39,2)))</f>
        <v xml:space="preserve"> </v>
      </c>
      <c r="BP252" s="406" t="str">
        <f t="shared" si="336"/>
        <v xml:space="preserve"> </v>
      </c>
      <c r="BQ252" s="405" t="str">
        <f>IF($A252="N/A"," ",(VLOOKUP($A252,GasVolTable,(IF('Pricing Inputs'!$AT$3=2,6,IF('Pricing Inputs'!$AT$3=1,7,5))),FALSE)))</f>
        <v xml:space="preserve"> </v>
      </c>
      <c r="BR252" s="405" t="str">
        <f>IF($A252="N/A"," ",(VLOOKUP($A252,OmicronVol,(IF('Pricing Inputs'!$AT$3=2,3,IF('Pricing Inputs'!$AT$3=1,4,2))),FALSE)))</f>
        <v xml:space="preserve"> </v>
      </c>
      <c r="BS252" s="406" t="str">
        <f>IF($A252="N/A"," ",IF('Pricing Inputs'!$AN$3=1,(IF(DateToday&gt;$A252,$BR252,((($BQ252^2)*((($A252-1)-DateToday)/((EOMONTH($A252,0)+1)-DateToday-15)))+((($BR252)^2)*((15)/((EOMONTH($A252,0)+1)-DateToday-15))))^0.5)),0.0001))</f>
        <v xml:space="preserve"> </v>
      </c>
      <c r="BT252" s="405" t="str">
        <f>IF($A252="N/A"," ",IF('Pricing Inputs'!$AN$3=1,(VLOOKUP($A252,CorrelationTable,2,FALSE)),0))</f>
        <v xml:space="preserve"> </v>
      </c>
      <c r="BU252" s="407" t="str">
        <f>IF($A252="N/A"," ",F252+G252+(D252*(VLOOKUP($A252,'Gas Curves'!$B$17:$P$310,14,FALSE))))</f>
        <v xml:space="preserve"> </v>
      </c>
      <c r="BV252" s="405" t="str">
        <f>IF($A252="N/A"," ",IF('Pricing Inputs'!$AW$3=1,0,(VLOOKUP($A252,InterestRatesTable,2))))</f>
        <v xml:space="preserve"> </v>
      </c>
      <c r="BW252" s="408" t="str">
        <f t="shared" si="337"/>
        <v xml:space="preserve"> </v>
      </c>
    </row>
    <row r="253" spans="1:75">
      <c r="A253" s="248" t="str">
        <f>IF(A252="N/A","N/A",IF(EDATE(A252,1)&gt;Inputs!$K$3,"N/A",EDATE(A252,1)))</f>
        <v>N/A</v>
      </c>
      <c r="B253" s="262" t="str">
        <f t="shared" si="338"/>
        <v xml:space="preserve"> </v>
      </c>
      <c r="C253" s="249" t="str">
        <f t="shared" si="339"/>
        <v xml:space="preserve"> </v>
      </c>
      <c r="D253" s="250" t="str">
        <f>IF(A253="N/A"," ",(VLOOKUP(MONTH($A253),Inputs!$A$14:$B$25,2))/1000)</f>
        <v xml:space="preserve"> </v>
      </c>
      <c r="E253" s="304" t="str">
        <f t="shared" si="340"/>
        <v xml:space="preserve"> </v>
      </c>
      <c r="F253" s="251" t="str">
        <f>IF(A253="N/A"," ",Inputs!$F$6)</f>
        <v xml:space="preserve"> </v>
      </c>
      <c r="G253" s="251" t="str">
        <f>IF(A253="N/A"," ",Inputs!$F$9/IF(AND('Pricing Inputs'!$AQ$3&gt;=4,'Pricing Inputs'!$AQ$3&lt;=6),16,IF(AND('Pricing Inputs'!$AQ$3&gt;=7,'Pricing Inputs'!$AQ$3&lt;=9),8,24))/(BA253/BW253))</f>
        <v xml:space="preserve"> </v>
      </c>
      <c r="H253" s="252" t="str">
        <f t="shared" si="341"/>
        <v xml:space="preserve"> </v>
      </c>
      <c r="I253" s="255" t="str">
        <f>VLOOKUP(A253,ScaledPrice,(IF(AND('Pricing Inputs'!$AQ$3&gt;=1,'Pricing Inputs'!$AQ$3&lt;=6),2,4)))</f>
        <v xml:space="preserve"> </v>
      </c>
      <c r="J253" s="255" t="str">
        <f>IF(A253="N/A"," ",IF(AND('Pricing Inputs'!$AQ$3&gt;=1,'Pricing Inputs'!$AQ$3&lt;=6),I253,(VLOOKUP(A253,ScaledPrice,2))*(2-(VLOOKUP(A253,ScaledPrice,3)))))</f>
        <v xml:space="preserve"> </v>
      </c>
      <c r="K253" s="255" t="str">
        <f>IF(A253="N/A"," ",IF(OR('Pricing Inputs'!$AQ$3=2,'Pricing Inputs'!$AQ$3=3,'Pricing Inputs'!$AQ$3=5,'Pricing Inputs'!$AQ$3=6,'Pricing Inputs'!$AQ$3=8,'Pricing Inputs'!$AQ$3=9),VLOOKUP(A253,ScaledPrice,IF(AND('Pricing Inputs'!$AQ$3&gt;=2,'Pricing Inputs'!$AQ$3&lt;=6),5,6)),0))</f>
        <v xml:space="preserve"> </v>
      </c>
      <c r="L253" s="255" t="str">
        <f>IF(A253="N/A"," ",IF(OR('Pricing Inputs'!$AQ$3=2,'Pricing Inputs'!$AQ$3=3,'Pricing Inputs'!$AQ$3=5,'Pricing Inputs'!$AQ$3=6,'Pricing Inputs'!$AQ$3=8,'Pricing Inputs'!$AQ$3=9),IF(AND('Pricing Inputs'!$AQ$3&gt;=2,'Pricing Inputs'!$AQ$3&lt;=6),K253,(VLOOKUP(A253,ScaledPrice,5))*(2-(VLOOKUP(A253,ScaledPrice,3)))),0))</f>
        <v xml:space="preserve"> </v>
      </c>
      <c r="M253" s="255" t="str">
        <f>IF(A253="N/A"," ",IF(OR('Pricing Inputs'!$AQ$3=3,'Pricing Inputs'!$AQ$3=6,'Pricing Inputs'!$AQ$3=9),(VLOOKUP(A253,ScaledPrice,IF(AND('Pricing Inputs'!$AQ$3&gt;=3,'Pricing Inputs'!$AQ$3&lt;=6),7,8))),0))</f>
        <v xml:space="preserve"> </v>
      </c>
      <c r="N253" s="255" t="str">
        <f>IF(A253="N/A"," ",IF(OR('Pricing Inputs'!$AQ$3=3,'Pricing Inputs'!$AQ$3=6,'Pricing Inputs'!$AQ$3=9),IF(AND('Pricing Inputs'!$AQ$3&gt;=3,'Pricing Inputs'!$AQ$3&lt;=6),M253,(VLOOKUP(A253,ScaledPrice,7))*(2-(VLOOKUP(A253,ScaledPrice,3)))),0))</f>
        <v xml:space="preserve"> </v>
      </c>
      <c r="O253" s="255" t="str">
        <f>IF(A253="N/A"," ",IF(AND('Pricing Inputs'!$AQ$3&gt;=1,'Pricing Inputs'!$AQ$3&lt;=3),VLOOKUP(A253,ScaledPrice,9),0))</f>
        <v xml:space="preserve"> </v>
      </c>
      <c r="P253" s="320" t="str">
        <f>IF($A253="N/A"," ",IF('Pricing Inputs'!$AN$8=2,(I253-H253),IF('Pricing Inputs'!$AN$3=2,IF((I253-$H253)&gt;0,I253-$H253,0),(_xll.xSPRDOPT(I253,$E253,$BU253,0,$BP253,$BS253,$BT253,($A253-Inputs!$D$1)+15,1,0)))))</f>
        <v xml:space="preserve"> </v>
      </c>
      <c r="Q253" s="320" t="str">
        <f>IF($A253="N/A"," ",IF('Pricing Inputs'!$AN$8=2,(J253-$H253),IF('Pricing Inputs'!$AN$3=2,IF((J253-$H253)&gt;0,J253-$H253,0),(_xll.xSPRDOPT(J253,$E253,$BU253,0,$BP253,$BS253,$BT253,($A253-Inputs!$D$1)+15,1,0)))))</f>
        <v xml:space="preserve"> </v>
      </c>
      <c r="R253" s="320" t="str">
        <f>IF($A253="N/A"," ",IF('Pricing Inputs'!$AN$8=2,(K253-$H253),IF('Pricing Inputs'!$AN$3=2,IF((K253-$H253)&gt;0,K253-$H253,0),(_xll.xSPRDOPT(K253,$E253,$BU253,0,$BP253,$BS253,$BT253,($A253-Inputs!$D$1)+15,1,0)))))</f>
        <v xml:space="preserve"> </v>
      </c>
      <c r="S253" s="320" t="str">
        <f>IF($A253="N/A"," ",IF('Pricing Inputs'!$AN$8=2,(L253-$H253),IF('Pricing Inputs'!$AN$3=2,IF((L253-$H253)&gt;0,L253-$H253,0),(_xll.xSPRDOPT(L253,$E253,$BU253,0,$BP253,$BS253,$BT253,($A253-Inputs!$D$1)+15,1,0)))))</f>
        <v xml:space="preserve"> </v>
      </c>
      <c r="T253" s="320" t="str">
        <f>IF($A253="N/A"," ",IF('Pricing Inputs'!$AN$8=2,(M253-$H253),IF('Pricing Inputs'!$AN$3=2,IF((M253-$H253)&gt;0,M253-$H253,0),(_xll.xSPRDOPT(M253,$E253,$BU253,0,$BP253,$BS253,$BT253,($A253-Inputs!$D$1)+15,1,0)))))</f>
        <v xml:space="preserve"> </v>
      </c>
      <c r="U253" s="320" t="str">
        <f>IF($A253="N/A"," ",IF('Pricing Inputs'!$AN$8=2,(N253-$H253),IF('Pricing Inputs'!$AN$3=2,IF((N253-$H253)&gt;0,N253-$H253,0),(_xll.xSPRDOPT(N253,$E253,$BU253,0,$BP253,$BS253,$BT253,($A253-Inputs!$D$1)+15,1,0)))))</f>
        <v xml:space="preserve"> </v>
      </c>
      <c r="V253" s="259" t="str">
        <f>IF($A253="N/A"," ",(IF('Pricing Inputs'!$AN$8=2,(O253-$H253),IF((O253-$H253)&lt;=0,0,(O253-$H253)))))</f>
        <v xml:space="preserve"> </v>
      </c>
      <c r="W253" s="306" t="str">
        <f>IF($A253="N/A"," ",IF(0&lt;&gt;P253,IF('Pricing Inputs'!$AN$3=2,8*VLOOKUP($A253,NumberofDaysTable,2),(_xll.xSPRDOPT(I253,$E253,$BU253,0,$BP253,$BS253,$BT253,$A253-Inputs!$D$1,1,1))*(8*VLOOKUP($A253,NumberofDaysTable,2))),0))</f>
        <v xml:space="preserve"> </v>
      </c>
      <c r="X253" s="306" t="str">
        <f>IF($A253="N/A"," ",IF(Q253&lt;&gt;0,IF('Pricing Inputs'!$AN$3=2,8*VLOOKUP($A253,NumberofDaysTable,2),(_xll.xSPRDOPT(J253,$E253,$BU253,0,$BP253,$BS253,$BT253,$A253-Inputs!$D$1,1,1))*(8*VLOOKUP($A253,NumberofDaysTable,2))),0))</f>
        <v xml:space="preserve"> </v>
      </c>
      <c r="Y253" s="306" t="str">
        <f>IF($A253="N/A"," ",IF(R253&lt;&gt;0,IF('Pricing Inputs'!$AN$3=2,8*VLOOKUP($A253,NumberofDaysTable,3),(_xll.xSPRDOPT(K253,$E253,$BU253,0,$BP253,$BS253,$BT253,$A253-Inputs!$D$1,1,1))*(8*VLOOKUP($A253,NumberofDaysTable,3))),0))</f>
        <v xml:space="preserve"> </v>
      </c>
      <c r="Z253" s="306" t="str">
        <f>IF($A253="N/A"," ",IF(S253&lt;&gt;0,IF('Pricing Inputs'!$AN$3=2,8*VLOOKUP($A253,NumberofDaysTable,3),(_xll.xSPRDOPT(L253,$E253,$BU253,0,$BP253,$BS253,$BT253,$A253-Inputs!$D$1,1,1))*(8*VLOOKUP($A253,NumberofDaysTable,3))),0))</f>
        <v xml:space="preserve"> </v>
      </c>
      <c r="AA253" s="306" t="str">
        <f>IF($A253="N/A"," ",IF(T253&lt;&gt;0,IF('Pricing Inputs'!$AN$3=2,8*VLOOKUP($A253,NumberofDaysTable,4),(_xll.xSPRDOPT(M253,$E253,$BU253,0,$BP253,$BS253,$BT253,$A253-Inputs!$D$1,1,1))*(8*VLOOKUP($A253,NumberofDaysTable,4))),0))</f>
        <v xml:space="preserve"> </v>
      </c>
      <c r="AB253" s="306" t="str">
        <f>IF($A253="N/A"," ",IF(U253&lt;&gt;0,IF('Pricing Inputs'!$AN$3=2,8*VLOOKUP($A253,NumberofDaysTable,4),(_xll.xSPRDOPT(N253,$E253,$BU253,0,$BP253,$BS253,$BT253,$A253-Inputs!$D$1,1,1))*(8*VLOOKUP($A253,NumberofDaysTable,4))),0))</f>
        <v xml:space="preserve"> </v>
      </c>
      <c r="AC253" s="306" t="str">
        <f t="shared" si="342"/>
        <v xml:space="preserve"> </v>
      </c>
      <c r="AD253" s="274" t="str">
        <f t="shared" si="422"/>
        <v xml:space="preserve"> </v>
      </c>
      <c r="AE253" s="275" t="str">
        <f t="shared" si="423"/>
        <v xml:space="preserve"> </v>
      </c>
      <c r="AF253" s="275" t="str">
        <f t="shared" si="424"/>
        <v xml:space="preserve"> </v>
      </c>
      <c r="AG253" s="275" t="str">
        <f t="shared" si="425"/>
        <v xml:space="preserve"> </v>
      </c>
      <c r="AH253" s="275" t="str">
        <f t="shared" si="426"/>
        <v xml:space="preserve"> </v>
      </c>
      <c r="AI253" s="275" t="str">
        <f t="shared" si="427"/>
        <v xml:space="preserve"> </v>
      </c>
      <c r="AJ253" s="276" t="str">
        <f t="shared" si="428"/>
        <v xml:space="preserve"> </v>
      </c>
      <c r="AK253" s="314" t="str">
        <f t="shared" si="361"/>
        <v xml:space="preserve"> </v>
      </c>
      <c r="AL253" s="315" t="str">
        <f t="shared" si="362"/>
        <v xml:space="preserve"> </v>
      </c>
      <c r="AM253" s="315" t="str">
        <f t="shared" si="363"/>
        <v xml:space="preserve"> </v>
      </c>
      <c r="AN253" s="315" t="str">
        <f t="shared" si="364"/>
        <v xml:space="preserve"> </v>
      </c>
      <c r="AO253" s="315" t="str">
        <f t="shared" si="365"/>
        <v xml:space="preserve"> </v>
      </c>
      <c r="AP253" s="315" t="str">
        <f t="shared" si="366"/>
        <v xml:space="preserve"> </v>
      </c>
      <c r="AQ253" s="315" t="str">
        <f t="shared" si="367"/>
        <v xml:space="preserve"> </v>
      </c>
      <c r="AR253" s="284" t="s">
        <v>1292</v>
      </c>
      <c r="AS253" s="321" t="str">
        <f t="shared" si="415"/>
        <v xml:space="preserve"> </v>
      </c>
      <c r="AT253" s="324" t="str">
        <f t="shared" si="416"/>
        <v xml:space="preserve"> </v>
      </c>
      <c r="AU253" s="324" t="str">
        <f t="shared" si="417"/>
        <v xml:space="preserve"> </v>
      </c>
      <c r="AV253" s="324" t="str">
        <f t="shared" si="418"/>
        <v xml:space="preserve"> </v>
      </c>
      <c r="AW253" s="324" t="str">
        <f t="shared" si="419"/>
        <v xml:space="preserve"> </v>
      </c>
      <c r="AX253" s="324" t="str">
        <f t="shared" si="420"/>
        <v xml:space="preserve"> </v>
      </c>
      <c r="AY253" s="324" t="str">
        <f t="shared" si="421"/>
        <v xml:space="preserve"> </v>
      </c>
      <c r="AZ253" s="283" t="s">
        <v>1304</v>
      </c>
      <c r="BA253" s="267" t="str">
        <f>IF($A253="N/A"," ",(IF(MONTH(A253)&gt;=4,IF(MONTH(A253)&lt;=10,Inputs!$F$13,Inputs!$F$14),Inputs!$F$14))*$BW253)</f>
        <v xml:space="preserve"> </v>
      </c>
      <c r="BB253" s="268" t="str">
        <f t="shared" si="382"/>
        <v xml:space="preserve"> </v>
      </c>
      <c r="BC253" s="268" t="str">
        <f t="shared" si="383"/>
        <v xml:space="preserve"> </v>
      </c>
      <c r="BD253" s="268" t="str">
        <f t="shared" si="350"/>
        <v xml:space="preserve"> </v>
      </c>
      <c r="BE253" s="268" t="str">
        <f t="shared" si="351"/>
        <v xml:space="preserve"> </v>
      </c>
      <c r="BF253" s="268" t="str">
        <f t="shared" si="352"/>
        <v xml:space="preserve"> </v>
      </c>
      <c r="BG253" s="268" t="str">
        <f t="shared" si="353"/>
        <v xml:space="preserve"> </v>
      </c>
      <c r="BH253" s="268" t="str">
        <f t="shared" si="359"/>
        <v xml:space="preserve"> </v>
      </c>
      <c r="BI253" s="268" t="str">
        <f t="shared" si="354"/>
        <v xml:space="preserve"> </v>
      </c>
      <c r="BJ253" s="296" t="str">
        <f t="shared" si="355"/>
        <v xml:space="preserve"> </v>
      </c>
      <c r="BK253" s="296" t="str">
        <f t="shared" si="356"/>
        <v xml:space="preserve"> </v>
      </c>
      <c r="BL253" s="296" t="str">
        <f t="shared" si="357"/>
        <v xml:space="preserve"> </v>
      </c>
      <c r="BM253" s="296" t="str">
        <f t="shared" si="358"/>
        <v xml:space="preserve"> </v>
      </c>
      <c r="BN253" s="405" t="str">
        <f>IF(A253="N/A"," ",(VLOOKUP(A253,PowerVolTable,(IF('Pricing Inputs'!$AT$3=2,7,IF('Pricing Inputs'!$AT$3=1,6,8))),FALSE)))</f>
        <v xml:space="preserve"> </v>
      </c>
      <c r="BO253" s="405" t="str">
        <f>IF(A253="N/A"," ",(VLOOKUP(A253,IntraPowerVol,(IF('Pricing Inputs'!$AT$3=2,3,IF('Pricing Inputs'!$AT$3=1,2,4))),FALSE)*VLOOKUP(MONTH($A253),Inputs!$A$28:$B$39,2)))</f>
        <v xml:space="preserve"> </v>
      </c>
      <c r="BP253" s="406" t="str">
        <f t="shared" si="336"/>
        <v xml:space="preserve"> </v>
      </c>
      <c r="BQ253" s="405" t="str">
        <f>IF($A253="N/A"," ",(VLOOKUP($A253,GasVolTable,(IF('Pricing Inputs'!$AT$3=2,6,IF('Pricing Inputs'!$AT$3=1,7,5))),FALSE)))</f>
        <v xml:space="preserve"> </v>
      </c>
      <c r="BR253" s="405" t="str">
        <f>IF($A253="N/A"," ",(VLOOKUP($A253,OmicronVol,(IF('Pricing Inputs'!$AT$3=2,3,IF('Pricing Inputs'!$AT$3=1,4,2))),FALSE)))</f>
        <v xml:space="preserve"> </v>
      </c>
      <c r="BS253" s="406" t="str">
        <f>IF($A253="N/A"," ",IF('Pricing Inputs'!$AN$3=1,(IF(DateToday&gt;$A253,$BR253,((($BQ253^2)*((($A253-1)-DateToday)/((EOMONTH($A253,0)+1)-DateToday-15)))+((($BR253)^2)*((15)/((EOMONTH($A253,0)+1)-DateToday-15))))^0.5)),0.0001))</f>
        <v xml:space="preserve"> </v>
      </c>
      <c r="BT253" s="405" t="str">
        <f>IF($A253="N/A"," ",IF('Pricing Inputs'!$AN$3=1,(VLOOKUP($A253,CorrelationTable,2,FALSE)),0))</f>
        <v xml:space="preserve"> </v>
      </c>
      <c r="BU253" s="407" t="str">
        <f>IF($A253="N/A"," ",F253+G253+(D253*(VLOOKUP($A253,'Gas Curves'!$B$17:$P$310,14,FALSE))))</f>
        <v xml:space="preserve"> </v>
      </c>
      <c r="BV253" s="405" t="str">
        <f>IF($A253="N/A"," ",IF('Pricing Inputs'!$AW$3=1,0,(VLOOKUP($A253,InterestRatesTable,2))))</f>
        <v xml:space="preserve"> </v>
      </c>
      <c r="BW253" s="408" t="str">
        <f t="shared" si="337"/>
        <v xml:space="preserve"> </v>
      </c>
    </row>
    <row r="254" spans="1:75">
      <c r="A254" s="248" t="str">
        <f>IF(A253="N/A","N/A",IF(EDATE(A253,1)&gt;Inputs!$K$3,"N/A",EDATE(A253,1)))</f>
        <v>N/A</v>
      </c>
      <c r="B254" s="262" t="str">
        <f t="shared" si="338"/>
        <v xml:space="preserve"> </v>
      </c>
      <c r="C254" s="249" t="str">
        <f t="shared" si="339"/>
        <v xml:space="preserve"> </v>
      </c>
      <c r="D254" s="250" t="str">
        <f>IF(A254="N/A"," ",(VLOOKUP(MONTH($A254),Inputs!$A$14:$B$25,2))/1000)</f>
        <v xml:space="preserve"> </v>
      </c>
      <c r="E254" s="304" t="str">
        <f t="shared" si="340"/>
        <v xml:space="preserve"> </v>
      </c>
      <c r="F254" s="251" t="str">
        <f>IF(A254="N/A"," ",Inputs!$F$6)</f>
        <v xml:space="preserve"> </v>
      </c>
      <c r="G254" s="251" t="str">
        <f>IF(A254="N/A"," ",Inputs!$F$9/IF(AND('Pricing Inputs'!$AQ$3&gt;=4,'Pricing Inputs'!$AQ$3&lt;=6),16,IF(AND('Pricing Inputs'!$AQ$3&gt;=7,'Pricing Inputs'!$AQ$3&lt;=9),8,24))/(BA254/BW254))</f>
        <v xml:space="preserve"> </v>
      </c>
      <c r="H254" s="252" t="str">
        <f t="shared" si="341"/>
        <v xml:space="preserve"> </v>
      </c>
      <c r="I254" s="255" t="str">
        <f>VLOOKUP(A254,ScaledPrice,(IF(AND('Pricing Inputs'!$AQ$3&gt;=1,'Pricing Inputs'!$AQ$3&lt;=6),2,4)))</f>
        <v xml:space="preserve"> </v>
      </c>
      <c r="J254" s="255" t="str">
        <f>IF(A254="N/A"," ",IF(AND('Pricing Inputs'!$AQ$3&gt;=1,'Pricing Inputs'!$AQ$3&lt;=6),I254,(VLOOKUP(A254,ScaledPrice,2))*(2-(VLOOKUP(A254,ScaledPrice,3)))))</f>
        <v xml:space="preserve"> </v>
      </c>
      <c r="K254" s="255" t="str">
        <f>IF(A254="N/A"," ",IF(OR('Pricing Inputs'!$AQ$3=2,'Pricing Inputs'!$AQ$3=3,'Pricing Inputs'!$AQ$3=5,'Pricing Inputs'!$AQ$3=6,'Pricing Inputs'!$AQ$3=8,'Pricing Inputs'!$AQ$3=9),VLOOKUP(A254,ScaledPrice,IF(AND('Pricing Inputs'!$AQ$3&gt;=2,'Pricing Inputs'!$AQ$3&lt;=6),5,6)),0))</f>
        <v xml:space="preserve"> </v>
      </c>
      <c r="L254" s="255" t="str">
        <f>IF(A254="N/A"," ",IF(OR('Pricing Inputs'!$AQ$3=2,'Pricing Inputs'!$AQ$3=3,'Pricing Inputs'!$AQ$3=5,'Pricing Inputs'!$AQ$3=6,'Pricing Inputs'!$AQ$3=8,'Pricing Inputs'!$AQ$3=9),IF(AND('Pricing Inputs'!$AQ$3&gt;=2,'Pricing Inputs'!$AQ$3&lt;=6),K254,(VLOOKUP(A254,ScaledPrice,5))*(2-(VLOOKUP(A254,ScaledPrice,3)))),0))</f>
        <v xml:space="preserve"> </v>
      </c>
      <c r="M254" s="255" t="str">
        <f>IF(A254="N/A"," ",IF(OR('Pricing Inputs'!$AQ$3=3,'Pricing Inputs'!$AQ$3=6,'Pricing Inputs'!$AQ$3=9),(VLOOKUP(A254,ScaledPrice,IF(AND('Pricing Inputs'!$AQ$3&gt;=3,'Pricing Inputs'!$AQ$3&lt;=6),7,8))),0))</f>
        <v xml:space="preserve"> </v>
      </c>
      <c r="N254" s="255" t="str">
        <f>IF(A254="N/A"," ",IF(OR('Pricing Inputs'!$AQ$3=3,'Pricing Inputs'!$AQ$3=6,'Pricing Inputs'!$AQ$3=9),IF(AND('Pricing Inputs'!$AQ$3&gt;=3,'Pricing Inputs'!$AQ$3&lt;=6),M254,(VLOOKUP(A254,ScaledPrice,7))*(2-(VLOOKUP(A254,ScaledPrice,3)))),0))</f>
        <v xml:space="preserve"> </v>
      </c>
      <c r="O254" s="255" t="str">
        <f>IF(A254="N/A"," ",IF(AND('Pricing Inputs'!$AQ$3&gt;=1,'Pricing Inputs'!$AQ$3&lt;=3),VLOOKUP(A254,ScaledPrice,9),0))</f>
        <v xml:space="preserve"> </v>
      </c>
      <c r="P254" s="320" t="str">
        <f>IF($A254="N/A"," ",IF('Pricing Inputs'!$AN$8=2,(I254-H254),IF('Pricing Inputs'!$AN$3=2,IF((I254-$H254)&gt;0,I254-$H254,0),(_xll.xSPRDOPT(I254,$E254,$BU254,0,$BP254,$BS254,$BT254,($A254-Inputs!$D$1)+15,1,0)))))</f>
        <v xml:space="preserve"> </v>
      </c>
      <c r="Q254" s="320" t="str">
        <f>IF($A254="N/A"," ",IF('Pricing Inputs'!$AN$8=2,(J254-$H254),IF('Pricing Inputs'!$AN$3=2,IF((J254-$H254)&gt;0,J254-$H254,0),(_xll.xSPRDOPT(J254,$E254,$BU254,0,$BP254,$BS254,$BT254,($A254-Inputs!$D$1)+15,1,0)))))</f>
        <v xml:space="preserve"> </v>
      </c>
      <c r="R254" s="320" t="str">
        <f>IF($A254="N/A"," ",IF('Pricing Inputs'!$AN$8=2,(K254-$H254),IF('Pricing Inputs'!$AN$3=2,IF((K254-$H254)&gt;0,K254-$H254,0),(_xll.xSPRDOPT(K254,$E254,$BU254,0,$BP254,$BS254,$BT254,($A254-Inputs!$D$1)+15,1,0)))))</f>
        <v xml:space="preserve"> </v>
      </c>
      <c r="S254" s="320" t="str">
        <f>IF($A254="N/A"," ",IF('Pricing Inputs'!$AN$8=2,(L254-$H254),IF('Pricing Inputs'!$AN$3=2,IF((L254-$H254)&gt;0,L254-$H254,0),(_xll.xSPRDOPT(L254,$E254,$BU254,0,$BP254,$BS254,$BT254,($A254-Inputs!$D$1)+15,1,0)))))</f>
        <v xml:space="preserve"> </v>
      </c>
      <c r="T254" s="320" t="str">
        <f>IF($A254="N/A"," ",IF('Pricing Inputs'!$AN$8=2,(M254-$H254),IF('Pricing Inputs'!$AN$3=2,IF((M254-$H254)&gt;0,M254-$H254,0),(_xll.xSPRDOPT(M254,$E254,$BU254,0,$BP254,$BS254,$BT254,($A254-Inputs!$D$1)+15,1,0)))))</f>
        <v xml:space="preserve"> </v>
      </c>
      <c r="U254" s="320" t="str">
        <f>IF($A254="N/A"," ",IF('Pricing Inputs'!$AN$8=2,(N254-$H254),IF('Pricing Inputs'!$AN$3=2,IF((N254-$H254)&gt;0,N254-$H254,0),(_xll.xSPRDOPT(N254,$E254,$BU254,0,$BP254,$BS254,$BT254,($A254-Inputs!$D$1)+15,1,0)))))</f>
        <v xml:space="preserve"> </v>
      </c>
      <c r="V254" s="259" t="str">
        <f>IF($A254="N/A"," ",(IF('Pricing Inputs'!$AN$8=2,(O254-$H254),IF((O254-$H254)&lt;=0,0,(O254-$H254)))))</f>
        <v xml:space="preserve"> </v>
      </c>
      <c r="W254" s="306" t="str">
        <f>IF($A254="N/A"," ",IF(0&lt;&gt;P254,IF('Pricing Inputs'!$AN$3=2,8*VLOOKUP($A254,NumberofDaysTable,2),(_xll.xSPRDOPT(I254,$E254,$BU254,0,$BP254,$BS254,$BT254,$A254-Inputs!$D$1,1,1))*(8*VLOOKUP($A254,NumberofDaysTable,2))),0))</f>
        <v xml:space="preserve"> </v>
      </c>
      <c r="X254" s="306" t="str">
        <f>IF($A254="N/A"," ",IF(Q254&lt;&gt;0,IF('Pricing Inputs'!$AN$3=2,8*VLOOKUP($A254,NumberofDaysTable,2),(_xll.xSPRDOPT(J254,$E254,$BU254,0,$BP254,$BS254,$BT254,$A254-Inputs!$D$1,1,1))*(8*VLOOKUP($A254,NumberofDaysTable,2))),0))</f>
        <v xml:space="preserve"> </v>
      </c>
      <c r="Y254" s="306" t="str">
        <f>IF($A254="N/A"," ",IF(R254&lt;&gt;0,IF('Pricing Inputs'!$AN$3=2,8*VLOOKUP($A254,NumberofDaysTable,3),(_xll.xSPRDOPT(K254,$E254,$BU254,0,$BP254,$BS254,$BT254,$A254-Inputs!$D$1,1,1))*(8*VLOOKUP($A254,NumberofDaysTable,3))),0))</f>
        <v xml:space="preserve"> </v>
      </c>
      <c r="Z254" s="306" t="str">
        <f>IF($A254="N/A"," ",IF(S254&lt;&gt;0,IF('Pricing Inputs'!$AN$3=2,8*VLOOKUP($A254,NumberofDaysTable,3),(_xll.xSPRDOPT(L254,$E254,$BU254,0,$BP254,$BS254,$BT254,$A254-Inputs!$D$1,1,1))*(8*VLOOKUP($A254,NumberofDaysTable,3))),0))</f>
        <v xml:space="preserve"> </v>
      </c>
      <c r="AA254" s="306" t="str">
        <f>IF($A254="N/A"," ",IF(T254&lt;&gt;0,IF('Pricing Inputs'!$AN$3=2,8*VLOOKUP($A254,NumberofDaysTable,4),(_xll.xSPRDOPT(M254,$E254,$BU254,0,$BP254,$BS254,$BT254,$A254-Inputs!$D$1,1,1))*(8*VLOOKUP($A254,NumberofDaysTable,4))),0))</f>
        <v xml:space="preserve"> </v>
      </c>
      <c r="AB254" s="306" t="str">
        <f>IF($A254="N/A"," ",IF(U254&lt;&gt;0,IF('Pricing Inputs'!$AN$3=2,8*VLOOKUP($A254,NumberofDaysTable,4),(_xll.xSPRDOPT(N254,$E254,$BU254,0,$BP254,$BS254,$BT254,$A254-Inputs!$D$1,1,1))*(8*VLOOKUP($A254,NumberofDaysTable,4))),0))</f>
        <v xml:space="preserve"> </v>
      </c>
      <c r="AC254" s="306" t="str">
        <f t="shared" si="342"/>
        <v xml:space="preserve"> </v>
      </c>
      <c r="AD254" s="274" t="str">
        <f t="shared" si="422"/>
        <v xml:space="preserve"> </v>
      </c>
      <c r="AE254" s="275" t="str">
        <f t="shared" si="423"/>
        <v xml:space="preserve"> </v>
      </c>
      <c r="AF254" s="275" t="str">
        <f t="shared" si="424"/>
        <v xml:space="preserve"> </v>
      </c>
      <c r="AG254" s="275" t="str">
        <f t="shared" si="425"/>
        <v xml:space="preserve"> </v>
      </c>
      <c r="AH254" s="275" t="str">
        <f t="shared" si="426"/>
        <v xml:space="preserve"> </v>
      </c>
      <c r="AI254" s="275" t="str">
        <f t="shared" si="427"/>
        <v xml:space="preserve"> </v>
      </c>
      <c r="AJ254" s="276" t="str">
        <f t="shared" si="428"/>
        <v xml:space="preserve"> </v>
      </c>
      <c r="AK254" s="314" t="str">
        <f t="shared" si="361"/>
        <v xml:space="preserve"> </v>
      </c>
      <c r="AL254" s="315" t="str">
        <f t="shared" si="362"/>
        <v xml:space="preserve"> </v>
      </c>
      <c r="AM254" s="315" t="str">
        <f t="shared" si="363"/>
        <v xml:space="preserve"> </v>
      </c>
      <c r="AN254" s="315" t="str">
        <f t="shared" si="364"/>
        <v xml:space="preserve"> </v>
      </c>
      <c r="AO254" s="315" t="str">
        <f t="shared" si="365"/>
        <v xml:space="preserve"> </v>
      </c>
      <c r="AP254" s="315" t="str">
        <f t="shared" si="366"/>
        <v xml:space="preserve"> </v>
      </c>
      <c r="AQ254" s="315" t="str">
        <f t="shared" si="367"/>
        <v xml:space="preserve"> </v>
      </c>
      <c r="AR254" s="276">
        <f>SUM(AK244:AQ255)</f>
        <v>0</v>
      </c>
      <c r="AS254" s="321" t="str">
        <f t="shared" si="415"/>
        <v xml:space="preserve"> </v>
      </c>
      <c r="AT254" s="324" t="str">
        <f t="shared" si="416"/>
        <v xml:space="preserve"> </v>
      </c>
      <c r="AU254" s="324" t="str">
        <f t="shared" si="417"/>
        <v xml:space="preserve"> </v>
      </c>
      <c r="AV254" s="324" t="str">
        <f t="shared" si="418"/>
        <v xml:space="preserve"> </v>
      </c>
      <c r="AW254" s="324" t="str">
        <f t="shared" si="419"/>
        <v xml:space="preserve"> </v>
      </c>
      <c r="AX254" s="324" t="str">
        <f t="shared" si="420"/>
        <v xml:space="preserve"> </v>
      </c>
      <c r="AY254" s="324" t="str">
        <f t="shared" si="421"/>
        <v xml:space="preserve"> </v>
      </c>
      <c r="AZ254" s="276">
        <f>SUM(AS244:AY255)</f>
        <v>0</v>
      </c>
      <c r="BA254" s="267" t="str">
        <f>IF($A254="N/A"," ",(IF(MONTH(A254)&gt;=4,IF(MONTH(A254)&lt;=10,Inputs!$F$13,Inputs!$F$14),Inputs!$F$14))*$BW254)</f>
        <v xml:space="preserve"> </v>
      </c>
      <c r="BB254" s="268" t="str">
        <f t="shared" si="382"/>
        <v xml:space="preserve"> </v>
      </c>
      <c r="BC254" s="268" t="str">
        <f t="shared" si="383"/>
        <v xml:space="preserve"> </v>
      </c>
      <c r="BD254" s="268" t="str">
        <f t="shared" si="350"/>
        <v xml:space="preserve"> </v>
      </c>
      <c r="BE254" s="268" t="str">
        <f t="shared" si="351"/>
        <v xml:space="preserve"> </v>
      </c>
      <c r="BF254" s="268" t="str">
        <f t="shared" si="352"/>
        <v xml:space="preserve"> </v>
      </c>
      <c r="BG254" s="268" t="str">
        <f t="shared" si="353"/>
        <v xml:space="preserve"> </v>
      </c>
      <c r="BH254" s="268" t="str">
        <f t="shared" si="359"/>
        <v xml:space="preserve"> </v>
      </c>
      <c r="BI254" s="268" t="str">
        <f t="shared" si="354"/>
        <v xml:space="preserve"> </v>
      </c>
      <c r="BJ254" s="296" t="str">
        <f t="shared" si="355"/>
        <v xml:space="preserve"> </v>
      </c>
      <c r="BK254" s="296" t="str">
        <f t="shared" si="356"/>
        <v xml:space="preserve"> </v>
      </c>
      <c r="BL254" s="296" t="str">
        <f t="shared" si="357"/>
        <v xml:space="preserve"> </v>
      </c>
      <c r="BM254" s="296" t="str">
        <f t="shared" si="358"/>
        <v xml:space="preserve"> </v>
      </c>
      <c r="BN254" s="405" t="str">
        <f>IF(A254="N/A"," ",(VLOOKUP(A254,PowerVolTable,(IF('Pricing Inputs'!$AT$3=2,7,IF('Pricing Inputs'!$AT$3=1,6,8))),FALSE)))</f>
        <v xml:space="preserve"> </v>
      </c>
      <c r="BO254" s="405" t="str">
        <f>IF(A254="N/A"," ",(VLOOKUP(A254,IntraPowerVol,(IF('Pricing Inputs'!$AT$3=2,3,IF('Pricing Inputs'!$AT$3=1,2,4))),FALSE)*VLOOKUP(MONTH($A254),Inputs!$A$28:$B$39,2)))</f>
        <v xml:space="preserve"> </v>
      </c>
      <c r="BP254" s="406" t="str">
        <f t="shared" si="336"/>
        <v xml:space="preserve"> </v>
      </c>
      <c r="BQ254" s="405" t="str">
        <f>IF($A254="N/A"," ",(VLOOKUP($A254,GasVolTable,(IF('Pricing Inputs'!$AT$3=2,6,IF('Pricing Inputs'!$AT$3=1,7,5))),FALSE)))</f>
        <v xml:space="preserve"> </v>
      </c>
      <c r="BR254" s="405" t="str">
        <f>IF($A254="N/A"," ",(VLOOKUP($A254,OmicronVol,(IF('Pricing Inputs'!$AT$3=2,3,IF('Pricing Inputs'!$AT$3=1,4,2))),FALSE)))</f>
        <v xml:space="preserve"> </v>
      </c>
      <c r="BS254" s="406" t="str">
        <f>IF($A254="N/A"," ",IF('Pricing Inputs'!$AN$3=1,(IF(DateToday&gt;$A254,$BR254,((($BQ254^2)*((($A254-1)-DateToday)/((EOMONTH($A254,0)+1)-DateToday-15)))+((($BR254)^2)*((15)/((EOMONTH($A254,0)+1)-DateToday-15))))^0.5)),0.0001))</f>
        <v xml:space="preserve"> </v>
      </c>
      <c r="BT254" s="405" t="str">
        <f>IF($A254="N/A"," ",IF('Pricing Inputs'!$AN$3=1,(VLOOKUP($A254,CorrelationTable,2,FALSE)),0))</f>
        <v xml:space="preserve"> </v>
      </c>
      <c r="BU254" s="407" t="str">
        <f>IF($A254="N/A"," ",F254+G254+(D254*(VLOOKUP($A254,'Gas Curves'!$B$17:$P$310,14,FALSE))))</f>
        <v xml:space="preserve"> </v>
      </c>
      <c r="BV254" s="405" t="str">
        <f>IF($A254="N/A"," ",IF('Pricing Inputs'!$AW$3=1,0,(VLOOKUP($A254,InterestRatesTable,2))))</f>
        <v xml:space="preserve"> </v>
      </c>
      <c r="BW254" s="408" t="str">
        <f t="shared" si="337"/>
        <v xml:space="preserve"> </v>
      </c>
    </row>
    <row r="255" spans="1:75">
      <c r="A255" s="248" t="str">
        <f>IF(A254="N/A","N/A",IF(EDATE(A254,1)&gt;Inputs!$K$3,"N/A",EDATE(A254,1)))</f>
        <v>N/A</v>
      </c>
      <c r="B255" s="262" t="str">
        <f t="shared" si="338"/>
        <v xml:space="preserve"> </v>
      </c>
      <c r="C255" s="249" t="str">
        <f t="shared" si="339"/>
        <v xml:space="preserve"> </v>
      </c>
      <c r="D255" s="250" t="str">
        <f>IF(A255="N/A"," ",(VLOOKUP(MONTH($A255),Inputs!$A$14:$B$25,2))/1000)</f>
        <v xml:space="preserve"> </v>
      </c>
      <c r="E255" s="304" t="str">
        <f t="shared" si="340"/>
        <v xml:space="preserve"> </v>
      </c>
      <c r="F255" s="251" t="str">
        <f>IF(A255="N/A"," ",Inputs!$F$6)</f>
        <v xml:space="preserve"> </v>
      </c>
      <c r="G255" s="251" t="str">
        <f>IF(A255="N/A"," ",Inputs!$F$9/IF(AND('Pricing Inputs'!$AQ$3&gt;=4,'Pricing Inputs'!$AQ$3&lt;=6),16,IF(AND('Pricing Inputs'!$AQ$3&gt;=7,'Pricing Inputs'!$AQ$3&lt;=9),8,24))/(BA255/BW255))</f>
        <v xml:space="preserve"> </v>
      </c>
      <c r="H255" s="252" t="str">
        <f t="shared" si="341"/>
        <v xml:space="preserve"> </v>
      </c>
      <c r="I255" s="255" t="str">
        <f>VLOOKUP(A255,ScaledPrice,(IF(AND('Pricing Inputs'!$AQ$3&gt;=1,'Pricing Inputs'!$AQ$3&lt;=6),2,4)))</f>
        <v xml:space="preserve"> </v>
      </c>
      <c r="J255" s="255" t="str">
        <f>IF(A255="N/A"," ",IF(AND('Pricing Inputs'!$AQ$3&gt;=1,'Pricing Inputs'!$AQ$3&lt;=6),I255,(VLOOKUP(A255,ScaledPrice,2))*(2-(VLOOKUP(A255,ScaledPrice,3)))))</f>
        <v xml:space="preserve"> </v>
      </c>
      <c r="K255" s="255" t="str">
        <f>IF(A255="N/A"," ",IF(OR('Pricing Inputs'!$AQ$3=2,'Pricing Inputs'!$AQ$3=3,'Pricing Inputs'!$AQ$3=5,'Pricing Inputs'!$AQ$3=6,'Pricing Inputs'!$AQ$3=8,'Pricing Inputs'!$AQ$3=9),VLOOKUP(A255,ScaledPrice,IF(AND('Pricing Inputs'!$AQ$3&gt;=2,'Pricing Inputs'!$AQ$3&lt;=6),5,6)),0))</f>
        <v xml:space="preserve"> </v>
      </c>
      <c r="L255" s="255" t="str">
        <f>IF(A255="N/A"," ",IF(OR('Pricing Inputs'!$AQ$3=2,'Pricing Inputs'!$AQ$3=3,'Pricing Inputs'!$AQ$3=5,'Pricing Inputs'!$AQ$3=6,'Pricing Inputs'!$AQ$3=8,'Pricing Inputs'!$AQ$3=9),IF(AND('Pricing Inputs'!$AQ$3&gt;=2,'Pricing Inputs'!$AQ$3&lt;=6),K255,(VLOOKUP(A255,ScaledPrice,5))*(2-(VLOOKUP(A255,ScaledPrice,3)))),0))</f>
        <v xml:space="preserve"> </v>
      </c>
      <c r="M255" s="255" t="str">
        <f>IF(A255="N/A"," ",IF(OR('Pricing Inputs'!$AQ$3=3,'Pricing Inputs'!$AQ$3=6,'Pricing Inputs'!$AQ$3=9),(VLOOKUP(A255,ScaledPrice,IF(AND('Pricing Inputs'!$AQ$3&gt;=3,'Pricing Inputs'!$AQ$3&lt;=6),7,8))),0))</f>
        <v xml:space="preserve"> </v>
      </c>
      <c r="N255" s="255" t="str">
        <f>IF(A255="N/A"," ",IF(OR('Pricing Inputs'!$AQ$3=3,'Pricing Inputs'!$AQ$3=6,'Pricing Inputs'!$AQ$3=9),IF(AND('Pricing Inputs'!$AQ$3&gt;=3,'Pricing Inputs'!$AQ$3&lt;=6),M255,(VLOOKUP(A255,ScaledPrice,7))*(2-(VLOOKUP(A255,ScaledPrice,3)))),0))</f>
        <v xml:space="preserve"> </v>
      </c>
      <c r="O255" s="255" t="str">
        <f>IF(A255="N/A"," ",IF(AND('Pricing Inputs'!$AQ$3&gt;=1,'Pricing Inputs'!$AQ$3&lt;=3),VLOOKUP(A255,ScaledPrice,9),0))</f>
        <v xml:space="preserve"> </v>
      </c>
      <c r="P255" s="320" t="str">
        <f>IF($A255="N/A"," ",IF('Pricing Inputs'!$AN$8=2,(I255-H255),IF('Pricing Inputs'!$AN$3=2,IF((I255-$H255)&gt;0,I255-$H255,0),(_xll.xSPRDOPT(I255,$E255,$BU255,0,$BP255,$BS255,$BT255,($A255-Inputs!$D$1)+15,1,0)))))</f>
        <v xml:space="preserve"> </v>
      </c>
      <c r="Q255" s="320" t="str">
        <f>IF($A255="N/A"," ",IF('Pricing Inputs'!$AN$8=2,(J255-$H255),IF('Pricing Inputs'!$AN$3=2,IF((J255-$H255)&gt;0,J255-$H255,0),(_xll.xSPRDOPT(J255,$E255,$BU255,0,$BP255,$BS255,$BT255,($A255-Inputs!$D$1)+15,1,0)))))</f>
        <v xml:space="preserve"> </v>
      </c>
      <c r="R255" s="320" t="str">
        <f>IF($A255="N/A"," ",IF('Pricing Inputs'!$AN$8=2,(K255-$H255),IF('Pricing Inputs'!$AN$3=2,IF((K255-$H255)&gt;0,K255-$H255,0),(_xll.xSPRDOPT(K255,$E255,$BU255,0,$BP255,$BS255,$BT255,($A255-Inputs!$D$1)+15,1,0)))))</f>
        <v xml:space="preserve"> </v>
      </c>
      <c r="S255" s="320" t="str">
        <f>IF($A255="N/A"," ",IF('Pricing Inputs'!$AN$8=2,(L255-$H255),IF('Pricing Inputs'!$AN$3=2,IF((L255-$H255)&gt;0,L255-$H255,0),(_xll.xSPRDOPT(L255,$E255,$BU255,0,$BP255,$BS255,$BT255,($A255-Inputs!$D$1)+15,1,0)))))</f>
        <v xml:space="preserve"> </v>
      </c>
      <c r="T255" s="320" t="str">
        <f>IF($A255="N/A"," ",IF('Pricing Inputs'!$AN$8=2,(M255-$H255),IF('Pricing Inputs'!$AN$3=2,IF((M255-$H255)&gt;0,M255-$H255,0),(_xll.xSPRDOPT(M255,$E255,$BU255,0,$BP255,$BS255,$BT255,($A255-Inputs!$D$1)+15,1,0)))))</f>
        <v xml:space="preserve"> </v>
      </c>
      <c r="U255" s="320" t="str">
        <f>IF($A255="N/A"," ",IF('Pricing Inputs'!$AN$8=2,(N255-$H255),IF('Pricing Inputs'!$AN$3=2,IF((N255-$H255)&gt;0,N255-$H255,0),(_xll.xSPRDOPT(N255,$E255,$BU255,0,$BP255,$BS255,$BT255,($A255-Inputs!$D$1)+15,1,0)))))</f>
        <v xml:space="preserve"> </v>
      </c>
      <c r="V255" s="259" t="str">
        <f>IF($A255="N/A"," ",(IF('Pricing Inputs'!$AN$8=2,(O255-$H255),IF((O255-$H255)&lt;=0,0,(O255-$H255)))))</f>
        <v xml:space="preserve"> </v>
      </c>
      <c r="W255" s="306" t="str">
        <f>IF($A255="N/A"," ",IF(0&lt;&gt;P255,IF('Pricing Inputs'!$AN$3=2,8*VLOOKUP($A255,NumberofDaysTable,2),(_xll.xSPRDOPT(I255,$E255,$BU255,0,$BP255,$BS255,$BT255,$A255-Inputs!$D$1,1,1))*(8*VLOOKUP($A255,NumberofDaysTable,2))),0))</f>
        <v xml:space="preserve"> </v>
      </c>
      <c r="X255" s="306" t="str">
        <f>IF($A255="N/A"," ",IF(Q255&lt;&gt;0,IF('Pricing Inputs'!$AN$3=2,8*VLOOKUP($A255,NumberofDaysTable,2),(_xll.xSPRDOPT(J255,$E255,$BU255,0,$BP255,$BS255,$BT255,$A255-Inputs!$D$1,1,1))*(8*VLOOKUP($A255,NumberofDaysTable,2))),0))</f>
        <v xml:space="preserve"> </v>
      </c>
      <c r="Y255" s="306" t="str">
        <f>IF($A255="N/A"," ",IF(R255&lt;&gt;0,IF('Pricing Inputs'!$AN$3=2,8*VLOOKUP($A255,NumberofDaysTable,3),(_xll.xSPRDOPT(K255,$E255,$BU255,0,$BP255,$BS255,$BT255,$A255-Inputs!$D$1,1,1))*(8*VLOOKUP($A255,NumberofDaysTable,3))),0))</f>
        <v xml:space="preserve"> </v>
      </c>
      <c r="Z255" s="306" t="str">
        <f>IF($A255="N/A"," ",IF(S255&lt;&gt;0,IF('Pricing Inputs'!$AN$3=2,8*VLOOKUP($A255,NumberofDaysTable,3),(_xll.xSPRDOPT(L255,$E255,$BU255,0,$BP255,$BS255,$BT255,$A255-Inputs!$D$1,1,1))*(8*VLOOKUP($A255,NumberofDaysTable,3))),0))</f>
        <v xml:space="preserve"> </v>
      </c>
      <c r="AA255" s="306" t="str">
        <f>IF($A255="N/A"," ",IF(T255&lt;&gt;0,IF('Pricing Inputs'!$AN$3=2,8*VLOOKUP($A255,NumberofDaysTable,4),(_xll.xSPRDOPT(M255,$E255,$BU255,0,$BP255,$BS255,$BT255,$A255-Inputs!$D$1,1,1))*(8*VLOOKUP($A255,NumberofDaysTable,4))),0))</f>
        <v xml:space="preserve"> </v>
      </c>
      <c r="AB255" s="306" t="str">
        <f>IF($A255="N/A"," ",IF(U255&lt;&gt;0,IF('Pricing Inputs'!$AN$3=2,8*VLOOKUP($A255,NumberofDaysTable,4),(_xll.xSPRDOPT(N255,$E255,$BU255,0,$BP255,$BS255,$BT255,$A255-Inputs!$D$1,1,1))*(8*VLOOKUP($A255,NumberofDaysTable,4))),0))</f>
        <v xml:space="preserve"> </v>
      </c>
      <c r="AC255" s="306" t="str">
        <f t="shared" si="342"/>
        <v xml:space="preserve"> </v>
      </c>
      <c r="AD255" s="277" t="str">
        <f t="shared" si="422"/>
        <v xml:space="preserve"> </v>
      </c>
      <c r="AE255" s="278" t="str">
        <f t="shared" si="423"/>
        <v xml:space="preserve"> </v>
      </c>
      <c r="AF255" s="278" t="str">
        <f t="shared" si="424"/>
        <v xml:space="preserve"> </v>
      </c>
      <c r="AG255" s="278" t="str">
        <f t="shared" si="425"/>
        <v xml:space="preserve"> </v>
      </c>
      <c r="AH255" s="278" t="str">
        <f t="shared" si="426"/>
        <v xml:space="preserve"> </v>
      </c>
      <c r="AI255" s="278" t="str">
        <f t="shared" si="427"/>
        <v xml:space="preserve"> </v>
      </c>
      <c r="AJ255" s="279" t="str">
        <f t="shared" si="428"/>
        <v xml:space="preserve"> </v>
      </c>
      <c r="AK255" s="316" t="str">
        <f t="shared" si="361"/>
        <v xml:space="preserve"> </v>
      </c>
      <c r="AL255" s="317" t="str">
        <f t="shared" si="362"/>
        <v xml:space="preserve"> </v>
      </c>
      <c r="AM255" s="317" t="str">
        <f t="shared" si="363"/>
        <v xml:space="preserve"> </v>
      </c>
      <c r="AN255" s="317" t="str">
        <f t="shared" si="364"/>
        <v xml:space="preserve"> </v>
      </c>
      <c r="AO255" s="317" t="str">
        <f t="shared" si="365"/>
        <v xml:space="preserve"> </v>
      </c>
      <c r="AP255" s="317" t="str">
        <f t="shared" si="366"/>
        <v xml:space="preserve"> </v>
      </c>
      <c r="AQ255" s="317" t="str">
        <f t="shared" si="367"/>
        <v xml:space="preserve"> </v>
      </c>
      <c r="AR255" s="279">
        <f>IF(($AP$2-AR254)&gt;=0,$AP$2-AR254,0)</f>
        <v>1400</v>
      </c>
      <c r="AS255" s="325" t="str">
        <f t="shared" si="415"/>
        <v xml:space="preserve"> </v>
      </c>
      <c r="AT255" s="326" t="str">
        <f t="shared" si="416"/>
        <v xml:space="preserve"> </v>
      </c>
      <c r="AU255" s="326" t="str">
        <f t="shared" si="417"/>
        <v xml:space="preserve"> </v>
      </c>
      <c r="AV255" s="326" t="str">
        <f t="shared" si="418"/>
        <v xml:space="preserve"> </v>
      </c>
      <c r="AW255" s="326" t="str">
        <f t="shared" si="419"/>
        <v xml:space="preserve"> </v>
      </c>
      <c r="AX255" s="326" t="str">
        <f t="shared" si="420"/>
        <v xml:space="preserve"> </v>
      </c>
      <c r="AY255" s="326" t="str">
        <f t="shared" si="421"/>
        <v xml:space="preserve"> </v>
      </c>
      <c r="AZ255" s="285">
        <f>AR254+AZ254</f>
        <v>0</v>
      </c>
      <c r="BA255" s="267" t="str">
        <f>IF($A255="N/A"," ",(IF(MONTH(A255)&gt;=4,IF(MONTH(A255)&lt;=10,Inputs!$F$13,Inputs!$F$14),Inputs!$F$14))*$BW255)</f>
        <v xml:space="preserve"> </v>
      </c>
      <c r="BB255" s="268" t="str">
        <f t="shared" si="382"/>
        <v xml:space="preserve"> </v>
      </c>
      <c r="BC255" s="268" t="str">
        <f t="shared" si="383"/>
        <v xml:space="preserve"> </v>
      </c>
      <c r="BD255" s="268" t="str">
        <f t="shared" si="350"/>
        <v xml:space="preserve"> </v>
      </c>
      <c r="BE255" s="268" t="str">
        <f t="shared" si="351"/>
        <v xml:space="preserve"> </v>
      </c>
      <c r="BF255" s="268" t="str">
        <f t="shared" si="352"/>
        <v xml:space="preserve"> </v>
      </c>
      <c r="BG255" s="268" t="str">
        <f t="shared" si="353"/>
        <v xml:space="preserve"> </v>
      </c>
      <c r="BH255" s="268" t="str">
        <f t="shared" si="359"/>
        <v xml:space="preserve"> </v>
      </c>
      <c r="BI255" s="268" t="str">
        <f t="shared" si="354"/>
        <v xml:space="preserve"> </v>
      </c>
      <c r="BJ255" s="296" t="str">
        <f t="shared" si="355"/>
        <v xml:space="preserve"> </v>
      </c>
      <c r="BK255" s="296" t="str">
        <f t="shared" si="356"/>
        <v xml:space="preserve"> </v>
      </c>
      <c r="BL255" s="296" t="str">
        <f t="shared" si="357"/>
        <v xml:space="preserve"> </v>
      </c>
      <c r="BM255" s="296" t="str">
        <f t="shared" si="358"/>
        <v xml:space="preserve"> </v>
      </c>
      <c r="BN255" s="405" t="str">
        <f>IF(A255="N/A"," ",(VLOOKUP(A255,PowerVolTable,(IF('Pricing Inputs'!$AT$3=2,7,IF('Pricing Inputs'!$AT$3=1,6,8))),FALSE)))</f>
        <v xml:space="preserve"> </v>
      </c>
      <c r="BO255" s="405" t="str">
        <f>IF(A255="N/A"," ",(VLOOKUP(A255,IntraPowerVol,(IF('Pricing Inputs'!$AT$3=2,3,IF('Pricing Inputs'!$AT$3=1,2,4))),FALSE)*VLOOKUP(MONTH($A255),Inputs!$A$28:$B$39,2)))</f>
        <v xml:space="preserve"> </v>
      </c>
      <c r="BP255" s="406" t="str">
        <f t="shared" si="336"/>
        <v xml:space="preserve"> </v>
      </c>
      <c r="BQ255" s="405" t="str">
        <f>IF($A255="N/A"," ",(VLOOKUP($A255,GasVolTable,(IF('Pricing Inputs'!$AT$3=2,6,IF('Pricing Inputs'!$AT$3=1,7,5))),FALSE)))</f>
        <v xml:space="preserve"> </v>
      </c>
      <c r="BR255" s="405" t="str">
        <f>IF($A255="N/A"," ",(VLOOKUP($A255,OmicronVol,(IF('Pricing Inputs'!$AT$3=2,3,IF('Pricing Inputs'!$AT$3=1,4,2))),FALSE)))</f>
        <v xml:space="preserve"> </v>
      </c>
      <c r="BS255" s="406" t="str">
        <f>IF($A255="N/A"," ",IF('Pricing Inputs'!$AN$3=1,(IF(DateToday&gt;$A255,$BR255,((($BQ255^2)*((($A255-1)-DateToday)/((EOMONTH($A255,0)+1)-DateToday-15)))+((($BR255)^2)*((15)/((EOMONTH($A255,0)+1)-DateToday-15))))^0.5)),0.0001))</f>
        <v xml:space="preserve"> </v>
      </c>
      <c r="BT255" s="405" t="str">
        <f>IF($A255="N/A"," ",IF('Pricing Inputs'!$AN$3=1,(VLOOKUP($A255,CorrelationTable,2,FALSE)),0))</f>
        <v xml:space="preserve"> </v>
      </c>
      <c r="BU255" s="407" t="str">
        <f>IF($A255="N/A"," ",F255+G255+(D255*(VLOOKUP($A255,'Gas Curves'!$B$17:$P$310,14,FALSE))))</f>
        <v xml:space="preserve"> </v>
      </c>
      <c r="BV255" s="405" t="str">
        <f>IF($A255="N/A"," ",IF('Pricing Inputs'!$AW$3=1,0,(VLOOKUP($A255,InterestRatesTable,2))))</f>
        <v xml:space="preserve"> </v>
      </c>
      <c r="BW255" s="408" t="str">
        <f t="shared" si="337"/>
        <v xml:space="preserve"> </v>
      </c>
    </row>
    <row r="256" spans="1:75">
      <c r="A256" s="248" t="str">
        <f>IF(A255="N/A","N/A",IF(EDATE(A255,1)&gt;Inputs!$K$3,"N/A",EDATE(A255,1)))</f>
        <v>N/A</v>
      </c>
      <c r="B256" s="262" t="str">
        <f t="shared" si="338"/>
        <v xml:space="preserve"> </v>
      </c>
      <c r="C256" s="249" t="str">
        <f t="shared" si="339"/>
        <v xml:space="preserve"> </v>
      </c>
      <c r="D256" s="250" t="str">
        <f>IF(A256="N/A"," ",(VLOOKUP(MONTH($A256),Inputs!$A$14:$B$25,2))/1000)</f>
        <v xml:space="preserve"> </v>
      </c>
      <c r="E256" s="304" t="str">
        <f t="shared" si="340"/>
        <v xml:space="preserve"> </v>
      </c>
      <c r="F256" s="251" t="str">
        <f>IF(A256="N/A"," ",Inputs!$F$6)</f>
        <v xml:space="preserve"> </v>
      </c>
      <c r="G256" s="251" t="str">
        <f>IF(A256="N/A"," ",Inputs!$F$9/IF(AND('Pricing Inputs'!$AQ$3&gt;=4,'Pricing Inputs'!$AQ$3&lt;=6),16,IF(AND('Pricing Inputs'!$AQ$3&gt;=7,'Pricing Inputs'!$AQ$3&lt;=9),8,24))/(BA256/BW256))</f>
        <v xml:space="preserve"> </v>
      </c>
      <c r="H256" s="252" t="str">
        <f t="shared" si="341"/>
        <v xml:space="preserve"> </v>
      </c>
      <c r="I256" s="255" t="str">
        <f>VLOOKUP(A256,ScaledPrice,(IF(AND('Pricing Inputs'!$AQ$3&gt;=1,'Pricing Inputs'!$AQ$3&lt;=6),2,4)))</f>
        <v xml:space="preserve"> </v>
      </c>
      <c r="J256" s="255" t="str">
        <f>IF(A256="N/A"," ",IF(AND('Pricing Inputs'!$AQ$3&gt;=1,'Pricing Inputs'!$AQ$3&lt;=6),I256,(VLOOKUP(A256,ScaledPrice,2))*(2-(VLOOKUP(A256,ScaledPrice,3)))))</f>
        <v xml:space="preserve"> </v>
      </c>
      <c r="K256" s="255" t="str">
        <f>IF(A256="N/A"," ",IF(OR('Pricing Inputs'!$AQ$3=2,'Pricing Inputs'!$AQ$3=3,'Pricing Inputs'!$AQ$3=5,'Pricing Inputs'!$AQ$3=6,'Pricing Inputs'!$AQ$3=8,'Pricing Inputs'!$AQ$3=9),VLOOKUP(A256,ScaledPrice,IF(AND('Pricing Inputs'!$AQ$3&gt;=2,'Pricing Inputs'!$AQ$3&lt;=6),5,6)),0))</f>
        <v xml:space="preserve"> </v>
      </c>
      <c r="L256" s="255" t="str">
        <f>IF(A256="N/A"," ",IF(OR('Pricing Inputs'!$AQ$3=2,'Pricing Inputs'!$AQ$3=3,'Pricing Inputs'!$AQ$3=5,'Pricing Inputs'!$AQ$3=6,'Pricing Inputs'!$AQ$3=8,'Pricing Inputs'!$AQ$3=9),IF(AND('Pricing Inputs'!$AQ$3&gt;=2,'Pricing Inputs'!$AQ$3&lt;=6),K256,(VLOOKUP(A256,ScaledPrice,5))*(2-(VLOOKUP(A256,ScaledPrice,3)))),0))</f>
        <v xml:space="preserve"> </v>
      </c>
      <c r="M256" s="255" t="str">
        <f>IF(A256="N/A"," ",IF(OR('Pricing Inputs'!$AQ$3=3,'Pricing Inputs'!$AQ$3=6,'Pricing Inputs'!$AQ$3=9),(VLOOKUP(A256,ScaledPrice,IF(AND('Pricing Inputs'!$AQ$3&gt;=3,'Pricing Inputs'!$AQ$3&lt;=6),7,8))),0))</f>
        <v xml:space="preserve"> </v>
      </c>
      <c r="N256" s="255" t="str">
        <f>IF(A256="N/A"," ",IF(OR('Pricing Inputs'!$AQ$3=3,'Pricing Inputs'!$AQ$3=6,'Pricing Inputs'!$AQ$3=9),IF(AND('Pricing Inputs'!$AQ$3&gt;=3,'Pricing Inputs'!$AQ$3&lt;=6),M256,(VLOOKUP(A256,ScaledPrice,7))*(2-(VLOOKUP(A256,ScaledPrice,3)))),0))</f>
        <v xml:space="preserve"> </v>
      </c>
      <c r="O256" s="255" t="str">
        <f>IF(A256="N/A"," ",IF(AND('Pricing Inputs'!$AQ$3&gt;=1,'Pricing Inputs'!$AQ$3&lt;=3),VLOOKUP(A256,ScaledPrice,9),0))</f>
        <v xml:space="preserve"> </v>
      </c>
      <c r="P256" s="320" t="str">
        <f>IF($A256="N/A"," ",IF('Pricing Inputs'!$AN$8=2,(I256-H256),IF('Pricing Inputs'!$AN$3=2,IF((I256-$H256)&gt;0,I256-$H256,0),(_xll.xSPRDOPT(I256,$E256,$BU256,0,$BP256,$BS256,$BT256,($A256-Inputs!$D$1)+15,1,0)))))</f>
        <v xml:space="preserve"> </v>
      </c>
      <c r="Q256" s="320" t="str">
        <f>IF($A256="N/A"," ",IF('Pricing Inputs'!$AN$8=2,(J256-$H256),IF('Pricing Inputs'!$AN$3=2,IF((J256-$H256)&gt;0,J256-$H256,0),(_xll.xSPRDOPT(J256,$E256,$BU256,0,$BP256,$BS256,$BT256,($A256-Inputs!$D$1)+15,1,0)))))</f>
        <v xml:space="preserve"> </v>
      </c>
      <c r="R256" s="320" t="str">
        <f>IF($A256="N/A"," ",IF('Pricing Inputs'!$AN$8=2,(K256-$H256),IF('Pricing Inputs'!$AN$3=2,IF((K256-$H256)&gt;0,K256-$H256,0),(_xll.xSPRDOPT(K256,$E256,$BU256,0,$BP256,$BS256,$BT256,($A256-Inputs!$D$1)+15,1,0)))))</f>
        <v xml:space="preserve"> </v>
      </c>
      <c r="S256" s="320" t="str">
        <f>IF($A256="N/A"," ",IF('Pricing Inputs'!$AN$8=2,(L256-$H256),IF('Pricing Inputs'!$AN$3=2,IF((L256-$H256)&gt;0,L256-$H256,0),(_xll.xSPRDOPT(L256,$E256,$BU256,0,$BP256,$BS256,$BT256,($A256-Inputs!$D$1)+15,1,0)))))</f>
        <v xml:space="preserve"> </v>
      </c>
      <c r="T256" s="320" t="str">
        <f>IF($A256="N/A"," ",IF('Pricing Inputs'!$AN$8=2,(M256-$H256),IF('Pricing Inputs'!$AN$3=2,IF((M256-$H256)&gt;0,M256-$H256,0),(_xll.xSPRDOPT(M256,$E256,$BU256,0,$BP256,$BS256,$BT256,($A256-Inputs!$D$1)+15,1,0)))))</f>
        <v xml:space="preserve"> </v>
      </c>
      <c r="U256" s="320" t="str">
        <f>IF($A256="N/A"," ",IF('Pricing Inputs'!$AN$8=2,(N256-$H256),IF('Pricing Inputs'!$AN$3=2,IF((N256-$H256)&gt;0,N256-$H256,0),(_xll.xSPRDOPT(N256,$E256,$BU256,0,$BP256,$BS256,$BT256,($A256-Inputs!$D$1)+15,1,0)))))</f>
        <v xml:space="preserve"> </v>
      </c>
      <c r="V256" s="259" t="str">
        <f>IF($A256="N/A"," ",(IF('Pricing Inputs'!$AN$8=2,(O256-$H256),IF((O256-$H256)&lt;=0,0,(O256-$H256)))))</f>
        <v xml:space="preserve"> </v>
      </c>
      <c r="W256" s="306" t="str">
        <f>IF($A256="N/A"," ",IF(0&lt;&gt;P256,IF('Pricing Inputs'!$AN$3=2,8*VLOOKUP($A256,NumberofDaysTable,2),(_xll.xSPRDOPT(I256,$E256,$BU256,0,$BP256,$BS256,$BT256,$A256-Inputs!$D$1,1,1))*(8*VLOOKUP($A256,NumberofDaysTable,2))),0))</f>
        <v xml:space="preserve"> </v>
      </c>
      <c r="X256" s="306" t="str">
        <f>IF($A256="N/A"," ",IF(Q256&lt;&gt;0,IF('Pricing Inputs'!$AN$3=2,8*VLOOKUP($A256,NumberofDaysTable,2),(_xll.xSPRDOPT(J256,$E256,$BU256,0,$BP256,$BS256,$BT256,$A256-Inputs!$D$1,1,1))*(8*VLOOKUP($A256,NumberofDaysTable,2))),0))</f>
        <v xml:space="preserve"> </v>
      </c>
      <c r="Y256" s="306" t="str">
        <f>IF($A256="N/A"," ",IF(R256&lt;&gt;0,IF('Pricing Inputs'!$AN$3=2,8*VLOOKUP($A256,NumberofDaysTable,3),(_xll.xSPRDOPT(K256,$E256,$BU256,0,$BP256,$BS256,$BT256,$A256-Inputs!$D$1,1,1))*(8*VLOOKUP($A256,NumberofDaysTable,3))),0))</f>
        <v xml:space="preserve"> </v>
      </c>
      <c r="Z256" s="306" t="str">
        <f>IF($A256="N/A"," ",IF(S256&lt;&gt;0,IF('Pricing Inputs'!$AN$3=2,8*VLOOKUP($A256,NumberofDaysTable,3),(_xll.xSPRDOPT(L256,$E256,$BU256,0,$BP256,$BS256,$BT256,$A256-Inputs!$D$1,1,1))*(8*VLOOKUP($A256,NumberofDaysTable,3))),0))</f>
        <v xml:space="preserve"> </v>
      </c>
      <c r="AA256" s="306" t="str">
        <f>IF($A256="N/A"," ",IF(T256&lt;&gt;0,IF('Pricing Inputs'!$AN$3=2,8*VLOOKUP($A256,NumberofDaysTable,4),(_xll.xSPRDOPT(M256,$E256,$BU256,0,$BP256,$BS256,$BT256,$A256-Inputs!$D$1,1,1))*(8*VLOOKUP($A256,NumberofDaysTable,4))),0))</f>
        <v xml:space="preserve"> </v>
      </c>
      <c r="AB256" s="306" t="str">
        <f>IF($A256="N/A"," ",IF(U256&lt;&gt;0,IF('Pricing Inputs'!$AN$3=2,8*VLOOKUP($A256,NumberofDaysTable,4),(_xll.xSPRDOPT(N256,$E256,$BU256,0,$BP256,$BS256,$BT256,$A256-Inputs!$D$1,1,1))*(8*VLOOKUP($A256,NumberofDaysTable,4))),0))</f>
        <v xml:space="preserve"> </v>
      </c>
      <c r="AC256" s="306" t="str">
        <f t="shared" si="342"/>
        <v xml:space="preserve"> </v>
      </c>
      <c r="AD256" s="280" t="str">
        <f t="shared" ref="AD256:AJ256" si="429">IF($A256="N/A"," ",RANK(P256,$P$256:$V$256))</f>
        <v xml:space="preserve"> </v>
      </c>
      <c r="AE256" s="281" t="str">
        <f t="shared" si="429"/>
        <v xml:space="preserve"> </v>
      </c>
      <c r="AF256" s="281" t="str">
        <f t="shared" si="429"/>
        <v xml:space="preserve"> </v>
      </c>
      <c r="AG256" s="281" t="str">
        <f t="shared" si="429"/>
        <v xml:space="preserve"> </v>
      </c>
      <c r="AH256" s="281" t="str">
        <f t="shared" si="429"/>
        <v xml:space="preserve"> </v>
      </c>
      <c r="AI256" s="281" t="str">
        <f t="shared" si="429"/>
        <v xml:space="preserve"> </v>
      </c>
      <c r="AJ256" s="282" t="str">
        <f t="shared" si="429"/>
        <v xml:space="preserve"> </v>
      </c>
      <c r="AK256" s="318" t="str">
        <f t="shared" si="361"/>
        <v xml:space="preserve"> </v>
      </c>
      <c r="AL256" s="319" t="str">
        <f t="shared" si="362"/>
        <v xml:space="preserve"> </v>
      </c>
      <c r="AM256" s="319" t="str">
        <f t="shared" si="363"/>
        <v xml:space="preserve"> </v>
      </c>
      <c r="AN256" s="319" t="str">
        <f t="shared" si="364"/>
        <v xml:space="preserve"> </v>
      </c>
      <c r="AO256" s="319" t="str">
        <f t="shared" si="365"/>
        <v xml:space="preserve"> </v>
      </c>
      <c r="AP256" s="319" t="str">
        <f t="shared" si="366"/>
        <v xml:space="preserve"> </v>
      </c>
      <c r="AQ256" s="319" t="str">
        <f t="shared" si="367"/>
        <v xml:space="preserve"> </v>
      </c>
      <c r="AR256" s="282"/>
      <c r="AS256" s="263"/>
      <c r="AT256" s="263"/>
      <c r="AU256" s="263"/>
      <c r="AV256" s="263"/>
      <c r="AW256" s="263"/>
      <c r="AX256" s="263"/>
      <c r="AY256" s="263"/>
      <c r="AZ256" s="263"/>
      <c r="BA256" s="267" t="str">
        <f>IF($A256="N/A"," ",(IF(MONTH(A256)&gt;=4,IF(MONTH(A256)&lt;=10,Inputs!$F$13,Inputs!$F$14),Inputs!$F$14))*$BW256)</f>
        <v xml:space="preserve"> </v>
      </c>
      <c r="BB256" s="268" t="str">
        <f t="shared" si="382"/>
        <v xml:space="preserve"> </v>
      </c>
      <c r="BC256" s="268" t="str">
        <f t="shared" si="383"/>
        <v xml:space="preserve"> </v>
      </c>
      <c r="BD256" s="268" t="str">
        <f t="shared" si="350"/>
        <v xml:space="preserve"> </v>
      </c>
      <c r="BE256" s="268" t="str">
        <f t="shared" si="351"/>
        <v xml:space="preserve"> </v>
      </c>
      <c r="BF256" s="268" t="str">
        <f t="shared" si="352"/>
        <v xml:space="preserve"> </v>
      </c>
      <c r="BG256" s="268" t="str">
        <f t="shared" si="353"/>
        <v xml:space="preserve"> </v>
      </c>
      <c r="BH256" s="268" t="str">
        <f t="shared" si="359"/>
        <v xml:space="preserve"> </v>
      </c>
      <c r="BI256" s="268" t="str">
        <f t="shared" si="354"/>
        <v xml:space="preserve"> </v>
      </c>
      <c r="BJ256" s="296" t="str">
        <f t="shared" si="355"/>
        <v xml:space="preserve"> </v>
      </c>
      <c r="BK256" s="296" t="str">
        <f t="shared" si="356"/>
        <v xml:space="preserve"> </v>
      </c>
      <c r="BL256" s="296" t="str">
        <f t="shared" si="357"/>
        <v xml:space="preserve"> </v>
      </c>
      <c r="BM256" s="296" t="str">
        <f t="shared" si="358"/>
        <v xml:space="preserve"> </v>
      </c>
      <c r="BN256" s="405" t="str">
        <f>IF(A256="N/A"," ",(VLOOKUP(A256,PowerVolTable,(IF('Pricing Inputs'!$AT$3=2,7,IF('Pricing Inputs'!$AT$3=1,6,8))),FALSE)))</f>
        <v xml:space="preserve"> </v>
      </c>
      <c r="BO256" s="405" t="str">
        <f>IF(A256="N/A"," ",(VLOOKUP(A256,IntraPowerVol,(IF('Pricing Inputs'!$AT$3=2,3,IF('Pricing Inputs'!$AT$3=1,2,4))),FALSE)*VLOOKUP(MONTH($A256),Inputs!$A$28:$B$39,2)))</f>
        <v xml:space="preserve"> </v>
      </c>
      <c r="BP256" s="406" t="str">
        <f t="shared" si="336"/>
        <v xml:space="preserve"> </v>
      </c>
      <c r="BQ256" s="405" t="str">
        <f>IF($A256="N/A"," ",(VLOOKUP($A256,GasVolTable,(IF('Pricing Inputs'!$AT$3=2,6,IF('Pricing Inputs'!$AT$3=1,7,5))),FALSE)))</f>
        <v xml:space="preserve"> </v>
      </c>
      <c r="BR256" s="405" t="str">
        <f>IF($A256="N/A"," ",(VLOOKUP($A256,OmicronVol,(IF('Pricing Inputs'!$AT$3=2,3,IF('Pricing Inputs'!$AT$3=1,4,2))),FALSE)))</f>
        <v xml:space="preserve"> </v>
      </c>
      <c r="BS256" s="406" t="str">
        <f>IF($A256="N/A"," ",IF('Pricing Inputs'!$AN$3=1,(IF(DateToday&gt;$A256,$BR256,((($BQ256^2)*((($A256-1)-DateToday)/((EOMONTH($A256,0)+1)-DateToday-15)))+((($BR256)^2)*((15)/((EOMONTH($A256,0)+1)-DateToday-15))))^0.5)),0.0001))</f>
        <v xml:space="preserve"> </v>
      </c>
      <c r="BT256" s="405" t="str">
        <f>IF($A256="N/A"," ",IF('Pricing Inputs'!$AN$3=1,(VLOOKUP($A256,CorrelationTable,2,FALSE)),0))</f>
        <v xml:space="preserve"> </v>
      </c>
      <c r="BU256" s="407" t="str">
        <f>IF($A256="N/A"," ",F256+G256+(D256*(VLOOKUP($A256,'Gas Curves'!$B$17:$P$310,14,FALSE))))</f>
        <v xml:space="preserve"> </v>
      </c>
      <c r="BV256" s="405" t="str">
        <f>IF($A256="N/A"," ",IF('Pricing Inputs'!$AW$3=1,0,(VLOOKUP($A256,InterestRatesTable,2))))</f>
        <v xml:space="preserve"> </v>
      </c>
      <c r="BW256" s="408" t="str">
        <f t="shared" si="337"/>
        <v xml:space="preserve"> </v>
      </c>
    </row>
    <row r="257" spans="1:75">
      <c r="A257" s="248" t="str">
        <f>IF(A256="N/A","N/A",IF(EDATE(A256,1)&gt;Inputs!$K$3,"N/A",EDATE(A256,1)))</f>
        <v>N/A</v>
      </c>
      <c r="B257" s="262" t="str">
        <f t="shared" si="338"/>
        <v xml:space="preserve"> </v>
      </c>
      <c r="C257" s="249" t="str">
        <f t="shared" si="339"/>
        <v xml:space="preserve"> </v>
      </c>
      <c r="D257" s="250" t="str">
        <f>IF(A257="N/A"," ",(VLOOKUP(MONTH($A257),Inputs!$A$14:$B$25,2))/1000)</f>
        <v xml:space="preserve"> </v>
      </c>
      <c r="E257" s="304" t="str">
        <f t="shared" si="340"/>
        <v xml:space="preserve"> </v>
      </c>
      <c r="F257" s="251" t="str">
        <f>IF(A257="N/A"," ",Inputs!$F$6)</f>
        <v xml:space="preserve"> </v>
      </c>
      <c r="G257" s="251" t="str">
        <f>IF(A257="N/A"," ",Inputs!$F$9/IF(AND('Pricing Inputs'!$AQ$3&gt;=4,'Pricing Inputs'!$AQ$3&lt;=6),16,IF(AND('Pricing Inputs'!$AQ$3&gt;=7,'Pricing Inputs'!$AQ$3&lt;=9),8,24))/(BA257/BW257))</f>
        <v xml:space="preserve"> </v>
      </c>
      <c r="H257" s="252" t="str">
        <f t="shared" si="341"/>
        <v xml:space="preserve"> </v>
      </c>
      <c r="I257" s="255" t="str">
        <f>VLOOKUP(A257,ScaledPrice,(IF(AND('Pricing Inputs'!$AQ$3&gt;=1,'Pricing Inputs'!$AQ$3&lt;=6),2,4)))</f>
        <v xml:space="preserve"> </v>
      </c>
      <c r="J257" s="255" t="str">
        <f>IF(A257="N/A"," ",IF(AND('Pricing Inputs'!$AQ$3&gt;=1,'Pricing Inputs'!$AQ$3&lt;=6),I257,(VLOOKUP(A257,ScaledPrice,2))*(2-(VLOOKUP(A257,ScaledPrice,3)))))</f>
        <v xml:space="preserve"> </v>
      </c>
      <c r="K257" s="255" t="str">
        <f>IF(A257="N/A"," ",IF(OR('Pricing Inputs'!$AQ$3=2,'Pricing Inputs'!$AQ$3=3,'Pricing Inputs'!$AQ$3=5,'Pricing Inputs'!$AQ$3=6,'Pricing Inputs'!$AQ$3=8,'Pricing Inputs'!$AQ$3=9),VLOOKUP(A257,ScaledPrice,IF(AND('Pricing Inputs'!$AQ$3&gt;=2,'Pricing Inputs'!$AQ$3&lt;=6),5,6)),0))</f>
        <v xml:space="preserve"> </v>
      </c>
      <c r="L257" s="255" t="str">
        <f>IF(A257="N/A"," ",IF(OR('Pricing Inputs'!$AQ$3=2,'Pricing Inputs'!$AQ$3=3,'Pricing Inputs'!$AQ$3=5,'Pricing Inputs'!$AQ$3=6,'Pricing Inputs'!$AQ$3=8,'Pricing Inputs'!$AQ$3=9),IF(AND('Pricing Inputs'!$AQ$3&gt;=2,'Pricing Inputs'!$AQ$3&lt;=6),K257,(VLOOKUP(A257,ScaledPrice,5))*(2-(VLOOKUP(A257,ScaledPrice,3)))),0))</f>
        <v xml:space="preserve"> </v>
      </c>
      <c r="M257" s="255" t="str">
        <f>IF(A257="N/A"," ",IF(OR('Pricing Inputs'!$AQ$3=3,'Pricing Inputs'!$AQ$3=6,'Pricing Inputs'!$AQ$3=9),(VLOOKUP(A257,ScaledPrice,IF(AND('Pricing Inputs'!$AQ$3&gt;=3,'Pricing Inputs'!$AQ$3&lt;=6),7,8))),0))</f>
        <v xml:space="preserve"> </v>
      </c>
      <c r="N257" s="255" t="str">
        <f>IF(A257="N/A"," ",IF(OR('Pricing Inputs'!$AQ$3=3,'Pricing Inputs'!$AQ$3=6,'Pricing Inputs'!$AQ$3=9),IF(AND('Pricing Inputs'!$AQ$3&gt;=3,'Pricing Inputs'!$AQ$3&lt;=6),M257,(VLOOKUP(A257,ScaledPrice,7))*(2-(VLOOKUP(A257,ScaledPrice,3)))),0))</f>
        <v xml:space="preserve"> </v>
      </c>
      <c r="O257" s="255" t="str">
        <f>IF(A257="N/A"," ",IF(AND('Pricing Inputs'!$AQ$3&gt;=1,'Pricing Inputs'!$AQ$3&lt;=3),VLOOKUP(A257,ScaledPrice,9),0))</f>
        <v xml:space="preserve"> </v>
      </c>
      <c r="P257" s="320" t="str">
        <f>IF($A257="N/A"," ",IF('Pricing Inputs'!$AN$8=2,(I257-H257),IF('Pricing Inputs'!$AN$3=2,IF((I257-$H257)&gt;0,I257-$H257,0),(_xll.xSPRDOPT(I257,$E257,$BU257,0,$BP257,$BS257,$BT257,($A257-Inputs!$D$1)+15,1,0)))))</f>
        <v xml:space="preserve"> </v>
      </c>
      <c r="Q257" s="320" t="str">
        <f>IF($A257="N/A"," ",IF('Pricing Inputs'!$AN$8=2,(J257-$H257),IF('Pricing Inputs'!$AN$3=2,IF((J257-$H257)&gt;0,J257-$H257,0),(_xll.xSPRDOPT(J257,$E257,$BU257,0,$BP257,$BS257,$BT257,($A257-Inputs!$D$1)+15,1,0)))))</f>
        <v xml:space="preserve"> </v>
      </c>
      <c r="R257" s="320" t="str">
        <f>IF($A257="N/A"," ",IF('Pricing Inputs'!$AN$8=2,(K257-$H257),IF('Pricing Inputs'!$AN$3=2,IF((K257-$H257)&gt;0,K257-$H257,0),(_xll.xSPRDOPT(K257,$E257,$BU257,0,$BP257,$BS257,$BT257,($A257-Inputs!$D$1)+15,1,0)))))</f>
        <v xml:space="preserve"> </v>
      </c>
      <c r="S257" s="320" t="str">
        <f>IF($A257="N/A"," ",IF('Pricing Inputs'!$AN$8=2,(L257-$H257),IF('Pricing Inputs'!$AN$3=2,IF((L257-$H257)&gt;0,L257-$H257,0),(_xll.xSPRDOPT(L257,$E257,$BU257,0,$BP257,$BS257,$BT257,($A257-Inputs!$D$1)+15,1,0)))))</f>
        <v xml:space="preserve"> </v>
      </c>
      <c r="T257" s="320" t="str">
        <f>IF($A257="N/A"," ",IF('Pricing Inputs'!$AN$8=2,(M257-$H257),IF('Pricing Inputs'!$AN$3=2,IF((M257-$H257)&gt;0,M257-$H257,0),(_xll.xSPRDOPT(M257,$E257,$BU257,0,$BP257,$BS257,$BT257,($A257-Inputs!$D$1)+15,1,0)))))</f>
        <v xml:space="preserve"> </v>
      </c>
      <c r="U257" s="320" t="str">
        <f>IF($A257="N/A"," ",IF('Pricing Inputs'!$AN$8=2,(N257-$H257),IF('Pricing Inputs'!$AN$3=2,IF((N257-$H257)&gt;0,N257-$H257,0),(_xll.xSPRDOPT(N257,$E257,$BU257,0,$BP257,$BS257,$BT257,($A257-Inputs!$D$1)+15,1,0)))))</f>
        <v xml:space="preserve"> </v>
      </c>
      <c r="V257" s="259" t="str">
        <f>IF($A257="N/A"," ",(IF('Pricing Inputs'!$AN$8=2,(O257-$H257),IF((O257-$H257)&lt;=0,0,(O257-$H257)))))</f>
        <v xml:space="preserve"> </v>
      </c>
      <c r="AC257" s="306" t="str">
        <f t="shared" si="342"/>
        <v xml:space="preserve"> </v>
      </c>
      <c r="AK257" s="229"/>
      <c r="AL257" s="229"/>
      <c r="AM257" s="229"/>
      <c r="AN257" s="229"/>
      <c r="AO257" s="229"/>
      <c r="AP257" s="229"/>
      <c r="AQ257" s="229"/>
      <c r="AR257" s="229"/>
      <c r="BA257" s="267" t="str">
        <f>IF($A257="N/A"," ",(IF(MONTH(A257)&gt;=4,IF(MONTH(A257)&lt;=10,Inputs!$F$13,Inputs!$F$14),Inputs!$F$14))*$BW257)</f>
        <v xml:space="preserve"> </v>
      </c>
      <c r="BN257" s="405" t="str">
        <f>IF(A257="N/A"," ",(VLOOKUP(A257,PowerVolTable,(IF('Pricing Inputs'!$AT$3=2,7,IF('Pricing Inputs'!$AT$3=1,6,8))),FALSE)))</f>
        <v xml:space="preserve"> </v>
      </c>
      <c r="BO257" s="405" t="str">
        <f>IF(A257="N/A"," ",(VLOOKUP(A257,IntraPowerVol,(IF('Pricing Inputs'!$AT$3=2,3,IF('Pricing Inputs'!$AT$3=1,2,4))),FALSE)*VLOOKUP(MONTH($A257),Inputs!$A$28:$B$39,2)))</f>
        <v xml:space="preserve"> </v>
      </c>
      <c r="BP257" s="406" t="str">
        <f t="shared" si="336"/>
        <v xml:space="preserve"> </v>
      </c>
      <c r="BQ257" s="405" t="str">
        <f>IF($A257="N/A"," ",(VLOOKUP($A257,GasVolTable,(IF('Pricing Inputs'!$AT$3=2,6,IF('Pricing Inputs'!$AT$3=1,7,5))),FALSE)))</f>
        <v xml:space="preserve"> </v>
      </c>
      <c r="BR257" s="405" t="str">
        <f>IF($A257="N/A"," ",(VLOOKUP($A257,OmicronVol,(IF('Pricing Inputs'!$AT$3=2,3,IF('Pricing Inputs'!$AT$3=1,4,2))),FALSE)))</f>
        <v xml:space="preserve"> </v>
      </c>
      <c r="BS257" s="406" t="str">
        <f>IF($A257="N/A"," ",IF('Pricing Inputs'!$AN$3=1,(IF(DateToday&gt;$A257,$BR257,((($BQ257^2)*((($A257-1)-DateToday)/((EOMONTH($A257,0)+1)-DateToday-15)))+((($BR257)^2)*((15)/((EOMONTH($A257,0)+1)-DateToday-15))))^0.5)),0.0001))</f>
        <v xml:space="preserve"> </v>
      </c>
      <c r="BT257" s="405" t="str">
        <f>IF($A257="N/A"," ",IF('Pricing Inputs'!$AN$3=1,(VLOOKUP($A257,CorrelationTable,2,FALSE)),0))</f>
        <v xml:space="preserve"> </v>
      </c>
      <c r="BU257" s="407" t="str">
        <f>IF($A257="N/A"," ",F257+G257+(D257*(VLOOKUP($A257,'Gas Curves'!$B$17:$P$310,14,FALSE))))</f>
        <v xml:space="preserve"> </v>
      </c>
      <c r="BV257" s="405" t="str">
        <f>IF($A257="N/A"," ",IF('Pricing Inputs'!$AW$3=1,0,(VLOOKUP($A257,InterestRatesTable,2))))</f>
        <v xml:space="preserve"> </v>
      </c>
      <c r="BW257" s="408" t="str">
        <f t="shared" si="337"/>
        <v xml:space="preserve"> </v>
      </c>
    </row>
    <row r="258" spans="1:75">
      <c r="A258" s="248" t="str">
        <f>IF(A257="N/A","N/A",IF(EDATE(A257,1)&gt;Inputs!$K$3,"N/A",EDATE(A257,1)))</f>
        <v>N/A</v>
      </c>
      <c r="B258" s="262" t="str">
        <f t="shared" si="338"/>
        <v xml:space="preserve"> </v>
      </c>
      <c r="C258" s="249" t="str">
        <f t="shared" si="339"/>
        <v xml:space="preserve"> </v>
      </c>
      <c r="D258" s="250" t="str">
        <f>IF(A258="N/A"," ",(VLOOKUP(MONTH($A258),Inputs!$A$14:$B$25,2))/1000)</f>
        <v xml:space="preserve"> </v>
      </c>
      <c r="E258" s="304" t="str">
        <f t="shared" si="340"/>
        <v xml:space="preserve"> </v>
      </c>
      <c r="F258" s="251" t="str">
        <f>IF(A258="N/A"," ",Inputs!$F$6)</f>
        <v xml:space="preserve"> </v>
      </c>
      <c r="G258" s="251" t="str">
        <f>IF(A258="N/A"," ",Inputs!$F$9/IF(AND('Pricing Inputs'!$AQ$3&gt;=4,'Pricing Inputs'!$AQ$3&lt;=6),16,IF(AND('Pricing Inputs'!$AQ$3&gt;=7,'Pricing Inputs'!$AQ$3&lt;=9),8,24))/(BA258/BW258))</f>
        <v xml:space="preserve"> </v>
      </c>
      <c r="H258" s="252" t="str">
        <f t="shared" si="341"/>
        <v xml:space="preserve"> </v>
      </c>
      <c r="I258" s="255" t="str">
        <f>VLOOKUP(A258,ScaledPrice,(IF(AND('Pricing Inputs'!$AQ$3&gt;=1,'Pricing Inputs'!$AQ$3&lt;=6),2,4)))</f>
        <v xml:space="preserve"> </v>
      </c>
      <c r="J258" s="255" t="str">
        <f>IF(A258="N/A"," ",IF(AND('Pricing Inputs'!$AQ$3&gt;=1,'Pricing Inputs'!$AQ$3&lt;=6),I258,(VLOOKUP(A258,ScaledPrice,2))*(2-(VLOOKUP(A258,ScaledPrice,3)))))</f>
        <v xml:space="preserve"> </v>
      </c>
      <c r="K258" s="255" t="str">
        <f>IF(A258="N/A"," ",IF(OR('Pricing Inputs'!$AQ$3=2,'Pricing Inputs'!$AQ$3=3,'Pricing Inputs'!$AQ$3=5,'Pricing Inputs'!$AQ$3=6,'Pricing Inputs'!$AQ$3=8,'Pricing Inputs'!$AQ$3=9),VLOOKUP(A258,ScaledPrice,IF(AND('Pricing Inputs'!$AQ$3&gt;=2,'Pricing Inputs'!$AQ$3&lt;=6),5,6)),0))</f>
        <v xml:space="preserve"> </v>
      </c>
      <c r="L258" s="255" t="str">
        <f>IF(A258="N/A"," ",IF(OR('Pricing Inputs'!$AQ$3=2,'Pricing Inputs'!$AQ$3=3,'Pricing Inputs'!$AQ$3=5,'Pricing Inputs'!$AQ$3=6,'Pricing Inputs'!$AQ$3=8,'Pricing Inputs'!$AQ$3=9),IF(AND('Pricing Inputs'!$AQ$3&gt;=2,'Pricing Inputs'!$AQ$3&lt;=6),K258,(VLOOKUP(A258,ScaledPrice,5))*(2-(VLOOKUP(A258,ScaledPrice,3)))),0))</f>
        <v xml:space="preserve"> </v>
      </c>
      <c r="M258" s="255" t="str">
        <f>IF(A258="N/A"," ",IF(OR('Pricing Inputs'!$AQ$3=3,'Pricing Inputs'!$AQ$3=6,'Pricing Inputs'!$AQ$3=9),(VLOOKUP(A258,ScaledPrice,IF(AND('Pricing Inputs'!$AQ$3&gt;=3,'Pricing Inputs'!$AQ$3&lt;=6),7,8))),0))</f>
        <v xml:space="preserve"> </v>
      </c>
      <c r="N258" s="255" t="str">
        <f>IF(A258="N/A"," ",IF(OR('Pricing Inputs'!$AQ$3=3,'Pricing Inputs'!$AQ$3=6,'Pricing Inputs'!$AQ$3=9),IF(AND('Pricing Inputs'!$AQ$3&gt;=3,'Pricing Inputs'!$AQ$3&lt;=6),M258,(VLOOKUP(A258,ScaledPrice,7))*(2-(VLOOKUP(A258,ScaledPrice,3)))),0))</f>
        <v xml:space="preserve"> </v>
      </c>
      <c r="O258" s="255" t="str">
        <f>IF(A258="N/A"," ",IF(AND('Pricing Inputs'!$AQ$3&gt;=1,'Pricing Inputs'!$AQ$3&lt;=3),VLOOKUP(A258,ScaledPrice,9),0))</f>
        <v xml:space="preserve"> </v>
      </c>
      <c r="P258" s="320" t="str">
        <f>IF($A258="N/A"," ",IF('Pricing Inputs'!$AN$8=2,(I258-H258),IF('Pricing Inputs'!$AN$3=2,IF((I258-$H258)&gt;0,I258-$H258,0),(_xll.xSPRDOPT(I258,$E258,$BU258,0,$BP258,$BS258,$BT258,($A258-Inputs!$D$1)+15,1,0)))))</f>
        <v xml:space="preserve"> </v>
      </c>
      <c r="Q258" s="320" t="str">
        <f>IF($A258="N/A"," ",IF('Pricing Inputs'!$AN$8=2,(J258-$H258),IF('Pricing Inputs'!$AN$3=2,IF((J258-$H258)&gt;0,J258-$H258,0),(_xll.xSPRDOPT(J258,$E258,$BU258,0,$BP258,$BS258,$BT258,($A258-Inputs!$D$1)+15,1,0)))))</f>
        <v xml:space="preserve"> </v>
      </c>
      <c r="R258" s="320" t="str">
        <f>IF($A258="N/A"," ",IF('Pricing Inputs'!$AN$8=2,(K258-$H258),IF('Pricing Inputs'!$AN$3=2,IF((K258-$H258)&gt;0,K258-$H258,0),(_xll.xSPRDOPT(K258,$E258,$BU258,0,$BP258,$BS258,$BT258,($A258-Inputs!$D$1)+15,1,0)))))</f>
        <v xml:space="preserve"> </v>
      </c>
      <c r="S258" s="320" t="str">
        <f>IF($A258="N/A"," ",IF('Pricing Inputs'!$AN$8=2,(L258-$H258),IF('Pricing Inputs'!$AN$3=2,IF((L258-$H258)&gt;0,L258-$H258,0),(_xll.xSPRDOPT(L258,$E258,$BU258,0,$BP258,$BS258,$BT258,($A258-Inputs!$D$1)+15,1,0)))))</f>
        <v xml:space="preserve"> </v>
      </c>
      <c r="T258" s="320" t="str">
        <f>IF($A258="N/A"," ",IF('Pricing Inputs'!$AN$8=2,(M258-$H258),IF('Pricing Inputs'!$AN$3=2,IF((M258-$H258)&gt;0,M258-$H258,0),(_xll.xSPRDOPT(M258,$E258,$BU258,0,$BP258,$BS258,$BT258,($A258-Inputs!$D$1)+15,1,0)))))</f>
        <v xml:space="preserve"> </v>
      </c>
      <c r="U258" s="320" t="str">
        <f>IF($A258="N/A"," ",IF('Pricing Inputs'!$AN$8=2,(N258-$H258),IF('Pricing Inputs'!$AN$3=2,IF((N258-$H258)&gt;0,N258-$H258,0),(_xll.xSPRDOPT(N258,$E258,$BU258,0,$BP258,$BS258,$BT258,($A258-Inputs!$D$1)+15,1,0)))))</f>
        <v xml:space="preserve"> </v>
      </c>
      <c r="V258" s="259" t="str">
        <f>IF($A258="N/A"," ",(IF('Pricing Inputs'!$AN$8=2,(O258-$H258),IF((O258-$H258)&lt;=0,0,(O258-$H258)))))</f>
        <v xml:space="preserve"> </v>
      </c>
      <c r="AK258" s="229"/>
      <c r="AL258" s="229"/>
      <c r="AM258" s="229"/>
      <c r="AN258" s="229"/>
      <c r="AO258" s="229"/>
      <c r="AP258" s="229"/>
      <c r="AQ258" s="229"/>
      <c r="AR258" s="229"/>
      <c r="BA258" s="267" t="str">
        <f>IF($A258="N/A"," ",(IF(MONTH(A258)&gt;=4,IF(MONTH(A258)&lt;=10,Inputs!$F$13,Inputs!$F$14),Inputs!$F$14))*$BW258)</f>
        <v xml:space="preserve"> </v>
      </c>
      <c r="BN258" s="405" t="str">
        <f>IF(A258="N/A"," ",(VLOOKUP(A258,PowerVolTable,(IF('Pricing Inputs'!$AT$3=2,7,IF('Pricing Inputs'!$AT$3=1,6,8))),FALSE)))</f>
        <v xml:space="preserve"> </v>
      </c>
      <c r="BO258" s="405" t="str">
        <f>IF(A258="N/A"," ",(VLOOKUP(A258,IntraPowerVol,(IF('Pricing Inputs'!$AT$3=2,3,IF('Pricing Inputs'!$AT$3=1,2,4))),FALSE)*VLOOKUP(MONTH($A258),Inputs!$A$28:$B$39,2)))</f>
        <v xml:space="preserve"> </v>
      </c>
      <c r="BP258" s="406" t="str">
        <f t="shared" si="336"/>
        <v xml:space="preserve"> </v>
      </c>
      <c r="BQ258" s="405" t="str">
        <f>IF($A258="N/A"," ",(VLOOKUP($A258,GasVolTable,(IF('Pricing Inputs'!$AT$3=2,6,IF('Pricing Inputs'!$AT$3=1,7,5))),FALSE)))</f>
        <v xml:space="preserve"> </v>
      </c>
      <c r="BR258" s="405" t="str">
        <f>IF($A258="N/A"," ",(VLOOKUP($A258,OmicronVol,(IF('Pricing Inputs'!$AT$3=2,3,IF('Pricing Inputs'!$AT$3=1,4,2))),FALSE)))</f>
        <v xml:space="preserve"> </v>
      </c>
      <c r="BS258" s="406" t="str">
        <f>IF($A258="N/A"," ",IF('Pricing Inputs'!$AN$3=1,(IF(DateToday&gt;$A258,$BR258,((($BQ258^2)*((($A258-1)-DateToday)/((EOMONTH($A258,0)+1)-DateToday-15)))+((($BR258)^2)*((15)/((EOMONTH($A258,0)+1)-DateToday-15))))^0.5)),0.0001))</f>
        <v xml:space="preserve"> </v>
      </c>
      <c r="BT258" s="405" t="str">
        <f>IF($A258="N/A"," ",IF('Pricing Inputs'!$AN$3=1,(VLOOKUP($A258,CorrelationTable,2,FALSE)),0))</f>
        <v xml:space="preserve"> </v>
      </c>
      <c r="BU258" s="407" t="str">
        <f>IF($A258="N/A"," ",F258+G258+(D258*(VLOOKUP($A258,'Gas Curves'!$B$17:$P$310,14,FALSE))))</f>
        <v xml:space="preserve"> </v>
      </c>
      <c r="BV258" s="405" t="str">
        <f>IF($A258="N/A"," ",IF('Pricing Inputs'!$AW$3=1,0,(VLOOKUP($A258,InterestRatesTable,2))))</f>
        <v xml:space="preserve"> </v>
      </c>
      <c r="BW258" s="408" t="str">
        <f t="shared" si="337"/>
        <v xml:space="preserve"> </v>
      </c>
    </row>
    <row r="259" spans="1:75">
      <c r="A259" s="248" t="str">
        <f>IF(A258="N/A","N/A",IF(EDATE(A258,1)&gt;Inputs!$K$3,"N/A",EDATE(A258,1)))</f>
        <v>N/A</v>
      </c>
      <c r="B259" s="262" t="str">
        <f t="shared" si="338"/>
        <v xml:space="preserve"> </v>
      </c>
      <c r="C259" s="249" t="str">
        <f t="shared" si="339"/>
        <v xml:space="preserve"> </v>
      </c>
      <c r="D259" s="250" t="str">
        <f>IF(A259="N/A"," ",(VLOOKUP(MONTH($A259),Inputs!$A$14:$B$25,2))/1000)</f>
        <v xml:space="preserve"> </v>
      </c>
      <c r="E259" s="304" t="str">
        <f t="shared" si="340"/>
        <v xml:space="preserve"> </v>
      </c>
      <c r="F259" s="251" t="str">
        <f>IF(A259="N/A"," ",Inputs!$F$6)</f>
        <v xml:space="preserve"> </v>
      </c>
      <c r="G259" s="251" t="str">
        <f>IF(A259="N/A"," ",Inputs!$F$9/IF(AND('Pricing Inputs'!$AQ$3&gt;=4,'Pricing Inputs'!$AQ$3&lt;=6),16,IF(AND('Pricing Inputs'!$AQ$3&gt;=7,'Pricing Inputs'!$AQ$3&lt;=9),8,24))/(BA259/BW259))</f>
        <v xml:space="preserve"> </v>
      </c>
      <c r="H259" s="252" t="str">
        <f t="shared" si="341"/>
        <v xml:space="preserve"> </v>
      </c>
      <c r="I259" s="255" t="str">
        <f>VLOOKUP(A259,ScaledPrice,(IF(AND('Pricing Inputs'!$AQ$3&gt;=1,'Pricing Inputs'!$AQ$3&lt;=6),2,4)))</f>
        <v xml:space="preserve"> </v>
      </c>
      <c r="J259" s="255" t="str">
        <f>IF(A259="N/A"," ",IF(AND('Pricing Inputs'!$AQ$3&gt;=1,'Pricing Inputs'!$AQ$3&lt;=6),I259,(VLOOKUP(A259,ScaledPrice,2))*(2-(VLOOKUP(A259,ScaledPrice,3)))))</f>
        <v xml:space="preserve"> </v>
      </c>
      <c r="K259" s="255" t="str">
        <f>IF(A259="N/A"," ",IF(OR('Pricing Inputs'!$AQ$3=2,'Pricing Inputs'!$AQ$3=3,'Pricing Inputs'!$AQ$3=5,'Pricing Inputs'!$AQ$3=6,'Pricing Inputs'!$AQ$3=8,'Pricing Inputs'!$AQ$3=9),VLOOKUP(A259,ScaledPrice,IF(AND('Pricing Inputs'!$AQ$3&gt;=2,'Pricing Inputs'!$AQ$3&lt;=6),5,6)),0))</f>
        <v xml:space="preserve"> </v>
      </c>
      <c r="L259" s="255" t="str">
        <f>IF(A259="N/A"," ",IF(OR('Pricing Inputs'!$AQ$3=2,'Pricing Inputs'!$AQ$3=3,'Pricing Inputs'!$AQ$3=5,'Pricing Inputs'!$AQ$3=6,'Pricing Inputs'!$AQ$3=8,'Pricing Inputs'!$AQ$3=9),IF(AND('Pricing Inputs'!$AQ$3&gt;=2,'Pricing Inputs'!$AQ$3&lt;=6),K259,(VLOOKUP(A259,ScaledPrice,5))*(2-(VLOOKUP(A259,ScaledPrice,3)))),0))</f>
        <v xml:space="preserve"> </v>
      </c>
      <c r="M259" s="255" t="str">
        <f>IF(A259="N/A"," ",IF(OR('Pricing Inputs'!$AQ$3=3,'Pricing Inputs'!$AQ$3=6,'Pricing Inputs'!$AQ$3=9),(VLOOKUP(A259,ScaledPrice,IF(AND('Pricing Inputs'!$AQ$3&gt;=3,'Pricing Inputs'!$AQ$3&lt;=6),7,8))),0))</f>
        <v xml:space="preserve"> </v>
      </c>
      <c r="N259" s="255" t="str">
        <f>IF(A259="N/A"," ",IF(OR('Pricing Inputs'!$AQ$3=3,'Pricing Inputs'!$AQ$3=6,'Pricing Inputs'!$AQ$3=9),IF(AND('Pricing Inputs'!$AQ$3&gt;=3,'Pricing Inputs'!$AQ$3&lt;=6),M259,(VLOOKUP(A259,ScaledPrice,7))*(2-(VLOOKUP(A259,ScaledPrice,3)))),0))</f>
        <v xml:space="preserve"> </v>
      </c>
      <c r="O259" s="255" t="str">
        <f>IF(A259="N/A"," ",IF(AND('Pricing Inputs'!$AQ$3&gt;=1,'Pricing Inputs'!$AQ$3&lt;=3),VLOOKUP(A259,ScaledPrice,9),0))</f>
        <v xml:space="preserve"> </v>
      </c>
      <c r="P259" s="320" t="str">
        <f>IF($A259="N/A"," ",IF('Pricing Inputs'!$AN$8=2,(I259-H259),IF('Pricing Inputs'!$AN$3=2,IF((I259-$H259)&gt;0,I259-$H259,0),(_xll.xSPRDOPT(I259,$E259,$BU259,0,$BP259,$BS259,$BT259,($A259-Inputs!$D$1)+15,1,0)))))</f>
        <v xml:space="preserve"> </v>
      </c>
      <c r="Q259" s="320" t="str">
        <f>IF($A259="N/A"," ",IF('Pricing Inputs'!$AN$8=2,(J259-$H259),IF('Pricing Inputs'!$AN$3=2,IF((J259-$H259)&gt;0,J259-$H259,0),(_xll.xSPRDOPT(J259,$E259,$BU259,0,$BP259,$BS259,$BT259,($A259-Inputs!$D$1)+15,1,0)))))</f>
        <v xml:space="preserve"> </v>
      </c>
      <c r="R259" s="320" t="str">
        <f>IF($A259="N/A"," ",IF('Pricing Inputs'!$AN$8=2,(K259-$H259),IF('Pricing Inputs'!$AN$3=2,IF((K259-$H259)&gt;0,K259-$H259,0),(_xll.xSPRDOPT(K259,$E259,$BU259,0,$BP259,$BS259,$BT259,($A259-Inputs!$D$1)+15,1,0)))))</f>
        <v xml:space="preserve"> </v>
      </c>
      <c r="S259" s="320" t="str">
        <f>IF($A259="N/A"," ",IF('Pricing Inputs'!$AN$8=2,(L259-$H259),IF('Pricing Inputs'!$AN$3=2,IF((L259-$H259)&gt;0,L259-$H259,0),(_xll.xSPRDOPT(L259,$E259,$BU259,0,$BP259,$BS259,$BT259,($A259-Inputs!$D$1)+15,1,0)))))</f>
        <v xml:space="preserve"> </v>
      </c>
      <c r="T259" s="320" t="str">
        <f>IF($A259="N/A"," ",IF('Pricing Inputs'!$AN$8=2,(M259-$H259),IF('Pricing Inputs'!$AN$3=2,IF((M259-$H259)&gt;0,M259-$H259,0),(_xll.xSPRDOPT(M259,$E259,$BU259,0,$BP259,$BS259,$BT259,($A259-Inputs!$D$1)+15,1,0)))))</f>
        <v xml:space="preserve"> </v>
      </c>
      <c r="U259" s="320" t="str">
        <f>IF($A259="N/A"," ",IF('Pricing Inputs'!$AN$8=2,(N259-$H259),IF('Pricing Inputs'!$AN$3=2,IF((N259-$H259)&gt;0,N259-$H259,0),(_xll.xSPRDOPT(N259,$E259,$BU259,0,$BP259,$BS259,$BT259,($A259-Inputs!$D$1)+15,1,0)))))</f>
        <v xml:space="preserve"> </v>
      </c>
      <c r="V259" s="259" t="str">
        <f>IF($A259="N/A"," ",(IF('Pricing Inputs'!$AN$8=2,(O259-$H259),IF((O259-$H259)&lt;=0,0,(O259-$H259)))))</f>
        <v xml:space="preserve"> </v>
      </c>
      <c r="AK259" s="229"/>
      <c r="AL259" s="229"/>
      <c r="AM259" s="229"/>
      <c r="AN259" s="229"/>
      <c r="AO259" s="229"/>
      <c r="AP259" s="229"/>
      <c r="AQ259" s="229"/>
      <c r="AR259" s="229"/>
      <c r="BA259" s="267" t="str">
        <f>IF($A259="N/A"," ",(IF(MONTH(A259)&gt;=4,IF(MONTH(A259)&lt;=10,Inputs!$F$13,Inputs!$F$14),Inputs!$F$14))*$BW259)</f>
        <v xml:space="preserve"> </v>
      </c>
      <c r="BN259" s="405" t="str">
        <f>IF(A259="N/A"," ",(VLOOKUP(A259,PowerVolTable,(IF('Pricing Inputs'!$AT$3=2,7,IF('Pricing Inputs'!$AT$3=1,6,8))),FALSE)))</f>
        <v xml:space="preserve"> </v>
      </c>
      <c r="BO259" s="405" t="str">
        <f>IF(A259="N/A"," ",(VLOOKUP(A259,IntraPowerVol,(IF('Pricing Inputs'!$AT$3=2,3,IF('Pricing Inputs'!$AT$3=1,2,4))),FALSE)*VLOOKUP(MONTH($A259),Inputs!$A$28:$B$39,2)))</f>
        <v xml:space="preserve"> </v>
      </c>
      <c r="BP259" s="406" t="str">
        <f t="shared" si="336"/>
        <v xml:space="preserve"> </v>
      </c>
      <c r="BQ259" s="405" t="str">
        <f>IF($A259="N/A"," ",(VLOOKUP($A259,GasVolTable,(IF('Pricing Inputs'!$AT$3=2,6,IF('Pricing Inputs'!$AT$3=1,7,5))),FALSE)))</f>
        <v xml:space="preserve"> </v>
      </c>
      <c r="BR259" s="405" t="str">
        <f>IF($A259="N/A"," ",(VLOOKUP($A259,OmicronVol,(IF('Pricing Inputs'!$AT$3=2,3,IF('Pricing Inputs'!$AT$3=1,4,2))),FALSE)))</f>
        <v xml:space="preserve"> </v>
      </c>
      <c r="BS259" s="406" t="str">
        <f>IF($A259="N/A"," ",IF('Pricing Inputs'!$AN$3=1,(IF(DateToday&gt;$A259,$BR259,((($BQ259^2)*((($A259-1)-DateToday)/((EOMONTH($A259,0)+1)-DateToday-15)))+((($BR259)^2)*((15)/((EOMONTH($A259,0)+1)-DateToday-15))))^0.5)),0.0001))</f>
        <v xml:space="preserve"> </v>
      </c>
      <c r="BT259" s="405" t="str">
        <f>IF($A259="N/A"," ",IF('Pricing Inputs'!$AN$3=1,(VLOOKUP($A259,CorrelationTable,2,FALSE)),0))</f>
        <v xml:space="preserve"> </v>
      </c>
      <c r="BU259" s="407" t="str">
        <f>IF($A259="N/A"," ",F259+G259+(D259*(VLOOKUP($A259,'Gas Curves'!$B$17:$P$310,14,FALSE))))</f>
        <v xml:space="preserve"> </v>
      </c>
      <c r="BV259" s="405" t="str">
        <f>IF($A259="N/A"," ",IF('Pricing Inputs'!$AW$3=1,0,(VLOOKUP($A259,InterestRatesTable,2))))</f>
        <v xml:space="preserve"> </v>
      </c>
      <c r="BW259" s="408" t="str">
        <f t="shared" si="337"/>
        <v xml:space="preserve"> </v>
      </c>
    </row>
    <row r="260" spans="1:75">
      <c r="A260" s="248" t="str">
        <f>IF(A259="N/A","N/A",IF(EDATE(A259,1)&gt;Inputs!$K$3,"N/A",EDATE(A259,1)))</f>
        <v>N/A</v>
      </c>
      <c r="B260" s="262" t="str">
        <f t="shared" si="338"/>
        <v xml:space="preserve"> </v>
      </c>
      <c r="C260" s="249" t="str">
        <f t="shared" si="339"/>
        <v xml:space="preserve"> </v>
      </c>
      <c r="D260" s="250" t="str">
        <f>IF(A260="N/A"," ",(VLOOKUP(MONTH($A260),Inputs!$A$14:$B$25,2))/1000)</f>
        <v xml:space="preserve"> </v>
      </c>
      <c r="E260" s="304" t="str">
        <f t="shared" si="340"/>
        <v xml:space="preserve"> </v>
      </c>
      <c r="F260" s="251" t="str">
        <f>IF(A260="N/A"," ",Inputs!$F$6)</f>
        <v xml:space="preserve"> </v>
      </c>
      <c r="G260" s="251" t="str">
        <f>IF(A260="N/A"," ",Inputs!$F$9/IF(AND('Pricing Inputs'!$AQ$3&gt;=4,'Pricing Inputs'!$AQ$3&lt;=6),16,IF(AND('Pricing Inputs'!$AQ$3&gt;=7,'Pricing Inputs'!$AQ$3&lt;=9),8,24))/(BA260/BW260))</f>
        <v xml:space="preserve"> </v>
      </c>
      <c r="H260" s="252" t="str">
        <f t="shared" si="341"/>
        <v xml:space="preserve"> </v>
      </c>
      <c r="I260" s="255" t="str">
        <f>VLOOKUP(A260,ScaledPrice,(IF(AND('Pricing Inputs'!$AQ$3&gt;=1,'Pricing Inputs'!$AQ$3&lt;=6),2,4)))</f>
        <v xml:space="preserve"> </v>
      </c>
      <c r="J260" s="255" t="str">
        <f>IF(A260="N/A"," ",IF(AND('Pricing Inputs'!$AQ$3&gt;=1,'Pricing Inputs'!$AQ$3&lt;=6),I260,(VLOOKUP(A260,ScaledPrice,2))*(2-(VLOOKUP(A260,ScaledPrice,3)))))</f>
        <v xml:space="preserve"> </v>
      </c>
      <c r="K260" s="255" t="str">
        <f>IF(A260="N/A"," ",IF(OR('Pricing Inputs'!$AQ$3=2,'Pricing Inputs'!$AQ$3=3,'Pricing Inputs'!$AQ$3=5,'Pricing Inputs'!$AQ$3=6,'Pricing Inputs'!$AQ$3=8,'Pricing Inputs'!$AQ$3=9),VLOOKUP(A260,ScaledPrice,IF(AND('Pricing Inputs'!$AQ$3&gt;=2,'Pricing Inputs'!$AQ$3&lt;=6),5,6)),0))</f>
        <v xml:space="preserve"> </v>
      </c>
      <c r="L260" s="255" t="str">
        <f>IF(A260="N/A"," ",IF(OR('Pricing Inputs'!$AQ$3=2,'Pricing Inputs'!$AQ$3=3,'Pricing Inputs'!$AQ$3=5,'Pricing Inputs'!$AQ$3=6,'Pricing Inputs'!$AQ$3=8,'Pricing Inputs'!$AQ$3=9),IF(AND('Pricing Inputs'!$AQ$3&gt;=2,'Pricing Inputs'!$AQ$3&lt;=6),K260,(VLOOKUP(A260,ScaledPrice,5))*(2-(VLOOKUP(A260,ScaledPrice,3)))),0))</f>
        <v xml:space="preserve"> </v>
      </c>
      <c r="M260" s="255" t="str">
        <f>IF(A260="N/A"," ",IF(OR('Pricing Inputs'!$AQ$3=3,'Pricing Inputs'!$AQ$3=6,'Pricing Inputs'!$AQ$3=9),(VLOOKUP(A260,ScaledPrice,IF(AND('Pricing Inputs'!$AQ$3&gt;=3,'Pricing Inputs'!$AQ$3&lt;=6),7,8))),0))</f>
        <v xml:space="preserve"> </v>
      </c>
      <c r="N260" s="255" t="str">
        <f>IF(A260="N/A"," ",IF(OR('Pricing Inputs'!$AQ$3=3,'Pricing Inputs'!$AQ$3=6,'Pricing Inputs'!$AQ$3=9),IF(AND('Pricing Inputs'!$AQ$3&gt;=3,'Pricing Inputs'!$AQ$3&lt;=6),M260,(VLOOKUP(A260,ScaledPrice,7))*(2-(VLOOKUP(A260,ScaledPrice,3)))),0))</f>
        <v xml:space="preserve"> </v>
      </c>
      <c r="O260" s="255" t="str">
        <f>IF(A260="N/A"," ",IF(AND('Pricing Inputs'!$AQ$3&gt;=1,'Pricing Inputs'!$AQ$3&lt;=3),VLOOKUP(A260,ScaledPrice,9),0))</f>
        <v xml:space="preserve"> </v>
      </c>
      <c r="P260" s="320" t="str">
        <f>IF($A260="N/A"," ",IF('Pricing Inputs'!$AN$8=2,(I260-H260),IF('Pricing Inputs'!$AN$3=2,IF((I260-$H260)&gt;0,I260-$H260,0),(_xll.xSPRDOPT(I260,$E260,$BU260,0,$BP260,$BS260,$BT260,($A260-Inputs!$D$1)+15,1,0)))))</f>
        <v xml:space="preserve"> </v>
      </c>
      <c r="Q260" s="320" t="str">
        <f>IF($A260="N/A"," ",IF('Pricing Inputs'!$AN$8=2,(J260-$H260),IF('Pricing Inputs'!$AN$3=2,IF((J260-$H260)&gt;0,J260-$H260,0),(_xll.xSPRDOPT(J260,$E260,$BU260,0,$BP260,$BS260,$BT260,($A260-Inputs!$D$1)+15,1,0)))))</f>
        <v xml:space="preserve"> </v>
      </c>
      <c r="R260" s="320" t="str">
        <f>IF($A260="N/A"," ",IF('Pricing Inputs'!$AN$8=2,(K260-$H260),IF('Pricing Inputs'!$AN$3=2,IF((K260-$H260)&gt;0,K260-$H260,0),(_xll.xSPRDOPT(K260,$E260,$BU260,0,$BP260,$BS260,$BT260,($A260-Inputs!$D$1)+15,1,0)))))</f>
        <v xml:space="preserve"> </v>
      </c>
      <c r="S260" s="320" t="str">
        <f>IF($A260="N/A"," ",IF('Pricing Inputs'!$AN$8=2,(L260-$H260),IF('Pricing Inputs'!$AN$3=2,IF((L260-$H260)&gt;0,L260-$H260,0),(_xll.xSPRDOPT(L260,$E260,$BU260,0,$BP260,$BS260,$BT260,($A260-Inputs!$D$1)+15,1,0)))))</f>
        <v xml:space="preserve"> </v>
      </c>
      <c r="T260" s="320" t="str">
        <f>IF($A260="N/A"," ",IF('Pricing Inputs'!$AN$8=2,(M260-$H260),IF('Pricing Inputs'!$AN$3=2,IF((M260-$H260)&gt;0,M260-$H260,0),(_xll.xSPRDOPT(M260,$E260,$BU260,0,$BP260,$BS260,$BT260,($A260-Inputs!$D$1)+15,1,0)))))</f>
        <v xml:space="preserve"> </v>
      </c>
      <c r="U260" s="320" t="str">
        <f>IF($A260="N/A"," ",IF('Pricing Inputs'!$AN$8=2,(N260-$H260),IF('Pricing Inputs'!$AN$3=2,IF((N260-$H260)&gt;0,N260-$H260,0),(_xll.xSPRDOPT(N260,$E260,$BU260,0,$BP260,$BS260,$BT260,($A260-Inputs!$D$1)+15,1,0)))))</f>
        <v xml:space="preserve"> </v>
      </c>
      <c r="V260" s="259" t="str">
        <f>IF($A260="N/A"," ",(IF('Pricing Inputs'!$AN$8=2,(O260-$H260),IF((O260-$H260)&lt;=0,0,(O260-$H260)))))</f>
        <v xml:space="preserve"> </v>
      </c>
      <c r="AK260" s="229"/>
      <c r="AL260" s="229"/>
      <c r="AM260" s="229"/>
      <c r="AN260" s="229"/>
      <c r="AO260" s="229"/>
      <c r="AP260" s="229"/>
      <c r="AQ260" s="229"/>
      <c r="AR260" s="229"/>
      <c r="BA260" s="267" t="str">
        <f>IF($A260="N/A"," ",(IF(MONTH(A260)&gt;=4,IF(MONTH(A260)&lt;=10,Inputs!$F$13,Inputs!$F$14),Inputs!$F$14))*$BW260)</f>
        <v xml:space="preserve"> </v>
      </c>
      <c r="BN260" s="405" t="str">
        <f>IF(A260="N/A"," ",(VLOOKUP(A260,PowerVolTable,(IF('Pricing Inputs'!$AT$3=2,7,IF('Pricing Inputs'!$AT$3=1,6,8))),FALSE)))</f>
        <v xml:space="preserve"> </v>
      </c>
      <c r="BO260" s="405" t="str">
        <f>IF(A260="N/A"," ",(VLOOKUP(A260,IntraPowerVol,(IF('Pricing Inputs'!$AT$3=2,3,IF('Pricing Inputs'!$AT$3=1,2,4))),FALSE)*VLOOKUP(MONTH($A260),Inputs!$A$28:$B$39,2)))</f>
        <v xml:space="preserve"> </v>
      </c>
      <c r="BP260" s="406" t="str">
        <f t="shared" ref="BP260:BP323" si="430">IF($A260="N/A"," ",(IF(DateToday&gt;$A260,$BO260,((($BN260^2)*((($A260-1)-DateToday)/((EOMONTH($A260,0)+1)-DateToday-15)))+((($BO260)^2)*((15)/((EOMONTH($A260,0)+1)-DateToday-15))))^0.5)))</f>
        <v xml:space="preserve"> </v>
      </c>
      <c r="BQ260" s="405" t="str">
        <f>IF($A260="N/A"," ",(VLOOKUP($A260,GasVolTable,(IF('Pricing Inputs'!$AT$3=2,6,IF('Pricing Inputs'!$AT$3=1,7,5))),FALSE)))</f>
        <v xml:space="preserve"> </v>
      </c>
      <c r="BR260" s="405" t="str">
        <f>IF($A260="N/A"," ",(VLOOKUP($A260,OmicronVol,(IF('Pricing Inputs'!$AT$3=2,3,IF('Pricing Inputs'!$AT$3=1,4,2))),FALSE)))</f>
        <v xml:space="preserve"> </v>
      </c>
      <c r="BS260" s="406" t="str">
        <f>IF($A260="N/A"," ",IF('Pricing Inputs'!$AN$3=1,(IF(DateToday&gt;$A260,$BR260,((($BQ260^2)*((($A260-1)-DateToday)/((EOMONTH($A260,0)+1)-DateToday-15)))+((($BR260)^2)*((15)/((EOMONTH($A260,0)+1)-DateToday-15))))^0.5)),0.0001))</f>
        <v xml:space="preserve"> </v>
      </c>
      <c r="BT260" s="405" t="str">
        <f>IF($A260="N/A"," ",IF('Pricing Inputs'!$AN$3=1,(VLOOKUP($A260,CorrelationTable,2,FALSE)),0))</f>
        <v xml:space="preserve"> </v>
      </c>
      <c r="BU260" s="407" t="str">
        <f>IF($A260="N/A"," ",F260+G260+(D260*(VLOOKUP($A260,'Gas Curves'!$B$17:$P$310,14,FALSE))))</f>
        <v xml:space="preserve"> </v>
      </c>
      <c r="BV260" s="405" t="str">
        <f>IF($A260="N/A"," ",IF('Pricing Inputs'!$AW$3=1,0,(VLOOKUP($A260,InterestRatesTable,2))))</f>
        <v xml:space="preserve"> </v>
      </c>
      <c r="BW260" s="408" t="str">
        <f t="shared" ref="BW260:BW323" si="431">IF($A260="N/A"," ",(1+BV260/2)^(-2*((EOMONTH(A260,0)+20)-DateToday)/365.25))</f>
        <v xml:space="preserve"> </v>
      </c>
    </row>
    <row r="261" spans="1:75">
      <c r="A261" s="248" t="str">
        <f>IF(A260="N/A","N/A",IF(EDATE(A260,1)&gt;Inputs!$K$3,"N/A",EDATE(A260,1)))</f>
        <v>N/A</v>
      </c>
      <c r="B261" s="262" t="str">
        <f t="shared" ref="B261:B324" si="432">IF(A261="N/A"," ",YEAR(A261))</f>
        <v xml:space="preserve"> </v>
      </c>
      <c r="C261" s="249" t="str">
        <f t="shared" ref="C261:C324" si="433">IF(A261="N/A"," ",VLOOKUP(A261,ScaledPrice,10))</f>
        <v xml:space="preserve"> </v>
      </c>
      <c r="D261" s="250" t="str">
        <f>IF(A261="N/A"," ",(VLOOKUP(MONTH($A261),Inputs!$A$14:$B$25,2))/1000)</f>
        <v xml:space="preserve"> </v>
      </c>
      <c r="E261" s="304" t="str">
        <f t="shared" ref="E261:E324" si="434">IF($A261="N/A"," ",C261*D261)</f>
        <v xml:space="preserve"> </v>
      </c>
      <c r="F261" s="251" t="str">
        <f>IF(A261="N/A"," ",Inputs!$F$6)</f>
        <v xml:space="preserve"> </v>
      </c>
      <c r="G261" s="251" t="str">
        <f>IF(A261="N/A"," ",Inputs!$F$9/IF(AND('Pricing Inputs'!$AQ$3&gt;=4,'Pricing Inputs'!$AQ$3&lt;=6),16,IF(AND('Pricing Inputs'!$AQ$3&gt;=7,'Pricing Inputs'!$AQ$3&lt;=9),8,24))/(BA261/BW261))</f>
        <v xml:space="preserve"> </v>
      </c>
      <c r="H261" s="252" t="str">
        <f t="shared" ref="H261:H324" si="435">IF(A261="N/A"," ",(C261*D261)+F261+G261)</f>
        <v xml:space="preserve"> </v>
      </c>
      <c r="I261" s="255" t="str">
        <f>VLOOKUP(A261,ScaledPrice,(IF(AND('Pricing Inputs'!$AQ$3&gt;=1,'Pricing Inputs'!$AQ$3&lt;=6),2,4)))</f>
        <v xml:space="preserve"> </v>
      </c>
      <c r="J261" s="255" t="str">
        <f>IF(A261="N/A"," ",IF(AND('Pricing Inputs'!$AQ$3&gt;=1,'Pricing Inputs'!$AQ$3&lt;=6),I261,(VLOOKUP(A261,ScaledPrice,2))*(2-(VLOOKUP(A261,ScaledPrice,3)))))</f>
        <v xml:space="preserve"> </v>
      </c>
      <c r="K261" s="255" t="str">
        <f>IF(A261="N/A"," ",IF(OR('Pricing Inputs'!$AQ$3=2,'Pricing Inputs'!$AQ$3=3,'Pricing Inputs'!$AQ$3=5,'Pricing Inputs'!$AQ$3=6,'Pricing Inputs'!$AQ$3=8,'Pricing Inputs'!$AQ$3=9),VLOOKUP(A261,ScaledPrice,IF(AND('Pricing Inputs'!$AQ$3&gt;=2,'Pricing Inputs'!$AQ$3&lt;=6),5,6)),0))</f>
        <v xml:space="preserve"> </v>
      </c>
      <c r="L261" s="255" t="str">
        <f>IF(A261="N/A"," ",IF(OR('Pricing Inputs'!$AQ$3=2,'Pricing Inputs'!$AQ$3=3,'Pricing Inputs'!$AQ$3=5,'Pricing Inputs'!$AQ$3=6,'Pricing Inputs'!$AQ$3=8,'Pricing Inputs'!$AQ$3=9),IF(AND('Pricing Inputs'!$AQ$3&gt;=2,'Pricing Inputs'!$AQ$3&lt;=6),K261,(VLOOKUP(A261,ScaledPrice,5))*(2-(VLOOKUP(A261,ScaledPrice,3)))),0))</f>
        <v xml:space="preserve"> </v>
      </c>
      <c r="M261" s="255" t="str">
        <f>IF(A261="N/A"," ",IF(OR('Pricing Inputs'!$AQ$3=3,'Pricing Inputs'!$AQ$3=6,'Pricing Inputs'!$AQ$3=9),(VLOOKUP(A261,ScaledPrice,IF(AND('Pricing Inputs'!$AQ$3&gt;=3,'Pricing Inputs'!$AQ$3&lt;=6),7,8))),0))</f>
        <v xml:space="preserve"> </v>
      </c>
      <c r="N261" s="255" t="str">
        <f>IF(A261="N/A"," ",IF(OR('Pricing Inputs'!$AQ$3=3,'Pricing Inputs'!$AQ$3=6,'Pricing Inputs'!$AQ$3=9),IF(AND('Pricing Inputs'!$AQ$3&gt;=3,'Pricing Inputs'!$AQ$3&lt;=6),M261,(VLOOKUP(A261,ScaledPrice,7))*(2-(VLOOKUP(A261,ScaledPrice,3)))),0))</f>
        <v xml:space="preserve"> </v>
      </c>
      <c r="O261" s="255" t="str">
        <f>IF(A261="N/A"," ",IF(AND('Pricing Inputs'!$AQ$3&gt;=1,'Pricing Inputs'!$AQ$3&lt;=3),VLOOKUP(A261,ScaledPrice,9),0))</f>
        <v xml:space="preserve"> </v>
      </c>
      <c r="P261" s="320" t="str">
        <f>IF($A261="N/A"," ",IF('Pricing Inputs'!$AN$8=2,(I261-H261),IF('Pricing Inputs'!$AN$3=2,IF((I261-$H261)&gt;0,I261-$H261,0),(_xll.xSPRDOPT(I261,$E261,$BU261,0,$BP261,$BS261,$BT261,($A261-Inputs!$D$1)+15,1,0)))))</f>
        <v xml:space="preserve"> </v>
      </c>
      <c r="Q261" s="320" t="str">
        <f>IF($A261="N/A"," ",IF('Pricing Inputs'!$AN$8=2,(J261-$H261),IF('Pricing Inputs'!$AN$3=2,IF((J261-$H261)&gt;0,J261-$H261,0),(_xll.xSPRDOPT(J261,$E261,$BU261,0,$BP261,$BS261,$BT261,($A261-Inputs!$D$1)+15,1,0)))))</f>
        <v xml:space="preserve"> </v>
      </c>
      <c r="R261" s="320" t="str">
        <f>IF($A261="N/A"," ",IF('Pricing Inputs'!$AN$8=2,(K261-$H261),IF('Pricing Inputs'!$AN$3=2,IF((K261-$H261)&gt;0,K261-$H261,0),(_xll.xSPRDOPT(K261,$E261,$BU261,0,$BP261,$BS261,$BT261,($A261-Inputs!$D$1)+15,1,0)))))</f>
        <v xml:space="preserve"> </v>
      </c>
      <c r="S261" s="320" t="str">
        <f>IF($A261="N/A"," ",IF('Pricing Inputs'!$AN$8=2,(L261-$H261),IF('Pricing Inputs'!$AN$3=2,IF((L261-$H261)&gt;0,L261-$H261,0),(_xll.xSPRDOPT(L261,$E261,$BU261,0,$BP261,$BS261,$BT261,($A261-Inputs!$D$1)+15,1,0)))))</f>
        <v xml:space="preserve"> </v>
      </c>
      <c r="T261" s="320" t="str">
        <f>IF($A261="N/A"," ",IF('Pricing Inputs'!$AN$8=2,(M261-$H261),IF('Pricing Inputs'!$AN$3=2,IF((M261-$H261)&gt;0,M261-$H261,0),(_xll.xSPRDOPT(M261,$E261,$BU261,0,$BP261,$BS261,$BT261,($A261-Inputs!$D$1)+15,1,0)))))</f>
        <v xml:space="preserve"> </v>
      </c>
      <c r="U261" s="320" t="str">
        <f>IF($A261="N/A"," ",IF('Pricing Inputs'!$AN$8=2,(N261-$H261),IF('Pricing Inputs'!$AN$3=2,IF((N261-$H261)&gt;0,N261-$H261,0),(_xll.xSPRDOPT(N261,$E261,$BU261,0,$BP261,$BS261,$BT261,($A261-Inputs!$D$1)+15,1,0)))))</f>
        <v xml:space="preserve"> </v>
      </c>
      <c r="V261" s="259" t="str">
        <f>IF($A261="N/A"," ",(IF('Pricing Inputs'!$AN$8=2,(O261-$H261),IF((O261-$H261)&lt;=0,0,(O261-$H261)))))</f>
        <v xml:space="preserve"> </v>
      </c>
      <c r="AK261" s="229"/>
      <c r="AL261" s="229"/>
      <c r="AM261" s="229"/>
      <c r="AN261" s="229"/>
      <c r="AO261" s="229"/>
      <c r="AP261" s="229"/>
      <c r="AQ261" s="229"/>
      <c r="AR261" s="229"/>
      <c r="BA261" s="267" t="str">
        <f>IF($A261="N/A"," ",(IF(MONTH(A261)&gt;=4,IF(MONTH(A261)&lt;=10,Inputs!$F$13,Inputs!$F$14),Inputs!$F$14))*$BW261)</f>
        <v xml:space="preserve"> </v>
      </c>
      <c r="BN261" s="405" t="str">
        <f>IF(A261="N/A"," ",(VLOOKUP(A261,PowerVolTable,(IF('Pricing Inputs'!$AT$3=2,7,IF('Pricing Inputs'!$AT$3=1,6,8))),FALSE)))</f>
        <v xml:space="preserve"> </v>
      </c>
      <c r="BO261" s="405" t="str">
        <f>IF(A261="N/A"," ",(VLOOKUP(A261,IntraPowerVol,(IF('Pricing Inputs'!$AT$3=2,3,IF('Pricing Inputs'!$AT$3=1,2,4))),FALSE)*VLOOKUP(MONTH($A261),Inputs!$A$28:$B$39,2)))</f>
        <v xml:space="preserve"> </v>
      </c>
      <c r="BP261" s="406" t="str">
        <f t="shared" si="430"/>
        <v xml:space="preserve"> </v>
      </c>
      <c r="BQ261" s="405" t="str">
        <f>IF($A261="N/A"," ",(VLOOKUP($A261,GasVolTable,(IF('Pricing Inputs'!$AT$3=2,6,IF('Pricing Inputs'!$AT$3=1,7,5))),FALSE)))</f>
        <v xml:space="preserve"> </v>
      </c>
      <c r="BR261" s="405" t="str">
        <f>IF($A261="N/A"," ",(VLOOKUP($A261,OmicronVol,(IF('Pricing Inputs'!$AT$3=2,3,IF('Pricing Inputs'!$AT$3=1,4,2))),FALSE)))</f>
        <v xml:space="preserve"> </v>
      </c>
      <c r="BS261" s="406" t="str">
        <f>IF($A261="N/A"," ",IF('Pricing Inputs'!$AN$3=1,(IF(DateToday&gt;$A261,$BR261,((($BQ261^2)*((($A261-1)-DateToday)/((EOMONTH($A261,0)+1)-DateToday-15)))+((($BR261)^2)*((15)/((EOMONTH($A261,0)+1)-DateToday-15))))^0.5)),0.0001))</f>
        <v xml:space="preserve"> </v>
      </c>
      <c r="BT261" s="405" t="str">
        <f>IF($A261="N/A"," ",IF('Pricing Inputs'!$AN$3=1,(VLOOKUP($A261,CorrelationTable,2,FALSE)),0))</f>
        <v xml:space="preserve"> </v>
      </c>
      <c r="BU261" s="407" t="str">
        <f>IF($A261="N/A"," ",F261+G261+(D261*(VLOOKUP($A261,'Gas Curves'!$B$17:$P$310,14,FALSE))))</f>
        <v xml:space="preserve"> </v>
      </c>
      <c r="BV261" s="405" t="str">
        <f>IF($A261="N/A"," ",IF('Pricing Inputs'!$AW$3=1,0,(VLOOKUP($A261,InterestRatesTable,2))))</f>
        <v xml:space="preserve"> </v>
      </c>
      <c r="BW261" s="408" t="str">
        <f t="shared" si="431"/>
        <v xml:space="preserve"> </v>
      </c>
    </row>
    <row r="262" spans="1:75">
      <c r="A262" s="248" t="str">
        <f>IF(A261="N/A","N/A",IF(EDATE(A261,1)&gt;Inputs!$K$3,"N/A",EDATE(A261,1)))</f>
        <v>N/A</v>
      </c>
      <c r="B262" s="262" t="str">
        <f t="shared" si="432"/>
        <v xml:space="preserve"> </v>
      </c>
      <c r="C262" s="249" t="str">
        <f t="shared" si="433"/>
        <v xml:space="preserve"> </v>
      </c>
      <c r="D262" s="250" t="str">
        <f>IF(A262="N/A"," ",(VLOOKUP(MONTH($A262),Inputs!$A$14:$B$25,2))/1000)</f>
        <v xml:space="preserve"> </v>
      </c>
      <c r="E262" s="304" t="str">
        <f t="shared" si="434"/>
        <v xml:space="preserve"> </v>
      </c>
      <c r="F262" s="251" t="str">
        <f>IF(A262="N/A"," ",Inputs!$F$6)</f>
        <v xml:space="preserve"> </v>
      </c>
      <c r="G262" s="251" t="str">
        <f>IF(A262="N/A"," ",Inputs!$F$9/IF(AND('Pricing Inputs'!$AQ$3&gt;=4,'Pricing Inputs'!$AQ$3&lt;=6),16,IF(AND('Pricing Inputs'!$AQ$3&gt;=7,'Pricing Inputs'!$AQ$3&lt;=9),8,24))/(BA262/BW262))</f>
        <v xml:space="preserve"> </v>
      </c>
      <c r="H262" s="252" t="str">
        <f t="shared" si="435"/>
        <v xml:space="preserve"> </v>
      </c>
      <c r="I262" s="255" t="str">
        <f>VLOOKUP(A262,ScaledPrice,(IF(AND('Pricing Inputs'!$AQ$3&gt;=1,'Pricing Inputs'!$AQ$3&lt;=6),2,4)))</f>
        <v xml:space="preserve"> </v>
      </c>
      <c r="J262" s="255" t="str">
        <f>IF(A262="N/A"," ",IF(AND('Pricing Inputs'!$AQ$3&gt;=1,'Pricing Inputs'!$AQ$3&lt;=6),I262,(VLOOKUP(A262,ScaledPrice,2))*(2-(VLOOKUP(A262,ScaledPrice,3)))))</f>
        <v xml:space="preserve"> </v>
      </c>
      <c r="K262" s="255" t="str">
        <f>IF(A262="N/A"," ",IF(OR('Pricing Inputs'!$AQ$3=2,'Pricing Inputs'!$AQ$3=3,'Pricing Inputs'!$AQ$3=5,'Pricing Inputs'!$AQ$3=6,'Pricing Inputs'!$AQ$3=8,'Pricing Inputs'!$AQ$3=9),VLOOKUP(A262,ScaledPrice,IF(AND('Pricing Inputs'!$AQ$3&gt;=2,'Pricing Inputs'!$AQ$3&lt;=6),5,6)),0))</f>
        <v xml:space="preserve"> </v>
      </c>
      <c r="L262" s="255" t="str">
        <f>IF(A262="N/A"," ",IF(OR('Pricing Inputs'!$AQ$3=2,'Pricing Inputs'!$AQ$3=3,'Pricing Inputs'!$AQ$3=5,'Pricing Inputs'!$AQ$3=6,'Pricing Inputs'!$AQ$3=8,'Pricing Inputs'!$AQ$3=9),IF(AND('Pricing Inputs'!$AQ$3&gt;=2,'Pricing Inputs'!$AQ$3&lt;=6),K262,(VLOOKUP(A262,ScaledPrice,5))*(2-(VLOOKUP(A262,ScaledPrice,3)))),0))</f>
        <v xml:space="preserve"> </v>
      </c>
      <c r="M262" s="255" t="str">
        <f>IF(A262="N/A"," ",IF(OR('Pricing Inputs'!$AQ$3=3,'Pricing Inputs'!$AQ$3=6,'Pricing Inputs'!$AQ$3=9),(VLOOKUP(A262,ScaledPrice,IF(AND('Pricing Inputs'!$AQ$3&gt;=3,'Pricing Inputs'!$AQ$3&lt;=6),7,8))),0))</f>
        <v xml:space="preserve"> </v>
      </c>
      <c r="N262" s="255" t="str">
        <f>IF(A262="N/A"," ",IF(OR('Pricing Inputs'!$AQ$3=3,'Pricing Inputs'!$AQ$3=6,'Pricing Inputs'!$AQ$3=9),IF(AND('Pricing Inputs'!$AQ$3&gt;=3,'Pricing Inputs'!$AQ$3&lt;=6),M262,(VLOOKUP(A262,ScaledPrice,7))*(2-(VLOOKUP(A262,ScaledPrice,3)))),0))</f>
        <v xml:space="preserve"> </v>
      </c>
      <c r="O262" s="255" t="str">
        <f>IF(A262="N/A"," ",IF(AND('Pricing Inputs'!$AQ$3&gt;=1,'Pricing Inputs'!$AQ$3&lt;=3),VLOOKUP(A262,ScaledPrice,9),0))</f>
        <v xml:space="preserve"> </v>
      </c>
      <c r="P262" s="320" t="str">
        <f>IF($A262="N/A"," ",IF('Pricing Inputs'!$AN$8=2,(I262-H262),IF('Pricing Inputs'!$AN$3=2,IF((I262-$H262)&gt;0,I262-$H262,0),(_xll.xSPRDOPT(I262,$E262,$BU262,0,$BP262,$BS262,$BT262,($A262-Inputs!$D$1)+15,1,0)))))</f>
        <v xml:space="preserve"> </v>
      </c>
      <c r="Q262" s="320" t="str">
        <f>IF($A262="N/A"," ",IF('Pricing Inputs'!$AN$8=2,(J262-$H262),IF('Pricing Inputs'!$AN$3=2,IF((J262-$H262)&gt;0,J262-$H262,0),(_xll.xSPRDOPT(J262,$E262,$BU262,0,$BP262,$BS262,$BT262,($A262-Inputs!$D$1)+15,1,0)))))</f>
        <v xml:space="preserve"> </v>
      </c>
      <c r="R262" s="320" t="str">
        <f>IF($A262="N/A"," ",IF('Pricing Inputs'!$AN$8=2,(K262-$H262),IF('Pricing Inputs'!$AN$3=2,IF((K262-$H262)&gt;0,K262-$H262,0),(_xll.xSPRDOPT(K262,$E262,$BU262,0,$BP262,$BS262,$BT262,($A262-Inputs!$D$1)+15,1,0)))))</f>
        <v xml:space="preserve"> </v>
      </c>
      <c r="S262" s="320" t="str">
        <f>IF($A262="N/A"," ",IF('Pricing Inputs'!$AN$8=2,(L262-$H262),IF('Pricing Inputs'!$AN$3=2,IF((L262-$H262)&gt;0,L262-$H262,0),(_xll.xSPRDOPT(L262,$E262,$BU262,0,$BP262,$BS262,$BT262,($A262-Inputs!$D$1)+15,1,0)))))</f>
        <v xml:space="preserve"> </v>
      </c>
      <c r="T262" s="320" t="str">
        <f>IF($A262="N/A"," ",IF('Pricing Inputs'!$AN$8=2,(M262-$H262),IF('Pricing Inputs'!$AN$3=2,IF((M262-$H262)&gt;0,M262-$H262,0),(_xll.xSPRDOPT(M262,$E262,$BU262,0,$BP262,$BS262,$BT262,($A262-Inputs!$D$1)+15,1,0)))))</f>
        <v xml:space="preserve"> </v>
      </c>
      <c r="U262" s="320" t="str">
        <f>IF($A262="N/A"," ",IF('Pricing Inputs'!$AN$8=2,(N262-$H262),IF('Pricing Inputs'!$AN$3=2,IF((N262-$H262)&gt;0,N262-$H262,0),(_xll.xSPRDOPT(N262,$E262,$BU262,0,$BP262,$BS262,$BT262,($A262-Inputs!$D$1)+15,1,0)))))</f>
        <v xml:space="preserve"> </v>
      </c>
      <c r="V262" s="259" t="str">
        <f>IF($A262="N/A"," ",(IF('Pricing Inputs'!$AN$8=2,(O262-$H262),IF((O262-$H262)&lt;=0,0,(O262-$H262)))))</f>
        <v xml:space="preserve"> </v>
      </c>
      <c r="AK262" s="229"/>
      <c r="AL262" s="229"/>
      <c r="AM262" s="229"/>
      <c r="AN262" s="229"/>
      <c r="AO262" s="229"/>
      <c r="AP262" s="229"/>
      <c r="AQ262" s="229"/>
      <c r="AR262" s="229"/>
      <c r="BA262" s="267" t="str">
        <f>IF($A262="N/A"," ",(IF(MONTH(A262)&gt;=4,IF(MONTH(A262)&lt;=10,Inputs!$F$13,Inputs!$F$14),Inputs!$F$14))*$BW262)</f>
        <v xml:space="preserve"> </v>
      </c>
      <c r="BN262" s="405" t="str">
        <f>IF(A262="N/A"," ",(VLOOKUP(A262,PowerVolTable,(IF('Pricing Inputs'!$AT$3=2,7,IF('Pricing Inputs'!$AT$3=1,6,8))),FALSE)))</f>
        <v xml:space="preserve"> </v>
      </c>
      <c r="BO262" s="405" t="str">
        <f>IF(A262="N/A"," ",(VLOOKUP(A262,IntraPowerVol,(IF('Pricing Inputs'!$AT$3=2,3,IF('Pricing Inputs'!$AT$3=1,2,4))),FALSE)*VLOOKUP(MONTH($A262),Inputs!$A$28:$B$39,2)))</f>
        <v xml:space="preserve"> </v>
      </c>
      <c r="BP262" s="406" t="str">
        <f t="shared" si="430"/>
        <v xml:space="preserve"> </v>
      </c>
      <c r="BQ262" s="405" t="str">
        <f>IF($A262="N/A"," ",(VLOOKUP($A262,GasVolTable,(IF('Pricing Inputs'!$AT$3=2,6,IF('Pricing Inputs'!$AT$3=1,7,5))),FALSE)))</f>
        <v xml:space="preserve"> </v>
      </c>
      <c r="BR262" s="405" t="str">
        <f>IF($A262="N/A"," ",(VLOOKUP($A262,OmicronVol,(IF('Pricing Inputs'!$AT$3=2,3,IF('Pricing Inputs'!$AT$3=1,4,2))),FALSE)))</f>
        <v xml:space="preserve"> </v>
      </c>
      <c r="BS262" s="406" t="str">
        <f>IF($A262="N/A"," ",IF('Pricing Inputs'!$AN$3=1,(IF(DateToday&gt;$A262,$BR262,((($BQ262^2)*((($A262-1)-DateToday)/((EOMONTH($A262,0)+1)-DateToday-15)))+((($BR262)^2)*((15)/((EOMONTH($A262,0)+1)-DateToday-15))))^0.5)),0.0001))</f>
        <v xml:space="preserve"> </v>
      </c>
      <c r="BT262" s="405" t="str">
        <f>IF($A262="N/A"," ",IF('Pricing Inputs'!$AN$3=1,(VLOOKUP($A262,CorrelationTable,2,FALSE)),0))</f>
        <v xml:space="preserve"> </v>
      </c>
      <c r="BU262" s="407" t="str">
        <f>IF($A262="N/A"," ",F262+G262+(D262*(VLOOKUP($A262,'Gas Curves'!$B$17:$P$310,14,FALSE))))</f>
        <v xml:space="preserve"> </v>
      </c>
      <c r="BV262" s="405" t="str">
        <f>IF($A262="N/A"," ",IF('Pricing Inputs'!$AW$3=1,0,(VLOOKUP($A262,InterestRatesTable,2))))</f>
        <v xml:space="preserve"> </v>
      </c>
      <c r="BW262" s="408" t="str">
        <f t="shared" si="431"/>
        <v xml:space="preserve"> </v>
      </c>
    </row>
    <row r="263" spans="1:75">
      <c r="A263" s="248" t="str">
        <f>IF(A262="N/A","N/A",IF(EDATE(A262,1)&gt;Inputs!$K$3,"N/A",EDATE(A262,1)))</f>
        <v>N/A</v>
      </c>
      <c r="B263" s="262" t="str">
        <f t="shared" si="432"/>
        <v xml:space="preserve"> </v>
      </c>
      <c r="C263" s="249" t="str">
        <f t="shared" si="433"/>
        <v xml:space="preserve"> </v>
      </c>
      <c r="D263" s="250" t="str">
        <f>IF(A263="N/A"," ",(VLOOKUP(MONTH($A263),Inputs!$A$14:$B$25,2))/1000)</f>
        <v xml:space="preserve"> </v>
      </c>
      <c r="E263" s="304" t="str">
        <f t="shared" si="434"/>
        <v xml:space="preserve"> </v>
      </c>
      <c r="F263" s="251" t="str">
        <f>IF(A263="N/A"," ",Inputs!$F$6)</f>
        <v xml:space="preserve"> </v>
      </c>
      <c r="G263" s="251" t="str">
        <f>IF(A263="N/A"," ",Inputs!$F$9/IF(AND('Pricing Inputs'!$AQ$3&gt;=4,'Pricing Inputs'!$AQ$3&lt;=6),16,IF(AND('Pricing Inputs'!$AQ$3&gt;=7,'Pricing Inputs'!$AQ$3&lt;=9),8,24))/(BA263/BW263))</f>
        <v xml:space="preserve"> </v>
      </c>
      <c r="H263" s="252" t="str">
        <f t="shared" si="435"/>
        <v xml:space="preserve"> </v>
      </c>
      <c r="I263" s="255" t="str">
        <f>VLOOKUP(A263,ScaledPrice,(IF(AND('Pricing Inputs'!$AQ$3&gt;=1,'Pricing Inputs'!$AQ$3&lt;=6),2,4)))</f>
        <v xml:space="preserve"> </v>
      </c>
      <c r="J263" s="255" t="str">
        <f>IF(A263="N/A"," ",IF(AND('Pricing Inputs'!$AQ$3&gt;=1,'Pricing Inputs'!$AQ$3&lt;=6),I263,(VLOOKUP(A263,ScaledPrice,2))*(2-(VLOOKUP(A263,ScaledPrice,3)))))</f>
        <v xml:space="preserve"> </v>
      </c>
      <c r="K263" s="255" t="str">
        <f>IF(A263="N/A"," ",IF(OR('Pricing Inputs'!$AQ$3=2,'Pricing Inputs'!$AQ$3=3,'Pricing Inputs'!$AQ$3=5,'Pricing Inputs'!$AQ$3=6,'Pricing Inputs'!$AQ$3=8,'Pricing Inputs'!$AQ$3=9),VLOOKUP(A263,ScaledPrice,IF(AND('Pricing Inputs'!$AQ$3&gt;=2,'Pricing Inputs'!$AQ$3&lt;=6),5,6)),0))</f>
        <v xml:space="preserve"> </v>
      </c>
      <c r="L263" s="255" t="str">
        <f>IF(A263="N/A"," ",IF(OR('Pricing Inputs'!$AQ$3=2,'Pricing Inputs'!$AQ$3=3,'Pricing Inputs'!$AQ$3=5,'Pricing Inputs'!$AQ$3=6,'Pricing Inputs'!$AQ$3=8,'Pricing Inputs'!$AQ$3=9),IF(AND('Pricing Inputs'!$AQ$3&gt;=2,'Pricing Inputs'!$AQ$3&lt;=6),K263,(VLOOKUP(A263,ScaledPrice,5))*(2-(VLOOKUP(A263,ScaledPrice,3)))),0))</f>
        <v xml:space="preserve"> </v>
      </c>
      <c r="M263" s="255" t="str">
        <f>IF(A263="N/A"," ",IF(OR('Pricing Inputs'!$AQ$3=3,'Pricing Inputs'!$AQ$3=6,'Pricing Inputs'!$AQ$3=9),(VLOOKUP(A263,ScaledPrice,IF(AND('Pricing Inputs'!$AQ$3&gt;=3,'Pricing Inputs'!$AQ$3&lt;=6),7,8))),0))</f>
        <v xml:space="preserve"> </v>
      </c>
      <c r="N263" s="255" t="str">
        <f>IF(A263="N/A"," ",IF(OR('Pricing Inputs'!$AQ$3=3,'Pricing Inputs'!$AQ$3=6,'Pricing Inputs'!$AQ$3=9),IF(AND('Pricing Inputs'!$AQ$3&gt;=3,'Pricing Inputs'!$AQ$3&lt;=6),M263,(VLOOKUP(A263,ScaledPrice,7))*(2-(VLOOKUP(A263,ScaledPrice,3)))),0))</f>
        <v xml:space="preserve"> </v>
      </c>
      <c r="O263" s="255" t="str">
        <f>IF(A263="N/A"," ",IF(AND('Pricing Inputs'!$AQ$3&gt;=1,'Pricing Inputs'!$AQ$3&lt;=3),VLOOKUP(A263,ScaledPrice,9),0))</f>
        <v xml:space="preserve"> </v>
      </c>
      <c r="P263" s="320" t="str">
        <f>IF($A263="N/A"," ",IF('Pricing Inputs'!$AN$8=2,(I263-H263),IF('Pricing Inputs'!$AN$3=2,IF((I263-$H263)&gt;0,I263-$H263,0),(_xll.xSPRDOPT(I263,$E263,$BU263,0,$BP263,$BS263,$BT263,($A263-Inputs!$D$1)+15,1,0)))))</f>
        <v xml:space="preserve"> </v>
      </c>
      <c r="Q263" s="320" t="str">
        <f>IF($A263="N/A"," ",IF('Pricing Inputs'!$AN$8=2,(J263-$H263),IF('Pricing Inputs'!$AN$3=2,IF((J263-$H263)&gt;0,J263-$H263,0),(_xll.xSPRDOPT(J263,$E263,$BU263,0,$BP263,$BS263,$BT263,($A263-Inputs!$D$1)+15,1,0)))))</f>
        <v xml:space="preserve"> </v>
      </c>
      <c r="R263" s="320" t="str">
        <f>IF($A263="N/A"," ",IF('Pricing Inputs'!$AN$8=2,(K263-$H263),IF('Pricing Inputs'!$AN$3=2,IF((K263-$H263)&gt;0,K263-$H263,0),(_xll.xSPRDOPT(K263,$E263,$BU263,0,$BP263,$BS263,$BT263,($A263-Inputs!$D$1)+15,1,0)))))</f>
        <v xml:space="preserve"> </v>
      </c>
      <c r="S263" s="320" t="str">
        <f>IF($A263="N/A"," ",IF('Pricing Inputs'!$AN$8=2,(L263-$H263),IF('Pricing Inputs'!$AN$3=2,IF((L263-$H263)&gt;0,L263-$H263,0),(_xll.xSPRDOPT(L263,$E263,$BU263,0,$BP263,$BS263,$BT263,($A263-Inputs!$D$1)+15,1,0)))))</f>
        <v xml:space="preserve"> </v>
      </c>
      <c r="T263" s="320" t="str">
        <f>IF($A263="N/A"," ",IF('Pricing Inputs'!$AN$8=2,(M263-$H263),IF('Pricing Inputs'!$AN$3=2,IF((M263-$H263)&gt;0,M263-$H263,0),(_xll.xSPRDOPT(M263,$E263,$BU263,0,$BP263,$BS263,$BT263,($A263-Inputs!$D$1)+15,1,0)))))</f>
        <v xml:space="preserve"> </v>
      </c>
      <c r="U263" s="320" t="str">
        <f>IF($A263="N/A"," ",IF('Pricing Inputs'!$AN$8=2,(N263-$H263),IF('Pricing Inputs'!$AN$3=2,IF((N263-$H263)&gt;0,N263-$H263,0),(_xll.xSPRDOPT(N263,$E263,$BU263,0,$BP263,$BS263,$BT263,($A263-Inputs!$D$1)+15,1,0)))))</f>
        <v xml:space="preserve"> </v>
      </c>
      <c r="V263" s="259" t="str">
        <f>IF($A263="N/A"," ",(IF('Pricing Inputs'!$AN$8=2,(O263-$H263),IF((O263-$H263)&lt;=0,0,(O263-$H263)))))</f>
        <v xml:space="preserve"> </v>
      </c>
      <c r="AK263" s="229"/>
      <c r="AL263" s="229"/>
      <c r="AM263" s="229"/>
      <c r="AN263" s="229"/>
      <c r="AO263" s="229"/>
      <c r="AP263" s="229"/>
      <c r="AQ263" s="229"/>
      <c r="AR263" s="229"/>
      <c r="BA263" s="267" t="str">
        <f>IF($A263="N/A"," ",(IF(MONTH(A263)&gt;=4,IF(MONTH(A263)&lt;=10,Inputs!$F$13,Inputs!$F$14),Inputs!$F$14))*$BW263)</f>
        <v xml:space="preserve"> </v>
      </c>
      <c r="BN263" s="405" t="str">
        <f>IF(A263="N/A"," ",(VLOOKUP(A263,PowerVolTable,(IF('Pricing Inputs'!$AT$3=2,7,IF('Pricing Inputs'!$AT$3=1,6,8))),FALSE)))</f>
        <v xml:space="preserve"> </v>
      </c>
      <c r="BO263" s="405" t="str">
        <f>IF(A263="N/A"," ",(VLOOKUP(A263,IntraPowerVol,(IF('Pricing Inputs'!$AT$3=2,3,IF('Pricing Inputs'!$AT$3=1,2,4))),FALSE)*VLOOKUP(MONTH($A263),Inputs!$A$28:$B$39,2)))</f>
        <v xml:space="preserve"> </v>
      </c>
      <c r="BP263" s="406" t="str">
        <f t="shared" si="430"/>
        <v xml:space="preserve"> </v>
      </c>
      <c r="BQ263" s="405" t="str">
        <f>IF($A263="N/A"," ",(VLOOKUP($A263,GasVolTable,(IF('Pricing Inputs'!$AT$3=2,6,IF('Pricing Inputs'!$AT$3=1,7,5))),FALSE)))</f>
        <v xml:space="preserve"> </v>
      </c>
      <c r="BR263" s="405" t="str">
        <f>IF($A263="N/A"," ",(VLOOKUP($A263,OmicronVol,(IF('Pricing Inputs'!$AT$3=2,3,IF('Pricing Inputs'!$AT$3=1,4,2))),FALSE)))</f>
        <v xml:space="preserve"> </v>
      </c>
      <c r="BS263" s="406" t="str">
        <f>IF($A263="N/A"," ",IF('Pricing Inputs'!$AN$3=1,(IF(DateToday&gt;$A263,$BR263,((($BQ263^2)*((($A263-1)-DateToday)/((EOMONTH($A263,0)+1)-DateToday-15)))+((($BR263)^2)*((15)/((EOMONTH($A263,0)+1)-DateToday-15))))^0.5)),0.0001))</f>
        <v xml:space="preserve"> </v>
      </c>
      <c r="BT263" s="405" t="str">
        <f>IF($A263="N/A"," ",IF('Pricing Inputs'!$AN$3=1,(VLOOKUP($A263,CorrelationTable,2,FALSE)),0))</f>
        <v xml:space="preserve"> </v>
      </c>
      <c r="BU263" s="407" t="str">
        <f>IF($A263="N/A"," ",F263+G263+(D263*(VLOOKUP($A263,'Gas Curves'!$B$17:$P$310,14,FALSE))))</f>
        <v xml:space="preserve"> </v>
      </c>
      <c r="BV263" s="405" t="str">
        <f>IF($A263="N/A"," ",IF('Pricing Inputs'!$AW$3=1,0,(VLOOKUP($A263,InterestRatesTable,2))))</f>
        <v xml:space="preserve"> </v>
      </c>
      <c r="BW263" s="408" t="str">
        <f t="shared" si="431"/>
        <v xml:space="preserve"> </v>
      </c>
    </row>
    <row r="264" spans="1:75">
      <c r="A264" s="248" t="str">
        <f>IF(A263="N/A","N/A",IF(EDATE(A263,1)&gt;Inputs!$K$3,"N/A",EDATE(A263,1)))</f>
        <v>N/A</v>
      </c>
      <c r="B264" s="262" t="str">
        <f t="shared" si="432"/>
        <v xml:space="preserve"> </v>
      </c>
      <c r="C264" s="249" t="str">
        <f t="shared" si="433"/>
        <v xml:space="preserve"> </v>
      </c>
      <c r="D264" s="250" t="str">
        <f>IF(A264="N/A"," ",(VLOOKUP(MONTH($A264),Inputs!$A$14:$B$25,2))/1000)</f>
        <v xml:space="preserve"> </v>
      </c>
      <c r="E264" s="304" t="str">
        <f t="shared" si="434"/>
        <v xml:space="preserve"> </v>
      </c>
      <c r="F264" s="251" t="str">
        <f>IF(A264="N/A"," ",Inputs!$F$6)</f>
        <v xml:space="preserve"> </v>
      </c>
      <c r="G264" s="251" t="str">
        <f>IF(A264="N/A"," ",Inputs!$F$9/IF(AND('Pricing Inputs'!$AQ$3&gt;=4,'Pricing Inputs'!$AQ$3&lt;=6),16,IF(AND('Pricing Inputs'!$AQ$3&gt;=7,'Pricing Inputs'!$AQ$3&lt;=9),8,24))/(BA264/BW264))</f>
        <v xml:space="preserve"> </v>
      </c>
      <c r="H264" s="252" t="str">
        <f t="shared" si="435"/>
        <v xml:space="preserve"> </v>
      </c>
      <c r="I264" s="255" t="str">
        <f>VLOOKUP(A264,ScaledPrice,(IF(AND('Pricing Inputs'!$AQ$3&gt;=1,'Pricing Inputs'!$AQ$3&lt;=6),2,4)))</f>
        <v xml:space="preserve"> </v>
      </c>
      <c r="J264" s="255" t="str">
        <f>IF(A264="N/A"," ",IF(AND('Pricing Inputs'!$AQ$3&gt;=1,'Pricing Inputs'!$AQ$3&lt;=6),I264,(VLOOKUP(A264,ScaledPrice,2))*(2-(VLOOKUP(A264,ScaledPrice,3)))))</f>
        <v xml:space="preserve"> </v>
      </c>
      <c r="K264" s="255" t="str">
        <f>IF(A264="N/A"," ",IF(OR('Pricing Inputs'!$AQ$3=2,'Pricing Inputs'!$AQ$3=3,'Pricing Inputs'!$AQ$3=5,'Pricing Inputs'!$AQ$3=6,'Pricing Inputs'!$AQ$3=8,'Pricing Inputs'!$AQ$3=9),VLOOKUP(A264,ScaledPrice,IF(AND('Pricing Inputs'!$AQ$3&gt;=2,'Pricing Inputs'!$AQ$3&lt;=6),5,6)),0))</f>
        <v xml:space="preserve"> </v>
      </c>
      <c r="L264" s="255" t="str">
        <f>IF(A264="N/A"," ",IF(OR('Pricing Inputs'!$AQ$3=2,'Pricing Inputs'!$AQ$3=3,'Pricing Inputs'!$AQ$3=5,'Pricing Inputs'!$AQ$3=6,'Pricing Inputs'!$AQ$3=8,'Pricing Inputs'!$AQ$3=9),IF(AND('Pricing Inputs'!$AQ$3&gt;=2,'Pricing Inputs'!$AQ$3&lt;=6),K264,(VLOOKUP(A264,ScaledPrice,5))*(2-(VLOOKUP(A264,ScaledPrice,3)))),0))</f>
        <v xml:space="preserve"> </v>
      </c>
      <c r="M264" s="255" t="str">
        <f>IF(A264="N/A"," ",IF(OR('Pricing Inputs'!$AQ$3=3,'Pricing Inputs'!$AQ$3=6,'Pricing Inputs'!$AQ$3=9),(VLOOKUP(A264,ScaledPrice,IF(AND('Pricing Inputs'!$AQ$3&gt;=3,'Pricing Inputs'!$AQ$3&lt;=6),7,8))),0))</f>
        <v xml:space="preserve"> </v>
      </c>
      <c r="N264" s="255" t="str">
        <f>IF(A264="N/A"," ",IF(OR('Pricing Inputs'!$AQ$3=3,'Pricing Inputs'!$AQ$3=6,'Pricing Inputs'!$AQ$3=9),IF(AND('Pricing Inputs'!$AQ$3&gt;=3,'Pricing Inputs'!$AQ$3&lt;=6),M264,(VLOOKUP(A264,ScaledPrice,7))*(2-(VLOOKUP(A264,ScaledPrice,3)))),0))</f>
        <v xml:space="preserve"> </v>
      </c>
      <c r="O264" s="255" t="str">
        <f>IF(A264="N/A"," ",IF(AND('Pricing Inputs'!$AQ$3&gt;=1,'Pricing Inputs'!$AQ$3&lt;=3),VLOOKUP(A264,ScaledPrice,9),0))</f>
        <v xml:space="preserve"> </v>
      </c>
      <c r="P264" s="320" t="str">
        <f>IF($A264="N/A"," ",IF('Pricing Inputs'!$AN$8=2,(I264-H264),IF('Pricing Inputs'!$AN$3=2,IF((I264-$H264)&gt;0,I264-$H264,0),(_xll.xSPRDOPT(I264,$E264,$BU264,0,$BP264,$BS264,$BT264,($A264-Inputs!$D$1)+15,1,0)))))</f>
        <v xml:space="preserve"> </v>
      </c>
      <c r="Q264" s="320" t="str">
        <f>IF($A264="N/A"," ",IF('Pricing Inputs'!$AN$8=2,(J264-$H264),IF('Pricing Inputs'!$AN$3=2,IF((J264-$H264)&gt;0,J264-$H264,0),(_xll.xSPRDOPT(J264,$E264,$BU264,0,$BP264,$BS264,$BT264,($A264-Inputs!$D$1)+15,1,0)))))</f>
        <v xml:space="preserve"> </v>
      </c>
      <c r="R264" s="320" t="str">
        <f>IF($A264="N/A"," ",IF('Pricing Inputs'!$AN$8=2,(K264-$H264),IF('Pricing Inputs'!$AN$3=2,IF((K264-$H264)&gt;0,K264-$H264,0),(_xll.xSPRDOPT(K264,$E264,$BU264,0,$BP264,$BS264,$BT264,($A264-Inputs!$D$1)+15,1,0)))))</f>
        <v xml:space="preserve"> </v>
      </c>
      <c r="S264" s="320" t="str">
        <f>IF($A264="N/A"," ",IF('Pricing Inputs'!$AN$8=2,(L264-$H264),IF('Pricing Inputs'!$AN$3=2,IF((L264-$H264)&gt;0,L264-$H264,0),(_xll.xSPRDOPT(L264,$E264,$BU264,0,$BP264,$BS264,$BT264,($A264-Inputs!$D$1)+15,1,0)))))</f>
        <v xml:space="preserve"> </v>
      </c>
      <c r="T264" s="320" t="str">
        <f>IF($A264="N/A"," ",IF('Pricing Inputs'!$AN$8=2,(M264-$H264),IF('Pricing Inputs'!$AN$3=2,IF((M264-$H264)&gt;0,M264-$H264,0),(_xll.xSPRDOPT(M264,$E264,$BU264,0,$BP264,$BS264,$BT264,($A264-Inputs!$D$1)+15,1,0)))))</f>
        <v xml:space="preserve"> </v>
      </c>
      <c r="U264" s="320" t="str">
        <f>IF($A264="N/A"," ",IF('Pricing Inputs'!$AN$8=2,(N264-$H264),IF('Pricing Inputs'!$AN$3=2,IF((N264-$H264)&gt;0,N264-$H264,0),(_xll.xSPRDOPT(N264,$E264,$BU264,0,$BP264,$BS264,$BT264,($A264-Inputs!$D$1)+15,1,0)))))</f>
        <v xml:space="preserve"> </v>
      </c>
      <c r="V264" s="259" t="str">
        <f>IF($A264="N/A"," ",(IF('Pricing Inputs'!$AN$8=2,(O264-$H264),IF((O264-$H264)&lt;=0,0,(O264-$H264)))))</f>
        <v xml:space="preserve"> </v>
      </c>
      <c r="AK264" s="229"/>
      <c r="AL264" s="229"/>
      <c r="AM264" s="229"/>
      <c r="AN264" s="229"/>
      <c r="AO264" s="229"/>
      <c r="AP264" s="229"/>
      <c r="AQ264" s="229"/>
      <c r="AR264" s="229"/>
      <c r="BA264" s="267" t="str">
        <f>IF($A264="N/A"," ",(IF(MONTH(A264)&gt;=4,IF(MONTH(A264)&lt;=10,Inputs!$F$13,Inputs!$F$14),Inputs!$F$14))*$BW264)</f>
        <v xml:space="preserve"> </v>
      </c>
      <c r="BN264" s="405" t="str">
        <f>IF(A264="N/A"," ",(VLOOKUP(A264,PowerVolTable,(IF('Pricing Inputs'!$AT$3=2,7,IF('Pricing Inputs'!$AT$3=1,6,8))),FALSE)))</f>
        <v xml:space="preserve"> </v>
      </c>
      <c r="BO264" s="405" t="str">
        <f>IF(A264="N/A"," ",(VLOOKUP(A264,IntraPowerVol,(IF('Pricing Inputs'!$AT$3=2,3,IF('Pricing Inputs'!$AT$3=1,2,4))),FALSE)*VLOOKUP(MONTH($A264),Inputs!$A$28:$B$39,2)))</f>
        <v xml:space="preserve"> </v>
      </c>
      <c r="BP264" s="406" t="str">
        <f t="shared" si="430"/>
        <v xml:space="preserve"> </v>
      </c>
      <c r="BQ264" s="405" t="str">
        <f>IF($A264="N/A"," ",(VLOOKUP($A264,GasVolTable,(IF('Pricing Inputs'!$AT$3=2,6,IF('Pricing Inputs'!$AT$3=1,7,5))),FALSE)))</f>
        <v xml:space="preserve"> </v>
      </c>
      <c r="BR264" s="405" t="str">
        <f>IF($A264="N/A"," ",(VLOOKUP($A264,OmicronVol,(IF('Pricing Inputs'!$AT$3=2,3,IF('Pricing Inputs'!$AT$3=1,4,2))),FALSE)))</f>
        <v xml:space="preserve"> </v>
      </c>
      <c r="BS264" s="406" t="str">
        <f>IF($A264="N/A"," ",IF('Pricing Inputs'!$AN$3=1,(IF(DateToday&gt;$A264,$BR264,((($BQ264^2)*((($A264-1)-DateToday)/((EOMONTH($A264,0)+1)-DateToday-15)))+((($BR264)^2)*((15)/((EOMONTH($A264,0)+1)-DateToday-15))))^0.5)),0.0001))</f>
        <v xml:space="preserve"> </v>
      </c>
      <c r="BT264" s="405" t="str">
        <f>IF($A264="N/A"," ",IF('Pricing Inputs'!$AN$3=1,(VLOOKUP($A264,CorrelationTable,2,FALSE)),0))</f>
        <v xml:space="preserve"> </v>
      </c>
      <c r="BU264" s="407" t="str">
        <f>IF($A264="N/A"," ",F264+G264+(D264*(VLOOKUP($A264,'Gas Curves'!$B$17:$P$310,14,FALSE))))</f>
        <v xml:space="preserve"> </v>
      </c>
      <c r="BV264" s="405" t="str">
        <f>IF($A264="N/A"," ",IF('Pricing Inputs'!$AW$3=1,0,(VLOOKUP($A264,InterestRatesTable,2))))</f>
        <v xml:space="preserve"> </v>
      </c>
      <c r="BW264" s="408" t="str">
        <f t="shared" si="431"/>
        <v xml:space="preserve"> </v>
      </c>
    </row>
    <row r="265" spans="1:75">
      <c r="A265" s="248" t="str">
        <f>IF(A264="N/A","N/A",IF(EDATE(A264,1)&gt;Inputs!$K$3,"N/A",EDATE(A264,1)))</f>
        <v>N/A</v>
      </c>
      <c r="B265" s="262" t="str">
        <f t="shared" si="432"/>
        <v xml:space="preserve"> </v>
      </c>
      <c r="C265" s="249" t="str">
        <f t="shared" si="433"/>
        <v xml:space="preserve"> </v>
      </c>
      <c r="D265" s="250" t="str">
        <f>IF(A265="N/A"," ",(VLOOKUP(MONTH($A265),Inputs!$A$14:$B$25,2))/1000)</f>
        <v xml:space="preserve"> </v>
      </c>
      <c r="E265" s="304" t="str">
        <f t="shared" si="434"/>
        <v xml:space="preserve"> </v>
      </c>
      <c r="F265" s="251" t="str">
        <f>IF(A265="N/A"," ",Inputs!$F$6)</f>
        <v xml:space="preserve"> </v>
      </c>
      <c r="G265" s="251" t="str">
        <f>IF(A265="N/A"," ",Inputs!$F$9/IF(AND('Pricing Inputs'!$AQ$3&gt;=4,'Pricing Inputs'!$AQ$3&lt;=6),16,IF(AND('Pricing Inputs'!$AQ$3&gt;=7,'Pricing Inputs'!$AQ$3&lt;=9),8,24))/(BA265/BW265))</f>
        <v xml:space="preserve"> </v>
      </c>
      <c r="H265" s="252" t="str">
        <f t="shared" si="435"/>
        <v xml:space="preserve"> </v>
      </c>
      <c r="I265" s="255" t="str">
        <f>VLOOKUP(A265,ScaledPrice,(IF(AND('Pricing Inputs'!$AQ$3&gt;=1,'Pricing Inputs'!$AQ$3&lt;=6),2,4)))</f>
        <v xml:space="preserve"> </v>
      </c>
      <c r="J265" s="255" t="str">
        <f>IF(A265="N/A"," ",IF(AND('Pricing Inputs'!$AQ$3&gt;=1,'Pricing Inputs'!$AQ$3&lt;=6),I265,(VLOOKUP(A265,ScaledPrice,2))*(2-(VLOOKUP(A265,ScaledPrice,3)))))</f>
        <v xml:space="preserve"> </v>
      </c>
      <c r="K265" s="255" t="str">
        <f>IF(A265="N/A"," ",IF(OR('Pricing Inputs'!$AQ$3=2,'Pricing Inputs'!$AQ$3=3,'Pricing Inputs'!$AQ$3=5,'Pricing Inputs'!$AQ$3=6,'Pricing Inputs'!$AQ$3=8,'Pricing Inputs'!$AQ$3=9),VLOOKUP(A265,ScaledPrice,IF(AND('Pricing Inputs'!$AQ$3&gt;=2,'Pricing Inputs'!$AQ$3&lt;=6),5,6)),0))</f>
        <v xml:space="preserve"> </v>
      </c>
      <c r="L265" s="255" t="str">
        <f>IF(A265="N/A"," ",IF(OR('Pricing Inputs'!$AQ$3=2,'Pricing Inputs'!$AQ$3=3,'Pricing Inputs'!$AQ$3=5,'Pricing Inputs'!$AQ$3=6,'Pricing Inputs'!$AQ$3=8,'Pricing Inputs'!$AQ$3=9),IF(AND('Pricing Inputs'!$AQ$3&gt;=2,'Pricing Inputs'!$AQ$3&lt;=6),K265,(VLOOKUP(A265,ScaledPrice,5))*(2-(VLOOKUP(A265,ScaledPrice,3)))),0))</f>
        <v xml:space="preserve"> </v>
      </c>
      <c r="M265" s="255" t="str">
        <f>IF(A265="N/A"," ",IF(OR('Pricing Inputs'!$AQ$3=3,'Pricing Inputs'!$AQ$3=6,'Pricing Inputs'!$AQ$3=9),(VLOOKUP(A265,ScaledPrice,IF(AND('Pricing Inputs'!$AQ$3&gt;=3,'Pricing Inputs'!$AQ$3&lt;=6),7,8))),0))</f>
        <v xml:space="preserve"> </v>
      </c>
      <c r="N265" s="255" t="str">
        <f>IF(A265="N/A"," ",IF(OR('Pricing Inputs'!$AQ$3=3,'Pricing Inputs'!$AQ$3=6,'Pricing Inputs'!$AQ$3=9),IF(AND('Pricing Inputs'!$AQ$3&gt;=3,'Pricing Inputs'!$AQ$3&lt;=6),M265,(VLOOKUP(A265,ScaledPrice,7))*(2-(VLOOKUP(A265,ScaledPrice,3)))),0))</f>
        <v xml:space="preserve"> </v>
      </c>
      <c r="O265" s="255" t="str">
        <f>IF(A265="N/A"," ",IF(AND('Pricing Inputs'!$AQ$3&gt;=1,'Pricing Inputs'!$AQ$3&lt;=3),VLOOKUP(A265,ScaledPrice,9),0))</f>
        <v xml:space="preserve"> </v>
      </c>
      <c r="P265" s="320" t="str">
        <f>IF($A265="N/A"," ",IF('Pricing Inputs'!$AN$8=2,(I265-H265),IF('Pricing Inputs'!$AN$3=2,IF((I265-$H265)&gt;0,I265-$H265,0),(_xll.xSPRDOPT(I265,$E265,$BU265,0,$BP265,$BS265,$BT265,($A265-Inputs!$D$1)+15,1,0)))))</f>
        <v xml:space="preserve"> </v>
      </c>
      <c r="Q265" s="320" t="str">
        <f>IF($A265="N/A"," ",IF('Pricing Inputs'!$AN$8=2,(J265-$H265),IF('Pricing Inputs'!$AN$3=2,IF((J265-$H265)&gt;0,J265-$H265,0),(_xll.xSPRDOPT(J265,$E265,$BU265,0,$BP265,$BS265,$BT265,($A265-Inputs!$D$1)+15,1,0)))))</f>
        <v xml:space="preserve"> </v>
      </c>
      <c r="R265" s="320" t="str">
        <f>IF($A265="N/A"," ",IF('Pricing Inputs'!$AN$8=2,(K265-$H265),IF('Pricing Inputs'!$AN$3=2,IF((K265-$H265)&gt;0,K265-$H265,0),(_xll.xSPRDOPT(K265,$E265,$BU265,0,$BP265,$BS265,$BT265,($A265-Inputs!$D$1)+15,1,0)))))</f>
        <v xml:space="preserve"> </v>
      </c>
      <c r="S265" s="320" t="str">
        <f>IF($A265="N/A"," ",IF('Pricing Inputs'!$AN$8=2,(L265-$H265),IF('Pricing Inputs'!$AN$3=2,IF((L265-$H265)&gt;0,L265-$H265,0),(_xll.xSPRDOPT(L265,$E265,$BU265,0,$BP265,$BS265,$BT265,($A265-Inputs!$D$1)+15,1,0)))))</f>
        <v xml:space="preserve"> </v>
      </c>
      <c r="T265" s="320" t="str">
        <f>IF($A265="N/A"," ",IF('Pricing Inputs'!$AN$8=2,(M265-$H265),IF('Pricing Inputs'!$AN$3=2,IF((M265-$H265)&gt;0,M265-$H265,0),(_xll.xSPRDOPT(M265,$E265,$BU265,0,$BP265,$BS265,$BT265,($A265-Inputs!$D$1)+15,1,0)))))</f>
        <v xml:space="preserve"> </v>
      </c>
      <c r="U265" s="320" t="str">
        <f>IF($A265="N/A"," ",IF('Pricing Inputs'!$AN$8=2,(N265-$H265),IF('Pricing Inputs'!$AN$3=2,IF((N265-$H265)&gt;0,N265-$H265,0),(_xll.xSPRDOPT(N265,$E265,$BU265,0,$BP265,$BS265,$BT265,($A265-Inputs!$D$1)+15,1,0)))))</f>
        <v xml:space="preserve"> </v>
      </c>
      <c r="V265" s="259" t="str">
        <f>IF($A265="N/A"," ",(IF('Pricing Inputs'!$AN$8=2,(O265-$H265),IF((O265-$H265)&lt;=0,0,(O265-$H265)))))</f>
        <v xml:space="preserve"> </v>
      </c>
      <c r="AK265" s="229"/>
      <c r="AL265" s="229"/>
      <c r="AM265" s="229"/>
      <c r="AN265" s="229"/>
      <c r="AO265" s="229"/>
      <c r="AP265" s="229"/>
      <c r="AQ265" s="229"/>
      <c r="AR265" s="229"/>
      <c r="BA265" s="267" t="str">
        <f>IF($A265="N/A"," ",(IF(MONTH(A265)&gt;=4,IF(MONTH(A265)&lt;=10,Inputs!$F$13,Inputs!$F$14),Inputs!$F$14))*$BW265)</f>
        <v xml:space="preserve"> </v>
      </c>
      <c r="BN265" s="405" t="str">
        <f>IF(A265="N/A"," ",(VLOOKUP(A265,PowerVolTable,(IF('Pricing Inputs'!$AT$3=2,7,IF('Pricing Inputs'!$AT$3=1,6,8))),FALSE)))</f>
        <v xml:space="preserve"> </v>
      </c>
      <c r="BO265" s="405" t="str">
        <f>IF(A265="N/A"," ",(VLOOKUP(A265,IntraPowerVol,(IF('Pricing Inputs'!$AT$3=2,3,IF('Pricing Inputs'!$AT$3=1,2,4))),FALSE)*VLOOKUP(MONTH($A265),Inputs!$A$28:$B$39,2)))</f>
        <v xml:space="preserve"> </v>
      </c>
      <c r="BP265" s="406" t="str">
        <f t="shared" si="430"/>
        <v xml:space="preserve"> </v>
      </c>
      <c r="BQ265" s="405" t="str">
        <f>IF($A265="N/A"," ",(VLOOKUP($A265,GasVolTable,(IF('Pricing Inputs'!$AT$3=2,6,IF('Pricing Inputs'!$AT$3=1,7,5))),FALSE)))</f>
        <v xml:space="preserve"> </v>
      </c>
      <c r="BR265" s="405" t="str">
        <f>IF($A265="N/A"," ",(VLOOKUP($A265,OmicronVol,(IF('Pricing Inputs'!$AT$3=2,3,IF('Pricing Inputs'!$AT$3=1,4,2))),FALSE)))</f>
        <v xml:space="preserve"> </v>
      </c>
      <c r="BS265" s="406" t="str">
        <f>IF($A265="N/A"," ",IF('Pricing Inputs'!$AN$3=1,(IF(DateToday&gt;$A265,$BR265,((($BQ265^2)*((($A265-1)-DateToday)/((EOMONTH($A265,0)+1)-DateToday-15)))+((($BR265)^2)*((15)/((EOMONTH($A265,0)+1)-DateToday-15))))^0.5)),0.0001))</f>
        <v xml:space="preserve"> </v>
      </c>
      <c r="BT265" s="405" t="str">
        <f>IF($A265="N/A"," ",IF('Pricing Inputs'!$AN$3=1,(VLOOKUP($A265,CorrelationTable,2,FALSE)),0))</f>
        <v xml:space="preserve"> </v>
      </c>
      <c r="BU265" s="407" t="str">
        <f>IF($A265="N/A"," ",F265+G265+(D265*(VLOOKUP($A265,'Gas Curves'!$B$17:$P$310,14,FALSE))))</f>
        <v xml:space="preserve"> </v>
      </c>
      <c r="BV265" s="405" t="str">
        <f>IF($A265="N/A"," ",IF('Pricing Inputs'!$AW$3=1,0,(VLOOKUP($A265,InterestRatesTable,2))))</f>
        <v xml:space="preserve"> </v>
      </c>
      <c r="BW265" s="408" t="str">
        <f t="shared" si="431"/>
        <v xml:space="preserve"> </v>
      </c>
    </row>
    <row r="266" spans="1:75">
      <c r="A266" s="248" t="str">
        <f>IF(A265="N/A","N/A",IF(EDATE(A265,1)&gt;Inputs!$K$3,"N/A",EDATE(A265,1)))</f>
        <v>N/A</v>
      </c>
      <c r="B266" s="262" t="str">
        <f t="shared" si="432"/>
        <v xml:space="preserve"> </v>
      </c>
      <c r="C266" s="249" t="str">
        <f t="shared" si="433"/>
        <v xml:space="preserve"> </v>
      </c>
      <c r="D266" s="250" t="str">
        <f>IF(A266="N/A"," ",(VLOOKUP(MONTH($A266),Inputs!$A$14:$B$25,2))/1000)</f>
        <v xml:space="preserve"> </v>
      </c>
      <c r="E266" s="304" t="str">
        <f t="shared" si="434"/>
        <v xml:space="preserve"> </v>
      </c>
      <c r="F266" s="251" t="str">
        <f>IF(A266="N/A"," ",Inputs!$F$6)</f>
        <v xml:space="preserve"> </v>
      </c>
      <c r="G266" s="251" t="str">
        <f>IF(A266="N/A"," ",Inputs!$F$9/IF(AND('Pricing Inputs'!$AQ$3&gt;=4,'Pricing Inputs'!$AQ$3&lt;=6),16,IF(AND('Pricing Inputs'!$AQ$3&gt;=7,'Pricing Inputs'!$AQ$3&lt;=9),8,24))/(BA266/BW266))</f>
        <v xml:space="preserve"> </v>
      </c>
      <c r="H266" s="252" t="str">
        <f t="shared" si="435"/>
        <v xml:space="preserve"> </v>
      </c>
      <c r="I266" s="255" t="str">
        <f>VLOOKUP(A266,ScaledPrice,(IF(AND('Pricing Inputs'!$AQ$3&gt;=1,'Pricing Inputs'!$AQ$3&lt;=6),2,4)))</f>
        <v xml:space="preserve"> </v>
      </c>
      <c r="J266" s="255" t="str">
        <f>IF(A266="N/A"," ",IF(AND('Pricing Inputs'!$AQ$3&gt;=1,'Pricing Inputs'!$AQ$3&lt;=6),I266,(VLOOKUP(A266,ScaledPrice,2))*(2-(VLOOKUP(A266,ScaledPrice,3)))))</f>
        <v xml:space="preserve"> </v>
      </c>
      <c r="K266" s="255" t="str">
        <f>IF(A266="N/A"," ",IF(OR('Pricing Inputs'!$AQ$3=2,'Pricing Inputs'!$AQ$3=3,'Pricing Inputs'!$AQ$3=5,'Pricing Inputs'!$AQ$3=6,'Pricing Inputs'!$AQ$3=8,'Pricing Inputs'!$AQ$3=9),VLOOKUP(A266,ScaledPrice,IF(AND('Pricing Inputs'!$AQ$3&gt;=2,'Pricing Inputs'!$AQ$3&lt;=6),5,6)),0))</f>
        <v xml:space="preserve"> </v>
      </c>
      <c r="L266" s="255" t="str">
        <f>IF(A266="N/A"," ",IF(OR('Pricing Inputs'!$AQ$3=2,'Pricing Inputs'!$AQ$3=3,'Pricing Inputs'!$AQ$3=5,'Pricing Inputs'!$AQ$3=6,'Pricing Inputs'!$AQ$3=8,'Pricing Inputs'!$AQ$3=9),IF(AND('Pricing Inputs'!$AQ$3&gt;=2,'Pricing Inputs'!$AQ$3&lt;=6),K266,(VLOOKUP(A266,ScaledPrice,5))*(2-(VLOOKUP(A266,ScaledPrice,3)))),0))</f>
        <v xml:space="preserve"> </v>
      </c>
      <c r="M266" s="255" t="str">
        <f>IF(A266="N/A"," ",IF(OR('Pricing Inputs'!$AQ$3=3,'Pricing Inputs'!$AQ$3=6,'Pricing Inputs'!$AQ$3=9),(VLOOKUP(A266,ScaledPrice,IF(AND('Pricing Inputs'!$AQ$3&gt;=3,'Pricing Inputs'!$AQ$3&lt;=6),7,8))),0))</f>
        <v xml:space="preserve"> </v>
      </c>
      <c r="N266" s="255" t="str">
        <f>IF(A266="N/A"," ",IF(OR('Pricing Inputs'!$AQ$3=3,'Pricing Inputs'!$AQ$3=6,'Pricing Inputs'!$AQ$3=9),IF(AND('Pricing Inputs'!$AQ$3&gt;=3,'Pricing Inputs'!$AQ$3&lt;=6),M266,(VLOOKUP(A266,ScaledPrice,7))*(2-(VLOOKUP(A266,ScaledPrice,3)))),0))</f>
        <v xml:space="preserve"> </v>
      </c>
      <c r="O266" s="255" t="str">
        <f>IF(A266="N/A"," ",IF(AND('Pricing Inputs'!$AQ$3&gt;=1,'Pricing Inputs'!$AQ$3&lt;=3),VLOOKUP(A266,ScaledPrice,9),0))</f>
        <v xml:space="preserve"> </v>
      </c>
      <c r="P266" s="320" t="str">
        <f>IF($A266="N/A"," ",IF('Pricing Inputs'!$AN$8=2,(I266-H266),IF('Pricing Inputs'!$AN$3=2,IF((I266-$H266)&gt;0,I266-$H266,0),(_xll.xSPRDOPT(I266,$E266,$BU266,0,$BP266,$BS266,$BT266,($A266-Inputs!$D$1)+15,1,0)))))</f>
        <v xml:space="preserve"> </v>
      </c>
      <c r="Q266" s="320" t="str">
        <f>IF($A266="N/A"," ",IF('Pricing Inputs'!$AN$8=2,(J266-$H266),IF('Pricing Inputs'!$AN$3=2,IF((J266-$H266)&gt;0,J266-$H266,0),(_xll.xSPRDOPT(J266,$E266,$BU266,0,$BP266,$BS266,$BT266,($A266-Inputs!$D$1)+15,1,0)))))</f>
        <v xml:space="preserve"> </v>
      </c>
      <c r="R266" s="320" t="str">
        <f>IF($A266="N/A"," ",IF('Pricing Inputs'!$AN$8=2,(K266-$H266),IF('Pricing Inputs'!$AN$3=2,IF((K266-$H266)&gt;0,K266-$H266,0),(_xll.xSPRDOPT(K266,$E266,$BU266,0,$BP266,$BS266,$BT266,($A266-Inputs!$D$1)+15,1,0)))))</f>
        <v xml:space="preserve"> </v>
      </c>
      <c r="S266" s="320" t="str">
        <f>IF($A266="N/A"," ",IF('Pricing Inputs'!$AN$8=2,(L266-$H266),IF('Pricing Inputs'!$AN$3=2,IF((L266-$H266)&gt;0,L266-$H266,0),(_xll.xSPRDOPT(L266,$E266,$BU266,0,$BP266,$BS266,$BT266,($A266-Inputs!$D$1)+15,1,0)))))</f>
        <v xml:space="preserve"> </v>
      </c>
      <c r="T266" s="320" t="str">
        <f>IF($A266="N/A"," ",IF('Pricing Inputs'!$AN$8=2,(M266-$H266),IF('Pricing Inputs'!$AN$3=2,IF((M266-$H266)&gt;0,M266-$H266,0),(_xll.xSPRDOPT(M266,$E266,$BU266,0,$BP266,$BS266,$BT266,($A266-Inputs!$D$1)+15,1,0)))))</f>
        <v xml:space="preserve"> </v>
      </c>
      <c r="U266" s="320" t="str">
        <f>IF($A266="N/A"," ",IF('Pricing Inputs'!$AN$8=2,(N266-$H266),IF('Pricing Inputs'!$AN$3=2,IF((N266-$H266)&gt;0,N266-$H266,0),(_xll.xSPRDOPT(N266,$E266,$BU266,0,$BP266,$BS266,$BT266,($A266-Inputs!$D$1)+15,1,0)))))</f>
        <v xml:space="preserve"> </v>
      </c>
      <c r="V266" s="259" t="str">
        <f>IF($A266="N/A"," ",(IF('Pricing Inputs'!$AN$8=2,(O266-$H266),IF((O266-$H266)&lt;=0,0,(O266-$H266)))))</f>
        <v xml:space="preserve"> </v>
      </c>
      <c r="AK266" s="229"/>
      <c r="AL266" s="229"/>
      <c r="AM266" s="229"/>
      <c r="AN266" s="229"/>
      <c r="AO266" s="229"/>
      <c r="AP266" s="229"/>
      <c r="AQ266" s="229"/>
      <c r="AR266" s="229"/>
      <c r="BA266" s="267" t="str">
        <f>IF($A266="N/A"," ",(IF(MONTH(A266)&gt;=4,IF(MONTH(A266)&lt;=10,Inputs!$F$13,Inputs!$F$14),Inputs!$F$14))*$BW266)</f>
        <v xml:space="preserve"> </v>
      </c>
      <c r="BN266" s="405" t="str">
        <f>IF(A266="N/A"," ",(VLOOKUP(A266,PowerVolTable,(IF('Pricing Inputs'!$AT$3=2,7,IF('Pricing Inputs'!$AT$3=1,6,8))),FALSE)))</f>
        <v xml:space="preserve"> </v>
      </c>
      <c r="BO266" s="405" t="str">
        <f>IF(A266="N/A"," ",(VLOOKUP(A266,IntraPowerVol,(IF('Pricing Inputs'!$AT$3=2,3,IF('Pricing Inputs'!$AT$3=1,2,4))),FALSE)*VLOOKUP(MONTH($A266),Inputs!$A$28:$B$39,2)))</f>
        <v xml:space="preserve"> </v>
      </c>
      <c r="BP266" s="406" t="str">
        <f t="shared" si="430"/>
        <v xml:space="preserve"> </v>
      </c>
      <c r="BQ266" s="405" t="str">
        <f>IF($A266="N/A"," ",(VLOOKUP($A266,GasVolTable,(IF('Pricing Inputs'!$AT$3=2,6,IF('Pricing Inputs'!$AT$3=1,7,5))),FALSE)))</f>
        <v xml:space="preserve"> </v>
      </c>
      <c r="BR266" s="405" t="str">
        <f>IF($A266="N/A"," ",(VLOOKUP($A266,OmicronVol,(IF('Pricing Inputs'!$AT$3=2,3,IF('Pricing Inputs'!$AT$3=1,4,2))),FALSE)))</f>
        <v xml:space="preserve"> </v>
      </c>
      <c r="BS266" s="406" t="str">
        <f>IF($A266="N/A"," ",IF('Pricing Inputs'!$AN$3=1,(IF(DateToday&gt;$A266,$BR266,((($BQ266^2)*((($A266-1)-DateToday)/((EOMONTH($A266,0)+1)-DateToday-15)))+((($BR266)^2)*((15)/((EOMONTH($A266,0)+1)-DateToday-15))))^0.5)),0.0001))</f>
        <v xml:space="preserve"> </v>
      </c>
      <c r="BT266" s="405" t="str">
        <f>IF($A266="N/A"," ",IF('Pricing Inputs'!$AN$3=1,(VLOOKUP($A266,CorrelationTable,2,FALSE)),0))</f>
        <v xml:space="preserve"> </v>
      </c>
      <c r="BU266" s="407" t="str">
        <f>IF($A266="N/A"," ",F266+G266+(D266*(VLOOKUP($A266,'Gas Curves'!$B$17:$P$310,14,FALSE))))</f>
        <v xml:space="preserve"> </v>
      </c>
      <c r="BV266" s="405" t="str">
        <f>IF($A266="N/A"," ",IF('Pricing Inputs'!$AW$3=1,0,(VLOOKUP($A266,InterestRatesTable,2))))</f>
        <v xml:space="preserve"> </v>
      </c>
      <c r="BW266" s="408" t="str">
        <f t="shared" si="431"/>
        <v xml:space="preserve"> </v>
      </c>
    </row>
    <row r="267" spans="1:75">
      <c r="A267" s="248" t="str">
        <f>IF(A266="N/A","N/A",IF(EDATE(A266,1)&gt;Inputs!$K$3,"N/A",EDATE(A266,1)))</f>
        <v>N/A</v>
      </c>
      <c r="B267" s="262" t="str">
        <f t="shared" si="432"/>
        <v xml:space="preserve"> </v>
      </c>
      <c r="C267" s="249" t="str">
        <f t="shared" si="433"/>
        <v xml:space="preserve"> </v>
      </c>
      <c r="D267" s="250" t="str">
        <f>IF(A267="N/A"," ",(VLOOKUP(MONTH($A267),Inputs!$A$14:$B$25,2))/1000)</f>
        <v xml:space="preserve"> </v>
      </c>
      <c r="E267" s="304" t="str">
        <f t="shared" si="434"/>
        <v xml:space="preserve"> </v>
      </c>
      <c r="F267" s="251" t="str">
        <f>IF(A267="N/A"," ",Inputs!$F$6)</f>
        <v xml:space="preserve"> </v>
      </c>
      <c r="G267" s="251" t="str">
        <f>IF(A267="N/A"," ",Inputs!$F$9/IF(AND('Pricing Inputs'!$AQ$3&gt;=4,'Pricing Inputs'!$AQ$3&lt;=6),16,IF(AND('Pricing Inputs'!$AQ$3&gt;=7,'Pricing Inputs'!$AQ$3&lt;=9),8,24))/(BA267/BW267))</f>
        <v xml:space="preserve"> </v>
      </c>
      <c r="H267" s="252" t="str">
        <f t="shared" si="435"/>
        <v xml:space="preserve"> </v>
      </c>
      <c r="I267" s="255" t="str">
        <f>VLOOKUP(A267,ScaledPrice,(IF(AND('Pricing Inputs'!$AQ$3&gt;=1,'Pricing Inputs'!$AQ$3&lt;=6),2,4)))</f>
        <v xml:space="preserve"> </v>
      </c>
      <c r="J267" s="255" t="str">
        <f>IF(A267="N/A"," ",IF(AND('Pricing Inputs'!$AQ$3&gt;=1,'Pricing Inputs'!$AQ$3&lt;=6),I267,(VLOOKUP(A267,ScaledPrice,2))*(2-(VLOOKUP(A267,ScaledPrice,3)))))</f>
        <v xml:space="preserve"> </v>
      </c>
      <c r="K267" s="255" t="str">
        <f>IF(A267="N/A"," ",IF(OR('Pricing Inputs'!$AQ$3=2,'Pricing Inputs'!$AQ$3=3,'Pricing Inputs'!$AQ$3=5,'Pricing Inputs'!$AQ$3=6,'Pricing Inputs'!$AQ$3=8,'Pricing Inputs'!$AQ$3=9),VLOOKUP(A267,ScaledPrice,IF(AND('Pricing Inputs'!$AQ$3&gt;=2,'Pricing Inputs'!$AQ$3&lt;=6),5,6)),0))</f>
        <v xml:space="preserve"> </v>
      </c>
      <c r="L267" s="255" t="str">
        <f>IF(A267="N/A"," ",IF(OR('Pricing Inputs'!$AQ$3=2,'Pricing Inputs'!$AQ$3=3,'Pricing Inputs'!$AQ$3=5,'Pricing Inputs'!$AQ$3=6,'Pricing Inputs'!$AQ$3=8,'Pricing Inputs'!$AQ$3=9),IF(AND('Pricing Inputs'!$AQ$3&gt;=2,'Pricing Inputs'!$AQ$3&lt;=6),K267,(VLOOKUP(A267,ScaledPrice,5))*(2-(VLOOKUP(A267,ScaledPrice,3)))),0))</f>
        <v xml:space="preserve"> </v>
      </c>
      <c r="M267" s="255" t="str">
        <f>IF(A267="N/A"," ",IF(OR('Pricing Inputs'!$AQ$3=3,'Pricing Inputs'!$AQ$3=6,'Pricing Inputs'!$AQ$3=9),(VLOOKUP(A267,ScaledPrice,IF(AND('Pricing Inputs'!$AQ$3&gt;=3,'Pricing Inputs'!$AQ$3&lt;=6),7,8))),0))</f>
        <v xml:space="preserve"> </v>
      </c>
      <c r="N267" s="255" t="str">
        <f>IF(A267="N/A"," ",IF(OR('Pricing Inputs'!$AQ$3=3,'Pricing Inputs'!$AQ$3=6,'Pricing Inputs'!$AQ$3=9),IF(AND('Pricing Inputs'!$AQ$3&gt;=3,'Pricing Inputs'!$AQ$3&lt;=6),M267,(VLOOKUP(A267,ScaledPrice,7))*(2-(VLOOKUP(A267,ScaledPrice,3)))),0))</f>
        <v xml:space="preserve"> </v>
      </c>
      <c r="O267" s="255" t="str">
        <f>IF(A267="N/A"," ",IF(AND('Pricing Inputs'!$AQ$3&gt;=1,'Pricing Inputs'!$AQ$3&lt;=3),VLOOKUP(A267,ScaledPrice,9),0))</f>
        <v xml:space="preserve"> </v>
      </c>
      <c r="P267" s="320" t="str">
        <f>IF($A267="N/A"," ",IF('Pricing Inputs'!$AN$8=2,(I267-H267),IF('Pricing Inputs'!$AN$3=2,IF((I267-$H267)&gt;0,I267-$H267,0),(_xll.xSPRDOPT(I267,$E267,$BU267,0,$BP267,$BS267,$BT267,($A267-Inputs!$D$1)+15,1,0)))))</f>
        <v xml:space="preserve"> </v>
      </c>
      <c r="Q267" s="320" t="str">
        <f>IF($A267="N/A"," ",IF('Pricing Inputs'!$AN$8=2,(J267-$H267),IF('Pricing Inputs'!$AN$3=2,IF((J267-$H267)&gt;0,J267-$H267,0),(_xll.xSPRDOPT(J267,$E267,$BU267,0,$BP267,$BS267,$BT267,($A267-Inputs!$D$1)+15,1,0)))))</f>
        <v xml:space="preserve"> </v>
      </c>
      <c r="R267" s="320" t="str">
        <f>IF($A267="N/A"," ",IF('Pricing Inputs'!$AN$8=2,(K267-$H267),IF('Pricing Inputs'!$AN$3=2,IF((K267-$H267)&gt;0,K267-$H267,0),(_xll.xSPRDOPT(K267,$E267,$BU267,0,$BP267,$BS267,$BT267,($A267-Inputs!$D$1)+15,1,0)))))</f>
        <v xml:space="preserve"> </v>
      </c>
      <c r="S267" s="320" t="str">
        <f>IF($A267="N/A"," ",IF('Pricing Inputs'!$AN$8=2,(L267-$H267),IF('Pricing Inputs'!$AN$3=2,IF((L267-$H267)&gt;0,L267-$H267,0),(_xll.xSPRDOPT(L267,$E267,$BU267,0,$BP267,$BS267,$BT267,($A267-Inputs!$D$1)+15,1,0)))))</f>
        <v xml:space="preserve"> </v>
      </c>
      <c r="T267" s="320" t="str">
        <f>IF($A267="N/A"," ",IF('Pricing Inputs'!$AN$8=2,(M267-$H267),IF('Pricing Inputs'!$AN$3=2,IF((M267-$H267)&gt;0,M267-$H267,0),(_xll.xSPRDOPT(M267,$E267,$BU267,0,$BP267,$BS267,$BT267,($A267-Inputs!$D$1)+15,1,0)))))</f>
        <v xml:space="preserve"> </v>
      </c>
      <c r="U267" s="320" t="str">
        <f>IF($A267="N/A"," ",IF('Pricing Inputs'!$AN$8=2,(N267-$H267),IF('Pricing Inputs'!$AN$3=2,IF((N267-$H267)&gt;0,N267-$H267,0),(_xll.xSPRDOPT(N267,$E267,$BU267,0,$BP267,$BS267,$BT267,($A267-Inputs!$D$1)+15,1,0)))))</f>
        <v xml:space="preserve"> </v>
      </c>
      <c r="V267" s="259" t="str">
        <f>IF($A267="N/A"," ",(IF('Pricing Inputs'!$AN$8=2,(O267-$H267),IF((O267-$H267)&lt;=0,0,(O267-$H267)))))</f>
        <v xml:space="preserve"> </v>
      </c>
      <c r="AK267" s="229"/>
      <c r="AL267" s="229"/>
      <c r="AM267" s="229"/>
      <c r="AN267" s="229"/>
      <c r="AO267" s="229"/>
      <c r="AP267" s="229"/>
      <c r="AQ267" s="229"/>
      <c r="AR267" s="229"/>
      <c r="BA267" s="267" t="str">
        <f>IF($A267="N/A"," ",(IF(MONTH(A267)&gt;=4,IF(MONTH(A267)&lt;=10,Inputs!$F$13,Inputs!$F$14),Inputs!$F$14))*$BW267)</f>
        <v xml:space="preserve"> </v>
      </c>
      <c r="BN267" s="405" t="str">
        <f>IF(A267="N/A"," ",(VLOOKUP(A267,PowerVolTable,(IF('Pricing Inputs'!$AT$3=2,7,IF('Pricing Inputs'!$AT$3=1,6,8))),FALSE)))</f>
        <v xml:space="preserve"> </v>
      </c>
      <c r="BO267" s="405" t="str">
        <f>IF(A267="N/A"," ",(VLOOKUP(A267,IntraPowerVol,(IF('Pricing Inputs'!$AT$3=2,3,IF('Pricing Inputs'!$AT$3=1,2,4))),FALSE)*VLOOKUP(MONTH($A267),Inputs!$A$28:$B$39,2)))</f>
        <v xml:space="preserve"> </v>
      </c>
      <c r="BP267" s="406" t="str">
        <f t="shared" si="430"/>
        <v xml:space="preserve"> </v>
      </c>
      <c r="BQ267" s="405" t="str">
        <f>IF($A267="N/A"," ",(VLOOKUP($A267,GasVolTable,(IF('Pricing Inputs'!$AT$3=2,6,IF('Pricing Inputs'!$AT$3=1,7,5))),FALSE)))</f>
        <v xml:space="preserve"> </v>
      </c>
      <c r="BR267" s="405" t="str">
        <f>IF($A267="N/A"," ",(VLOOKUP($A267,OmicronVol,(IF('Pricing Inputs'!$AT$3=2,3,IF('Pricing Inputs'!$AT$3=1,4,2))),FALSE)))</f>
        <v xml:space="preserve"> </v>
      </c>
      <c r="BS267" s="406" t="str">
        <f>IF($A267="N/A"," ",IF('Pricing Inputs'!$AN$3=1,(IF(DateToday&gt;$A267,$BR267,((($BQ267^2)*((($A267-1)-DateToday)/((EOMONTH($A267,0)+1)-DateToday-15)))+((($BR267)^2)*((15)/((EOMONTH($A267,0)+1)-DateToday-15))))^0.5)),0.0001))</f>
        <v xml:space="preserve"> </v>
      </c>
      <c r="BT267" s="405" t="str">
        <f>IF($A267="N/A"," ",IF('Pricing Inputs'!$AN$3=1,(VLOOKUP($A267,CorrelationTable,2,FALSE)),0))</f>
        <v xml:space="preserve"> </v>
      </c>
      <c r="BU267" s="407" t="str">
        <f>IF($A267="N/A"," ",F267+G267+(D267*(VLOOKUP($A267,'Gas Curves'!$B$17:$P$310,14,FALSE))))</f>
        <v xml:space="preserve"> </v>
      </c>
      <c r="BV267" s="405" t="str">
        <f>IF($A267="N/A"," ",IF('Pricing Inputs'!$AW$3=1,0,(VLOOKUP($A267,InterestRatesTable,2))))</f>
        <v xml:space="preserve"> </v>
      </c>
      <c r="BW267" s="408" t="str">
        <f t="shared" si="431"/>
        <v xml:space="preserve"> </v>
      </c>
    </row>
    <row r="268" spans="1:75">
      <c r="A268" s="248" t="str">
        <f>IF(A267="N/A","N/A",IF(EDATE(A267,1)&gt;Inputs!$K$3,"N/A",EDATE(A267,1)))</f>
        <v>N/A</v>
      </c>
      <c r="B268" s="262" t="str">
        <f t="shared" si="432"/>
        <v xml:space="preserve"> </v>
      </c>
      <c r="C268" s="249" t="str">
        <f t="shared" si="433"/>
        <v xml:space="preserve"> </v>
      </c>
      <c r="D268" s="250" t="str">
        <f>IF(A268="N/A"," ",(VLOOKUP(MONTH($A268),Inputs!$A$14:$B$25,2))/1000)</f>
        <v xml:space="preserve"> </v>
      </c>
      <c r="E268" s="304" t="str">
        <f t="shared" si="434"/>
        <v xml:space="preserve"> </v>
      </c>
      <c r="F268" s="251" t="str">
        <f>IF(A268="N/A"," ",Inputs!$F$6)</f>
        <v xml:space="preserve"> </v>
      </c>
      <c r="G268" s="251" t="str">
        <f>IF(A268="N/A"," ",Inputs!$F$9/IF(AND('Pricing Inputs'!$AQ$3&gt;=4,'Pricing Inputs'!$AQ$3&lt;=6),16,IF(AND('Pricing Inputs'!$AQ$3&gt;=7,'Pricing Inputs'!$AQ$3&lt;=9),8,24))/(BA268/BW268))</f>
        <v xml:space="preserve"> </v>
      </c>
      <c r="H268" s="252" t="str">
        <f t="shared" si="435"/>
        <v xml:space="preserve"> </v>
      </c>
      <c r="I268" s="255" t="str">
        <f>VLOOKUP(A268,ScaledPrice,(IF(AND('Pricing Inputs'!$AQ$3&gt;=1,'Pricing Inputs'!$AQ$3&lt;=6),2,4)))</f>
        <v xml:space="preserve"> </v>
      </c>
      <c r="J268" s="255" t="str">
        <f>IF(A268="N/A"," ",IF(AND('Pricing Inputs'!$AQ$3&gt;=1,'Pricing Inputs'!$AQ$3&lt;=6),I268,(VLOOKUP(A268,ScaledPrice,2))*(2-(VLOOKUP(A268,ScaledPrice,3)))))</f>
        <v xml:space="preserve"> </v>
      </c>
      <c r="K268" s="255" t="str">
        <f>IF(A268="N/A"," ",IF(OR('Pricing Inputs'!$AQ$3=2,'Pricing Inputs'!$AQ$3=3,'Pricing Inputs'!$AQ$3=5,'Pricing Inputs'!$AQ$3=6,'Pricing Inputs'!$AQ$3=8,'Pricing Inputs'!$AQ$3=9),VLOOKUP(A268,ScaledPrice,IF(AND('Pricing Inputs'!$AQ$3&gt;=2,'Pricing Inputs'!$AQ$3&lt;=6),5,6)),0))</f>
        <v xml:space="preserve"> </v>
      </c>
      <c r="L268" s="255" t="str">
        <f>IF(A268="N/A"," ",IF(OR('Pricing Inputs'!$AQ$3=2,'Pricing Inputs'!$AQ$3=3,'Pricing Inputs'!$AQ$3=5,'Pricing Inputs'!$AQ$3=6,'Pricing Inputs'!$AQ$3=8,'Pricing Inputs'!$AQ$3=9),IF(AND('Pricing Inputs'!$AQ$3&gt;=2,'Pricing Inputs'!$AQ$3&lt;=6),K268,(VLOOKUP(A268,ScaledPrice,5))*(2-(VLOOKUP(A268,ScaledPrice,3)))),0))</f>
        <v xml:space="preserve"> </v>
      </c>
      <c r="M268" s="255" t="str">
        <f>IF(A268="N/A"," ",IF(OR('Pricing Inputs'!$AQ$3=3,'Pricing Inputs'!$AQ$3=6,'Pricing Inputs'!$AQ$3=9),(VLOOKUP(A268,ScaledPrice,IF(AND('Pricing Inputs'!$AQ$3&gt;=3,'Pricing Inputs'!$AQ$3&lt;=6),7,8))),0))</f>
        <v xml:space="preserve"> </v>
      </c>
      <c r="N268" s="255" t="str">
        <f>IF(A268="N/A"," ",IF(OR('Pricing Inputs'!$AQ$3=3,'Pricing Inputs'!$AQ$3=6,'Pricing Inputs'!$AQ$3=9),IF(AND('Pricing Inputs'!$AQ$3&gt;=3,'Pricing Inputs'!$AQ$3&lt;=6),M268,(VLOOKUP(A268,ScaledPrice,7))*(2-(VLOOKUP(A268,ScaledPrice,3)))),0))</f>
        <v xml:space="preserve"> </v>
      </c>
      <c r="O268" s="255" t="str">
        <f>IF(A268="N/A"," ",IF(AND('Pricing Inputs'!$AQ$3&gt;=1,'Pricing Inputs'!$AQ$3&lt;=3),VLOOKUP(A268,ScaledPrice,9),0))</f>
        <v xml:space="preserve"> </v>
      </c>
      <c r="P268" s="320" t="str">
        <f>IF($A268="N/A"," ",IF('Pricing Inputs'!$AN$8=2,(I268-H268),IF('Pricing Inputs'!$AN$3=2,IF((I268-$H268)&gt;0,I268-$H268,0),(_xll.xSPRDOPT(I268,$E268,$BU268,0,$BP268,$BS268,$BT268,($A268-Inputs!$D$1)+15,1,0)))))</f>
        <v xml:space="preserve"> </v>
      </c>
      <c r="Q268" s="320" t="str">
        <f>IF($A268="N/A"," ",IF('Pricing Inputs'!$AN$8=2,(J268-$H268),IF('Pricing Inputs'!$AN$3=2,IF((J268-$H268)&gt;0,J268-$H268,0),(_xll.xSPRDOPT(J268,$E268,$BU268,0,$BP268,$BS268,$BT268,($A268-Inputs!$D$1)+15,1,0)))))</f>
        <v xml:space="preserve"> </v>
      </c>
      <c r="R268" s="320" t="str">
        <f>IF($A268="N/A"," ",IF('Pricing Inputs'!$AN$8=2,(K268-$H268),IF('Pricing Inputs'!$AN$3=2,IF((K268-$H268)&gt;0,K268-$H268,0),(_xll.xSPRDOPT(K268,$E268,$BU268,0,$BP268,$BS268,$BT268,($A268-Inputs!$D$1)+15,1,0)))))</f>
        <v xml:space="preserve"> </v>
      </c>
      <c r="S268" s="320" t="str">
        <f>IF($A268="N/A"," ",IF('Pricing Inputs'!$AN$8=2,(L268-$H268),IF('Pricing Inputs'!$AN$3=2,IF((L268-$H268)&gt;0,L268-$H268,0),(_xll.xSPRDOPT(L268,$E268,$BU268,0,$BP268,$BS268,$BT268,($A268-Inputs!$D$1)+15,1,0)))))</f>
        <v xml:space="preserve"> </v>
      </c>
      <c r="T268" s="320" t="str">
        <f>IF($A268="N/A"," ",IF('Pricing Inputs'!$AN$8=2,(M268-$H268),IF('Pricing Inputs'!$AN$3=2,IF((M268-$H268)&gt;0,M268-$H268,0),(_xll.xSPRDOPT(M268,$E268,$BU268,0,$BP268,$BS268,$BT268,($A268-Inputs!$D$1)+15,1,0)))))</f>
        <v xml:space="preserve"> </v>
      </c>
      <c r="U268" s="320" t="str">
        <f>IF($A268="N/A"," ",IF('Pricing Inputs'!$AN$8=2,(N268-$H268),IF('Pricing Inputs'!$AN$3=2,IF((N268-$H268)&gt;0,N268-$H268,0),(_xll.xSPRDOPT(N268,$E268,$BU268,0,$BP268,$BS268,$BT268,($A268-Inputs!$D$1)+15,1,0)))))</f>
        <v xml:space="preserve"> </v>
      </c>
      <c r="V268" s="259" t="str">
        <f>IF($A268="N/A"," ",(IF('Pricing Inputs'!$AN$8=2,(O268-$H268),IF((O268-$H268)&lt;=0,0,(O268-$H268)))))</f>
        <v xml:space="preserve"> </v>
      </c>
      <c r="AK268" s="229"/>
      <c r="AL268" s="229"/>
      <c r="AM268" s="229"/>
      <c r="AN268" s="229"/>
      <c r="AO268" s="229"/>
      <c r="AP268" s="229"/>
      <c r="AQ268" s="229"/>
      <c r="AR268" s="229"/>
      <c r="BA268" s="267" t="str">
        <f>IF($A268="N/A"," ",(IF(MONTH(A268)&gt;=4,IF(MONTH(A268)&lt;=10,Inputs!$F$13,Inputs!$F$14),Inputs!$F$14))*$BW268)</f>
        <v xml:space="preserve"> </v>
      </c>
      <c r="BN268" s="405" t="str">
        <f>IF(A268="N/A"," ",(VLOOKUP(A268,PowerVolTable,(IF('Pricing Inputs'!$AT$3=2,7,IF('Pricing Inputs'!$AT$3=1,6,8))),FALSE)))</f>
        <v xml:space="preserve"> </v>
      </c>
      <c r="BO268" s="405" t="str">
        <f>IF(A268="N/A"," ",(VLOOKUP(A268,IntraPowerVol,(IF('Pricing Inputs'!$AT$3=2,3,IF('Pricing Inputs'!$AT$3=1,2,4))),FALSE)*VLOOKUP(MONTH($A268),Inputs!$A$28:$B$39,2)))</f>
        <v xml:space="preserve"> </v>
      </c>
      <c r="BP268" s="406" t="str">
        <f t="shared" si="430"/>
        <v xml:space="preserve"> </v>
      </c>
      <c r="BQ268" s="405" t="str">
        <f>IF($A268="N/A"," ",(VLOOKUP($A268,GasVolTable,(IF('Pricing Inputs'!$AT$3=2,6,IF('Pricing Inputs'!$AT$3=1,7,5))),FALSE)))</f>
        <v xml:space="preserve"> </v>
      </c>
      <c r="BR268" s="405" t="str">
        <f>IF($A268="N/A"," ",(VLOOKUP($A268,OmicronVol,(IF('Pricing Inputs'!$AT$3=2,3,IF('Pricing Inputs'!$AT$3=1,4,2))),FALSE)))</f>
        <v xml:space="preserve"> </v>
      </c>
      <c r="BS268" s="406" t="str">
        <f>IF($A268="N/A"," ",IF('Pricing Inputs'!$AN$3=1,(IF(DateToday&gt;$A268,$BR268,((($BQ268^2)*((($A268-1)-DateToday)/((EOMONTH($A268,0)+1)-DateToday-15)))+((($BR268)^2)*((15)/((EOMONTH($A268,0)+1)-DateToday-15))))^0.5)),0.0001))</f>
        <v xml:space="preserve"> </v>
      </c>
      <c r="BT268" s="405" t="str">
        <f>IF($A268="N/A"," ",IF('Pricing Inputs'!$AN$3=1,(VLOOKUP($A268,CorrelationTable,2,FALSE)),0))</f>
        <v xml:space="preserve"> </v>
      </c>
      <c r="BU268" s="407" t="str">
        <f>IF($A268="N/A"," ",F268+G268+(D268*(VLOOKUP($A268,'Gas Curves'!$B$17:$P$310,14,FALSE))))</f>
        <v xml:space="preserve"> </v>
      </c>
      <c r="BV268" s="405" t="str">
        <f>IF($A268="N/A"," ",IF('Pricing Inputs'!$AW$3=1,0,(VLOOKUP($A268,InterestRatesTable,2))))</f>
        <v xml:space="preserve"> </v>
      </c>
      <c r="BW268" s="408" t="str">
        <f t="shared" si="431"/>
        <v xml:space="preserve"> </v>
      </c>
    </row>
    <row r="269" spans="1:75">
      <c r="A269" s="248" t="str">
        <f>IF(A268="N/A","N/A",IF(EDATE(A268,1)&gt;Inputs!$K$3,"N/A",EDATE(A268,1)))</f>
        <v>N/A</v>
      </c>
      <c r="B269" s="262" t="str">
        <f t="shared" si="432"/>
        <v xml:space="preserve"> </v>
      </c>
      <c r="C269" s="249" t="str">
        <f t="shared" si="433"/>
        <v xml:space="preserve"> </v>
      </c>
      <c r="D269" s="250" t="str">
        <f>IF(A269="N/A"," ",(VLOOKUP(MONTH($A269),Inputs!$A$14:$B$25,2))/1000)</f>
        <v xml:space="preserve"> </v>
      </c>
      <c r="E269" s="304" t="str">
        <f t="shared" si="434"/>
        <v xml:space="preserve"> </v>
      </c>
      <c r="F269" s="251" t="str">
        <f>IF(A269="N/A"," ",Inputs!$F$6)</f>
        <v xml:space="preserve"> </v>
      </c>
      <c r="G269" s="251" t="str">
        <f>IF(A269="N/A"," ",Inputs!$F$9/IF(AND('Pricing Inputs'!$AQ$3&gt;=4,'Pricing Inputs'!$AQ$3&lt;=6),16,IF(AND('Pricing Inputs'!$AQ$3&gt;=7,'Pricing Inputs'!$AQ$3&lt;=9),8,24))/(BA269/BW269))</f>
        <v xml:space="preserve"> </v>
      </c>
      <c r="H269" s="252" t="str">
        <f t="shared" si="435"/>
        <v xml:space="preserve"> </v>
      </c>
      <c r="I269" s="255" t="str">
        <f>VLOOKUP(A269,ScaledPrice,(IF(AND('Pricing Inputs'!$AQ$3&gt;=1,'Pricing Inputs'!$AQ$3&lt;=6),2,4)))</f>
        <v xml:space="preserve"> </v>
      </c>
      <c r="J269" s="255" t="str">
        <f>IF(A269="N/A"," ",IF(AND('Pricing Inputs'!$AQ$3&gt;=1,'Pricing Inputs'!$AQ$3&lt;=6),I269,(VLOOKUP(A269,ScaledPrice,2))*(2-(VLOOKUP(A269,ScaledPrice,3)))))</f>
        <v xml:space="preserve"> </v>
      </c>
      <c r="K269" s="255" t="str">
        <f>IF(A269="N/A"," ",IF(OR('Pricing Inputs'!$AQ$3=2,'Pricing Inputs'!$AQ$3=3,'Pricing Inputs'!$AQ$3=5,'Pricing Inputs'!$AQ$3=6,'Pricing Inputs'!$AQ$3=8,'Pricing Inputs'!$AQ$3=9),VLOOKUP(A269,ScaledPrice,IF(AND('Pricing Inputs'!$AQ$3&gt;=2,'Pricing Inputs'!$AQ$3&lt;=6),5,6)),0))</f>
        <v xml:space="preserve"> </v>
      </c>
      <c r="L269" s="255" t="str">
        <f>IF(A269="N/A"," ",IF(OR('Pricing Inputs'!$AQ$3=2,'Pricing Inputs'!$AQ$3=3,'Pricing Inputs'!$AQ$3=5,'Pricing Inputs'!$AQ$3=6,'Pricing Inputs'!$AQ$3=8,'Pricing Inputs'!$AQ$3=9),IF(AND('Pricing Inputs'!$AQ$3&gt;=2,'Pricing Inputs'!$AQ$3&lt;=6),K269,(VLOOKUP(A269,ScaledPrice,5))*(2-(VLOOKUP(A269,ScaledPrice,3)))),0))</f>
        <v xml:space="preserve"> </v>
      </c>
      <c r="M269" s="255" t="str">
        <f>IF(A269="N/A"," ",IF(OR('Pricing Inputs'!$AQ$3=3,'Pricing Inputs'!$AQ$3=6,'Pricing Inputs'!$AQ$3=9),(VLOOKUP(A269,ScaledPrice,IF(AND('Pricing Inputs'!$AQ$3&gt;=3,'Pricing Inputs'!$AQ$3&lt;=6),7,8))),0))</f>
        <v xml:space="preserve"> </v>
      </c>
      <c r="N269" s="255" t="str">
        <f>IF(A269="N/A"," ",IF(OR('Pricing Inputs'!$AQ$3=3,'Pricing Inputs'!$AQ$3=6,'Pricing Inputs'!$AQ$3=9),IF(AND('Pricing Inputs'!$AQ$3&gt;=3,'Pricing Inputs'!$AQ$3&lt;=6),M269,(VLOOKUP(A269,ScaledPrice,7))*(2-(VLOOKUP(A269,ScaledPrice,3)))),0))</f>
        <v xml:space="preserve"> </v>
      </c>
      <c r="O269" s="255" t="str">
        <f>IF(A269="N/A"," ",IF(AND('Pricing Inputs'!$AQ$3&gt;=1,'Pricing Inputs'!$AQ$3&lt;=3),VLOOKUP(A269,ScaledPrice,9),0))</f>
        <v xml:space="preserve"> </v>
      </c>
      <c r="P269" s="320" t="str">
        <f>IF($A269="N/A"," ",IF('Pricing Inputs'!$AN$8=2,(I269-H269),IF('Pricing Inputs'!$AN$3=2,IF((I269-$H269)&gt;0,I269-$H269,0),(_xll.xSPRDOPT(I269,$E269,$BU269,0,$BP269,$BS269,$BT269,($A269-Inputs!$D$1)+15,1,0)))))</f>
        <v xml:space="preserve"> </v>
      </c>
      <c r="Q269" s="320" t="str">
        <f>IF($A269="N/A"," ",IF('Pricing Inputs'!$AN$8=2,(J269-$H269),IF('Pricing Inputs'!$AN$3=2,IF((J269-$H269)&gt;0,J269-$H269,0),(_xll.xSPRDOPT(J269,$E269,$BU269,0,$BP269,$BS269,$BT269,($A269-Inputs!$D$1)+15,1,0)))))</f>
        <v xml:space="preserve"> </v>
      </c>
      <c r="R269" s="320" t="str">
        <f>IF($A269="N/A"," ",IF('Pricing Inputs'!$AN$8=2,(K269-$H269),IF('Pricing Inputs'!$AN$3=2,IF((K269-$H269)&gt;0,K269-$H269,0),(_xll.xSPRDOPT(K269,$E269,$BU269,0,$BP269,$BS269,$BT269,($A269-Inputs!$D$1)+15,1,0)))))</f>
        <v xml:space="preserve"> </v>
      </c>
      <c r="S269" s="320" t="str">
        <f>IF($A269="N/A"," ",IF('Pricing Inputs'!$AN$8=2,(L269-$H269),IF('Pricing Inputs'!$AN$3=2,IF((L269-$H269)&gt;0,L269-$H269,0),(_xll.xSPRDOPT(L269,$E269,$BU269,0,$BP269,$BS269,$BT269,($A269-Inputs!$D$1)+15,1,0)))))</f>
        <v xml:space="preserve"> </v>
      </c>
      <c r="T269" s="320" t="str">
        <f>IF($A269="N/A"," ",IF('Pricing Inputs'!$AN$8=2,(M269-$H269),IF('Pricing Inputs'!$AN$3=2,IF((M269-$H269)&gt;0,M269-$H269,0),(_xll.xSPRDOPT(M269,$E269,$BU269,0,$BP269,$BS269,$BT269,($A269-Inputs!$D$1)+15,1,0)))))</f>
        <v xml:space="preserve"> </v>
      </c>
      <c r="U269" s="320" t="str">
        <f>IF($A269="N/A"," ",IF('Pricing Inputs'!$AN$8=2,(N269-$H269),IF('Pricing Inputs'!$AN$3=2,IF((N269-$H269)&gt;0,N269-$H269,0),(_xll.xSPRDOPT(N269,$E269,$BU269,0,$BP269,$BS269,$BT269,($A269-Inputs!$D$1)+15,1,0)))))</f>
        <v xml:space="preserve"> </v>
      </c>
      <c r="V269" s="259" t="str">
        <f>IF($A269="N/A"," ",(IF('Pricing Inputs'!$AN$8=2,(O269-$H269),IF((O269-$H269)&lt;=0,0,(O269-$H269)))))</f>
        <v xml:space="preserve"> </v>
      </c>
      <c r="AK269" s="229"/>
      <c r="AL269" s="229"/>
      <c r="AM269" s="229"/>
      <c r="AN269" s="229"/>
      <c r="AO269" s="229"/>
      <c r="AP269" s="229"/>
      <c r="AQ269" s="229"/>
      <c r="AR269" s="229"/>
      <c r="BA269" s="267" t="str">
        <f>IF($A269="N/A"," ",(IF(MONTH(A269)&gt;=4,IF(MONTH(A269)&lt;=10,Inputs!$F$13,Inputs!$F$14),Inputs!$F$14))*$BW269)</f>
        <v xml:space="preserve"> </v>
      </c>
      <c r="BN269" s="405" t="str">
        <f>IF(A269="N/A"," ",(VLOOKUP(A269,PowerVolTable,(IF('Pricing Inputs'!$AT$3=2,7,IF('Pricing Inputs'!$AT$3=1,6,8))),FALSE)))</f>
        <v xml:space="preserve"> </v>
      </c>
      <c r="BO269" s="405" t="str">
        <f>IF(A269="N/A"," ",(VLOOKUP(A269,IntraPowerVol,(IF('Pricing Inputs'!$AT$3=2,3,IF('Pricing Inputs'!$AT$3=1,2,4))),FALSE)*VLOOKUP(MONTH($A269),Inputs!$A$28:$B$39,2)))</f>
        <v xml:space="preserve"> </v>
      </c>
      <c r="BP269" s="406" t="str">
        <f t="shared" si="430"/>
        <v xml:space="preserve"> </v>
      </c>
      <c r="BQ269" s="405" t="str">
        <f>IF($A269="N/A"," ",(VLOOKUP($A269,GasVolTable,(IF('Pricing Inputs'!$AT$3=2,6,IF('Pricing Inputs'!$AT$3=1,7,5))),FALSE)))</f>
        <v xml:space="preserve"> </v>
      </c>
      <c r="BR269" s="405" t="str">
        <f>IF($A269="N/A"," ",(VLOOKUP($A269,OmicronVol,(IF('Pricing Inputs'!$AT$3=2,3,IF('Pricing Inputs'!$AT$3=1,4,2))),FALSE)))</f>
        <v xml:space="preserve"> </v>
      </c>
      <c r="BS269" s="406" t="str">
        <f>IF($A269="N/A"," ",IF('Pricing Inputs'!$AN$3=1,(IF(DateToday&gt;$A269,$BR269,((($BQ269^2)*((($A269-1)-DateToday)/((EOMONTH($A269,0)+1)-DateToday-15)))+((($BR269)^2)*((15)/((EOMONTH($A269,0)+1)-DateToday-15))))^0.5)),0.0001))</f>
        <v xml:space="preserve"> </v>
      </c>
      <c r="BT269" s="405" t="str">
        <f>IF($A269="N/A"," ",IF('Pricing Inputs'!$AN$3=1,(VLOOKUP($A269,CorrelationTable,2,FALSE)),0))</f>
        <v xml:space="preserve"> </v>
      </c>
      <c r="BU269" s="407" t="str">
        <f>IF($A269="N/A"," ",F269+G269+(D269*(VLOOKUP($A269,'Gas Curves'!$B$17:$P$310,14,FALSE))))</f>
        <v xml:space="preserve"> </v>
      </c>
      <c r="BV269" s="405" t="str">
        <f>IF($A269="N/A"," ",IF('Pricing Inputs'!$AW$3=1,0,(VLOOKUP($A269,InterestRatesTable,2))))</f>
        <v xml:space="preserve"> </v>
      </c>
      <c r="BW269" s="408" t="str">
        <f t="shared" si="431"/>
        <v xml:space="preserve"> </v>
      </c>
    </row>
    <row r="270" spans="1:75">
      <c r="A270" s="248" t="str">
        <f>IF(A269="N/A","N/A",IF(EDATE(A269,1)&gt;Inputs!$K$3,"N/A",EDATE(A269,1)))</f>
        <v>N/A</v>
      </c>
      <c r="B270" s="262" t="str">
        <f t="shared" si="432"/>
        <v xml:space="preserve"> </v>
      </c>
      <c r="C270" s="249" t="str">
        <f t="shared" si="433"/>
        <v xml:space="preserve"> </v>
      </c>
      <c r="D270" s="250" t="str">
        <f>IF(A270="N/A"," ",(VLOOKUP(MONTH($A270),Inputs!$A$14:$B$25,2))/1000)</f>
        <v xml:space="preserve"> </v>
      </c>
      <c r="E270" s="304" t="str">
        <f t="shared" si="434"/>
        <v xml:space="preserve"> </v>
      </c>
      <c r="F270" s="251" t="str">
        <f>IF(A270="N/A"," ",Inputs!$F$6)</f>
        <v xml:space="preserve"> </v>
      </c>
      <c r="G270" s="251" t="str">
        <f>IF(A270="N/A"," ",Inputs!$F$9/IF(AND('Pricing Inputs'!$AQ$3&gt;=4,'Pricing Inputs'!$AQ$3&lt;=6),16,IF(AND('Pricing Inputs'!$AQ$3&gt;=7,'Pricing Inputs'!$AQ$3&lt;=9),8,24))/(BA270/BW270))</f>
        <v xml:space="preserve"> </v>
      </c>
      <c r="H270" s="252" t="str">
        <f t="shared" si="435"/>
        <v xml:space="preserve"> </v>
      </c>
      <c r="I270" s="255" t="str">
        <f>VLOOKUP(A270,ScaledPrice,(IF(AND('Pricing Inputs'!$AQ$3&gt;=1,'Pricing Inputs'!$AQ$3&lt;=6),2,4)))</f>
        <v xml:space="preserve"> </v>
      </c>
      <c r="J270" s="255" t="str">
        <f>IF(A270="N/A"," ",IF(AND('Pricing Inputs'!$AQ$3&gt;=1,'Pricing Inputs'!$AQ$3&lt;=6),I270,(VLOOKUP(A270,ScaledPrice,2))*(2-(VLOOKUP(A270,ScaledPrice,3)))))</f>
        <v xml:space="preserve"> </v>
      </c>
      <c r="K270" s="255" t="str">
        <f>IF(A270="N/A"," ",IF(OR('Pricing Inputs'!$AQ$3=2,'Pricing Inputs'!$AQ$3=3,'Pricing Inputs'!$AQ$3=5,'Pricing Inputs'!$AQ$3=6,'Pricing Inputs'!$AQ$3=8,'Pricing Inputs'!$AQ$3=9),VLOOKUP(A270,ScaledPrice,IF(AND('Pricing Inputs'!$AQ$3&gt;=2,'Pricing Inputs'!$AQ$3&lt;=6),5,6)),0))</f>
        <v xml:space="preserve"> </v>
      </c>
      <c r="L270" s="255" t="str">
        <f>IF(A270="N/A"," ",IF(OR('Pricing Inputs'!$AQ$3=2,'Pricing Inputs'!$AQ$3=3,'Pricing Inputs'!$AQ$3=5,'Pricing Inputs'!$AQ$3=6,'Pricing Inputs'!$AQ$3=8,'Pricing Inputs'!$AQ$3=9),IF(AND('Pricing Inputs'!$AQ$3&gt;=2,'Pricing Inputs'!$AQ$3&lt;=6),K270,(VLOOKUP(A270,ScaledPrice,5))*(2-(VLOOKUP(A270,ScaledPrice,3)))),0))</f>
        <v xml:space="preserve"> </v>
      </c>
      <c r="M270" s="255" t="str">
        <f>IF(A270="N/A"," ",IF(OR('Pricing Inputs'!$AQ$3=3,'Pricing Inputs'!$AQ$3=6,'Pricing Inputs'!$AQ$3=9),(VLOOKUP(A270,ScaledPrice,IF(AND('Pricing Inputs'!$AQ$3&gt;=3,'Pricing Inputs'!$AQ$3&lt;=6),7,8))),0))</f>
        <v xml:space="preserve"> </v>
      </c>
      <c r="N270" s="255" t="str">
        <f>IF(A270="N/A"," ",IF(OR('Pricing Inputs'!$AQ$3=3,'Pricing Inputs'!$AQ$3=6,'Pricing Inputs'!$AQ$3=9),IF(AND('Pricing Inputs'!$AQ$3&gt;=3,'Pricing Inputs'!$AQ$3&lt;=6),M270,(VLOOKUP(A270,ScaledPrice,7))*(2-(VLOOKUP(A270,ScaledPrice,3)))),0))</f>
        <v xml:space="preserve"> </v>
      </c>
      <c r="O270" s="255" t="str">
        <f>IF(A270="N/A"," ",IF(AND('Pricing Inputs'!$AQ$3&gt;=1,'Pricing Inputs'!$AQ$3&lt;=3),VLOOKUP(A270,ScaledPrice,9),0))</f>
        <v xml:space="preserve"> </v>
      </c>
      <c r="P270" s="320" t="str">
        <f>IF($A270="N/A"," ",IF('Pricing Inputs'!$AN$8=2,(I270-H270),IF('Pricing Inputs'!$AN$3=2,IF((I270-$H270)&gt;0,I270-$H270,0),(_xll.xSPRDOPT(I270,$E270,$BU270,0,$BP270,$BS270,$BT270,($A270-Inputs!$D$1)+15,1,0)))))</f>
        <v xml:space="preserve"> </v>
      </c>
      <c r="Q270" s="320" t="str">
        <f>IF($A270="N/A"," ",IF('Pricing Inputs'!$AN$8=2,(J270-$H270),IF('Pricing Inputs'!$AN$3=2,IF((J270-$H270)&gt;0,J270-$H270,0),(_xll.xSPRDOPT(J270,$E270,$BU270,0,$BP270,$BS270,$BT270,($A270-Inputs!$D$1)+15,1,0)))))</f>
        <v xml:space="preserve"> </v>
      </c>
      <c r="R270" s="320" t="str">
        <f>IF($A270="N/A"," ",IF('Pricing Inputs'!$AN$8=2,(K270-$H270),IF('Pricing Inputs'!$AN$3=2,IF((K270-$H270)&gt;0,K270-$H270,0),(_xll.xSPRDOPT(K270,$E270,$BU270,0,$BP270,$BS270,$BT270,($A270-Inputs!$D$1)+15,1,0)))))</f>
        <v xml:space="preserve"> </v>
      </c>
      <c r="S270" s="320" t="str">
        <f>IF($A270="N/A"," ",IF('Pricing Inputs'!$AN$8=2,(L270-$H270),IF('Pricing Inputs'!$AN$3=2,IF((L270-$H270)&gt;0,L270-$H270,0),(_xll.xSPRDOPT(L270,$E270,$BU270,0,$BP270,$BS270,$BT270,($A270-Inputs!$D$1)+15,1,0)))))</f>
        <v xml:space="preserve"> </v>
      </c>
      <c r="T270" s="320" t="str">
        <f>IF($A270="N/A"," ",IF('Pricing Inputs'!$AN$8=2,(M270-$H270),IF('Pricing Inputs'!$AN$3=2,IF((M270-$H270)&gt;0,M270-$H270,0),(_xll.xSPRDOPT(M270,$E270,$BU270,0,$BP270,$BS270,$BT270,($A270-Inputs!$D$1)+15,1,0)))))</f>
        <v xml:space="preserve"> </v>
      </c>
      <c r="U270" s="320" t="str">
        <f>IF($A270="N/A"," ",IF('Pricing Inputs'!$AN$8=2,(N270-$H270),IF('Pricing Inputs'!$AN$3=2,IF((N270-$H270)&gt;0,N270-$H270,0),(_xll.xSPRDOPT(N270,$E270,$BU270,0,$BP270,$BS270,$BT270,($A270-Inputs!$D$1)+15,1,0)))))</f>
        <v xml:space="preserve"> </v>
      </c>
      <c r="V270" s="259" t="str">
        <f>IF($A270="N/A"," ",(IF('Pricing Inputs'!$AN$8=2,(O270-$H270),IF((O270-$H270)&lt;=0,0,(O270-$H270)))))</f>
        <v xml:space="preserve"> </v>
      </c>
      <c r="AK270" s="229"/>
      <c r="AL270" s="229"/>
      <c r="AM270" s="229"/>
      <c r="AN270" s="229"/>
      <c r="AO270" s="229"/>
      <c r="AP270" s="229"/>
      <c r="AQ270" s="229"/>
      <c r="AR270" s="229"/>
      <c r="BA270" s="267" t="str">
        <f>IF($A270="N/A"," ",(IF(MONTH(A270)&gt;=4,IF(MONTH(A270)&lt;=10,Inputs!$F$13,Inputs!$F$14),Inputs!$F$14))*$BW270)</f>
        <v xml:space="preserve"> </v>
      </c>
      <c r="BN270" s="405" t="str">
        <f>IF(A270="N/A"," ",(VLOOKUP(A270,PowerVolTable,(IF('Pricing Inputs'!$AT$3=2,7,IF('Pricing Inputs'!$AT$3=1,6,8))),FALSE)))</f>
        <v xml:space="preserve"> </v>
      </c>
      <c r="BO270" s="405" t="str">
        <f>IF(A270="N/A"," ",(VLOOKUP(A270,IntraPowerVol,(IF('Pricing Inputs'!$AT$3=2,3,IF('Pricing Inputs'!$AT$3=1,2,4))),FALSE)*VLOOKUP(MONTH($A270),Inputs!$A$28:$B$39,2)))</f>
        <v xml:space="preserve"> </v>
      </c>
      <c r="BP270" s="406" t="str">
        <f t="shared" si="430"/>
        <v xml:space="preserve"> </v>
      </c>
      <c r="BQ270" s="405" t="str">
        <f>IF($A270="N/A"," ",(VLOOKUP($A270,GasVolTable,(IF('Pricing Inputs'!$AT$3=2,6,IF('Pricing Inputs'!$AT$3=1,7,5))),FALSE)))</f>
        <v xml:space="preserve"> </v>
      </c>
      <c r="BR270" s="405" t="str">
        <f>IF($A270="N/A"," ",(VLOOKUP($A270,OmicronVol,(IF('Pricing Inputs'!$AT$3=2,3,IF('Pricing Inputs'!$AT$3=1,4,2))),FALSE)))</f>
        <v xml:space="preserve"> </v>
      </c>
      <c r="BS270" s="406" t="str">
        <f>IF($A270="N/A"," ",IF('Pricing Inputs'!$AN$3=1,(IF(DateToday&gt;$A270,$BR270,((($BQ270^2)*((($A270-1)-DateToday)/((EOMONTH($A270,0)+1)-DateToday-15)))+((($BR270)^2)*((15)/((EOMONTH($A270,0)+1)-DateToday-15))))^0.5)),0.0001))</f>
        <v xml:space="preserve"> </v>
      </c>
      <c r="BT270" s="405" t="str">
        <f>IF($A270="N/A"," ",IF('Pricing Inputs'!$AN$3=1,(VLOOKUP($A270,CorrelationTable,2,FALSE)),0))</f>
        <v xml:space="preserve"> </v>
      </c>
      <c r="BU270" s="407" t="str">
        <f>IF($A270="N/A"," ",F270+G270+(D270*(VLOOKUP($A270,'Gas Curves'!$B$17:$P$310,14,FALSE))))</f>
        <v xml:space="preserve"> </v>
      </c>
      <c r="BV270" s="405" t="str">
        <f>IF($A270="N/A"," ",IF('Pricing Inputs'!$AW$3=1,0,(VLOOKUP($A270,InterestRatesTable,2))))</f>
        <v xml:space="preserve"> </v>
      </c>
      <c r="BW270" s="408" t="str">
        <f t="shared" si="431"/>
        <v xml:space="preserve"> </v>
      </c>
    </row>
    <row r="271" spans="1:75">
      <c r="A271" s="248" t="str">
        <f>IF(A270="N/A","N/A",IF(EDATE(A270,1)&gt;Inputs!$K$3,"N/A",EDATE(A270,1)))</f>
        <v>N/A</v>
      </c>
      <c r="B271" s="262" t="str">
        <f t="shared" si="432"/>
        <v xml:space="preserve"> </v>
      </c>
      <c r="C271" s="249" t="str">
        <f t="shared" si="433"/>
        <v xml:space="preserve"> </v>
      </c>
      <c r="D271" s="250" t="str">
        <f>IF(A271="N/A"," ",(VLOOKUP(MONTH($A271),Inputs!$A$14:$B$25,2))/1000)</f>
        <v xml:space="preserve"> </v>
      </c>
      <c r="E271" s="304" t="str">
        <f t="shared" si="434"/>
        <v xml:space="preserve"> </v>
      </c>
      <c r="F271" s="251" t="str">
        <f>IF(A271="N/A"," ",Inputs!$F$6)</f>
        <v xml:space="preserve"> </v>
      </c>
      <c r="G271" s="251" t="str">
        <f>IF(A271="N/A"," ",Inputs!$F$9/IF(AND('Pricing Inputs'!$AQ$3&gt;=4,'Pricing Inputs'!$AQ$3&lt;=6),16,IF(AND('Pricing Inputs'!$AQ$3&gt;=7,'Pricing Inputs'!$AQ$3&lt;=9),8,24))/(BA271/BW271))</f>
        <v xml:space="preserve"> </v>
      </c>
      <c r="H271" s="252" t="str">
        <f t="shared" si="435"/>
        <v xml:space="preserve"> </v>
      </c>
      <c r="I271" s="255" t="str">
        <f>VLOOKUP(A271,ScaledPrice,(IF(AND('Pricing Inputs'!$AQ$3&gt;=1,'Pricing Inputs'!$AQ$3&lt;=6),2,4)))</f>
        <v xml:space="preserve"> </v>
      </c>
      <c r="J271" s="255" t="str">
        <f>IF(A271="N/A"," ",IF(AND('Pricing Inputs'!$AQ$3&gt;=1,'Pricing Inputs'!$AQ$3&lt;=6),I271,(VLOOKUP(A271,ScaledPrice,2))*(2-(VLOOKUP(A271,ScaledPrice,3)))))</f>
        <v xml:space="preserve"> </v>
      </c>
      <c r="K271" s="255" t="str">
        <f>IF(A271="N/A"," ",IF(OR('Pricing Inputs'!$AQ$3=2,'Pricing Inputs'!$AQ$3=3,'Pricing Inputs'!$AQ$3=5,'Pricing Inputs'!$AQ$3=6,'Pricing Inputs'!$AQ$3=8,'Pricing Inputs'!$AQ$3=9),VLOOKUP(A271,ScaledPrice,IF(AND('Pricing Inputs'!$AQ$3&gt;=2,'Pricing Inputs'!$AQ$3&lt;=6),5,6)),0))</f>
        <v xml:space="preserve"> </v>
      </c>
      <c r="L271" s="255" t="str">
        <f>IF(A271="N/A"," ",IF(OR('Pricing Inputs'!$AQ$3=2,'Pricing Inputs'!$AQ$3=3,'Pricing Inputs'!$AQ$3=5,'Pricing Inputs'!$AQ$3=6,'Pricing Inputs'!$AQ$3=8,'Pricing Inputs'!$AQ$3=9),IF(AND('Pricing Inputs'!$AQ$3&gt;=2,'Pricing Inputs'!$AQ$3&lt;=6),K271,(VLOOKUP(A271,ScaledPrice,5))*(2-(VLOOKUP(A271,ScaledPrice,3)))),0))</f>
        <v xml:space="preserve"> </v>
      </c>
      <c r="M271" s="255" t="str">
        <f>IF(A271="N/A"," ",IF(OR('Pricing Inputs'!$AQ$3=3,'Pricing Inputs'!$AQ$3=6,'Pricing Inputs'!$AQ$3=9),(VLOOKUP(A271,ScaledPrice,IF(AND('Pricing Inputs'!$AQ$3&gt;=3,'Pricing Inputs'!$AQ$3&lt;=6),7,8))),0))</f>
        <v xml:space="preserve"> </v>
      </c>
      <c r="N271" s="255" t="str">
        <f>IF(A271="N/A"," ",IF(OR('Pricing Inputs'!$AQ$3=3,'Pricing Inputs'!$AQ$3=6,'Pricing Inputs'!$AQ$3=9),IF(AND('Pricing Inputs'!$AQ$3&gt;=3,'Pricing Inputs'!$AQ$3&lt;=6),M271,(VLOOKUP(A271,ScaledPrice,7))*(2-(VLOOKUP(A271,ScaledPrice,3)))),0))</f>
        <v xml:space="preserve"> </v>
      </c>
      <c r="O271" s="255" t="str">
        <f>IF(A271="N/A"," ",IF(AND('Pricing Inputs'!$AQ$3&gt;=1,'Pricing Inputs'!$AQ$3&lt;=3),VLOOKUP(A271,ScaledPrice,9),0))</f>
        <v xml:space="preserve"> </v>
      </c>
      <c r="P271" s="320" t="str">
        <f>IF($A271="N/A"," ",IF('Pricing Inputs'!$AN$8=2,(I271-H271),IF('Pricing Inputs'!$AN$3=2,IF((I271-$H271)&gt;0,I271-$H271,0),(_xll.xSPRDOPT(I271,$E271,$BU271,0,$BP271,$BS271,$BT271,($A271-Inputs!$D$1)+15,1,0)))))</f>
        <v xml:space="preserve"> </v>
      </c>
      <c r="Q271" s="320" t="str">
        <f>IF($A271="N/A"," ",IF('Pricing Inputs'!$AN$8=2,(J271-$H271),IF('Pricing Inputs'!$AN$3=2,IF((J271-$H271)&gt;0,J271-$H271,0),(_xll.xSPRDOPT(J271,$E271,$BU271,0,$BP271,$BS271,$BT271,($A271-Inputs!$D$1)+15,1,0)))))</f>
        <v xml:space="preserve"> </v>
      </c>
      <c r="R271" s="320" t="str">
        <f>IF($A271="N/A"," ",IF('Pricing Inputs'!$AN$8=2,(K271-$H271),IF('Pricing Inputs'!$AN$3=2,IF((K271-$H271)&gt;0,K271-$H271,0),(_xll.xSPRDOPT(K271,$E271,$BU271,0,$BP271,$BS271,$BT271,($A271-Inputs!$D$1)+15,1,0)))))</f>
        <v xml:space="preserve"> </v>
      </c>
      <c r="S271" s="320" t="str">
        <f>IF($A271="N/A"," ",IF('Pricing Inputs'!$AN$8=2,(L271-$H271),IF('Pricing Inputs'!$AN$3=2,IF((L271-$H271)&gt;0,L271-$H271,0),(_xll.xSPRDOPT(L271,$E271,$BU271,0,$BP271,$BS271,$BT271,($A271-Inputs!$D$1)+15,1,0)))))</f>
        <v xml:space="preserve"> </v>
      </c>
      <c r="T271" s="320" t="str">
        <f>IF($A271="N/A"," ",IF('Pricing Inputs'!$AN$8=2,(M271-$H271),IF('Pricing Inputs'!$AN$3=2,IF((M271-$H271)&gt;0,M271-$H271,0),(_xll.xSPRDOPT(M271,$E271,$BU271,0,$BP271,$BS271,$BT271,($A271-Inputs!$D$1)+15,1,0)))))</f>
        <v xml:space="preserve"> </v>
      </c>
      <c r="U271" s="320" t="str">
        <f>IF($A271="N/A"," ",IF('Pricing Inputs'!$AN$8=2,(N271-$H271),IF('Pricing Inputs'!$AN$3=2,IF((N271-$H271)&gt;0,N271-$H271,0),(_xll.xSPRDOPT(N271,$E271,$BU271,0,$BP271,$BS271,$BT271,($A271-Inputs!$D$1)+15,1,0)))))</f>
        <v xml:space="preserve"> </v>
      </c>
      <c r="V271" s="259" t="str">
        <f>IF($A271="N/A"," ",(IF('Pricing Inputs'!$AN$8=2,(O271-$H271),IF((O271-$H271)&lt;=0,0,(O271-$H271)))))</f>
        <v xml:space="preserve"> </v>
      </c>
      <c r="AK271" s="229"/>
      <c r="AL271" s="229"/>
      <c r="AM271" s="229"/>
      <c r="AN271" s="229"/>
      <c r="AO271" s="229"/>
      <c r="AP271" s="229"/>
      <c r="AQ271" s="229"/>
      <c r="AR271" s="229"/>
      <c r="BA271" s="267" t="str">
        <f>IF($A271="N/A"," ",(IF(MONTH(A271)&gt;=4,IF(MONTH(A271)&lt;=10,Inputs!$F$13,Inputs!$F$14),Inputs!$F$14))*$BW271)</f>
        <v xml:space="preserve"> </v>
      </c>
      <c r="BN271" s="405" t="str">
        <f>IF(A271="N/A"," ",(VLOOKUP(A271,PowerVolTable,(IF('Pricing Inputs'!$AT$3=2,7,IF('Pricing Inputs'!$AT$3=1,6,8))),FALSE)))</f>
        <v xml:space="preserve"> </v>
      </c>
      <c r="BO271" s="405" t="str">
        <f>IF(A271="N/A"," ",(VLOOKUP(A271,IntraPowerVol,(IF('Pricing Inputs'!$AT$3=2,3,IF('Pricing Inputs'!$AT$3=1,2,4))),FALSE)*VLOOKUP(MONTH($A271),Inputs!$A$28:$B$39,2)))</f>
        <v xml:space="preserve"> </v>
      </c>
      <c r="BP271" s="406" t="str">
        <f t="shared" si="430"/>
        <v xml:space="preserve"> </v>
      </c>
      <c r="BQ271" s="405" t="str">
        <f>IF($A271="N/A"," ",(VLOOKUP($A271,GasVolTable,(IF('Pricing Inputs'!$AT$3=2,6,IF('Pricing Inputs'!$AT$3=1,7,5))),FALSE)))</f>
        <v xml:space="preserve"> </v>
      </c>
      <c r="BR271" s="405" t="str">
        <f>IF($A271="N/A"," ",(VLOOKUP($A271,OmicronVol,(IF('Pricing Inputs'!$AT$3=2,3,IF('Pricing Inputs'!$AT$3=1,4,2))),FALSE)))</f>
        <v xml:space="preserve"> </v>
      </c>
      <c r="BS271" s="406" t="str">
        <f>IF($A271="N/A"," ",IF('Pricing Inputs'!$AN$3=1,(IF(DateToday&gt;$A271,$BR271,((($BQ271^2)*((($A271-1)-DateToday)/((EOMONTH($A271,0)+1)-DateToday-15)))+((($BR271)^2)*((15)/((EOMONTH($A271,0)+1)-DateToday-15))))^0.5)),0.0001))</f>
        <v xml:space="preserve"> </v>
      </c>
      <c r="BT271" s="405" t="str">
        <f>IF($A271="N/A"," ",IF('Pricing Inputs'!$AN$3=1,(VLOOKUP($A271,CorrelationTable,2,FALSE)),0))</f>
        <v xml:space="preserve"> </v>
      </c>
      <c r="BU271" s="407" t="str">
        <f>IF($A271="N/A"," ",F271+G271+(D271*(VLOOKUP($A271,'Gas Curves'!$B$17:$P$310,14,FALSE))))</f>
        <v xml:space="preserve"> </v>
      </c>
      <c r="BV271" s="405" t="str">
        <f>IF($A271="N/A"," ",IF('Pricing Inputs'!$AW$3=1,0,(VLOOKUP($A271,InterestRatesTable,2))))</f>
        <v xml:space="preserve"> </v>
      </c>
      <c r="BW271" s="408" t="str">
        <f t="shared" si="431"/>
        <v xml:space="preserve"> </v>
      </c>
    </row>
    <row r="272" spans="1:75">
      <c r="A272" s="248" t="str">
        <f>IF(A271="N/A","N/A",IF(EDATE(A271,1)&gt;Inputs!$K$3,"N/A",EDATE(A271,1)))</f>
        <v>N/A</v>
      </c>
      <c r="B272" s="262" t="str">
        <f t="shared" si="432"/>
        <v xml:space="preserve"> </v>
      </c>
      <c r="C272" s="249" t="str">
        <f t="shared" si="433"/>
        <v xml:space="preserve"> </v>
      </c>
      <c r="D272" s="250" t="str">
        <f>IF(A272="N/A"," ",(VLOOKUP(MONTH($A272),Inputs!$A$14:$B$25,2))/1000)</f>
        <v xml:space="preserve"> </v>
      </c>
      <c r="E272" s="304" t="str">
        <f t="shared" si="434"/>
        <v xml:space="preserve"> </v>
      </c>
      <c r="F272" s="251" t="str">
        <f>IF(A272="N/A"," ",Inputs!$F$6)</f>
        <v xml:space="preserve"> </v>
      </c>
      <c r="G272" s="251" t="str">
        <f>IF(A272="N/A"," ",Inputs!$F$9/IF(AND('Pricing Inputs'!$AQ$3&gt;=4,'Pricing Inputs'!$AQ$3&lt;=6),16,IF(AND('Pricing Inputs'!$AQ$3&gt;=7,'Pricing Inputs'!$AQ$3&lt;=9),8,24))/(BA272/BW272))</f>
        <v xml:space="preserve"> </v>
      </c>
      <c r="H272" s="252" t="str">
        <f t="shared" si="435"/>
        <v xml:space="preserve"> </v>
      </c>
      <c r="I272" s="255" t="str">
        <f>VLOOKUP(A272,ScaledPrice,(IF(AND('Pricing Inputs'!$AQ$3&gt;=1,'Pricing Inputs'!$AQ$3&lt;=6),2,4)))</f>
        <v xml:space="preserve"> </v>
      </c>
      <c r="J272" s="255" t="str">
        <f>IF(A272="N/A"," ",IF(AND('Pricing Inputs'!$AQ$3&gt;=1,'Pricing Inputs'!$AQ$3&lt;=6),I272,(VLOOKUP(A272,ScaledPrice,2))*(2-(VLOOKUP(A272,ScaledPrice,3)))))</f>
        <v xml:space="preserve"> </v>
      </c>
      <c r="K272" s="255" t="str">
        <f>IF(A272="N/A"," ",IF(OR('Pricing Inputs'!$AQ$3=2,'Pricing Inputs'!$AQ$3=3,'Pricing Inputs'!$AQ$3=5,'Pricing Inputs'!$AQ$3=6,'Pricing Inputs'!$AQ$3=8,'Pricing Inputs'!$AQ$3=9),VLOOKUP(A272,ScaledPrice,IF(AND('Pricing Inputs'!$AQ$3&gt;=2,'Pricing Inputs'!$AQ$3&lt;=6),5,6)),0))</f>
        <v xml:space="preserve"> </v>
      </c>
      <c r="L272" s="255" t="str">
        <f>IF(A272="N/A"," ",IF(OR('Pricing Inputs'!$AQ$3=2,'Pricing Inputs'!$AQ$3=3,'Pricing Inputs'!$AQ$3=5,'Pricing Inputs'!$AQ$3=6,'Pricing Inputs'!$AQ$3=8,'Pricing Inputs'!$AQ$3=9),IF(AND('Pricing Inputs'!$AQ$3&gt;=2,'Pricing Inputs'!$AQ$3&lt;=6),K272,(VLOOKUP(A272,ScaledPrice,5))*(2-(VLOOKUP(A272,ScaledPrice,3)))),0))</f>
        <v xml:space="preserve"> </v>
      </c>
      <c r="M272" s="255" t="str">
        <f>IF(A272="N/A"," ",IF(OR('Pricing Inputs'!$AQ$3=3,'Pricing Inputs'!$AQ$3=6,'Pricing Inputs'!$AQ$3=9),(VLOOKUP(A272,ScaledPrice,IF(AND('Pricing Inputs'!$AQ$3&gt;=3,'Pricing Inputs'!$AQ$3&lt;=6),7,8))),0))</f>
        <v xml:space="preserve"> </v>
      </c>
      <c r="N272" s="255" t="str">
        <f>IF(A272="N/A"," ",IF(OR('Pricing Inputs'!$AQ$3=3,'Pricing Inputs'!$AQ$3=6,'Pricing Inputs'!$AQ$3=9),IF(AND('Pricing Inputs'!$AQ$3&gt;=3,'Pricing Inputs'!$AQ$3&lt;=6),M272,(VLOOKUP(A272,ScaledPrice,7))*(2-(VLOOKUP(A272,ScaledPrice,3)))),0))</f>
        <v xml:space="preserve"> </v>
      </c>
      <c r="O272" s="255" t="str">
        <f>IF(A272="N/A"," ",IF(AND('Pricing Inputs'!$AQ$3&gt;=1,'Pricing Inputs'!$AQ$3&lt;=3),VLOOKUP(A272,ScaledPrice,9),0))</f>
        <v xml:space="preserve"> </v>
      </c>
      <c r="P272" s="320" t="str">
        <f>IF($A272="N/A"," ",IF('Pricing Inputs'!$AN$8=2,(I272-H272),IF('Pricing Inputs'!$AN$3=2,IF((I272-$H272)&gt;0,I272-$H272,0),(_xll.xSPRDOPT(I272,$E272,$BU272,0,$BP272,$BS272,$BT272,($A272-Inputs!$D$1)+15,1,0)))))</f>
        <v xml:space="preserve"> </v>
      </c>
      <c r="Q272" s="320" t="str">
        <f>IF($A272="N/A"," ",IF('Pricing Inputs'!$AN$8=2,(J272-$H272),IF('Pricing Inputs'!$AN$3=2,IF((J272-$H272)&gt;0,J272-$H272,0),(_xll.xSPRDOPT(J272,$E272,$BU272,0,$BP272,$BS272,$BT272,($A272-Inputs!$D$1)+15,1,0)))))</f>
        <v xml:space="preserve"> </v>
      </c>
      <c r="R272" s="320" t="str">
        <f>IF($A272="N/A"," ",IF('Pricing Inputs'!$AN$8=2,(K272-$H272),IF('Pricing Inputs'!$AN$3=2,IF((K272-$H272)&gt;0,K272-$H272,0),(_xll.xSPRDOPT(K272,$E272,$BU272,0,$BP272,$BS272,$BT272,($A272-Inputs!$D$1)+15,1,0)))))</f>
        <v xml:space="preserve"> </v>
      </c>
      <c r="S272" s="320" t="str">
        <f>IF($A272="N/A"," ",IF('Pricing Inputs'!$AN$8=2,(L272-$H272),IF('Pricing Inputs'!$AN$3=2,IF((L272-$H272)&gt;0,L272-$H272,0),(_xll.xSPRDOPT(L272,$E272,$BU272,0,$BP272,$BS272,$BT272,($A272-Inputs!$D$1)+15,1,0)))))</f>
        <v xml:space="preserve"> </v>
      </c>
      <c r="T272" s="320" t="str">
        <f>IF($A272="N/A"," ",IF('Pricing Inputs'!$AN$8=2,(M272-$H272),IF('Pricing Inputs'!$AN$3=2,IF((M272-$H272)&gt;0,M272-$H272,0),(_xll.xSPRDOPT(M272,$E272,$BU272,0,$BP272,$BS272,$BT272,($A272-Inputs!$D$1)+15,1,0)))))</f>
        <v xml:space="preserve"> </v>
      </c>
      <c r="U272" s="320" t="str">
        <f>IF($A272="N/A"," ",IF('Pricing Inputs'!$AN$8=2,(N272-$H272),IF('Pricing Inputs'!$AN$3=2,IF((N272-$H272)&gt;0,N272-$H272,0),(_xll.xSPRDOPT(N272,$E272,$BU272,0,$BP272,$BS272,$BT272,($A272-Inputs!$D$1)+15,1,0)))))</f>
        <v xml:space="preserve"> </v>
      </c>
      <c r="V272" s="259" t="str">
        <f>IF($A272="N/A"," ",(IF('Pricing Inputs'!$AN$8=2,(O272-$H272),IF((O272-$H272)&lt;=0,0,(O272-$H272)))))</f>
        <v xml:space="preserve"> </v>
      </c>
      <c r="AK272" s="229"/>
      <c r="AL272" s="229"/>
      <c r="AM272" s="229"/>
      <c r="AN272" s="229"/>
      <c r="AO272" s="229"/>
      <c r="AP272" s="229"/>
      <c r="AQ272" s="229"/>
      <c r="AR272" s="229"/>
      <c r="BA272" s="267" t="str">
        <f>IF($A272="N/A"," ",(IF(MONTH(A272)&gt;=4,IF(MONTH(A272)&lt;=10,Inputs!$F$13,Inputs!$F$14),Inputs!$F$14))*$BW272)</f>
        <v xml:space="preserve"> </v>
      </c>
      <c r="BN272" s="405" t="str">
        <f>IF(A272="N/A"," ",(VLOOKUP(A272,PowerVolTable,(IF('Pricing Inputs'!$AT$3=2,7,IF('Pricing Inputs'!$AT$3=1,6,8))),FALSE)))</f>
        <v xml:space="preserve"> </v>
      </c>
      <c r="BO272" s="405" t="str">
        <f>IF(A272="N/A"," ",(VLOOKUP(A272,IntraPowerVol,(IF('Pricing Inputs'!$AT$3=2,3,IF('Pricing Inputs'!$AT$3=1,2,4))),FALSE)*VLOOKUP(MONTH($A272),Inputs!$A$28:$B$39,2)))</f>
        <v xml:space="preserve"> </v>
      </c>
      <c r="BP272" s="406" t="str">
        <f t="shared" si="430"/>
        <v xml:space="preserve"> </v>
      </c>
      <c r="BQ272" s="405" t="str">
        <f>IF($A272="N/A"," ",(VLOOKUP($A272,GasVolTable,(IF('Pricing Inputs'!$AT$3=2,6,IF('Pricing Inputs'!$AT$3=1,7,5))),FALSE)))</f>
        <v xml:space="preserve"> </v>
      </c>
      <c r="BR272" s="405" t="str">
        <f>IF($A272="N/A"," ",(VLOOKUP($A272,OmicronVol,(IF('Pricing Inputs'!$AT$3=2,3,IF('Pricing Inputs'!$AT$3=1,4,2))),FALSE)))</f>
        <v xml:space="preserve"> </v>
      </c>
      <c r="BS272" s="406" t="str">
        <f>IF($A272="N/A"," ",IF('Pricing Inputs'!$AN$3=1,(IF(DateToday&gt;$A272,$BR272,((($BQ272^2)*((($A272-1)-DateToday)/((EOMONTH($A272,0)+1)-DateToday-15)))+((($BR272)^2)*((15)/((EOMONTH($A272,0)+1)-DateToday-15))))^0.5)),0.0001))</f>
        <v xml:space="preserve"> </v>
      </c>
      <c r="BT272" s="405" t="str">
        <f>IF($A272="N/A"," ",IF('Pricing Inputs'!$AN$3=1,(VLOOKUP($A272,CorrelationTable,2,FALSE)),0))</f>
        <v xml:space="preserve"> </v>
      </c>
      <c r="BU272" s="407" t="str">
        <f>IF($A272="N/A"," ",F272+G272+(D272*(VLOOKUP($A272,'Gas Curves'!$B$17:$P$310,14,FALSE))))</f>
        <v xml:space="preserve"> </v>
      </c>
      <c r="BV272" s="405" t="str">
        <f>IF($A272="N/A"," ",IF('Pricing Inputs'!$AW$3=1,0,(VLOOKUP($A272,InterestRatesTable,2))))</f>
        <v xml:space="preserve"> </v>
      </c>
      <c r="BW272" s="408" t="str">
        <f t="shared" si="431"/>
        <v xml:space="preserve"> </v>
      </c>
    </row>
    <row r="273" spans="1:75">
      <c r="A273" s="248" t="str">
        <f>IF(A272="N/A","N/A",IF(EDATE(A272,1)&gt;Inputs!$K$3,"N/A",EDATE(A272,1)))</f>
        <v>N/A</v>
      </c>
      <c r="B273" s="262" t="str">
        <f t="shared" si="432"/>
        <v xml:space="preserve"> </v>
      </c>
      <c r="C273" s="249" t="str">
        <f t="shared" si="433"/>
        <v xml:space="preserve"> </v>
      </c>
      <c r="D273" s="250" t="str">
        <f>IF(A273="N/A"," ",(VLOOKUP(MONTH($A273),Inputs!$A$14:$B$25,2))/1000)</f>
        <v xml:space="preserve"> </v>
      </c>
      <c r="E273" s="304" t="str">
        <f t="shared" si="434"/>
        <v xml:space="preserve"> </v>
      </c>
      <c r="F273" s="251" t="str">
        <f>IF(A273="N/A"," ",Inputs!$F$6)</f>
        <v xml:space="preserve"> </v>
      </c>
      <c r="G273" s="251" t="str">
        <f>IF(A273="N/A"," ",Inputs!$F$9/IF(AND('Pricing Inputs'!$AQ$3&gt;=4,'Pricing Inputs'!$AQ$3&lt;=6),16,IF(AND('Pricing Inputs'!$AQ$3&gt;=7,'Pricing Inputs'!$AQ$3&lt;=9),8,24))/(BA273/BW273))</f>
        <v xml:space="preserve"> </v>
      </c>
      <c r="H273" s="252" t="str">
        <f t="shared" si="435"/>
        <v xml:space="preserve"> </v>
      </c>
      <c r="I273" s="255" t="str">
        <f>VLOOKUP(A273,ScaledPrice,(IF(AND('Pricing Inputs'!$AQ$3&gt;=1,'Pricing Inputs'!$AQ$3&lt;=6),2,4)))</f>
        <v xml:space="preserve"> </v>
      </c>
      <c r="J273" s="255" t="str">
        <f>IF(A273="N/A"," ",IF(AND('Pricing Inputs'!$AQ$3&gt;=1,'Pricing Inputs'!$AQ$3&lt;=6),I273,(VLOOKUP(A273,ScaledPrice,2))*(2-(VLOOKUP(A273,ScaledPrice,3)))))</f>
        <v xml:space="preserve"> </v>
      </c>
      <c r="K273" s="255" t="str">
        <f>IF(A273="N/A"," ",IF(OR('Pricing Inputs'!$AQ$3=2,'Pricing Inputs'!$AQ$3=3,'Pricing Inputs'!$AQ$3=5,'Pricing Inputs'!$AQ$3=6,'Pricing Inputs'!$AQ$3=8,'Pricing Inputs'!$AQ$3=9),VLOOKUP(A273,ScaledPrice,IF(AND('Pricing Inputs'!$AQ$3&gt;=2,'Pricing Inputs'!$AQ$3&lt;=6),5,6)),0))</f>
        <v xml:space="preserve"> </v>
      </c>
      <c r="L273" s="255" t="str">
        <f>IF(A273="N/A"," ",IF(OR('Pricing Inputs'!$AQ$3=2,'Pricing Inputs'!$AQ$3=3,'Pricing Inputs'!$AQ$3=5,'Pricing Inputs'!$AQ$3=6,'Pricing Inputs'!$AQ$3=8,'Pricing Inputs'!$AQ$3=9),IF(AND('Pricing Inputs'!$AQ$3&gt;=2,'Pricing Inputs'!$AQ$3&lt;=6),K273,(VLOOKUP(A273,ScaledPrice,5))*(2-(VLOOKUP(A273,ScaledPrice,3)))),0))</f>
        <v xml:space="preserve"> </v>
      </c>
      <c r="M273" s="255" t="str">
        <f>IF(A273="N/A"," ",IF(OR('Pricing Inputs'!$AQ$3=3,'Pricing Inputs'!$AQ$3=6,'Pricing Inputs'!$AQ$3=9),(VLOOKUP(A273,ScaledPrice,IF(AND('Pricing Inputs'!$AQ$3&gt;=3,'Pricing Inputs'!$AQ$3&lt;=6),7,8))),0))</f>
        <v xml:space="preserve"> </v>
      </c>
      <c r="N273" s="255" t="str">
        <f>IF(A273="N/A"," ",IF(OR('Pricing Inputs'!$AQ$3=3,'Pricing Inputs'!$AQ$3=6,'Pricing Inputs'!$AQ$3=9),IF(AND('Pricing Inputs'!$AQ$3&gt;=3,'Pricing Inputs'!$AQ$3&lt;=6),M273,(VLOOKUP(A273,ScaledPrice,7))*(2-(VLOOKUP(A273,ScaledPrice,3)))),0))</f>
        <v xml:space="preserve"> </v>
      </c>
      <c r="O273" s="255" t="str">
        <f>IF(A273="N/A"," ",IF(AND('Pricing Inputs'!$AQ$3&gt;=1,'Pricing Inputs'!$AQ$3&lt;=3),VLOOKUP(A273,ScaledPrice,9),0))</f>
        <v xml:space="preserve"> </v>
      </c>
      <c r="P273" s="320" t="str">
        <f>IF($A273="N/A"," ",IF('Pricing Inputs'!$AN$8=2,(I273-H273),IF('Pricing Inputs'!$AN$3=2,IF((I273-$H273)&gt;0,I273-$H273,0),(_xll.xSPRDOPT(I273,$E273,$BU273,0,$BP273,$BS273,$BT273,($A273-Inputs!$D$1)+15,1,0)))))</f>
        <v xml:space="preserve"> </v>
      </c>
      <c r="Q273" s="320" t="str">
        <f>IF($A273="N/A"," ",IF('Pricing Inputs'!$AN$8=2,(J273-$H273),IF('Pricing Inputs'!$AN$3=2,IF((J273-$H273)&gt;0,J273-$H273,0),(_xll.xSPRDOPT(J273,$E273,$BU273,0,$BP273,$BS273,$BT273,($A273-Inputs!$D$1)+15,1,0)))))</f>
        <v xml:space="preserve"> </v>
      </c>
      <c r="R273" s="320" t="str">
        <f>IF($A273="N/A"," ",IF('Pricing Inputs'!$AN$8=2,(K273-$H273),IF('Pricing Inputs'!$AN$3=2,IF((K273-$H273)&gt;0,K273-$H273,0),(_xll.xSPRDOPT(K273,$E273,$BU273,0,$BP273,$BS273,$BT273,($A273-Inputs!$D$1)+15,1,0)))))</f>
        <v xml:space="preserve"> </v>
      </c>
      <c r="S273" s="320" t="str">
        <f>IF($A273="N/A"," ",IF('Pricing Inputs'!$AN$8=2,(L273-$H273),IF('Pricing Inputs'!$AN$3=2,IF((L273-$H273)&gt;0,L273-$H273,0),(_xll.xSPRDOPT(L273,$E273,$BU273,0,$BP273,$BS273,$BT273,($A273-Inputs!$D$1)+15,1,0)))))</f>
        <v xml:space="preserve"> </v>
      </c>
      <c r="T273" s="320" t="str">
        <f>IF($A273="N/A"," ",IF('Pricing Inputs'!$AN$8=2,(M273-$H273),IF('Pricing Inputs'!$AN$3=2,IF((M273-$H273)&gt;0,M273-$H273,0),(_xll.xSPRDOPT(M273,$E273,$BU273,0,$BP273,$BS273,$BT273,($A273-Inputs!$D$1)+15,1,0)))))</f>
        <v xml:space="preserve"> </v>
      </c>
      <c r="U273" s="320" t="str">
        <f>IF($A273="N/A"," ",IF('Pricing Inputs'!$AN$8=2,(N273-$H273),IF('Pricing Inputs'!$AN$3=2,IF((N273-$H273)&gt;0,N273-$H273,0),(_xll.xSPRDOPT(N273,$E273,$BU273,0,$BP273,$BS273,$BT273,($A273-Inputs!$D$1)+15,1,0)))))</f>
        <v xml:space="preserve"> </v>
      </c>
      <c r="V273" s="259" t="str">
        <f>IF($A273="N/A"," ",(IF('Pricing Inputs'!$AN$8=2,(O273-$H273),IF((O273-$H273)&lt;=0,0,(O273-$H273)))))</f>
        <v xml:space="preserve"> </v>
      </c>
      <c r="AK273" s="229"/>
      <c r="AL273" s="229"/>
      <c r="AM273" s="229"/>
      <c r="AN273" s="229"/>
      <c r="AO273" s="229"/>
      <c r="AP273" s="229"/>
      <c r="AQ273" s="229"/>
      <c r="AR273" s="229"/>
      <c r="BA273" s="267" t="str">
        <f>IF($A273="N/A"," ",(IF(MONTH(A273)&gt;=4,IF(MONTH(A273)&lt;=10,Inputs!$F$13,Inputs!$F$14),Inputs!$F$14))*$BW273)</f>
        <v xml:space="preserve"> </v>
      </c>
      <c r="BN273" s="405" t="str">
        <f>IF(A273="N/A"," ",(VLOOKUP(A273,PowerVolTable,(IF('Pricing Inputs'!$AT$3=2,7,IF('Pricing Inputs'!$AT$3=1,6,8))),FALSE)))</f>
        <v xml:space="preserve"> </v>
      </c>
      <c r="BO273" s="405" t="str">
        <f>IF(A273="N/A"," ",(VLOOKUP(A273,IntraPowerVol,(IF('Pricing Inputs'!$AT$3=2,3,IF('Pricing Inputs'!$AT$3=1,2,4))),FALSE)*VLOOKUP(MONTH($A273),Inputs!$A$28:$B$39,2)))</f>
        <v xml:space="preserve"> </v>
      </c>
      <c r="BP273" s="406" t="str">
        <f t="shared" si="430"/>
        <v xml:space="preserve"> </v>
      </c>
      <c r="BQ273" s="405" t="str">
        <f>IF($A273="N/A"," ",(VLOOKUP($A273,GasVolTable,(IF('Pricing Inputs'!$AT$3=2,6,IF('Pricing Inputs'!$AT$3=1,7,5))),FALSE)))</f>
        <v xml:space="preserve"> </v>
      </c>
      <c r="BR273" s="405" t="str">
        <f>IF($A273="N/A"," ",(VLOOKUP($A273,OmicronVol,(IF('Pricing Inputs'!$AT$3=2,3,IF('Pricing Inputs'!$AT$3=1,4,2))),FALSE)))</f>
        <v xml:space="preserve"> </v>
      </c>
      <c r="BS273" s="406" t="str">
        <f>IF($A273="N/A"," ",IF('Pricing Inputs'!$AN$3=1,(IF(DateToday&gt;$A273,$BR273,((($BQ273^2)*((($A273-1)-DateToday)/((EOMONTH($A273,0)+1)-DateToday-15)))+((($BR273)^2)*((15)/((EOMONTH($A273,0)+1)-DateToday-15))))^0.5)),0.0001))</f>
        <v xml:space="preserve"> </v>
      </c>
      <c r="BT273" s="405" t="str">
        <f>IF($A273="N/A"," ",IF('Pricing Inputs'!$AN$3=1,(VLOOKUP($A273,CorrelationTable,2,FALSE)),0))</f>
        <v xml:space="preserve"> </v>
      </c>
      <c r="BU273" s="407" t="str">
        <f>IF($A273="N/A"," ",F273+G273+(D273*(VLOOKUP($A273,'Gas Curves'!$B$17:$P$310,14,FALSE))))</f>
        <v xml:space="preserve"> </v>
      </c>
      <c r="BV273" s="405" t="str">
        <f>IF($A273="N/A"," ",IF('Pricing Inputs'!$AW$3=1,0,(VLOOKUP($A273,InterestRatesTable,2))))</f>
        <v xml:space="preserve"> </v>
      </c>
      <c r="BW273" s="408" t="str">
        <f t="shared" si="431"/>
        <v xml:space="preserve"> </v>
      </c>
    </row>
    <row r="274" spans="1:75">
      <c r="A274" s="248" t="str">
        <f>IF(A273="N/A","N/A",IF(EDATE(A273,1)&gt;Inputs!$K$3,"N/A",EDATE(A273,1)))</f>
        <v>N/A</v>
      </c>
      <c r="B274" s="262" t="str">
        <f t="shared" si="432"/>
        <v xml:space="preserve"> </v>
      </c>
      <c r="C274" s="249" t="str">
        <f t="shared" si="433"/>
        <v xml:space="preserve"> </v>
      </c>
      <c r="D274" s="250" t="str">
        <f>IF(A274="N/A"," ",(VLOOKUP(MONTH($A274),Inputs!$A$14:$B$25,2))/1000)</f>
        <v xml:space="preserve"> </v>
      </c>
      <c r="E274" s="304" t="str">
        <f t="shared" si="434"/>
        <v xml:space="preserve"> </v>
      </c>
      <c r="F274" s="251" t="str">
        <f>IF(A274="N/A"," ",Inputs!$F$6)</f>
        <v xml:space="preserve"> </v>
      </c>
      <c r="G274" s="251" t="str">
        <f>IF(A274="N/A"," ",Inputs!$F$9/IF(AND('Pricing Inputs'!$AQ$3&gt;=4,'Pricing Inputs'!$AQ$3&lt;=6),16,IF(AND('Pricing Inputs'!$AQ$3&gt;=7,'Pricing Inputs'!$AQ$3&lt;=9),8,24))/(BA274/BW274))</f>
        <v xml:space="preserve"> </v>
      </c>
      <c r="H274" s="252" t="str">
        <f t="shared" si="435"/>
        <v xml:space="preserve"> </v>
      </c>
      <c r="I274" s="255" t="str">
        <f>VLOOKUP(A274,ScaledPrice,(IF(AND('Pricing Inputs'!$AQ$3&gt;=1,'Pricing Inputs'!$AQ$3&lt;=6),2,4)))</f>
        <v xml:space="preserve"> </v>
      </c>
      <c r="J274" s="255" t="str">
        <f>IF(A274="N/A"," ",IF(AND('Pricing Inputs'!$AQ$3&gt;=1,'Pricing Inputs'!$AQ$3&lt;=6),I274,(VLOOKUP(A274,ScaledPrice,2))*(2-(VLOOKUP(A274,ScaledPrice,3)))))</f>
        <v xml:space="preserve"> </v>
      </c>
      <c r="K274" s="255" t="str">
        <f>IF(A274="N/A"," ",IF(OR('Pricing Inputs'!$AQ$3=2,'Pricing Inputs'!$AQ$3=3,'Pricing Inputs'!$AQ$3=5,'Pricing Inputs'!$AQ$3=6,'Pricing Inputs'!$AQ$3=8,'Pricing Inputs'!$AQ$3=9),VLOOKUP(A274,ScaledPrice,IF(AND('Pricing Inputs'!$AQ$3&gt;=2,'Pricing Inputs'!$AQ$3&lt;=6),5,6)),0))</f>
        <v xml:space="preserve"> </v>
      </c>
      <c r="L274" s="255" t="str">
        <f>IF(A274="N/A"," ",IF(OR('Pricing Inputs'!$AQ$3=2,'Pricing Inputs'!$AQ$3=3,'Pricing Inputs'!$AQ$3=5,'Pricing Inputs'!$AQ$3=6,'Pricing Inputs'!$AQ$3=8,'Pricing Inputs'!$AQ$3=9),IF(AND('Pricing Inputs'!$AQ$3&gt;=2,'Pricing Inputs'!$AQ$3&lt;=6),K274,(VLOOKUP(A274,ScaledPrice,5))*(2-(VLOOKUP(A274,ScaledPrice,3)))),0))</f>
        <v xml:space="preserve"> </v>
      </c>
      <c r="M274" s="255" t="str">
        <f>IF(A274="N/A"," ",IF(OR('Pricing Inputs'!$AQ$3=3,'Pricing Inputs'!$AQ$3=6,'Pricing Inputs'!$AQ$3=9),(VLOOKUP(A274,ScaledPrice,IF(AND('Pricing Inputs'!$AQ$3&gt;=3,'Pricing Inputs'!$AQ$3&lt;=6),7,8))),0))</f>
        <v xml:space="preserve"> </v>
      </c>
      <c r="N274" s="255" t="str">
        <f>IF(A274="N/A"," ",IF(OR('Pricing Inputs'!$AQ$3=3,'Pricing Inputs'!$AQ$3=6,'Pricing Inputs'!$AQ$3=9),IF(AND('Pricing Inputs'!$AQ$3&gt;=3,'Pricing Inputs'!$AQ$3&lt;=6),M274,(VLOOKUP(A274,ScaledPrice,7))*(2-(VLOOKUP(A274,ScaledPrice,3)))),0))</f>
        <v xml:space="preserve"> </v>
      </c>
      <c r="O274" s="255" t="str">
        <f>IF(A274="N/A"," ",IF(AND('Pricing Inputs'!$AQ$3&gt;=1,'Pricing Inputs'!$AQ$3&lt;=3),VLOOKUP(A274,ScaledPrice,9),0))</f>
        <v xml:space="preserve"> </v>
      </c>
      <c r="P274" s="320" t="str">
        <f>IF($A274="N/A"," ",IF('Pricing Inputs'!$AN$8=2,(I274-H274),IF('Pricing Inputs'!$AN$3=2,IF((I274-$H274)&gt;0,I274-$H274,0),(_xll.xSPRDOPT(I274,$E274,$BU274,0,$BP274,$BS274,$BT274,($A274-Inputs!$D$1)+15,1,0)))))</f>
        <v xml:space="preserve"> </v>
      </c>
      <c r="Q274" s="320" t="str">
        <f>IF($A274="N/A"," ",IF('Pricing Inputs'!$AN$8=2,(J274-$H274),IF('Pricing Inputs'!$AN$3=2,IF((J274-$H274)&gt;0,J274-$H274,0),(_xll.xSPRDOPT(J274,$E274,$BU274,0,$BP274,$BS274,$BT274,($A274-Inputs!$D$1)+15,1,0)))))</f>
        <v xml:space="preserve"> </v>
      </c>
      <c r="R274" s="320" t="str">
        <f>IF($A274="N/A"," ",IF('Pricing Inputs'!$AN$8=2,(K274-$H274),IF('Pricing Inputs'!$AN$3=2,IF((K274-$H274)&gt;0,K274-$H274,0),(_xll.xSPRDOPT(K274,$E274,$BU274,0,$BP274,$BS274,$BT274,($A274-Inputs!$D$1)+15,1,0)))))</f>
        <v xml:space="preserve"> </v>
      </c>
      <c r="S274" s="320" t="str">
        <f>IF($A274="N/A"," ",IF('Pricing Inputs'!$AN$8=2,(L274-$H274),IF('Pricing Inputs'!$AN$3=2,IF((L274-$H274)&gt;0,L274-$H274,0),(_xll.xSPRDOPT(L274,$E274,$BU274,0,$BP274,$BS274,$BT274,($A274-Inputs!$D$1)+15,1,0)))))</f>
        <v xml:space="preserve"> </v>
      </c>
      <c r="T274" s="320" t="str">
        <f>IF($A274="N/A"," ",IF('Pricing Inputs'!$AN$8=2,(M274-$H274),IF('Pricing Inputs'!$AN$3=2,IF((M274-$H274)&gt;0,M274-$H274,0),(_xll.xSPRDOPT(M274,$E274,$BU274,0,$BP274,$BS274,$BT274,($A274-Inputs!$D$1)+15,1,0)))))</f>
        <v xml:space="preserve"> </v>
      </c>
      <c r="U274" s="320" t="str">
        <f>IF($A274="N/A"," ",IF('Pricing Inputs'!$AN$8=2,(N274-$H274),IF('Pricing Inputs'!$AN$3=2,IF((N274-$H274)&gt;0,N274-$H274,0),(_xll.xSPRDOPT(N274,$E274,$BU274,0,$BP274,$BS274,$BT274,($A274-Inputs!$D$1)+15,1,0)))))</f>
        <v xml:space="preserve"> </v>
      </c>
      <c r="V274" s="259" t="str">
        <f>IF($A274="N/A"," ",(IF('Pricing Inputs'!$AN$8=2,(O274-$H274),IF((O274-$H274)&lt;=0,0,(O274-$H274)))))</f>
        <v xml:space="preserve"> </v>
      </c>
      <c r="AK274" s="229"/>
      <c r="AL274" s="229"/>
      <c r="AM274" s="229"/>
      <c r="AN274" s="229"/>
      <c r="AO274" s="229"/>
      <c r="AP274" s="229"/>
      <c r="AQ274" s="229"/>
      <c r="AR274" s="229"/>
      <c r="BA274" s="267" t="str">
        <f>IF($A274="N/A"," ",(IF(MONTH(A274)&gt;=4,IF(MONTH(A274)&lt;=10,Inputs!$F$13,Inputs!$F$14),Inputs!$F$14))*$BW274)</f>
        <v xml:space="preserve"> </v>
      </c>
      <c r="BN274" s="405" t="str">
        <f>IF(A274="N/A"," ",(VLOOKUP(A274,PowerVolTable,(IF('Pricing Inputs'!$AT$3=2,7,IF('Pricing Inputs'!$AT$3=1,6,8))),FALSE)))</f>
        <v xml:space="preserve"> </v>
      </c>
      <c r="BO274" s="405" t="str">
        <f>IF(A274="N/A"," ",(VLOOKUP(A274,IntraPowerVol,(IF('Pricing Inputs'!$AT$3=2,3,IF('Pricing Inputs'!$AT$3=1,2,4))),FALSE)*VLOOKUP(MONTH($A274),Inputs!$A$28:$B$39,2)))</f>
        <v xml:space="preserve"> </v>
      </c>
      <c r="BP274" s="406" t="str">
        <f t="shared" si="430"/>
        <v xml:space="preserve"> </v>
      </c>
      <c r="BQ274" s="405" t="str">
        <f>IF($A274="N/A"," ",(VLOOKUP($A274,GasVolTable,(IF('Pricing Inputs'!$AT$3=2,6,IF('Pricing Inputs'!$AT$3=1,7,5))),FALSE)))</f>
        <v xml:space="preserve"> </v>
      </c>
      <c r="BR274" s="405" t="str">
        <f>IF($A274="N/A"," ",(VLOOKUP($A274,OmicronVol,(IF('Pricing Inputs'!$AT$3=2,3,IF('Pricing Inputs'!$AT$3=1,4,2))),FALSE)))</f>
        <v xml:space="preserve"> </v>
      </c>
      <c r="BS274" s="406" t="str">
        <f>IF($A274="N/A"," ",IF('Pricing Inputs'!$AN$3=1,(IF(DateToday&gt;$A274,$BR274,((($BQ274^2)*((($A274-1)-DateToday)/((EOMONTH($A274,0)+1)-DateToday-15)))+((($BR274)^2)*((15)/((EOMONTH($A274,0)+1)-DateToday-15))))^0.5)),0.0001))</f>
        <v xml:space="preserve"> </v>
      </c>
      <c r="BT274" s="405" t="str">
        <f>IF($A274="N/A"," ",IF('Pricing Inputs'!$AN$3=1,(VLOOKUP($A274,CorrelationTable,2,FALSE)),0))</f>
        <v xml:space="preserve"> </v>
      </c>
      <c r="BU274" s="407" t="str">
        <f>IF($A274="N/A"," ",F274+G274+(D274*(VLOOKUP($A274,'Gas Curves'!$B$17:$P$310,14,FALSE))))</f>
        <v xml:space="preserve"> </v>
      </c>
      <c r="BV274" s="405" t="str">
        <f>IF($A274="N/A"," ",IF('Pricing Inputs'!$AW$3=1,0,(VLOOKUP($A274,InterestRatesTable,2))))</f>
        <v xml:space="preserve"> </v>
      </c>
      <c r="BW274" s="408" t="str">
        <f t="shared" si="431"/>
        <v xml:space="preserve"> </v>
      </c>
    </row>
    <row r="275" spans="1:75">
      <c r="A275" s="248" t="str">
        <f>IF(A274="N/A","N/A",IF(EDATE(A274,1)&gt;Inputs!$K$3,"N/A",EDATE(A274,1)))</f>
        <v>N/A</v>
      </c>
      <c r="B275" s="262" t="str">
        <f t="shared" si="432"/>
        <v xml:space="preserve"> </v>
      </c>
      <c r="C275" s="249" t="str">
        <f t="shared" si="433"/>
        <v xml:space="preserve"> </v>
      </c>
      <c r="D275" s="250" t="str">
        <f>IF(A275="N/A"," ",(VLOOKUP(MONTH($A275),Inputs!$A$14:$B$25,2))/1000)</f>
        <v xml:space="preserve"> </v>
      </c>
      <c r="E275" s="304" t="str">
        <f t="shared" si="434"/>
        <v xml:space="preserve"> </v>
      </c>
      <c r="F275" s="251" t="str">
        <f>IF(A275="N/A"," ",Inputs!$F$6)</f>
        <v xml:space="preserve"> </v>
      </c>
      <c r="G275" s="251" t="str">
        <f>IF(A275="N/A"," ",Inputs!$F$9/IF(AND('Pricing Inputs'!$AQ$3&gt;=4,'Pricing Inputs'!$AQ$3&lt;=6),16,IF(AND('Pricing Inputs'!$AQ$3&gt;=7,'Pricing Inputs'!$AQ$3&lt;=9),8,24))/(BA275/BW275))</f>
        <v xml:space="preserve"> </v>
      </c>
      <c r="H275" s="252" t="str">
        <f t="shared" si="435"/>
        <v xml:space="preserve"> </v>
      </c>
      <c r="I275" s="255" t="str">
        <f>VLOOKUP(A275,ScaledPrice,(IF(AND('Pricing Inputs'!$AQ$3&gt;=1,'Pricing Inputs'!$AQ$3&lt;=6),2,4)))</f>
        <v xml:space="preserve"> </v>
      </c>
      <c r="J275" s="255" t="str">
        <f>IF(A275="N/A"," ",IF(AND('Pricing Inputs'!$AQ$3&gt;=1,'Pricing Inputs'!$AQ$3&lt;=6),I275,(VLOOKUP(A275,ScaledPrice,2))*(2-(VLOOKUP(A275,ScaledPrice,3)))))</f>
        <v xml:space="preserve"> </v>
      </c>
      <c r="K275" s="255" t="str">
        <f>IF(A275="N/A"," ",IF(OR('Pricing Inputs'!$AQ$3=2,'Pricing Inputs'!$AQ$3=3,'Pricing Inputs'!$AQ$3=5,'Pricing Inputs'!$AQ$3=6,'Pricing Inputs'!$AQ$3=8,'Pricing Inputs'!$AQ$3=9),VLOOKUP(A275,ScaledPrice,IF(AND('Pricing Inputs'!$AQ$3&gt;=2,'Pricing Inputs'!$AQ$3&lt;=6),5,6)),0))</f>
        <v xml:space="preserve"> </v>
      </c>
      <c r="L275" s="255" t="str">
        <f>IF(A275="N/A"," ",IF(OR('Pricing Inputs'!$AQ$3=2,'Pricing Inputs'!$AQ$3=3,'Pricing Inputs'!$AQ$3=5,'Pricing Inputs'!$AQ$3=6,'Pricing Inputs'!$AQ$3=8,'Pricing Inputs'!$AQ$3=9),IF(AND('Pricing Inputs'!$AQ$3&gt;=2,'Pricing Inputs'!$AQ$3&lt;=6),K275,(VLOOKUP(A275,ScaledPrice,5))*(2-(VLOOKUP(A275,ScaledPrice,3)))),0))</f>
        <v xml:space="preserve"> </v>
      </c>
      <c r="M275" s="255" t="str">
        <f>IF(A275="N/A"," ",IF(OR('Pricing Inputs'!$AQ$3=3,'Pricing Inputs'!$AQ$3=6,'Pricing Inputs'!$AQ$3=9),(VLOOKUP(A275,ScaledPrice,IF(AND('Pricing Inputs'!$AQ$3&gt;=3,'Pricing Inputs'!$AQ$3&lt;=6),7,8))),0))</f>
        <v xml:space="preserve"> </v>
      </c>
      <c r="N275" s="255" t="str">
        <f>IF(A275="N/A"," ",IF(OR('Pricing Inputs'!$AQ$3=3,'Pricing Inputs'!$AQ$3=6,'Pricing Inputs'!$AQ$3=9),IF(AND('Pricing Inputs'!$AQ$3&gt;=3,'Pricing Inputs'!$AQ$3&lt;=6),M275,(VLOOKUP(A275,ScaledPrice,7))*(2-(VLOOKUP(A275,ScaledPrice,3)))),0))</f>
        <v xml:space="preserve"> </v>
      </c>
      <c r="O275" s="255" t="str">
        <f>IF(A275="N/A"," ",IF(AND('Pricing Inputs'!$AQ$3&gt;=1,'Pricing Inputs'!$AQ$3&lt;=3),VLOOKUP(A275,ScaledPrice,9),0))</f>
        <v xml:space="preserve"> </v>
      </c>
      <c r="P275" s="320" t="str">
        <f>IF($A275="N/A"," ",IF('Pricing Inputs'!$AN$8=2,(I275-H275),IF('Pricing Inputs'!$AN$3=2,IF((I275-$H275)&gt;0,I275-$H275,0),(_xll.xSPRDOPT(I275,$E275,$BU275,0,$BP275,$BS275,$BT275,($A275-Inputs!$D$1)+15,1,0)))))</f>
        <v xml:space="preserve"> </v>
      </c>
      <c r="Q275" s="320" t="str">
        <f>IF($A275="N/A"," ",IF('Pricing Inputs'!$AN$8=2,(J275-$H275),IF('Pricing Inputs'!$AN$3=2,IF((J275-$H275)&gt;0,J275-$H275,0),(_xll.xSPRDOPT(J275,$E275,$BU275,0,$BP275,$BS275,$BT275,($A275-Inputs!$D$1)+15,1,0)))))</f>
        <v xml:space="preserve"> </v>
      </c>
      <c r="R275" s="320" t="str">
        <f>IF($A275="N/A"," ",IF('Pricing Inputs'!$AN$8=2,(K275-$H275),IF('Pricing Inputs'!$AN$3=2,IF((K275-$H275)&gt;0,K275-$H275,0),(_xll.xSPRDOPT(K275,$E275,$BU275,0,$BP275,$BS275,$BT275,($A275-Inputs!$D$1)+15,1,0)))))</f>
        <v xml:space="preserve"> </v>
      </c>
      <c r="S275" s="320" t="str">
        <f>IF($A275="N/A"," ",IF('Pricing Inputs'!$AN$8=2,(L275-$H275),IF('Pricing Inputs'!$AN$3=2,IF((L275-$H275)&gt;0,L275-$H275,0),(_xll.xSPRDOPT(L275,$E275,$BU275,0,$BP275,$BS275,$BT275,($A275-Inputs!$D$1)+15,1,0)))))</f>
        <v xml:space="preserve"> </v>
      </c>
      <c r="T275" s="320" t="str">
        <f>IF($A275="N/A"," ",IF('Pricing Inputs'!$AN$8=2,(M275-$H275),IF('Pricing Inputs'!$AN$3=2,IF((M275-$H275)&gt;0,M275-$H275,0),(_xll.xSPRDOPT(M275,$E275,$BU275,0,$BP275,$BS275,$BT275,($A275-Inputs!$D$1)+15,1,0)))))</f>
        <v xml:space="preserve"> </v>
      </c>
      <c r="U275" s="320" t="str">
        <f>IF($A275="N/A"," ",IF('Pricing Inputs'!$AN$8=2,(N275-$H275),IF('Pricing Inputs'!$AN$3=2,IF((N275-$H275)&gt;0,N275-$H275,0),(_xll.xSPRDOPT(N275,$E275,$BU275,0,$BP275,$BS275,$BT275,($A275-Inputs!$D$1)+15,1,0)))))</f>
        <v xml:space="preserve"> </v>
      </c>
      <c r="V275" s="259" t="str">
        <f>IF($A275="N/A"," ",(IF('Pricing Inputs'!$AN$8=2,(O275-$H275),IF((O275-$H275)&lt;=0,0,(O275-$H275)))))</f>
        <v xml:space="preserve"> </v>
      </c>
      <c r="AK275" s="229"/>
      <c r="AL275" s="229"/>
      <c r="AM275" s="229"/>
      <c r="AN275" s="229"/>
      <c r="AO275" s="229"/>
      <c r="AP275" s="229"/>
      <c r="AQ275" s="229"/>
      <c r="AR275" s="229"/>
      <c r="BA275" s="267" t="str">
        <f>IF($A275="N/A"," ",(IF(MONTH(A275)&gt;=4,IF(MONTH(A275)&lt;=10,Inputs!$F$13,Inputs!$F$14),Inputs!$F$14))*$BW275)</f>
        <v xml:space="preserve"> </v>
      </c>
      <c r="BN275" s="405" t="str">
        <f>IF(A275="N/A"," ",(VLOOKUP(A275,PowerVolTable,(IF('Pricing Inputs'!$AT$3=2,7,IF('Pricing Inputs'!$AT$3=1,6,8))),FALSE)))</f>
        <v xml:space="preserve"> </v>
      </c>
      <c r="BO275" s="405" t="str">
        <f>IF(A275="N/A"," ",(VLOOKUP(A275,IntraPowerVol,(IF('Pricing Inputs'!$AT$3=2,3,IF('Pricing Inputs'!$AT$3=1,2,4))),FALSE)*VLOOKUP(MONTH($A275),Inputs!$A$28:$B$39,2)))</f>
        <v xml:space="preserve"> </v>
      </c>
      <c r="BP275" s="406" t="str">
        <f t="shared" si="430"/>
        <v xml:space="preserve"> </v>
      </c>
      <c r="BQ275" s="405" t="str">
        <f>IF($A275="N/A"," ",(VLOOKUP($A275,GasVolTable,(IF('Pricing Inputs'!$AT$3=2,6,IF('Pricing Inputs'!$AT$3=1,7,5))),FALSE)))</f>
        <v xml:space="preserve"> </v>
      </c>
      <c r="BR275" s="405" t="str">
        <f>IF($A275="N/A"," ",(VLOOKUP($A275,OmicronVol,(IF('Pricing Inputs'!$AT$3=2,3,IF('Pricing Inputs'!$AT$3=1,4,2))),FALSE)))</f>
        <v xml:space="preserve"> </v>
      </c>
      <c r="BS275" s="406" t="str">
        <f>IF($A275="N/A"," ",IF('Pricing Inputs'!$AN$3=1,(IF(DateToday&gt;$A275,$BR275,((($BQ275^2)*((($A275-1)-DateToday)/((EOMONTH($A275,0)+1)-DateToday-15)))+((($BR275)^2)*((15)/((EOMONTH($A275,0)+1)-DateToday-15))))^0.5)),0.0001))</f>
        <v xml:space="preserve"> </v>
      </c>
      <c r="BT275" s="405" t="str">
        <f>IF($A275="N/A"," ",IF('Pricing Inputs'!$AN$3=1,(VLOOKUP($A275,CorrelationTable,2,FALSE)),0))</f>
        <v xml:space="preserve"> </v>
      </c>
      <c r="BU275" s="407" t="str">
        <f>IF($A275="N/A"," ",F275+G275+(D275*(VLOOKUP($A275,'Gas Curves'!$B$17:$P$310,14,FALSE))))</f>
        <v xml:space="preserve"> </v>
      </c>
      <c r="BV275" s="405" t="str">
        <f>IF($A275="N/A"," ",IF('Pricing Inputs'!$AW$3=1,0,(VLOOKUP($A275,InterestRatesTable,2))))</f>
        <v xml:space="preserve"> </v>
      </c>
      <c r="BW275" s="408" t="str">
        <f t="shared" si="431"/>
        <v xml:space="preserve"> </v>
      </c>
    </row>
    <row r="276" spans="1:75">
      <c r="A276" s="248" t="str">
        <f>IF(A275="N/A","N/A",IF(EDATE(A275,1)&gt;Inputs!$K$3,"N/A",EDATE(A275,1)))</f>
        <v>N/A</v>
      </c>
      <c r="B276" s="262" t="str">
        <f t="shared" si="432"/>
        <v xml:space="preserve"> </v>
      </c>
      <c r="C276" s="249" t="str">
        <f t="shared" si="433"/>
        <v xml:space="preserve"> </v>
      </c>
      <c r="D276" s="250" t="str">
        <f>IF(A276="N/A"," ",(VLOOKUP(MONTH($A276),Inputs!$A$14:$B$25,2))/1000)</f>
        <v xml:space="preserve"> </v>
      </c>
      <c r="E276" s="304" t="str">
        <f t="shared" si="434"/>
        <v xml:space="preserve"> </v>
      </c>
      <c r="F276" s="251" t="str">
        <f>IF(A276="N/A"," ",Inputs!$F$6)</f>
        <v xml:space="preserve"> </v>
      </c>
      <c r="G276" s="251" t="str">
        <f>IF(A276="N/A"," ",Inputs!$F$9/IF(AND('Pricing Inputs'!$AQ$3&gt;=4,'Pricing Inputs'!$AQ$3&lt;=6),16,IF(AND('Pricing Inputs'!$AQ$3&gt;=7,'Pricing Inputs'!$AQ$3&lt;=9),8,24))/(BA276/BW276))</f>
        <v xml:space="preserve"> </v>
      </c>
      <c r="H276" s="252" t="str">
        <f t="shared" si="435"/>
        <v xml:space="preserve"> </v>
      </c>
      <c r="I276" s="255" t="str">
        <f>VLOOKUP(A276,ScaledPrice,(IF(AND('Pricing Inputs'!$AQ$3&gt;=1,'Pricing Inputs'!$AQ$3&lt;=6),2,4)))</f>
        <v xml:space="preserve"> </v>
      </c>
      <c r="J276" s="255" t="str">
        <f>IF(A276="N/A"," ",IF(AND('Pricing Inputs'!$AQ$3&gt;=1,'Pricing Inputs'!$AQ$3&lt;=6),I276,(VLOOKUP(A276,ScaledPrice,2))*(2-(VLOOKUP(A276,ScaledPrice,3)))))</f>
        <v xml:space="preserve"> </v>
      </c>
      <c r="K276" s="255" t="str">
        <f>IF(A276="N/A"," ",IF(OR('Pricing Inputs'!$AQ$3=2,'Pricing Inputs'!$AQ$3=3,'Pricing Inputs'!$AQ$3=5,'Pricing Inputs'!$AQ$3=6,'Pricing Inputs'!$AQ$3=8,'Pricing Inputs'!$AQ$3=9),VLOOKUP(A276,ScaledPrice,IF(AND('Pricing Inputs'!$AQ$3&gt;=2,'Pricing Inputs'!$AQ$3&lt;=6),5,6)),0))</f>
        <v xml:space="preserve"> </v>
      </c>
      <c r="L276" s="255" t="str">
        <f>IF(A276="N/A"," ",IF(OR('Pricing Inputs'!$AQ$3=2,'Pricing Inputs'!$AQ$3=3,'Pricing Inputs'!$AQ$3=5,'Pricing Inputs'!$AQ$3=6,'Pricing Inputs'!$AQ$3=8,'Pricing Inputs'!$AQ$3=9),IF(AND('Pricing Inputs'!$AQ$3&gt;=2,'Pricing Inputs'!$AQ$3&lt;=6),K276,(VLOOKUP(A276,ScaledPrice,5))*(2-(VLOOKUP(A276,ScaledPrice,3)))),0))</f>
        <v xml:space="preserve"> </v>
      </c>
      <c r="M276" s="255" t="str">
        <f>IF(A276="N/A"," ",IF(OR('Pricing Inputs'!$AQ$3=3,'Pricing Inputs'!$AQ$3=6,'Pricing Inputs'!$AQ$3=9),(VLOOKUP(A276,ScaledPrice,IF(AND('Pricing Inputs'!$AQ$3&gt;=3,'Pricing Inputs'!$AQ$3&lt;=6),7,8))),0))</f>
        <v xml:space="preserve"> </v>
      </c>
      <c r="N276" s="255" t="str">
        <f>IF(A276="N/A"," ",IF(OR('Pricing Inputs'!$AQ$3=3,'Pricing Inputs'!$AQ$3=6,'Pricing Inputs'!$AQ$3=9),IF(AND('Pricing Inputs'!$AQ$3&gt;=3,'Pricing Inputs'!$AQ$3&lt;=6),M276,(VLOOKUP(A276,ScaledPrice,7))*(2-(VLOOKUP(A276,ScaledPrice,3)))),0))</f>
        <v xml:space="preserve"> </v>
      </c>
      <c r="O276" s="255" t="str">
        <f>IF(A276="N/A"," ",IF(AND('Pricing Inputs'!$AQ$3&gt;=1,'Pricing Inputs'!$AQ$3&lt;=3),VLOOKUP(A276,ScaledPrice,9),0))</f>
        <v xml:space="preserve"> </v>
      </c>
      <c r="P276" s="320" t="str">
        <f>IF($A276="N/A"," ",IF('Pricing Inputs'!$AN$8=2,(I276-H276),IF('Pricing Inputs'!$AN$3=2,IF((I276-$H276)&gt;0,I276-$H276,0),(_xll.xSPRDOPT(I276,$E276,$BU276,0,$BP276,$BS276,$BT276,($A276-Inputs!$D$1)+15,1,0)))))</f>
        <v xml:space="preserve"> </v>
      </c>
      <c r="Q276" s="320" t="str">
        <f>IF($A276="N/A"," ",IF('Pricing Inputs'!$AN$8=2,(J276-$H276),IF('Pricing Inputs'!$AN$3=2,IF((J276-$H276)&gt;0,J276-$H276,0),(_xll.xSPRDOPT(J276,$E276,$BU276,0,$BP276,$BS276,$BT276,($A276-Inputs!$D$1)+15,1,0)))))</f>
        <v xml:space="preserve"> </v>
      </c>
      <c r="R276" s="320" t="str">
        <f>IF($A276="N/A"," ",IF('Pricing Inputs'!$AN$8=2,(K276-$H276),IF('Pricing Inputs'!$AN$3=2,IF((K276-$H276)&gt;0,K276-$H276,0),(_xll.xSPRDOPT(K276,$E276,$BU276,0,$BP276,$BS276,$BT276,($A276-Inputs!$D$1)+15,1,0)))))</f>
        <v xml:space="preserve"> </v>
      </c>
      <c r="S276" s="320" t="str">
        <f>IF($A276="N/A"," ",IF('Pricing Inputs'!$AN$8=2,(L276-$H276),IF('Pricing Inputs'!$AN$3=2,IF((L276-$H276)&gt;0,L276-$H276,0),(_xll.xSPRDOPT(L276,$E276,$BU276,0,$BP276,$BS276,$BT276,($A276-Inputs!$D$1)+15,1,0)))))</f>
        <v xml:space="preserve"> </v>
      </c>
      <c r="T276" s="320" t="str">
        <f>IF($A276="N/A"," ",IF('Pricing Inputs'!$AN$8=2,(M276-$H276),IF('Pricing Inputs'!$AN$3=2,IF((M276-$H276)&gt;0,M276-$H276,0),(_xll.xSPRDOPT(M276,$E276,$BU276,0,$BP276,$BS276,$BT276,($A276-Inputs!$D$1)+15,1,0)))))</f>
        <v xml:space="preserve"> </v>
      </c>
      <c r="U276" s="320" t="str">
        <f>IF($A276="N/A"," ",IF('Pricing Inputs'!$AN$8=2,(N276-$H276),IF('Pricing Inputs'!$AN$3=2,IF((N276-$H276)&gt;0,N276-$H276,0),(_xll.xSPRDOPT(N276,$E276,$BU276,0,$BP276,$BS276,$BT276,($A276-Inputs!$D$1)+15,1,0)))))</f>
        <v xml:space="preserve"> </v>
      </c>
      <c r="V276" s="259" t="str">
        <f>IF($A276="N/A"," ",(IF('Pricing Inputs'!$AN$8=2,(O276-$H276),IF((O276-$H276)&lt;=0,0,(O276-$H276)))))</f>
        <v xml:space="preserve"> </v>
      </c>
      <c r="AK276" s="229"/>
      <c r="AL276" s="229"/>
      <c r="AM276" s="229"/>
      <c r="AN276" s="229"/>
      <c r="AO276" s="229"/>
      <c r="AP276" s="229"/>
      <c r="AQ276" s="229"/>
      <c r="AR276" s="229"/>
      <c r="BA276" s="267" t="str">
        <f>IF($A276="N/A"," ",(IF(MONTH(A276)&gt;=4,IF(MONTH(A276)&lt;=10,Inputs!$F$13,Inputs!$F$14),Inputs!$F$14))*$BW276)</f>
        <v xml:space="preserve"> </v>
      </c>
      <c r="BN276" s="405" t="str">
        <f>IF(A276="N/A"," ",(VLOOKUP(A276,PowerVolTable,(IF('Pricing Inputs'!$AT$3=2,7,IF('Pricing Inputs'!$AT$3=1,6,8))),FALSE)))</f>
        <v xml:space="preserve"> </v>
      </c>
      <c r="BO276" s="405" t="str">
        <f>IF(A276="N/A"," ",(VLOOKUP(A276,IntraPowerVol,(IF('Pricing Inputs'!$AT$3=2,3,IF('Pricing Inputs'!$AT$3=1,2,4))),FALSE)*VLOOKUP(MONTH($A276),Inputs!$A$28:$B$39,2)))</f>
        <v xml:space="preserve"> </v>
      </c>
      <c r="BP276" s="406" t="str">
        <f t="shared" si="430"/>
        <v xml:space="preserve"> </v>
      </c>
      <c r="BQ276" s="405" t="str">
        <f>IF($A276="N/A"," ",(VLOOKUP($A276,GasVolTable,(IF('Pricing Inputs'!$AT$3=2,6,IF('Pricing Inputs'!$AT$3=1,7,5))),FALSE)))</f>
        <v xml:space="preserve"> </v>
      </c>
      <c r="BR276" s="405" t="str">
        <f>IF($A276="N/A"," ",(VLOOKUP($A276,OmicronVol,(IF('Pricing Inputs'!$AT$3=2,3,IF('Pricing Inputs'!$AT$3=1,4,2))),FALSE)))</f>
        <v xml:space="preserve"> </v>
      </c>
      <c r="BS276" s="406" t="str">
        <f>IF($A276="N/A"," ",IF('Pricing Inputs'!$AN$3=1,(IF(DateToday&gt;$A276,$BR276,((($BQ276^2)*((($A276-1)-DateToday)/((EOMONTH($A276,0)+1)-DateToday-15)))+((($BR276)^2)*((15)/((EOMONTH($A276,0)+1)-DateToday-15))))^0.5)),0.0001))</f>
        <v xml:space="preserve"> </v>
      </c>
      <c r="BT276" s="405" t="str">
        <f>IF($A276="N/A"," ",IF('Pricing Inputs'!$AN$3=1,(VLOOKUP($A276,CorrelationTable,2,FALSE)),0))</f>
        <v xml:space="preserve"> </v>
      </c>
      <c r="BU276" s="407" t="str">
        <f>IF($A276="N/A"," ",F276+G276+(D276*(VLOOKUP($A276,'Gas Curves'!$B$17:$P$310,14,FALSE))))</f>
        <v xml:space="preserve"> </v>
      </c>
      <c r="BV276" s="405" t="str">
        <f>IF($A276="N/A"," ",IF('Pricing Inputs'!$AW$3=1,0,(VLOOKUP($A276,InterestRatesTable,2))))</f>
        <v xml:space="preserve"> </v>
      </c>
      <c r="BW276" s="408" t="str">
        <f t="shared" si="431"/>
        <v xml:space="preserve"> </v>
      </c>
    </row>
    <row r="277" spans="1:75">
      <c r="A277" s="248" t="str">
        <f>IF(A276="N/A","N/A",IF(EDATE(A276,1)&gt;Inputs!$K$3,"N/A",EDATE(A276,1)))</f>
        <v>N/A</v>
      </c>
      <c r="B277" s="262" t="str">
        <f t="shared" si="432"/>
        <v xml:space="preserve"> </v>
      </c>
      <c r="C277" s="249" t="str">
        <f t="shared" si="433"/>
        <v xml:space="preserve"> </v>
      </c>
      <c r="D277" s="250" t="str">
        <f>IF(A277="N/A"," ",(VLOOKUP(MONTH($A277),Inputs!$A$14:$B$25,2))/1000)</f>
        <v xml:space="preserve"> </v>
      </c>
      <c r="E277" s="304" t="str">
        <f t="shared" si="434"/>
        <v xml:space="preserve"> </v>
      </c>
      <c r="F277" s="251" t="str">
        <f>IF(A277="N/A"," ",Inputs!$F$6)</f>
        <v xml:space="preserve"> </v>
      </c>
      <c r="G277" s="251" t="str">
        <f>IF(A277="N/A"," ",Inputs!$F$9/IF(AND('Pricing Inputs'!$AQ$3&gt;=4,'Pricing Inputs'!$AQ$3&lt;=6),16,IF(AND('Pricing Inputs'!$AQ$3&gt;=7,'Pricing Inputs'!$AQ$3&lt;=9),8,24))/(BA277/BW277))</f>
        <v xml:space="preserve"> </v>
      </c>
      <c r="H277" s="252" t="str">
        <f t="shared" si="435"/>
        <v xml:space="preserve"> </v>
      </c>
      <c r="I277" s="255" t="str">
        <f>VLOOKUP(A277,ScaledPrice,(IF(AND('Pricing Inputs'!$AQ$3&gt;=1,'Pricing Inputs'!$AQ$3&lt;=6),2,4)))</f>
        <v xml:space="preserve"> </v>
      </c>
      <c r="J277" s="255" t="str">
        <f>IF(A277="N/A"," ",IF(AND('Pricing Inputs'!$AQ$3&gt;=1,'Pricing Inputs'!$AQ$3&lt;=6),I277,(VLOOKUP(A277,ScaledPrice,2))*(2-(VLOOKUP(A277,ScaledPrice,3)))))</f>
        <v xml:space="preserve"> </v>
      </c>
      <c r="K277" s="255" t="str">
        <f>IF(A277="N/A"," ",IF(OR('Pricing Inputs'!$AQ$3=2,'Pricing Inputs'!$AQ$3=3,'Pricing Inputs'!$AQ$3=5,'Pricing Inputs'!$AQ$3=6,'Pricing Inputs'!$AQ$3=8,'Pricing Inputs'!$AQ$3=9),VLOOKUP(A277,ScaledPrice,IF(AND('Pricing Inputs'!$AQ$3&gt;=2,'Pricing Inputs'!$AQ$3&lt;=6),5,6)),0))</f>
        <v xml:space="preserve"> </v>
      </c>
      <c r="L277" s="255" t="str">
        <f>IF(A277="N/A"," ",IF(OR('Pricing Inputs'!$AQ$3=2,'Pricing Inputs'!$AQ$3=3,'Pricing Inputs'!$AQ$3=5,'Pricing Inputs'!$AQ$3=6,'Pricing Inputs'!$AQ$3=8,'Pricing Inputs'!$AQ$3=9),IF(AND('Pricing Inputs'!$AQ$3&gt;=2,'Pricing Inputs'!$AQ$3&lt;=6),K277,(VLOOKUP(A277,ScaledPrice,5))*(2-(VLOOKUP(A277,ScaledPrice,3)))),0))</f>
        <v xml:space="preserve"> </v>
      </c>
      <c r="M277" s="255" t="str">
        <f>IF(A277="N/A"," ",IF(OR('Pricing Inputs'!$AQ$3=3,'Pricing Inputs'!$AQ$3=6,'Pricing Inputs'!$AQ$3=9),(VLOOKUP(A277,ScaledPrice,IF(AND('Pricing Inputs'!$AQ$3&gt;=3,'Pricing Inputs'!$AQ$3&lt;=6),7,8))),0))</f>
        <v xml:space="preserve"> </v>
      </c>
      <c r="N277" s="255" t="str">
        <f>IF(A277="N/A"," ",IF(OR('Pricing Inputs'!$AQ$3=3,'Pricing Inputs'!$AQ$3=6,'Pricing Inputs'!$AQ$3=9),IF(AND('Pricing Inputs'!$AQ$3&gt;=3,'Pricing Inputs'!$AQ$3&lt;=6),M277,(VLOOKUP(A277,ScaledPrice,7))*(2-(VLOOKUP(A277,ScaledPrice,3)))),0))</f>
        <v xml:space="preserve"> </v>
      </c>
      <c r="O277" s="255" t="str">
        <f>IF(A277="N/A"," ",IF(AND('Pricing Inputs'!$AQ$3&gt;=1,'Pricing Inputs'!$AQ$3&lt;=3),VLOOKUP(A277,ScaledPrice,9),0))</f>
        <v xml:space="preserve"> </v>
      </c>
      <c r="P277" s="320" t="str">
        <f>IF($A277="N/A"," ",IF('Pricing Inputs'!$AN$8=2,(I277-H277),IF('Pricing Inputs'!$AN$3=2,IF((I277-$H277)&gt;0,I277-$H277,0),(_xll.xSPRDOPT(I277,$E277,$BU277,0,$BP277,$BS277,$BT277,($A277-Inputs!$D$1)+15,1,0)))))</f>
        <v xml:space="preserve"> </v>
      </c>
      <c r="Q277" s="320" t="str">
        <f>IF($A277="N/A"," ",IF('Pricing Inputs'!$AN$8=2,(J277-$H277),IF('Pricing Inputs'!$AN$3=2,IF((J277-$H277)&gt;0,J277-$H277,0),(_xll.xSPRDOPT(J277,$E277,$BU277,0,$BP277,$BS277,$BT277,($A277-Inputs!$D$1)+15,1,0)))))</f>
        <v xml:space="preserve"> </v>
      </c>
      <c r="R277" s="320" t="str">
        <f>IF($A277="N/A"," ",IF('Pricing Inputs'!$AN$8=2,(K277-$H277),IF('Pricing Inputs'!$AN$3=2,IF((K277-$H277)&gt;0,K277-$H277,0),(_xll.xSPRDOPT(K277,$E277,$BU277,0,$BP277,$BS277,$BT277,($A277-Inputs!$D$1)+15,1,0)))))</f>
        <v xml:space="preserve"> </v>
      </c>
      <c r="S277" s="320" t="str">
        <f>IF($A277="N/A"," ",IF('Pricing Inputs'!$AN$8=2,(L277-$H277),IF('Pricing Inputs'!$AN$3=2,IF((L277-$H277)&gt;0,L277-$H277,0),(_xll.xSPRDOPT(L277,$E277,$BU277,0,$BP277,$BS277,$BT277,($A277-Inputs!$D$1)+15,1,0)))))</f>
        <v xml:space="preserve"> </v>
      </c>
      <c r="T277" s="320" t="str">
        <f>IF($A277="N/A"," ",IF('Pricing Inputs'!$AN$8=2,(M277-$H277),IF('Pricing Inputs'!$AN$3=2,IF((M277-$H277)&gt;0,M277-$H277,0),(_xll.xSPRDOPT(M277,$E277,$BU277,0,$BP277,$BS277,$BT277,($A277-Inputs!$D$1)+15,1,0)))))</f>
        <v xml:space="preserve"> </v>
      </c>
      <c r="U277" s="320" t="str">
        <f>IF($A277="N/A"," ",IF('Pricing Inputs'!$AN$8=2,(N277-$H277),IF('Pricing Inputs'!$AN$3=2,IF((N277-$H277)&gt;0,N277-$H277,0),(_xll.xSPRDOPT(N277,$E277,$BU277,0,$BP277,$BS277,$BT277,($A277-Inputs!$D$1)+15,1,0)))))</f>
        <v xml:space="preserve"> </v>
      </c>
      <c r="V277" s="259" t="str">
        <f>IF($A277="N/A"," ",(IF('Pricing Inputs'!$AN$8=2,(O277-$H277),IF((O277-$H277)&lt;=0,0,(O277-$H277)))))</f>
        <v xml:space="preserve"> </v>
      </c>
      <c r="AK277" s="229"/>
      <c r="AL277" s="229"/>
      <c r="AM277" s="229"/>
      <c r="AN277" s="229"/>
      <c r="AO277" s="229"/>
      <c r="AP277" s="229"/>
      <c r="AQ277" s="229"/>
      <c r="AR277" s="229"/>
      <c r="BA277" s="267" t="str">
        <f>IF($A277="N/A"," ",(IF(MONTH(A277)&gt;=4,IF(MONTH(A277)&lt;=10,Inputs!$F$13,Inputs!$F$14),Inputs!$F$14))*$BW277)</f>
        <v xml:space="preserve"> </v>
      </c>
      <c r="BN277" s="405" t="str">
        <f>IF(A277="N/A"," ",(VLOOKUP(A277,PowerVolTable,(IF('Pricing Inputs'!$AT$3=2,7,IF('Pricing Inputs'!$AT$3=1,6,8))),FALSE)))</f>
        <v xml:space="preserve"> </v>
      </c>
      <c r="BO277" s="405" t="str">
        <f>IF(A277="N/A"," ",(VLOOKUP(A277,IntraPowerVol,(IF('Pricing Inputs'!$AT$3=2,3,IF('Pricing Inputs'!$AT$3=1,2,4))),FALSE)*VLOOKUP(MONTH($A277),Inputs!$A$28:$B$39,2)))</f>
        <v xml:space="preserve"> </v>
      </c>
      <c r="BP277" s="406" t="str">
        <f t="shared" si="430"/>
        <v xml:space="preserve"> </v>
      </c>
      <c r="BQ277" s="405" t="str">
        <f>IF($A277="N/A"," ",(VLOOKUP($A277,GasVolTable,(IF('Pricing Inputs'!$AT$3=2,6,IF('Pricing Inputs'!$AT$3=1,7,5))),FALSE)))</f>
        <v xml:space="preserve"> </v>
      </c>
      <c r="BR277" s="405" t="str">
        <f>IF($A277="N/A"," ",(VLOOKUP($A277,OmicronVol,(IF('Pricing Inputs'!$AT$3=2,3,IF('Pricing Inputs'!$AT$3=1,4,2))),FALSE)))</f>
        <v xml:space="preserve"> </v>
      </c>
      <c r="BS277" s="406" t="str">
        <f>IF($A277="N/A"," ",IF('Pricing Inputs'!$AN$3=1,(IF(DateToday&gt;$A277,$BR277,((($BQ277^2)*((($A277-1)-DateToday)/((EOMONTH($A277,0)+1)-DateToday-15)))+((($BR277)^2)*((15)/((EOMONTH($A277,0)+1)-DateToday-15))))^0.5)),0.0001))</f>
        <v xml:space="preserve"> </v>
      </c>
      <c r="BT277" s="405" t="str">
        <f>IF($A277="N/A"," ",IF('Pricing Inputs'!$AN$3=1,(VLOOKUP($A277,CorrelationTable,2,FALSE)),0))</f>
        <v xml:space="preserve"> </v>
      </c>
      <c r="BU277" s="407" t="str">
        <f>IF($A277="N/A"," ",F277+G277+(D277*(VLOOKUP($A277,'Gas Curves'!$B$17:$P$310,14,FALSE))))</f>
        <v xml:space="preserve"> </v>
      </c>
      <c r="BV277" s="405" t="str">
        <f>IF($A277="N/A"," ",IF('Pricing Inputs'!$AW$3=1,0,(VLOOKUP($A277,InterestRatesTable,2))))</f>
        <v xml:space="preserve"> </v>
      </c>
      <c r="BW277" s="408" t="str">
        <f t="shared" si="431"/>
        <v xml:space="preserve"> </v>
      </c>
    </row>
    <row r="278" spans="1:75">
      <c r="A278" s="248" t="str">
        <f>IF(A277="N/A","N/A",IF(EDATE(A277,1)&gt;Inputs!$K$3,"N/A",EDATE(A277,1)))</f>
        <v>N/A</v>
      </c>
      <c r="B278" s="262" t="str">
        <f t="shared" si="432"/>
        <v xml:space="preserve"> </v>
      </c>
      <c r="C278" s="249" t="str">
        <f t="shared" si="433"/>
        <v xml:space="preserve"> </v>
      </c>
      <c r="D278" s="250" t="str">
        <f>IF(A278="N/A"," ",(VLOOKUP(MONTH($A278),Inputs!$A$14:$B$25,2))/1000)</f>
        <v xml:space="preserve"> </v>
      </c>
      <c r="E278" s="304" t="str">
        <f t="shared" si="434"/>
        <v xml:space="preserve"> </v>
      </c>
      <c r="F278" s="251" t="str">
        <f>IF(A278="N/A"," ",Inputs!$F$6)</f>
        <v xml:space="preserve"> </v>
      </c>
      <c r="G278" s="251" t="str">
        <f>IF(A278="N/A"," ",Inputs!$F$9/IF(AND('Pricing Inputs'!$AQ$3&gt;=4,'Pricing Inputs'!$AQ$3&lt;=6),16,IF(AND('Pricing Inputs'!$AQ$3&gt;=7,'Pricing Inputs'!$AQ$3&lt;=9),8,24))/(BA278/BW278))</f>
        <v xml:space="preserve"> </v>
      </c>
      <c r="H278" s="252" t="str">
        <f t="shared" si="435"/>
        <v xml:space="preserve"> </v>
      </c>
      <c r="I278" s="255" t="str">
        <f>VLOOKUP(A278,ScaledPrice,(IF(AND('Pricing Inputs'!$AQ$3&gt;=1,'Pricing Inputs'!$AQ$3&lt;=6),2,4)))</f>
        <v xml:space="preserve"> </v>
      </c>
      <c r="J278" s="255" t="str">
        <f>IF(A278="N/A"," ",IF(AND('Pricing Inputs'!$AQ$3&gt;=1,'Pricing Inputs'!$AQ$3&lt;=6),I278,(VLOOKUP(A278,ScaledPrice,2))*(2-(VLOOKUP(A278,ScaledPrice,3)))))</f>
        <v xml:space="preserve"> </v>
      </c>
      <c r="K278" s="255" t="str">
        <f>IF(A278="N/A"," ",IF(OR('Pricing Inputs'!$AQ$3=2,'Pricing Inputs'!$AQ$3=3,'Pricing Inputs'!$AQ$3=5,'Pricing Inputs'!$AQ$3=6,'Pricing Inputs'!$AQ$3=8,'Pricing Inputs'!$AQ$3=9),VLOOKUP(A278,ScaledPrice,IF(AND('Pricing Inputs'!$AQ$3&gt;=2,'Pricing Inputs'!$AQ$3&lt;=6),5,6)),0))</f>
        <v xml:space="preserve"> </v>
      </c>
      <c r="L278" s="255" t="str">
        <f>IF(A278="N/A"," ",IF(OR('Pricing Inputs'!$AQ$3=2,'Pricing Inputs'!$AQ$3=3,'Pricing Inputs'!$AQ$3=5,'Pricing Inputs'!$AQ$3=6,'Pricing Inputs'!$AQ$3=8,'Pricing Inputs'!$AQ$3=9),IF(AND('Pricing Inputs'!$AQ$3&gt;=2,'Pricing Inputs'!$AQ$3&lt;=6),K278,(VLOOKUP(A278,ScaledPrice,5))*(2-(VLOOKUP(A278,ScaledPrice,3)))),0))</f>
        <v xml:space="preserve"> </v>
      </c>
      <c r="M278" s="255" t="str">
        <f>IF(A278="N/A"," ",IF(OR('Pricing Inputs'!$AQ$3=3,'Pricing Inputs'!$AQ$3=6,'Pricing Inputs'!$AQ$3=9),(VLOOKUP(A278,ScaledPrice,IF(AND('Pricing Inputs'!$AQ$3&gt;=3,'Pricing Inputs'!$AQ$3&lt;=6),7,8))),0))</f>
        <v xml:space="preserve"> </v>
      </c>
      <c r="N278" s="255" t="str">
        <f>IF(A278="N/A"," ",IF(OR('Pricing Inputs'!$AQ$3=3,'Pricing Inputs'!$AQ$3=6,'Pricing Inputs'!$AQ$3=9),IF(AND('Pricing Inputs'!$AQ$3&gt;=3,'Pricing Inputs'!$AQ$3&lt;=6),M278,(VLOOKUP(A278,ScaledPrice,7))*(2-(VLOOKUP(A278,ScaledPrice,3)))),0))</f>
        <v xml:space="preserve"> </v>
      </c>
      <c r="O278" s="255" t="str">
        <f>IF(A278="N/A"," ",IF(AND('Pricing Inputs'!$AQ$3&gt;=1,'Pricing Inputs'!$AQ$3&lt;=3),VLOOKUP(A278,ScaledPrice,9),0))</f>
        <v xml:space="preserve"> </v>
      </c>
      <c r="P278" s="320" t="str">
        <f>IF($A278="N/A"," ",IF('Pricing Inputs'!$AN$8=2,(I278-H278),IF('Pricing Inputs'!$AN$3=2,IF((I278-$H278)&gt;0,I278-$H278,0),(_xll.xSPRDOPT(I278,$E278,$BU278,0,$BP278,$BS278,$BT278,($A278-Inputs!$D$1)+15,1,0)))))</f>
        <v xml:space="preserve"> </v>
      </c>
      <c r="Q278" s="320" t="str">
        <f>IF($A278="N/A"," ",IF('Pricing Inputs'!$AN$8=2,(J278-$H278),IF('Pricing Inputs'!$AN$3=2,IF((J278-$H278)&gt;0,J278-$H278,0),(_xll.xSPRDOPT(J278,$E278,$BU278,0,$BP278,$BS278,$BT278,($A278-Inputs!$D$1)+15,1,0)))))</f>
        <v xml:space="preserve"> </v>
      </c>
      <c r="R278" s="320" t="str">
        <f>IF($A278="N/A"," ",IF('Pricing Inputs'!$AN$8=2,(K278-$H278),IF('Pricing Inputs'!$AN$3=2,IF((K278-$H278)&gt;0,K278-$H278,0),(_xll.xSPRDOPT(K278,$E278,$BU278,0,$BP278,$BS278,$BT278,($A278-Inputs!$D$1)+15,1,0)))))</f>
        <v xml:space="preserve"> </v>
      </c>
      <c r="S278" s="320" t="str">
        <f>IF($A278="N/A"," ",IF('Pricing Inputs'!$AN$8=2,(L278-$H278),IF('Pricing Inputs'!$AN$3=2,IF((L278-$H278)&gt;0,L278-$H278,0),(_xll.xSPRDOPT(L278,$E278,$BU278,0,$BP278,$BS278,$BT278,($A278-Inputs!$D$1)+15,1,0)))))</f>
        <v xml:space="preserve"> </v>
      </c>
      <c r="T278" s="320" t="str">
        <f>IF($A278="N/A"," ",IF('Pricing Inputs'!$AN$8=2,(M278-$H278),IF('Pricing Inputs'!$AN$3=2,IF((M278-$H278)&gt;0,M278-$H278,0),(_xll.xSPRDOPT(M278,$E278,$BU278,0,$BP278,$BS278,$BT278,($A278-Inputs!$D$1)+15,1,0)))))</f>
        <v xml:space="preserve"> </v>
      </c>
      <c r="U278" s="320" t="str">
        <f>IF($A278="N/A"," ",IF('Pricing Inputs'!$AN$8=2,(N278-$H278),IF('Pricing Inputs'!$AN$3=2,IF((N278-$H278)&gt;0,N278-$H278,0),(_xll.xSPRDOPT(N278,$E278,$BU278,0,$BP278,$BS278,$BT278,($A278-Inputs!$D$1)+15,1,0)))))</f>
        <v xml:space="preserve"> </v>
      </c>
      <c r="V278" s="259" t="str">
        <f>IF($A278="N/A"," ",(IF('Pricing Inputs'!$AN$8=2,(O278-$H278),IF((O278-$H278)&lt;=0,0,(O278-$H278)))))</f>
        <v xml:space="preserve"> </v>
      </c>
      <c r="AK278" s="229"/>
      <c r="AL278" s="229"/>
      <c r="AM278" s="229"/>
      <c r="AN278" s="229"/>
      <c r="AO278" s="229"/>
      <c r="AP278" s="229"/>
      <c r="AQ278" s="229"/>
      <c r="AR278" s="229"/>
      <c r="BA278" s="267" t="str">
        <f>IF($A278="N/A"," ",(IF(MONTH(A278)&gt;=4,IF(MONTH(A278)&lt;=10,Inputs!$F$13,Inputs!$F$14),Inputs!$F$14))*$BW278)</f>
        <v xml:space="preserve"> </v>
      </c>
      <c r="BN278" s="405" t="str">
        <f>IF(A278="N/A"," ",(VLOOKUP(A278,PowerVolTable,(IF('Pricing Inputs'!$AT$3=2,7,IF('Pricing Inputs'!$AT$3=1,6,8))),FALSE)))</f>
        <v xml:space="preserve"> </v>
      </c>
      <c r="BO278" s="405" t="str">
        <f>IF(A278="N/A"," ",(VLOOKUP(A278,IntraPowerVol,(IF('Pricing Inputs'!$AT$3=2,3,IF('Pricing Inputs'!$AT$3=1,2,4))),FALSE)*VLOOKUP(MONTH($A278),Inputs!$A$28:$B$39,2)))</f>
        <v xml:space="preserve"> </v>
      </c>
      <c r="BP278" s="406" t="str">
        <f t="shared" si="430"/>
        <v xml:space="preserve"> </v>
      </c>
      <c r="BQ278" s="405" t="str">
        <f>IF($A278="N/A"," ",(VLOOKUP($A278,GasVolTable,(IF('Pricing Inputs'!$AT$3=2,6,IF('Pricing Inputs'!$AT$3=1,7,5))),FALSE)))</f>
        <v xml:space="preserve"> </v>
      </c>
      <c r="BR278" s="405" t="str">
        <f>IF($A278="N/A"," ",(VLOOKUP($A278,OmicronVol,(IF('Pricing Inputs'!$AT$3=2,3,IF('Pricing Inputs'!$AT$3=1,4,2))),FALSE)))</f>
        <v xml:space="preserve"> </v>
      </c>
      <c r="BS278" s="406" t="str">
        <f>IF($A278="N/A"," ",IF('Pricing Inputs'!$AN$3=1,(IF(DateToday&gt;$A278,$BR278,((($BQ278^2)*((($A278-1)-DateToday)/((EOMONTH($A278,0)+1)-DateToday-15)))+((($BR278)^2)*((15)/((EOMONTH($A278,0)+1)-DateToday-15))))^0.5)),0.0001))</f>
        <v xml:space="preserve"> </v>
      </c>
      <c r="BT278" s="405" t="str">
        <f>IF($A278="N/A"," ",IF('Pricing Inputs'!$AN$3=1,(VLOOKUP($A278,CorrelationTable,2,FALSE)),0))</f>
        <v xml:space="preserve"> </v>
      </c>
      <c r="BU278" s="407" t="str">
        <f>IF($A278="N/A"," ",F278+G278+(D278*(VLOOKUP($A278,'Gas Curves'!$B$17:$P$310,14,FALSE))))</f>
        <v xml:space="preserve"> </v>
      </c>
      <c r="BV278" s="405" t="str">
        <f>IF($A278="N/A"," ",IF('Pricing Inputs'!$AW$3=1,0,(VLOOKUP($A278,InterestRatesTable,2))))</f>
        <v xml:space="preserve"> </v>
      </c>
      <c r="BW278" s="408" t="str">
        <f t="shared" si="431"/>
        <v xml:space="preserve"> </v>
      </c>
    </row>
    <row r="279" spans="1:75">
      <c r="A279" s="248" t="str">
        <f>IF(A278="N/A","N/A",IF(EDATE(A278,1)&gt;Inputs!$K$3,"N/A",EDATE(A278,1)))</f>
        <v>N/A</v>
      </c>
      <c r="B279" s="262" t="str">
        <f t="shared" si="432"/>
        <v xml:space="preserve"> </v>
      </c>
      <c r="C279" s="249" t="str">
        <f t="shared" si="433"/>
        <v xml:space="preserve"> </v>
      </c>
      <c r="D279" s="250" t="str">
        <f>IF(A279="N/A"," ",(VLOOKUP(MONTH($A279),Inputs!$A$14:$B$25,2))/1000)</f>
        <v xml:space="preserve"> </v>
      </c>
      <c r="E279" s="304" t="str">
        <f t="shared" si="434"/>
        <v xml:space="preserve"> </v>
      </c>
      <c r="F279" s="251" t="str">
        <f>IF(A279="N/A"," ",Inputs!$F$6)</f>
        <v xml:space="preserve"> </v>
      </c>
      <c r="G279" s="251" t="str">
        <f>IF(A279="N/A"," ",Inputs!$F$9/IF(AND('Pricing Inputs'!$AQ$3&gt;=4,'Pricing Inputs'!$AQ$3&lt;=6),16,IF(AND('Pricing Inputs'!$AQ$3&gt;=7,'Pricing Inputs'!$AQ$3&lt;=9),8,24))/(BA279/BW279))</f>
        <v xml:space="preserve"> </v>
      </c>
      <c r="H279" s="252" t="str">
        <f t="shared" si="435"/>
        <v xml:space="preserve"> </v>
      </c>
      <c r="I279" s="255" t="str">
        <f>VLOOKUP(A279,ScaledPrice,(IF(AND('Pricing Inputs'!$AQ$3&gt;=1,'Pricing Inputs'!$AQ$3&lt;=6),2,4)))</f>
        <v xml:space="preserve"> </v>
      </c>
      <c r="J279" s="255" t="str">
        <f>IF(A279="N/A"," ",IF(AND('Pricing Inputs'!$AQ$3&gt;=1,'Pricing Inputs'!$AQ$3&lt;=6),I279,(VLOOKUP(A279,ScaledPrice,2))*(2-(VLOOKUP(A279,ScaledPrice,3)))))</f>
        <v xml:space="preserve"> </v>
      </c>
      <c r="K279" s="255" t="str">
        <f>IF(A279="N/A"," ",IF(OR('Pricing Inputs'!$AQ$3=2,'Pricing Inputs'!$AQ$3=3,'Pricing Inputs'!$AQ$3=5,'Pricing Inputs'!$AQ$3=6,'Pricing Inputs'!$AQ$3=8,'Pricing Inputs'!$AQ$3=9),VLOOKUP(A279,ScaledPrice,IF(AND('Pricing Inputs'!$AQ$3&gt;=2,'Pricing Inputs'!$AQ$3&lt;=6),5,6)),0))</f>
        <v xml:space="preserve"> </v>
      </c>
      <c r="L279" s="255" t="str">
        <f>IF(A279="N/A"," ",IF(OR('Pricing Inputs'!$AQ$3=2,'Pricing Inputs'!$AQ$3=3,'Pricing Inputs'!$AQ$3=5,'Pricing Inputs'!$AQ$3=6,'Pricing Inputs'!$AQ$3=8,'Pricing Inputs'!$AQ$3=9),IF(AND('Pricing Inputs'!$AQ$3&gt;=2,'Pricing Inputs'!$AQ$3&lt;=6),K279,(VLOOKUP(A279,ScaledPrice,5))*(2-(VLOOKUP(A279,ScaledPrice,3)))),0))</f>
        <v xml:space="preserve"> </v>
      </c>
      <c r="M279" s="255" t="str">
        <f>IF(A279="N/A"," ",IF(OR('Pricing Inputs'!$AQ$3=3,'Pricing Inputs'!$AQ$3=6,'Pricing Inputs'!$AQ$3=9),(VLOOKUP(A279,ScaledPrice,IF(AND('Pricing Inputs'!$AQ$3&gt;=3,'Pricing Inputs'!$AQ$3&lt;=6),7,8))),0))</f>
        <v xml:space="preserve"> </v>
      </c>
      <c r="N279" s="255" t="str">
        <f>IF(A279="N/A"," ",IF(OR('Pricing Inputs'!$AQ$3=3,'Pricing Inputs'!$AQ$3=6,'Pricing Inputs'!$AQ$3=9),IF(AND('Pricing Inputs'!$AQ$3&gt;=3,'Pricing Inputs'!$AQ$3&lt;=6),M279,(VLOOKUP(A279,ScaledPrice,7))*(2-(VLOOKUP(A279,ScaledPrice,3)))),0))</f>
        <v xml:space="preserve"> </v>
      </c>
      <c r="O279" s="255" t="str">
        <f>IF(A279="N/A"," ",IF(AND('Pricing Inputs'!$AQ$3&gt;=1,'Pricing Inputs'!$AQ$3&lt;=3),VLOOKUP(A279,ScaledPrice,9),0))</f>
        <v xml:space="preserve"> </v>
      </c>
      <c r="P279" s="320" t="str">
        <f>IF($A279="N/A"," ",IF('Pricing Inputs'!$AN$8=2,(I279-H279),IF('Pricing Inputs'!$AN$3=2,IF((I279-$H279)&gt;0,I279-$H279,0),(_xll.xSPRDOPT(I279,$E279,$BU279,0,$BP279,$BS279,$BT279,($A279-Inputs!$D$1)+15,1,0)))))</f>
        <v xml:space="preserve"> </v>
      </c>
      <c r="Q279" s="320" t="str">
        <f>IF($A279="N/A"," ",IF('Pricing Inputs'!$AN$8=2,(J279-$H279),IF('Pricing Inputs'!$AN$3=2,IF((J279-$H279)&gt;0,J279-$H279,0),(_xll.xSPRDOPT(J279,$E279,$BU279,0,$BP279,$BS279,$BT279,($A279-Inputs!$D$1)+15,1,0)))))</f>
        <v xml:space="preserve"> </v>
      </c>
      <c r="R279" s="320" t="str">
        <f>IF($A279="N/A"," ",IF('Pricing Inputs'!$AN$8=2,(K279-$H279),IF('Pricing Inputs'!$AN$3=2,IF((K279-$H279)&gt;0,K279-$H279,0),(_xll.xSPRDOPT(K279,$E279,$BU279,0,$BP279,$BS279,$BT279,($A279-Inputs!$D$1)+15,1,0)))))</f>
        <v xml:space="preserve"> </v>
      </c>
      <c r="S279" s="320" t="str">
        <f>IF($A279="N/A"," ",IF('Pricing Inputs'!$AN$8=2,(L279-$H279),IF('Pricing Inputs'!$AN$3=2,IF((L279-$H279)&gt;0,L279-$H279,0),(_xll.xSPRDOPT(L279,$E279,$BU279,0,$BP279,$BS279,$BT279,($A279-Inputs!$D$1)+15,1,0)))))</f>
        <v xml:space="preserve"> </v>
      </c>
      <c r="T279" s="320" t="str">
        <f>IF($A279="N/A"," ",IF('Pricing Inputs'!$AN$8=2,(M279-$H279),IF('Pricing Inputs'!$AN$3=2,IF((M279-$H279)&gt;0,M279-$H279,0),(_xll.xSPRDOPT(M279,$E279,$BU279,0,$BP279,$BS279,$BT279,($A279-Inputs!$D$1)+15,1,0)))))</f>
        <v xml:space="preserve"> </v>
      </c>
      <c r="U279" s="320" t="str">
        <f>IF($A279="N/A"," ",IF('Pricing Inputs'!$AN$8=2,(N279-$H279),IF('Pricing Inputs'!$AN$3=2,IF((N279-$H279)&gt;0,N279-$H279,0),(_xll.xSPRDOPT(N279,$E279,$BU279,0,$BP279,$BS279,$BT279,($A279-Inputs!$D$1)+15,1,0)))))</f>
        <v xml:space="preserve"> </v>
      </c>
      <c r="V279" s="259" t="str">
        <f>IF($A279="N/A"," ",(IF('Pricing Inputs'!$AN$8=2,(O279-$H279),IF((O279-$H279)&lt;=0,0,(O279-$H279)))))</f>
        <v xml:space="preserve"> </v>
      </c>
      <c r="AK279" s="229"/>
      <c r="AL279" s="229"/>
      <c r="AM279" s="229"/>
      <c r="AN279" s="229"/>
      <c r="AO279" s="229"/>
      <c r="AP279" s="229"/>
      <c r="AQ279" s="229"/>
      <c r="AR279" s="229"/>
      <c r="BA279" s="267" t="str">
        <f>IF($A279="N/A"," ",(IF(MONTH(A279)&gt;=4,IF(MONTH(A279)&lt;=10,Inputs!$F$13,Inputs!$F$14),Inputs!$F$14))*$BW279)</f>
        <v xml:space="preserve"> </v>
      </c>
      <c r="BN279" s="405" t="str">
        <f>IF(A279="N/A"," ",(VLOOKUP(A279,PowerVolTable,(IF('Pricing Inputs'!$AT$3=2,7,IF('Pricing Inputs'!$AT$3=1,6,8))),FALSE)))</f>
        <v xml:space="preserve"> </v>
      </c>
      <c r="BO279" s="405" t="str">
        <f>IF(A279="N/A"," ",(VLOOKUP(A279,IntraPowerVol,(IF('Pricing Inputs'!$AT$3=2,3,IF('Pricing Inputs'!$AT$3=1,2,4))),FALSE)*VLOOKUP(MONTH($A279),Inputs!$A$28:$B$39,2)))</f>
        <v xml:space="preserve"> </v>
      </c>
      <c r="BP279" s="406" t="str">
        <f t="shared" si="430"/>
        <v xml:space="preserve"> </v>
      </c>
      <c r="BQ279" s="405" t="str">
        <f>IF($A279="N/A"," ",(VLOOKUP($A279,GasVolTable,(IF('Pricing Inputs'!$AT$3=2,6,IF('Pricing Inputs'!$AT$3=1,7,5))),FALSE)))</f>
        <v xml:space="preserve"> </v>
      </c>
      <c r="BR279" s="405" t="str">
        <f>IF($A279="N/A"," ",(VLOOKUP($A279,OmicronVol,(IF('Pricing Inputs'!$AT$3=2,3,IF('Pricing Inputs'!$AT$3=1,4,2))),FALSE)))</f>
        <v xml:space="preserve"> </v>
      </c>
      <c r="BS279" s="406" t="str">
        <f>IF($A279="N/A"," ",IF('Pricing Inputs'!$AN$3=1,(IF(DateToday&gt;$A279,$BR279,((($BQ279^2)*((($A279-1)-DateToday)/((EOMONTH($A279,0)+1)-DateToday-15)))+((($BR279)^2)*((15)/((EOMONTH($A279,0)+1)-DateToday-15))))^0.5)),0.0001))</f>
        <v xml:space="preserve"> </v>
      </c>
      <c r="BT279" s="405" t="str">
        <f>IF($A279="N/A"," ",IF('Pricing Inputs'!$AN$3=1,(VLOOKUP($A279,CorrelationTable,2,FALSE)),0))</f>
        <v xml:space="preserve"> </v>
      </c>
      <c r="BU279" s="407" t="str">
        <f>IF($A279="N/A"," ",F279+G279+(D279*(VLOOKUP($A279,'Gas Curves'!$B$17:$P$310,14,FALSE))))</f>
        <v xml:space="preserve"> </v>
      </c>
      <c r="BV279" s="405" t="str">
        <f>IF($A279="N/A"," ",IF('Pricing Inputs'!$AW$3=1,0,(VLOOKUP($A279,InterestRatesTable,2))))</f>
        <v xml:space="preserve"> </v>
      </c>
      <c r="BW279" s="408" t="str">
        <f t="shared" si="431"/>
        <v xml:space="preserve"> </v>
      </c>
    </row>
    <row r="280" spans="1:75">
      <c r="A280" s="248" t="str">
        <f>IF(A279="N/A","N/A",IF(EDATE(A279,1)&gt;Inputs!$K$3,"N/A",EDATE(A279,1)))</f>
        <v>N/A</v>
      </c>
      <c r="B280" s="262" t="str">
        <f t="shared" si="432"/>
        <v xml:space="preserve"> </v>
      </c>
      <c r="C280" s="249" t="str">
        <f t="shared" si="433"/>
        <v xml:space="preserve"> </v>
      </c>
      <c r="D280" s="250" t="str">
        <f>IF(A280="N/A"," ",(VLOOKUP(MONTH($A280),Inputs!$A$14:$B$25,2))/1000)</f>
        <v xml:space="preserve"> </v>
      </c>
      <c r="E280" s="304" t="str">
        <f t="shared" si="434"/>
        <v xml:space="preserve"> </v>
      </c>
      <c r="F280" s="251" t="str">
        <f>IF(A280="N/A"," ",Inputs!$F$6)</f>
        <v xml:space="preserve"> </v>
      </c>
      <c r="G280" s="251" t="str">
        <f>IF(A280="N/A"," ",Inputs!$F$9/IF(AND('Pricing Inputs'!$AQ$3&gt;=4,'Pricing Inputs'!$AQ$3&lt;=6),16,IF(AND('Pricing Inputs'!$AQ$3&gt;=7,'Pricing Inputs'!$AQ$3&lt;=9),8,24))/(BA280/BW280))</f>
        <v xml:space="preserve"> </v>
      </c>
      <c r="H280" s="252" t="str">
        <f t="shared" si="435"/>
        <v xml:space="preserve"> </v>
      </c>
      <c r="I280" s="255" t="str">
        <f>VLOOKUP(A280,ScaledPrice,(IF(AND('Pricing Inputs'!$AQ$3&gt;=1,'Pricing Inputs'!$AQ$3&lt;=6),2,4)))</f>
        <v xml:space="preserve"> </v>
      </c>
      <c r="J280" s="255" t="str">
        <f>IF(A280="N/A"," ",IF(AND('Pricing Inputs'!$AQ$3&gt;=1,'Pricing Inputs'!$AQ$3&lt;=6),I280,(VLOOKUP(A280,ScaledPrice,2))*(2-(VLOOKUP(A280,ScaledPrice,3)))))</f>
        <v xml:space="preserve"> </v>
      </c>
      <c r="K280" s="255" t="str">
        <f>IF(A280="N/A"," ",IF(OR('Pricing Inputs'!$AQ$3=2,'Pricing Inputs'!$AQ$3=3,'Pricing Inputs'!$AQ$3=5,'Pricing Inputs'!$AQ$3=6,'Pricing Inputs'!$AQ$3=8,'Pricing Inputs'!$AQ$3=9),VLOOKUP(A280,ScaledPrice,IF(AND('Pricing Inputs'!$AQ$3&gt;=2,'Pricing Inputs'!$AQ$3&lt;=6),5,6)),0))</f>
        <v xml:space="preserve"> </v>
      </c>
      <c r="L280" s="255" t="str">
        <f>IF(A280="N/A"," ",IF(OR('Pricing Inputs'!$AQ$3=2,'Pricing Inputs'!$AQ$3=3,'Pricing Inputs'!$AQ$3=5,'Pricing Inputs'!$AQ$3=6,'Pricing Inputs'!$AQ$3=8,'Pricing Inputs'!$AQ$3=9),IF(AND('Pricing Inputs'!$AQ$3&gt;=2,'Pricing Inputs'!$AQ$3&lt;=6),K280,(VLOOKUP(A280,ScaledPrice,5))*(2-(VLOOKUP(A280,ScaledPrice,3)))),0))</f>
        <v xml:space="preserve"> </v>
      </c>
      <c r="M280" s="255" t="str">
        <f>IF(A280="N/A"," ",IF(OR('Pricing Inputs'!$AQ$3=3,'Pricing Inputs'!$AQ$3=6,'Pricing Inputs'!$AQ$3=9),(VLOOKUP(A280,ScaledPrice,IF(AND('Pricing Inputs'!$AQ$3&gt;=3,'Pricing Inputs'!$AQ$3&lt;=6),7,8))),0))</f>
        <v xml:space="preserve"> </v>
      </c>
      <c r="N280" s="255" t="str">
        <f>IF(A280="N/A"," ",IF(OR('Pricing Inputs'!$AQ$3=3,'Pricing Inputs'!$AQ$3=6,'Pricing Inputs'!$AQ$3=9),IF(AND('Pricing Inputs'!$AQ$3&gt;=3,'Pricing Inputs'!$AQ$3&lt;=6),M280,(VLOOKUP(A280,ScaledPrice,7))*(2-(VLOOKUP(A280,ScaledPrice,3)))),0))</f>
        <v xml:space="preserve"> </v>
      </c>
      <c r="O280" s="255" t="str">
        <f>IF(A280="N/A"," ",IF(AND('Pricing Inputs'!$AQ$3&gt;=1,'Pricing Inputs'!$AQ$3&lt;=3),VLOOKUP(A280,ScaledPrice,9),0))</f>
        <v xml:space="preserve"> </v>
      </c>
      <c r="P280" s="320" t="str">
        <f>IF($A280="N/A"," ",IF('Pricing Inputs'!$AN$8=2,(I280-H280),IF('Pricing Inputs'!$AN$3=2,IF((I280-$H280)&gt;0,I280-$H280,0),(_xll.xSPRDOPT(I280,$E280,$BU280,0,$BP280,$BS280,$BT280,($A280-Inputs!$D$1)+15,1,0)))))</f>
        <v xml:space="preserve"> </v>
      </c>
      <c r="Q280" s="320" t="str">
        <f>IF($A280="N/A"," ",IF('Pricing Inputs'!$AN$8=2,(J280-$H280),IF('Pricing Inputs'!$AN$3=2,IF((J280-$H280)&gt;0,J280-$H280,0),(_xll.xSPRDOPT(J280,$E280,$BU280,0,$BP280,$BS280,$BT280,($A280-Inputs!$D$1)+15,1,0)))))</f>
        <v xml:space="preserve"> </v>
      </c>
      <c r="R280" s="320" t="str">
        <f>IF($A280="N/A"," ",IF('Pricing Inputs'!$AN$8=2,(K280-$H280),IF('Pricing Inputs'!$AN$3=2,IF((K280-$H280)&gt;0,K280-$H280,0),(_xll.xSPRDOPT(K280,$E280,$BU280,0,$BP280,$BS280,$BT280,($A280-Inputs!$D$1)+15,1,0)))))</f>
        <v xml:space="preserve"> </v>
      </c>
      <c r="S280" s="320" t="str">
        <f>IF($A280="N/A"," ",IF('Pricing Inputs'!$AN$8=2,(L280-$H280),IF('Pricing Inputs'!$AN$3=2,IF((L280-$H280)&gt;0,L280-$H280,0),(_xll.xSPRDOPT(L280,$E280,$BU280,0,$BP280,$BS280,$BT280,($A280-Inputs!$D$1)+15,1,0)))))</f>
        <v xml:space="preserve"> </v>
      </c>
      <c r="T280" s="320" t="str">
        <f>IF($A280="N/A"," ",IF('Pricing Inputs'!$AN$8=2,(M280-$H280),IF('Pricing Inputs'!$AN$3=2,IF((M280-$H280)&gt;0,M280-$H280,0),(_xll.xSPRDOPT(M280,$E280,$BU280,0,$BP280,$BS280,$BT280,($A280-Inputs!$D$1)+15,1,0)))))</f>
        <v xml:space="preserve"> </v>
      </c>
      <c r="U280" s="320" t="str">
        <f>IF($A280="N/A"," ",IF('Pricing Inputs'!$AN$8=2,(N280-$H280),IF('Pricing Inputs'!$AN$3=2,IF((N280-$H280)&gt;0,N280-$H280,0),(_xll.xSPRDOPT(N280,$E280,$BU280,0,$BP280,$BS280,$BT280,($A280-Inputs!$D$1)+15,1,0)))))</f>
        <v xml:space="preserve"> </v>
      </c>
      <c r="V280" s="259" t="str">
        <f>IF($A280="N/A"," ",(IF('Pricing Inputs'!$AN$8=2,(O280-$H280),IF((O280-$H280)&lt;=0,0,(O280-$H280)))))</f>
        <v xml:space="preserve"> </v>
      </c>
      <c r="AK280" s="229"/>
      <c r="AL280" s="229"/>
      <c r="AM280" s="229"/>
      <c r="AN280" s="229"/>
      <c r="AO280" s="229"/>
      <c r="AP280" s="229"/>
      <c r="AQ280" s="229"/>
      <c r="AR280" s="229"/>
      <c r="BA280" s="267" t="str">
        <f>IF($A280="N/A"," ",(IF(MONTH(A280)&gt;=4,IF(MONTH(A280)&lt;=10,Inputs!$F$13,Inputs!$F$14),Inputs!$F$14))*$BW280)</f>
        <v xml:space="preserve"> </v>
      </c>
      <c r="BN280" s="405" t="str">
        <f>IF(A280="N/A"," ",(VLOOKUP(A280,PowerVolTable,(IF('Pricing Inputs'!$AT$3=2,7,IF('Pricing Inputs'!$AT$3=1,6,8))),FALSE)))</f>
        <v xml:space="preserve"> </v>
      </c>
      <c r="BO280" s="405" t="str">
        <f>IF(A280="N/A"," ",(VLOOKUP(A280,IntraPowerVol,(IF('Pricing Inputs'!$AT$3=2,3,IF('Pricing Inputs'!$AT$3=1,2,4))),FALSE)*VLOOKUP(MONTH($A280),Inputs!$A$28:$B$39,2)))</f>
        <v xml:space="preserve"> </v>
      </c>
      <c r="BP280" s="406" t="str">
        <f t="shared" si="430"/>
        <v xml:space="preserve"> </v>
      </c>
      <c r="BQ280" s="405" t="str">
        <f>IF($A280="N/A"," ",(VLOOKUP($A280,GasVolTable,(IF('Pricing Inputs'!$AT$3=2,6,IF('Pricing Inputs'!$AT$3=1,7,5))),FALSE)))</f>
        <v xml:space="preserve"> </v>
      </c>
      <c r="BR280" s="405" t="str">
        <f>IF($A280="N/A"," ",(VLOOKUP($A280,OmicronVol,(IF('Pricing Inputs'!$AT$3=2,3,IF('Pricing Inputs'!$AT$3=1,4,2))),FALSE)))</f>
        <v xml:space="preserve"> </v>
      </c>
      <c r="BS280" s="406" t="str">
        <f>IF($A280="N/A"," ",IF('Pricing Inputs'!$AN$3=1,(IF(DateToday&gt;$A280,$BR280,((($BQ280^2)*((($A280-1)-DateToday)/((EOMONTH($A280,0)+1)-DateToday-15)))+((($BR280)^2)*((15)/((EOMONTH($A280,0)+1)-DateToday-15))))^0.5)),0.0001))</f>
        <v xml:space="preserve"> </v>
      </c>
      <c r="BT280" s="405" t="str">
        <f>IF($A280="N/A"," ",IF('Pricing Inputs'!$AN$3=1,(VLOOKUP($A280,CorrelationTable,2,FALSE)),0))</f>
        <v xml:space="preserve"> </v>
      </c>
      <c r="BU280" s="407" t="str">
        <f>IF($A280="N/A"," ",F280+G280+(D280*(VLOOKUP($A280,'Gas Curves'!$B$17:$P$310,14,FALSE))))</f>
        <v xml:space="preserve"> </v>
      </c>
      <c r="BV280" s="405" t="str">
        <f>IF($A280="N/A"," ",IF('Pricing Inputs'!$AW$3=1,0,(VLOOKUP($A280,InterestRatesTable,2))))</f>
        <v xml:space="preserve"> </v>
      </c>
      <c r="BW280" s="408" t="str">
        <f t="shared" si="431"/>
        <v xml:space="preserve"> </v>
      </c>
    </row>
    <row r="281" spans="1:75">
      <c r="A281" s="248" t="str">
        <f>IF(A280="N/A","N/A",IF(EDATE(A280,1)&gt;Inputs!$K$3,"N/A",EDATE(A280,1)))</f>
        <v>N/A</v>
      </c>
      <c r="B281" s="262" t="str">
        <f t="shared" si="432"/>
        <v xml:space="preserve"> </v>
      </c>
      <c r="C281" s="249" t="str">
        <f t="shared" si="433"/>
        <v xml:space="preserve"> </v>
      </c>
      <c r="D281" s="250" t="str">
        <f>IF(A281="N/A"," ",(VLOOKUP(MONTH($A281),Inputs!$A$14:$B$25,2))/1000)</f>
        <v xml:space="preserve"> </v>
      </c>
      <c r="E281" s="304" t="str">
        <f t="shared" si="434"/>
        <v xml:space="preserve"> </v>
      </c>
      <c r="F281" s="251" t="str">
        <f>IF(A281="N/A"," ",Inputs!$F$6)</f>
        <v xml:space="preserve"> </v>
      </c>
      <c r="G281" s="251" t="str">
        <f>IF(A281="N/A"," ",Inputs!$F$9/IF(AND('Pricing Inputs'!$AQ$3&gt;=4,'Pricing Inputs'!$AQ$3&lt;=6),16,IF(AND('Pricing Inputs'!$AQ$3&gt;=7,'Pricing Inputs'!$AQ$3&lt;=9),8,24))/(BA281/BW281))</f>
        <v xml:space="preserve"> </v>
      </c>
      <c r="H281" s="252" t="str">
        <f t="shared" si="435"/>
        <v xml:space="preserve"> </v>
      </c>
      <c r="I281" s="255" t="str">
        <f>VLOOKUP(A281,ScaledPrice,(IF(AND('Pricing Inputs'!$AQ$3&gt;=1,'Pricing Inputs'!$AQ$3&lt;=6),2,4)))</f>
        <v xml:space="preserve"> </v>
      </c>
      <c r="J281" s="255" t="str">
        <f>IF(A281="N/A"," ",IF(AND('Pricing Inputs'!$AQ$3&gt;=1,'Pricing Inputs'!$AQ$3&lt;=6),I281,(VLOOKUP(A281,ScaledPrice,2))*(2-(VLOOKUP(A281,ScaledPrice,3)))))</f>
        <v xml:space="preserve"> </v>
      </c>
      <c r="K281" s="255" t="str">
        <f>IF(A281="N/A"," ",IF(OR('Pricing Inputs'!$AQ$3=2,'Pricing Inputs'!$AQ$3=3,'Pricing Inputs'!$AQ$3=5,'Pricing Inputs'!$AQ$3=6,'Pricing Inputs'!$AQ$3=8,'Pricing Inputs'!$AQ$3=9),VLOOKUP(A281,ScaledPrice,IF(AND('Pricing Inputs'!$AQ$3&gt;=2,'Pricing Inputs'!$AQ$3&lt;=6),5,6)),0))</f>
        <v xml:space="preserve"> </v>
      </c>
      <c r="L281" s="255" t="str">
        <f>IF(A281="N/A"," ",IF(OR('Pricing Inputs'!$AQ$3=2,'Pricing Inputs'!$AQ$3=3,'Pricing Inputs'!$AQ$3=5,'Pricing Inputs'!$AQ$3=6,'Pricing Inputs'!$AQ$3=8,'Pricing Inputs'!$AQ$3=9),IF(AND('Pricing Inputs'!$AQ$3&gt;=2,'Pricing Inputs'!$AQ$3&lt;=6),K281,(VLOOKUP(A281,ScaledPrice,5))*(2-(VLOOKUP(A281,ScaledPrice,3)))),0))</f>
        <v xml:space="preserve"> </v>
      </c>
      <c r="M281" s="255" t="str">
        <f>IF(A281="N/A"," ",IF(OR('Pricing Inputs'!$AQ$3=3,'Pricing Inputs'!$AQ$3=6,'Pricing Inputs'!$AQ$3=9),(VLOOKUP(A281,ScaledPrice,IF(AND('Pricing Inputs'!$AQ$3&gt;=3,'Pricing Inputs'!$AQ$3&lt;=6),7,8))),0))</f>
        <v xml:space="preserve"> </v>
      </c>
      <c r="N281" s="255" t="str">
        <f>IF(A281="N/A"," ",IF(OR('Pricing Inputs'!$AQ$3=3,'Pricing Inputs'!$AQ$3=6,'Pricing Inputs'!$AQ$3=9),IF(AND('Pricing Inputs'!$AQ$3&gt;=3,'Pricing Inputs'!$AQ$3&lt;=6),M281,(VLOOKUP(A281,ScaledPrice,7))*(2-(VLOOKUP(A281,ScaledPrice,3)))),0))</f>
        <v xml:space="preserve"> </v>
      </c>
      <c r="O281" s="255" t="str">
        <f>IF(A281="N/A"," ",IF(AND('Pricing Inputs'!$AQ$3&gt;=1,'Pricing Inputs'!$AQ$3&lt;=3),VLOOKUP(A281,ScaledPrice,9),0))</f>
        <v xml:space="preserve"> </v>
      </c>
      <c r="P281" s="320" t="str">
        <f>IF($A281="N/A"," ",IF('Pricing Inputs'!$AN$8=2,(I281-H281),IF('Pricing Inputs'!$AN$3=2,IF((I281-$H281)&gt;0,I281-$H281,0),(_xll.xSPRDOPT(I281,$E281,$BU281,0,$BP281,$BS281,$BT281,($A281-Inputs!$D$1)+15,1,0)))))</f>
        <v xml:space="preserve"> </v>
      </c>
      <c r="Q281" s="320" t="str">
        <f>IF($A281="N/A"," ",IF('Pricing Inputs'!$AN$8=2,(J281-$H281),IF('Pricing Inputs'!$AN$3=2,IF((J281-$H281)&gt;0,J281-$H281,0),(_xll.xSPRDOPT(J281,$E281,$BU281,0,$BP281,$BS281,$BT281,($A281-Inputs!$D$1)+15,1,0)))))</f>
        <v xml:space="preserve"> </v>
      </c>
      <c r="R281" s="320" t="str">
        <f>IF($A281="N/A"," ",IF('Pricing Inputs'!$AN$8=2,(K281-$H281),IF('Pricing Inputs'!$AN$3=2,IF((K281-$H281)&gt;0,K281-$H281,0),(_xll.xSPRDOPT(K281,$E281,$BU281,0,$BP281,$BS281,$BT281,($A281-Inputs!$D$1)+15,1,0)))))</f>
        <v xml:space="preserve"> </v>
      </c>
      <c r="S281" s="320" t="str">
        <f>IF($A281="N/A"," ",IF('Pricing Inputs'!$AN$8=2,(L281-$H281),IF('Pricing Inputs'!$AN$3=2,IF((L281-$H281)&gt;0,L281-$H281,0),(_xll.xSPRDOPT(L281,$E281,$BU281,0,$BP281,$BS281,$BT281,($A281-Inputs!$D$1)+15,1,0)))))</f>
        <v xml:space="preserve"> </v>
      </c>
      <c r="T281" s="320" t="str">
        <f>IF($A281="N/A"," ",IF('Pricing Inputs'!$AN$8=2,(M281-$H281),IF('Pricing Inputs'!$AN$3=2,IF((M281-$H281)&gt;0,M281-$H281,0),(_xll.xSPRDOPT(M281,$E281,$BU281,0,$BP281,$BS281,$BT281,($A281-Inputs!$D$1)+15,1,0)))))</f>
        <v xml:space="preserve"> </v>
      </c>
      <c r="U281" s="320" t="str">
        <f>IF($A281="N/A"," ",IF('Pricing Inputs'!$AN$8=2,(N281-$H281),IF('Pricing Inputs'!$AN$3=2,IF((N281-$H281)&gt;0,N281-$H281,0),(_xll.xSPRDOPT(N281,$E281,$BU281,0,$BP281,$BS281,$BT281,($A281-Inputs!$D$1)+15,1,0)))))</f>
        <v xml:space="preserve"> </v>
      </c>
      <c r="V281" s="259" t="str">
        <f>IF($A281="N/A"," ",(IF('Pricing Inputs'!$AN$8=2,(O281-$H281),IF((O281-$H281)&lt;=0,0,(O281-$H281)))))</f>
        <v xml:space="preserve"> </v>
      </c>
      <c r="AK281" s="229"/>
      <c r="AL281" s="229"/>
      <c r="AM281" s="229"/>
      <c r="AN281" s="229"/>
      <c r="AO281" s="229"/>
      <c r="AP281" s="229"/>
      <c r="AQ281" s="229"/>
      <c r="AR281" s="229"/>
      <c r="BA281" s="267" t="str">
        <f>IF($A281="N/A"," ",(IF(MONTH(A281)&gt;=4,IF(MONTH(A281)&lt;=10,Inputs!$F$13,Inputs!$F$14),Inputs!$F$14))*$BW281)</f>
        <v xml:space="preserve"> </v>
      </c>
      <c r="BN281" s="405" t="str">
        <f>IF(A281="N/A"," ",(VLOOKUP(A281,PowerVolTable,(IF('Pricing Inputs'!$AT$3=2,7,IF('Pricing Inputs'!$AT$3=1,6,8))),FALSE)))</f>
        <v xml:space="preserve"> </v>
      </c>
      <c r="BO281" s="405" t="str">
        <f>IF(A281="N/A"," ",(VLOOKUP(A281,IntraPowerVol,(IF('Pricing Inputs'!$AT$3=2,3,IF('Pricing Inputs'!$AT$3=1,2,4))),FALSE)*VLOOKUP(MONTH($A281),Inputs!$A$28:$B$39,2)))</f>
        <v xml:space="preserve"> </v>
      </c>
      <c r="BP281" s="406" t="str">
        <f t="shared" si="430"/>
        <v xml:space="preserve"> </v>
      </c>
      <c r="BQ281" s="405" t="str">
        <f>IF($A281="N/A"," ",(VLOOKUP($A281,GasVolTable,(IF('Pricing Inputs'!$AT$3=2,6,IF('Pricing Inputs'!$AT$3=1,7,5))),FALSE)))</f>
        <v xml:space="preserve"> </v>
      </c>
      <c r="BR281" s="405" t="str">
        <f>IF($A281="N/A"," ",(VLOOKUP($A281,OmicronVol,(IF('Pricing Inputs'!$AT$3=2,3,IF('Pricing Inputs'!$AT$3=1,4,2))),FALSE)))</f>
        <v xml:space="preserve"> </v>
      </c>
      <c r="BS281" s="406" t="str">
        <f>IF($A281="N/A"," ",IF('Pricing Inputs'!$AN$3=1,(IF(DateToday&gt;$A281,$BR281,((($BQ281^2)*((($A281-1)-DateToday)/((EOMONTH($A281,0)+1)-DateToday-15)))+((($BR281)^2)*((15)/((EOMONTH($A281,0)+1)-DateToday-15))))^0.5)),0.0001))</f>
        <v xml:space="preserve"> </v>
      </c>
      <c r="BT281" s="405" t="str">
        <f>IF($A281="N/A"," ",IF('Pricing Inputs'!$AN$3=1,(VLOOKUP($A281,CorrelationTable,2,FALSE)),0))</f>
        <v xml:space="preserve"> </v>
      </c>
      <c r="BU281" s="407" t="str">
        <f>IF($A281="N/A"," ",F281+G281+(D281*(VLOOKUP($A281,'Gas Curves'!$B$17:$P$310,14,FALSE))))</f>
        <v xml:space="preserve"> </v>
      </c>
      <c r="BV281" s="405" t="str">
        <f>IF($A281="N/A"," ",IF('Pricing Inputs'!$AW$3=1,0,(VLOOKUP($A281,InterestRatesTable,2))))</f>
        <v xml:space="preserve"> </v>
      </c>
      <c r="BW281" s="408" t="str">
        <f t="shared" si="431"/>
        <v xml:space="preserve"> </v>
      </c>
    </row>
    <row r="282" spans="1:75">
      <c r="A282" s="248" t="str">
        <f>IF(A281="N/A","N/A",IF(EDATE(A281,1)&gt;Inputs!$K$3,"N/A",EDATE(A281,1)))</f>
        <v>N/A</v>
      </c>
      <c r="B282" s="262" t="str">
        <f t="shared" si="432"/>
        <v xml:space="preserve"> </v>
      </c>
      <c r="C282" s="249" t="str">
        <f t="shared" si="433"/>
        <v xml:space="preserve"> </v>
      </c>
      <c r="D282" s="250" t="str">
        <f>IF(A282="N/A"," ",(VLOOKUP(MONTH($A282),Inputs!$A$14:$B$25,2))/1000)</f>
        <v xml:space="preserve"> </v>
      </c>
      <c r="E282" s="304" t="str">
        <f t="shared" si="434"/>
        <v xml:space="preserve"> </v>
      </c>
      <c r="F282" s="251" t="str">
        <f>IF(A282="N/A"," ",Inputs!$F$6)</f>
        <v xml:space="preserve"> </v>
      </c>
      <c r="G282" s="251" t="str">
        <f>IF(A282="N/A"," ",Inputs!$F$9/IF(AND('Pricing Inputs'!$AQ$3&gt;=4,'Pricing Inputs'!$AQ$3&lt;=6),16,IF(AND('Pricing Inputs'!$AQ$3&gt;=7,'Pricing Inputs'!$AQ$3&lt;=9),8,24))/(BA282/BW282))</f>
        <v xml:space="preserve"> </v>
      </c>
      <c r="H282" s="252" t="str">
        <f t="shared" si="435"/>
        <v xml:space="preserve"> </v>
      </c>
      <c r="I282" s="255" t="str">
        <f>VLOOKUP(A282,ScaledPrice,(IF(AND('Pricing Inputs'!$AQ$3&gt;=1,'Pricing Inputs'!$AQ$3&lt;=6),2,4)))</f>
        <v xml:space="preserve"> </v>
      </c>
      <c r="J282" s="255" t="str">
        <f>IF(A282="N/A"," ",IF(AND('Pricing Inputs'!$AQ$3&gt;=1,'Pricing Inputs'!$AQ$3&lt;=6),I282,(VLOOKUP(A282,ScaledPrice,2))*(2-(VLOOKUP(A282,ScaledPrice,3)))))</f>
        <v xml:space="preserve"> </v>
      </c>
      <c r="K282" s="255" t="str">
        <f>IF(A282="N/A"," ",IF(OR('Pricing Inputs'!$AQ$3=2,'Pricing Inputs'!$AQ$3=3,'Pricing Inputs'!$AQ$3=5,'Pricing Inputs'!$AQ$3=6,'Pricing Inputs'!$AQ$3=8,'Pricing Inputs'!$AQ$3=9),VLOOKUP(A282,ScaledPrice,IF(AND('Pricing Inputs'!$AQ$3&gt;=2,'Pricing Inputs'!$AQ$3&lt;=6),5,6)),0))</f>
        <v xml:space="preserve"> </v>
      </c>
      <c r="L282" s="255" t="str">
        <f>IF(A282="N/A"," ",IF(OR('Pricing Inputs'!$AQ$3=2,'Pricing Inputs'!$AQ$3=3,'Pricing Inputs'!$AQ$3=5,'Pricing Inputs'!$AQ$3=6,'Pricing Inputs'!$AQ$3=8,'Pricing Inputs'!$AQ$3=9),IF(AND('Pricing Inputs'!$AQ$3&gt;=2,'Pricing Inputs'!$AQ$3&lt;=6),K282,(VLOOKUP(A282,ScaledPrice,5))*(2-(VLOOKUP(A282,ScaledPrice,3)))),0))</f>
        <v xml:space="preserve"> </v>
      </c>
      <c r="M282" s="255" t="str">
        <f>IF(A282="N/A"," ",IF(OR('Pricing Inputs'!$AQ$3=3,'Pricing Inputs'!$AQ$3=6,'Pricing Inputs'!$AQ$3=9),(VLOOKUP(A282,ScaledPrice,IF(AND('Pricing Inputs'!$AQ$3&gt;=3,'Pricing Inputs'!$AQ$3&lt;=6),7,8))),0))</f>
        <v xml:space="preserve"> </v>
      </c>
      <c r="N282" s="255" t="str">
        <f>IF(A282="N/A"," ",IF(OR('Pricing Inputs'!$AQ$3=3,'Pricing Inputs'!$AQ$3=6,'Pricing Inputs'!$AQ$3=9),IF(AND('Pricing Inputs'!$AQ$3&gt;=3,'Pricing Inputs'!$AQ$3&lt;=6),M282,(VLOOKUP(A282,ScaledPrice,7))*(2-(VLOOKUP(A282,ScaledPrice,3)))),0))</f>
        <v xml:space="preserve"> </v>
      </c>
      <c r="O282" s="255" t="str">
        <f>IF(A282="N/A"," ",IF(AND('Pricing Inputs'!$AQ$3&gt;=1,'Pricing Inputs'!$AQ$3&lt;=3),VLOOKUP(A282,ScaledPrice,9),0))</f>
        <v xml:space="preserve"> </v>
      </c>
      <c r="P282" s="320" t="str">
        <f>IF($A282="N/A"," ",IF('Pricing Inputs'!$AN$8=2,(I282-H282),IF('Pricing Inputs'!$AN$3=2,IF((I282-$H282)&gt;0,I282-$H282,0),(_xll.xSPRDOPT(I282,$E282,$BU282,0,$BP282,$BS282,$BT282,($A282-Inputs!$D$1)+15,1,0)))))</f>
        <v xml:space="preserve"> </v>
      </c>
      <c r="Q282" s="320" t="str">
        <f>IF($A282="N/A"," ",IF('Pricing Inputs'!$AN$8=2,(J282-$H282),IF('Pricing Inputs'!$AN$3=2,IF((J282-$H282)&gt;0,J282-$H282,0),(_xll.xSPRDOPT(J282,$E282,$BU282,0,$BP282,$BS282,$BT282,($A282-Inputs!$D$1)+15,1,0)))))</f>
        <v xml:space="preserve"> </v>
      </c>
      <c r="R282" s="320" t="str">
        <f>IF($A282="N/A"," ",IF('Pricing Inputs'!$AN$8=2,(K282-$H282),IF('Pricing Inputs'!$AN$3=2,IF((K282-$H282)&gt;0,K282-$H282,0),(_xll.xSPRDOPT(K282,$E282,$BU282,0,$BP282,$BS282,$BT282,($A282-Inputs!$D$1)+15,1,0)))))</f>
        <v xml:space="preserve"> </v>
      </c>
      <c r="S282" s="320" t="str">
        <f>IF($A282="N/A"," ",IF('Pricing Inputs'!$AN$8=2,(L282-$H282),IF('Pricing Inputs'!$AN$3=2,IF((L282-$H282)&gt;0,L282-$H282,0),(_xll.xSPRDOPT(L282,$E282,$BU282,0,$BP282,$BS282,$BT282,($A282-Inputs!$D$1)+15,1,0)))))</f>
        <v xml:space="preserve"> </v>
      </c>
      <c r="T282" s="320" t="str">
        <f>IF($A282="N/A"," ",IF('Pricing Inputs'!$AN$8=2,(M282-$H282),IF('Pricing Inputs'!$AN$3=2,IF((M282-$H282)&gt;0,M282-$H282,0),(_xll.xSPRDOPT(M282,$E282,$BU282,0,$BP282,$BS282,$BT282,($A282-Inputs!$D$1)+15,1,0)))))</f>
        <v xml:space="preserve"> </v>
      </c>
      <c r="U282" s="320" t="str">
        <f>IF($A282="N/A"," ",IF('Pricing Inputs'!$AN$8=2,(N282-$H282),IF('Pricing Inputs'!$AN$3=2,IF((N282-$H282)&gt;0,N282-$H282,0),(_xll.xSPRDOPT(N282,$E282,$BU282,0,$BP282,$BS282,$BT282,($A282-Inputs!$D$1)+15,1,0)))))</f>
        <v xml:space="preserve"> </v>
      </c>
      <c r="V282" s="259" t="str">
        <f>IF($A282="N/A"," ",(IF('Pricing Inputs'!$AN$8=2,(O282-$H282),IF((O282-$H282)&lt;=0,0,(O282-$H282)))))</f>
        <v xml:space="preserve"> </v>
      </c>
      <c r="AK282" s="229"/>
      <c r="AL282" s="229"/>
      <c r="AM282" s="229"/>
      <c r="AN282" s="229"/>
      <c r="AO282" s="229"/>
      <c r="AP282" s="229"/>
      <c r="AQ282" s="229"/>
      <c r="AR282" s="229"/>
      <c r="BA282" s="267" t="str">
        <f>IF($A282="N/A"," ",(IF(MONTH(A282)&gt;=4,IF(MONTH(A282)&lt;=10,Inputs!$F$13,Inputs!$F$14),Inputs!$F$14))*$BW282)</f>
        <v xml:space="preserve"> </v>
      </c>
      <c r="BN282" s="405" t="str">
        <f>IF(A282="N/A"," ",(VLOOKUP(A282,PowerVolTable,(IF('Pricing Inputs'!$AT$3=2,7,IF('Pricing Inputs'!$AT$3=1,6,8))),FALSE)))</f>
        <v xml:space="preserve"> </v>
      </c>
      <c r="BO282" s="405" t="str">
        <f>IF(A282="N/A"," ",(VLOOKUP(A282,IntraPowerVol,(IF('Pricing Inputs'!$AT$3=2,3,IF('Pricing Inputs'!$AT$3=1,2,4))),FALSE)*VLOOKUP(MONTH($A282),Inputs!$A$28:$B$39,2)))</f>
        <v xml:space="preserve"> </v>
      </c>
      <c r="BP282" s="406" t="str">
        <f t="shared" si="430"/>
        <v xml:space="preserve"> </v>
      </c>
      <c r="BQ282" s="405" t="str">
        <f>IF($A282="N/A"," ",(VLOOKUP($A282,GasVolTable,(IF('Pricing Inputs'!$AT$3=2,6,IF('Pricing Inputs'!$AT$3=1,7,5))),FALSE)))</f>
        <v xml:space="preserve"> </v>
      </c>
      <c r="BR282" s="405" t="str">
        <f>IF($A282="N/A"," ",(VLOOKUP($A282,OmicronVol,(IF('Pricing Inputs'!$AT$3=2,3,IF('Pricing Inputs'!$AT$3=1,4,2))),FALSE)))</f>
        <v xml:space="preserve"> </v>
      </c>
      <c r="BS282" s="406" t="str">
        <f>IF($A282="N/A"," ",IF('Pricing Inputs'!$AN$3=1,(IF(DateToday&gt;$A282,$BR282,((($BQ282^2)*((($A282-1)-DateToday)/((EOMONTH($A282,0)+1)-DateToday-15)))+((($BR282)^2)*((15)/((EOMONTH($A282,0)+1)-DateToday-15))))^0.5)),0.0001))</f>
        <v xml:space="preserve"> </v>
      </c>
      <c r="BT282" s="405" t="str">
        <f>IF($A282="N/A"," ",IF('Pricing Inputs'!$AN$3=1,(VLOOKUP($A282,CorrelationTable,2,FALSE)),0))</f>
        <v xml:space="preserve"> </v>
      </c>
      <c r="BU282" s="407" t="str">
        <f>IF($A282="N/A"," ",F282+G282+(D282*(VLOOKUP($A282,'Gas Curves'!$B$17:$P$310,14,FALSE))))</f>
        <v xml:space="preserve"> </v>
      </c>
      <c r="BV282" s="405" t="str">
        <f>IF($A282="N/A"," ",IF('Pricing Inputs'!$AW$3=1,0,(VLOOKUP($A282,InterestRatesTable,2))))</f>
        <v xml:space="preserve"> </v>
      </c>
      <c r="BW282" s="408" t="str">
        <f t="shared" si="431"/>
        <v xml:space="preserve"> </v>
      </c>
    </row>
    <row r="283" spans="1:75">
      <c r="A283" s="248" t="str">
        <f>IF(A282="N/A","N/A",IF(EDATE(A282,1)&gt;Inputs!$K$3,"N/A",EDATE(A282,1)))</f>
        <v>N/A</v>
      </c>
      <c r="B283" s="262" t="str">
        <f t="shared" si="432"/>
        <v xml:space="preserve"> </v>
      </c>
      <c r="C283" s="249" t="str">
        <f t="shared" si="433"/>
        <v xml:space="preserve"> </v>
      </c>
      <c r="D283" s="250" t="str">
        <f>IF(A283="N/A"," ",(VLOOKUP(MONTH($A283),Inputs!$A$14:$B$25,2))/1000)</f>
        <v xml:space="preserve"> </v>
      </c>
      <c r="E283" s="304" t="str">
        <f t="shared" si="434"/>
        <v xml:space="preserve"> </v>
      </c>
      <c r="F283" s="251" t="str">
        <f>IF(A283="N/A"," ",Inputs!$F$6)</f>
        <v xml:space="preserve"> </v>
      </c>
      <c r="G283" s="251" t="str">
        <f>IF(A283="N/A"," ",Inputs!$F$9/IF(AND('Pricing Inputs'!$AQ$3&gt;=4,'Pricing Inputs'!$AQ$3&lt;=6),16,IF(AND('Pricing Inputs'!$AQ$3&gt;=7,'Pricing Inputs'!$AQ$3&lt;=9),8,24))/(BA283/BW283))</f>
        <v xml:space="preserve"> </v>
      </c>
      <c r="H283" s="252" t="str">
        <f t="shared" si="435"/>
        <v xml:space="preserve"> </v>
      </c>
      <c r="I283" s="255" t="str">
        <f>VLOOKUP(A283,ScaledPrice,(IF(AND('Pricing Inputs'!$AQ$3&gt;=1,'Pricing Inputs'!$AQ$3&lt;=6),2,4)))</f>
        <v xml:space="preserve"> </v>
      </c>
      <c r="J283" s="255" t="str">
        <f>IF(A283="N/A"," ",IF(AND('Pricing Inputs'!$AQ$3&gt;=1,'Pricing Inputs'!$AQ$3&lt;=6),I283,(VLOOKUP(A283,ScaledPrice,2))*(2-(VLOOKUP(A283,ScaledPrice,3)))))</f>
        <v xml:space="preserve"> </v>
      </c>
      <c r="K283" s="255" t="str">
        <f>IF(A283="N/A"," ",IF(OR('Pricing Inputs'!$AQ$3=2,'Pricing Inputs'!$AQ$3=3,'Pricing Inputs'!$AQ$3=5,'Pricing Inputs'!$AQ$3=6,'Pricing Inputs'!$AQ$3=8,'Pricing Inputs'!$AQ$3=9),VLOOKUP(A283,ScaledPrice,IF(AND('Pricing Inputs'!$AQ$3&gt;=2,'Pricing Inputs'!$AQ$3&lt;=6),5,6)),0))</f>
        <v xml:space="preserve"> </v>
      </c>
      <c r="L283" s="255" t="str">
        <f>IF(A283="N/A"," ",IF(OR('Pricing Inputs'!$AQ$3=2,'Pricing Inputs'!$AQ$3=3,'Pricing Inputs'!$AQ$3=5,'Pricing Inputs'!$AQ$3=6,'Pricing Inputs'!$AQ$3=8,'Pricing Inputs'!$AQ$3=9),IF(AND('Pricing Inputs'!$AQ$3&gt;=2,'Pricing Inputs'!$AQ$3&lt;=6),K283,(VLOOKUP(A283,ScaledPrice,5))*(2-(VLOOKUP(A283,ScaledPrice,3)))),0))</f>
        <v xml:space="preserve"> </v>
      </c>
      <c r="M283" s="255" t="str">
        <f>IF(A283="N/A"," ",IF(OR('Pricing Inputs'!$AQ$3=3,'Pricing Inputs'!$AQ$3=6,'Pricing Inputs'!$AQ$3=9),(VLOOKUP(A283,ScaledPrice,IF(AND('Pricing Inputs'!$AQ$3&gt;=3,'Pricing Inputs'!$AQ$3&lt;=6),7,8))),0))</f>
        <v xml:space="preserve"> </v>
      </c>
      <c r="N283" s="255" t="str">
        <f>IF(A283="N/A"," ",IF(OR('Pricing Inputs'!$AQ$3=3,'Pricing Inputs'!$AQ$3=6,'Pricing Inputs'!$AQ$3=9),IF(AND('Pricing Inputs'!$AQ$3&gt;=3,'Pricing Inputs'!$AQ$3&lt;=6),M283,(VLOOKUP(A283,ScaledPrice,7))*(2-(VLOOKUP(A283,ScaledPrice,3)))),0))</f>
        <v xml:space="preserve"> </v>
      </c>
      <c r="O283" s="255" t="str">
        <f>IF(A283="N/A"," ",IF(AND('Pricing Inputs'!$AQ$3&gt;=1,'Pricing Inputs'!$AQ$3&lt;=3),VLOOKUP(A283,ScaledPrice,9),0))</f>
        <v xml:space="preserve"> </v>
      </c>
      <c r="P283" s="320" t="str">
        <f>IF($A283="N/A"," ",IF('Pricing Inputs'!$AN$8=2,(I283-H283),IF('Pricing Inputs'!$AN$3=2,IF((I283-$H283)&gt;0,I283-$H283,0),(_xll.xSPRDOPT(I283,$E283,$BU283,0,$BP283,$BS283,$BT283,($A283-Inputs!$D$1)+15,1,0)))))</f>
        <v xml:space="preserve"> </v>
      </c>
      <c r="Q283" s="320" t="str">
        <f>IF($A283="N/A"," ",IF('Pricing Inputs'!$AN$8=2,(J283-$H283),IF('Pricing Inputs'!$AN$3=2,IF((J283-$H283)&gt;0,J283-$H283,0),(_xll.xSPRDOPT(J283,$E283,$BU283,0,$BP283,$BS283,$BT283,($A283-Inputs!$D$1)+15,1,0)))))</f>
        <v xml:space="preserve"> </v>
      </c>
      <c r="R283" s="320" t="str">
        <f>IF($A283="N/A"," ",IF('Pricing Inputs'!$AN$8=2,(K283-$H283),IF('Pricing Inputs'!$AN$3=2,IF((K283-$H283)&gt;0,K283-$H283,0),(_xll.xSPRDOPT(K283,$E283,$BU283,0,$BP283,$BS283,$BT283,($A283-Inputs!$D$1)+15,1,0)))))</f>
        <v xml:space="preserve"> </v>
      </c>
      <c r="S283" s="320" t="str">
        <f>IF($A283="N/A"," ",IF('Pricing Inputs'!$AN$8=2,(L283-$H283),IF('Pricing Inputs'!$AN$3=2,IF((L283-$H283)&gt;0,L283-$H283,0),(_xll.xSPRDOPT(L283,$E283,$BU283,0,$BP283,$BS283,$BT283,($A283-Inputs!$D$1)+15,1,0)))))</f>
        <v xml:space="preserve"> </v>
      </c>
      <c r="T283" s="320" t="str">
        <f>IF($A283="N/A"," ",IF('Pricing Inputs'!$AN$8=2,(M283-$H283),IF('Pricing Inputs'!$AN$3=2,IF((M283-$H283)&gt;0,M283-$H283,0),(_xll.xSPRDOPT(M283,$E283,$BU283,0,$BP283,$BS283,$BT283,($A283-Inputs!$D$1)+15,1,0)))))</f>
        <v xml:space="preserve"> </v>
      </c>
      <c r="U283" s="320" t="str">
        <f>IF($A283="N/A"," ",IF('Pricing Inputs'!$AN$8=2,(N283-$H283),IF('Pricing Inputs'!$AN$3=2,IF((N283-$H283)&gt;0,N283-$H283,0),(_xll.xSPRDOPT(N283,$E283,$BU283,0,$BP283,$BS283,$BT283,($A283-Inputs!$D$1)+15,1,0)))))</f>
        <v xml:space="preserve"> </v>
      </c>
      <c r="V283" s="259" t="str">
        <f>IF($A283="N/A"," ",(IF('Pricing Inputs'!$AN$8=2,(O283-$H283),IF((O283-$H283)&lt;=0,0,(O283-$H283)))))</f>
        <v xml:space="preserve"> </v>
      </c>
      <c r="AK283" s="229"/>
      <c r="AL283" s="229"/>
      <c r="AM283" s="229"/>
      <c r="AN283" s="229"/>
      <c r="AO283" s="229"/>
      <c r="AP283" s="229"/>
      <c r="AQ283" s="229"/>
      <c r="AR283" s="229"/>
      <c r="BA283" s="267" t="str">
        <f>IF($A283="N/A"," ",(IF(MONTH(A283)&gt;=4,IF(MONTH(A283)&lt;=10,Inputs!$F$13,Inputs!$F$14),Inputs!$F$14))*$BW283)</f>
        <v xml:space="preserve"> </v>
      </c>
      <c r="BN283" s="405" t="str">
        <f>IF(A283="N/A"," ",(VLOOKUP(A283,PowerVolTable,(IF('Pricing Inputs'!$AT$3=2,7,IF('Pricing Inputs'!$AT$3=1,6,8))),FALSE)))</f>
        <v xml:space="preserve"> </v>
      </c>
      <c r="BO283" s="405" t="str">
        <f>IF(A283="N/A"," ",(VLOOKUP(A283,IntraPowerVol,(IF('Pricing Inputs'!$AT$3=2,3,IF('Pricing Inputs'!$AT$3=1,2,4))),FALSE)*VLOOKUP(MONTH($A283),Inputs!$A$28:$B$39,2)))</f>
        <v xml:space="preserve"> </v>
      </c>
      <c r="BP283" s="406" t="str">
        <f t="shared" si="430"/>
        <v xml:space="preserve"> </v>
      </c>
      <c r="BQ283" s="405" t="str">
        <f>IF($A283="N/A"," ",(VLOOKUP($A283,GasVolTable,(IF('Pricing Inputs'!$AT$3=2,6,IF('Pricing Inputs'!$AT$3=1,7,5))),FALSE)))</f>
        <v xml:space="preserve"> </v>
      </c>
      <c r="BR283" s="405" t="str">
        <f>IF($A283="N/A"," ",(VLOOKUP($A283,OmicronVol,(IF('Pricing Inputs'!$AT$3=2,3,IF('Pricing Inputs'!$AT$3=1,4,2))),FALSE)))</f>
        <v xml:space="preserve"> </v>
      </c>
      <c r="BS283" s="406" t="str">
        <f>IF($A283="N/A"," ",IF('Pricing Inputs'!$AN$3=1,(IF(DateToday&gt;$A283,$BR283,((($BQ283^2)*((($A283-1)-DateToday)/((EOMONTH($A283,0)+1)-DateToday-15)))+((($BR283)^2)*((15)/((EOMONTH($A283,0)+1)-DateToday-15))))^0.5)),0.0001))</f>
        <v xml:space="preserve"> </v>
      </c>
      <c r="BT283" s="405" t="str">
        <f>IF($A283="N/A"," ",IF('Pricing Inputs'!$AN$3=1,(VLOOKUP($A283,CorrelationTable,2,FALSE)),0))</f>
        <v xml:space="preserve"> </v>
      </c>
      <c r="BU283" s="407" t="str">
        <f>IF($A283="N/A"," ",F283+G283+(D283*(VLOOKUP($A283,'Gas Curves'!$B$17:$P$310,14,FALSE))))</f>
        <v xml:space="preserve"> </v>
      </c>
      <c r="BV283" s="405" t="str">
        <f>IF($A283="N/A"," ",IF('Pricing Inputs'!$AW$3=1,0,(VLOOKUP($A283,InterestRatesTable,2))))</f>
        <v xml:space="preserve"> </v>
      </c>
      <c r="BW283" s="408" t="str">
        <f t="shared" si="431"/>
        <v xml:space="preserve"> </v>
      </c>
    </row>
    <row r="284" spans="1:75">
      <c r="A284" s="248" t="str">
        <f>IF(A283="N/A","N/A",IF(EDATE(A283,1)&gt;Inputs!$K$3,"N/A",EDATE(A283,1)))</f>
        <v>N/A</v>
      </c>
      <c r="B284" s="262" t="str">
        <f t="shared" si="432"/>
        <v xml:space="preserve"> </v>
      </c>
      <c r="C284" s="249" t="str">
        <f t="shared" si="433"/>
        <v xml:space="preserve"> </v>
      </c>
      <c r="D284" s="250" t="str">
        <f>IF(A284="N/A"," ",(VLOOKUP(MONTH($A284),Inputs!$A$14:$B$25,2))/1000)</f>
        <v xml:space="preserve"> </v>
      </c>
      <c r="E284" s="304" t="str">
        <f t="shared" si="434"/>
        <v xml:space="preserve"> </v>
      </c>
      <c r="F284" s="251" t="str">
        <f>IF(A284="N/A"," ",Inputs!$F$6)</f>
        <v xml:space="preserve"> </v>
      </c>
      <c r="G284" s="251" t="str">
        <f>IF(A284="N/A"," ",Inputs!$F$9/IF(AND('Pricing Inputs'!$AQ$3&gt;=4,'Pricing Inputs'!$AQ$3&lt;=6),16,IF(AND('Pricing Inputs'!$AQ$3&gt;=7,'Pricing Inputs'!$AQ$3&lt;=9),8,24))/(BA284/BW284))</f>
        <v xml:space="preserve"> </v>
      </c>
      <c r="H284" s="252" t="str">
        <f t="shared" si="435"/>
        <v xml:space="preserve"> </v>
      </c>
      <c r="I284" s="255" t="str">
        <f>VLOOKUP(A284,ScaledPrice,(IF(AND('Pricing Inputs'!$AQ$3&gt;=1,'Pricing Inputs'!$AQ$3&lt;=6),2,4)))</f>
        <v xml:space="preserve"> </v>
      </c>
      <c r="J284" s="255" t="str">
        <f>IF(A284="N/A"," ",IF(AND('Pricing Inputs'!$AQ$3&gt;=1,'Pricing Inputs'!$AQ$3&lt;=6),I284,(VLOOKUP(A284,ScaledPrice,2))*(2-(VLOOKUP(A284,ScaledPrice,3)))))</f>
        <v xml:space="preserve"> </v>
      </c>
      <c r="K284" s="255" t="str">
        <f>IF(A284="N/A"," ",IF(OR('Pricing Inputs'!$AQ$3=2,'Pricing Inputs'!$AQ$3=3,'Pricing Inputs'!$AQ$3=5,'Pricing Inputs'!$AQ$3=6,'Pricing Inputs'!$AQ$3=8,'Pricing Inputs'!$AQ$3=9),VLOOKUP(A284,ScaledPrice,IF(AND('Pricing Inputs'!$AQ$3&gt;=2,'Pricing Inputs'!$AQ$3&lt;=6),5,6)),0))</f>
        <v xml:space="preserve"> </v>
      </c>
      <c r="L284" s="255" t="str">
        <f>IF(A284="N/A"," ",IF(OR('Pricing Inputs'!$AQ$3=2,'Pricing Inputs'!$AQ$3=3,'Pricing Inputs'!$AQ$3=5,'Pricing Inputs'!$AQ$3=6,'Pricing Inputs'!$AQ$3=8,'Pricing Inputs'!$AQ$3=9),IF(AND('Pricing Inputs'!$AQ$3&gt;=2,'Pricing Inputs'!$AQ$3&lt;=6),K284,(VLOOKUP(A284,ScaledPrice,5))*(2-(VLOOKUP(A284,ScaledPrice,3)))),0))</f>
        <v xml:space="preserve"> </v>
      </c>
      <c r="M284" s="255" t="str">
        <f>IF(A284="N/A"," ",IF(OR('Pricing Inputs'!$AQ$3=3,'Pricing Inputs'!$AQ$3=6,'Pricing Inputs'!$AQ$3=9),(VLOOKUP(A284,ScaledPrice,IF(AND('Pricing Inputs'!$AQ$3&gt;=3,'Pricing Inputs'!$AQ$3&lt;=6),7,8))),0))</f>
        <v xml:space="preserve"> </v>
      </c>
      <c r="N284" s="255" t="str">
        <f>IF(A284="N/A"," ",IF(OR('Pricing Inputs'!$AQ$3=3,'Pricing Inputs'!$AQ$3=6,'Pricing Inputs'!$AQ$3=9),IF(AND('Pricing Inputs'!$AQ$3&gt;=3,'Pricing Inputs'!$AQ$3&lt;=6),M284,(VLOOKUP(A284,ScaledPrice,7))*(2-(VLOOKUP(A284,ScaledPrice,3)))),0))</f>
        <v xml:space="preserve"> </v>
      </c>
      <c r="O284" s="255" t="str">
        <f>IF(A284="N/A"," ",IF(AND('Pricing Inputs'!$AQ$3&gt;=1,'Pricing Inputs'!$AQ$3&lt;=3),VLOOKUP(A284,ScaledPrice,9),0))</f>
        <v xml:space="preserve"> </v>
      </c>
      <c r="P284" s="320" t="str">
        <f>IF($A284="N/A"," ",IF('Pricing Inputs'!$AN$8=2,(I284-H284),IF('Pricing Inputs'!$AN$3=2,IF((I284-$H284)&gt;0,I284-$H284,0),(_xll.xSPRDOPT(I284,$E284,$BU284,0,$BP284,$BS284,$BT284,($A284-Inputs!$D$1)+15,1,0)))))</f>
        <v xml:space="preserve"> </v>
      </c>
      <c r="Q284" s="320" t="str">
        <f>IF($A284="N/A"," ",IF('Pricing Inputs'!$AN$8=2,(J284-$H284),IF('Pricing Inputs'!$AN$3=2,IF((J284-$H284)&gt;0,J284-$H284,0),(_xll.xSPRDOPT(J284,$E284,$BU284,0,$BP284,$BS284,$BT284,($A284-Inputs!$D$1)+15,1,0)))))</f>
        <v xml:space="preserve"> </v>
      </c>
      <c r="R284" s="320" t="str">
        <f>IF($A284="N/A"," ",IF('Pricing Inputs'!$AN$8=2,(K284-$H284),IF('Pricing Inputs'!$AN$3=2,IF((K284-$H284)&gt;0,K284-$H284,0),(_xll.xSPRDOPT(K284,$E284,$BU284,0,$BP284,$BS284,$BT284,($A284-Inputs!$D$1)+15,1,0)))))</f>
        <v xml:space="preserve"> </v>
      </c>
      <c r="S284" s="320" t="str">
        <f>IF($A284="N/A"," ",IF('Pricing Inputs'!$AN$8=2,(L284-$H284),IF('Pricing Inputs'!$AN$3=2,IF((L284-$H284)&gt;0,L284-$H284,0),(_xll.xSPRDOPT(L284,$E284,$BU284,0,$BP284,$BS284,$BT284,($A284-Inputs!$D$1)+15,1,0)))))</f>
        <v xml:space="preserve"> </v>
      </c>
      <c r="T284" s="320" t="str">
        <f>IF($A284="N/A"," ",IF('Pricing Inputs'!$AN$8=2,(M284-$H284),IF('Pricing Inputs'!$AN$3=2,IF((M284-$H284)&gt;0,M284-$H284,0),(_xll.xSPRDOPT(M284,$E284,$BU284,0,$BP284,$BS284,$BT284,($A284-Inputs!$D$1)+15,1,0)))))</f>
        <v xml:space="preserve"> </v>
      </c>
      <c r="U284" s="320" t="str">
        <f>IF($A284="N/A"," ",IF('Pricing Inputs'!$AN$8=2,(N284-$H284),IF('Pricing Inputs'!$AN$3=2,IF((N284-$H284)&gt;0,N284-$H284,0),(_xll.xSPRDOPT(N284,$E284,$BU284,0,$BP284,$BS284,$BT284,($A284-Inputs!$D$1)+15,1,0)))))</f>
        <v xml:space="preserve"> </v>
      </c>
      <c r="V284" s="259" t="str">
        <f>IF($A284="N/A"," ",(IF('Pricing Inputs'!$AN$8=2,(O284-$H284),IF((O284-$H284)&lt;=0,0,(O284-$H284)))))</f>
        <v xml:space="preserve"> </v>
      </c>
      <c r="AK284" s="229"/>
      <c r="AL284" s="229"/>
      <c r="AM284" s="229"/>
      <c r="AN284" s="229"/>
      <c r="AO284" s="229"/>
      <c r="AP284" s="229"/>
      <c r="AQ284" s="229"/>
      <c r="AR284" s="229"/>
      <c r="BA284" s="267" t="str">
        <f>IF($A284="N/A"," ",(IF(MONTH(A284)&gt;=4,IF(MONTH(A284)&lt;=10,Inputs!$F$13,Inputs!$F$14),Inputs!$F$14))*$BW284)</f>
        <v xml:space="preserve"> </v>
      </c>
      <c r="BN284" s="405" t="str">
        <f>IF(A284="N/A"," ",(VLOOKUP(A284,PowerVolTable,(IF('Pricing Inputs'!$AT$3=2,7,IF('Pricing Inputs'!$AT$3=1,6,8))),FALSE)))</f>
        <v xml:space="preserve"> </v>
      </c>
      <c r="BO284" s="405" t="str">
        <f>IF(A284="N/A"," ",(VLOOKUP(A284,IntraPowerVol,(IF('Pricing Inputs'!$AT$3=2,3,IF('Pricing Inputs'!$AT$3=1,2,4))),FALSE)*VLOOKUP(MONTH($A284),Inputs!$A$28:$B$39,2)))</f>
        <v xml:space="preserve"> </v>
      </c>
      <c r="BP284" s="406" t="str">
        <f t="shared" si="430"/>
        <v xml:space="preserve"> </v>
      </c>
      <c r="BQ284" s="405" t="str">
        <f>IF($A284="N/A"," ",(VLOOKUP($A284,GasVolTable,(IF('Pricing Inputs'!$AT$3=2,6,IF('Pricing Inputs'!$AT$3=1,7,5))),FALSE)))</f>
        <v xml:space="preserve"> </v>
      </c>
      <c r="BR284" s="405" t="str">
        <f>IF($A284="N/A"," ",(VLOOKUP($A284,OmicronVol,(IF('Pricing Inputs'!$AT$3=2,3,IF('Pricing Inputs'!$AT$3=1,4,2))),FALSE)))</f>
        <v xml:space="preserve"> </v>
      </c>
      <c r="BS284" s="406" t="str">
        <f>IF($A284="N/A"," ",IF('Pricing Inputs'!$AN$3=1,(IF(DateToday&gt;$A284,$BR284,((($BQ284^2)*((($A284-1)-DateToday)/((EOMONTH($A284,0)+1)-DateToday-15)))+((($BR284)^2)*((15)/((EOMONTH($A284,0)+1)-DateToday-15))))^0.5)),0.0001))</f>
        <v xml:space="preserve"> </v>
      </c>
      <c r="BT284" s="405" t="str">
        <f>IF($A284="N/A"," ",IF('Pricing Inputs'!$AN$3=1,(VLOOKUP($A284,CorrelationTable,2,FALSE)),0))</f>
        <v xml:space="preserve"> </v>
      </c>
      <c r="BU284" s="407" t="str">
        <f>IF($A284="N/A"," ",F284+G284+(D284*(VLOOKUP($A284,'Gas Curves'!$B$17:$P$310,14,FALSE))))</f>
        <v xml:space="preserve"> </v>
      </c>
      <c r="BV284" s="405" t="str">
        <f>IF($A284="N/A"," ",IF('Pricing Inputs'!$AW$3=1,0,(VLOOKUP($A284,InterestRatesTable,2))))</f>
        <v xml:space="preserve"> </v>
      </c>
      <c r="BW284" s="408" t="str">
        <f t="shared" si="431"/>
        <v xml:space="preserve"> </v>
      </c>
    </row>
    <row r="285" spans="1:75">
      <c r="A285" s="248" t="str">
        <f>IF(A284="N/A","N/A",IF(EDATE(A284,1)&gt;Inputs!$K$3,"N/A",EDATE(A284,1)))</f>
        <v>N/A</v>
      </c>
      <c r="B285" s="262" t="str">
        <f t="shared" si="432"/>
        <v xml:space="preserve"> </v>
      </c>
      <c r="C285" s="249" t="str">
        <f t="shared" si="433"/>
        <v xml:space="preserve"> </v>
      </c>
      <c r="D285" s="250" t="str">
        <f>IF(A285="N/A"," ",(VLOOKUP(MONTH($A285),Inputs!$A$14:$B$25,2))/1000)</f>
        <v xml:space="preserve"> </v>
      </c>
      <c r="E285" s="304" t="str">
        <f t="shared" si="434"/>
        <v xml:space="preserve"> </v>
      </c>
      <c r="F285" s="251" t="str">
        <f>IF(A285="N/A"," ",Inputs!$F$6)</f>
        <v xml:space="preserve"> </v>
      </c>
      <c r="G285" s="251" t="str">
        <f>IF(A285="N/A"," ",Inputs!$F$9/IF(AND('Pricing Inputs'!$AQ$3&gt;=4,'Pricing Inputs'!$AQ$3&lt;=6),16,IF(AND('Pricing Inputs'!$AQ$3&gt;=7,'Pricing Inputs'!$AQ$3&lt;=9),8,24))/(BA285/BW285))</f>
        <v xml:space="preserve"> </v>
      </c>
      <c r="H285" s="252" t="str">
        <f t="shared" si="435"/>
        <v xml:space="preserve"> </v>
      </c>
      <c r="I285" s="255" t="str">
        <f>VLOOKUP(A285,ScaledPrice,(IF(AND('Pricing Inputs'!$AQ$3&gt;=1,'Pricing Inputs'!$AQ$3&lt;=6),2,4)))</f>
        <v xml:space="preserve"> </v>
      </c>
      <c r="J285" s="255" t="str">
        <f>IF(A285="N/A"," ",IF(AND('Pricing Inputs'!$AQ$3&gt;=1,'Pricing Inputs'!$AQ$3&lt;=6),I285,(VLOOKUP(A285,ScaledPrice,2))*(2-(VLOOKUP(A285,ScaledPrice,3)))))</f>
        <v xml:space="preserve"> </v>
      </c>
      <c r="K285" s="255" t="str">
        <f>IF(A285="N/A"," ",IF(OR('Pricing Inputs'!$AQ$3=2,'Pricing Inputs'!$AQ$3=3,'Pricing Inputs'!$AQ$3=5,'Pricing Inputs'!$AQ$3=6,'Pricing Inputs'!$AQ$3=8,'Pricing Inputs'!$AQ$3=9),VLOOKUP(A285,ScaledPrice,IF(AND('Pricing Inputs'!$AQ$3&gt;=2,'Pricing Inputs'!$AQ$3&lt;=6),5,6)),0))</f>
        <v xml:space="preserve"> </v>
      </c>
      <c r="L285" s="255" t="str">
        <f>IF(A285="N/A"," ",IF(OR('Pricing Inputs'!$AQ$3=2,'Pricing Inputs'!$AQ$3=3,'Pricing Inputs'!$AQ$3=5,'Pricing Inputs'!$AQ$3=6,'Pricing Inputs'!$AQ$3=8,'Pricing Inputs'!$AQ$3=9),IF(AND('Pricing Inputs'!$AQ$3&gt;=2,'Pricing Inputs'!$AQ$3&lt;=6),K285,(VLOOKUP(A285,ScaledPrice,5))*(2-(VLOOKUP(A285,ScaledPrice,3)))),0))</f>
        <v xml:space="preserve"> </v>
      </c>
      <c r="M285" s="255" t="str">
        <f>IF(A285="N/A"," ",IF(OR('Pricing Inputs'!$AQ$3=3,'Pricing Inputs'!$AQ$3=6,'Pricing Inputs'!$AQ$3=9),(VLOOKUP(A285,ScaledPrice,IF(AND('Pricing Inputs'!$AQ$3&gt;=3,'Pricing Inputs'!$AQ$3&lt;=6),7,8))),0))</f>
        <v xml:space="preserve"> </v>
      </c>
      <c r="N285" s="255" t="str">
        <f>IF(A285="N/A"," ",IF(OR('Pricing Inputs'!$AQ$3=3,'Pricing Inputs'!$AQ$3=6,'Pricing Inputs'!$AQ$3=9),IF(AND('Pricing Inputs'!$AQ$3&gt;=3,'Pricing Inputs'!$AQ$3&lt;=6),M285,(VLOOKUP(A285,ScaledPrice,7))*(2-(VLOOKUP(A285,ScaledPrice,3)))),0))</f>
        <v xml:space="preserve"> </v>
      </c>
      <c r="O285" s="255" t="str">
        <f>IF(A285="N/A"," ",IF(AND('Pricing Inputs'!$AQ$3&gt;=1,'Pricing Inputs'!$AQ$3&lt;=3),VLOOKUP(A285,ScaledPrice,9),0))</f>
        <v xml:space="preserve"> </v>
      </c>
      <c r="P285" s="320" t="str">
        <f>IF($A285="N/A"," ",IF('Pricing Inputs'!$AN$8=2,(I285-H285),IF('Pricing Inputs'!$AN$3=2,IF((I285-$H285)&gt;0,I285-$H285,0),(_xll.xSPRDOPT(I285,$E285,$BU285,0,$BP285,$BS285,$BT285,($A285-Inputs!$D$1)+15,1,0)))))</f>
        <v xml:space="preserve"> </v>
      </c>
      <c r="Q285" s="320" t="str">
        <f>IF($A285="N/A"," ",IF('Pricing Inputs'!$AN$8=2,(J285-$H285),IF('Pricing Inputs'!$AN$3=2,IF((J285-$H285)&gt;0,J285-$H285,0),(_xll.xSPRDOPT(J285,$E285,$BU285,0,$BP285,$BS285,$BT285,($A285-Inputs!$D$1)+15,1,0)))))</f>
        <v xml:space="preserve"> </v>
      </c>
      <c r="R285" s="320" t="str">
        <f>IF($A285="N/A"," ",IF('Pricing Inputs'!$AN$8=2,(K285-$H285),IF('Pricing Inputs'!$AN$3=2,IF((K285-$H285)&gt;0,K285-$H285,0),(_xll.xSPRDOPT(K285,$E285,$BU285,0,$BP285,$BS285,$BT285,($A285-Inputs!$D$1)+15,1,0)))))</f>
        <v xml:space="preserve"> </v>
      </c>
      <c r="S285" s="320" t="str">
        <f>IF($A285="N/A"," ",IF('Pricing Inputs'!$AN$8=2,(L285-$H285),IF('Pricing Inputs'!$AN$3=2,IF((L285-$H285)&gt;0,L285-$H285,0),(_xll.xSPRDOPT(L285,$E285,$BU285,0,$BP285,$BS285,$BT285,($A285-Inputs!$D$1)+15,1,0)))))</f>
        <v xml:space="preserve"> </v>
      </c>
      <c r="T285" s="320" t="str">
        <f>IF($A285="N/A"," ",IF('Pricing Inputs'!$AN$8=2,(M285-$H285),IF('Pricing Inputs'!$AN$3=2,IF((M285-$H285)&gt;0,M285-$H285,0),(_xll.xSPRDOPT(M285,$E285,$BU285,0,$BP285,$BS285,$BT285,($A285-Inputs!$D$1)+15,1,0)))))</f>
        <v xml:space="preserve"> </v>
      </c>
      <c r="U285" s="320" t="str">
        <f>IF($A285="N/A"," ",IF('Pricing Inputs'!$AN$8=2,(N285-$H285),IF('Pricing Inputs'!$AN$3=2,IF((N285-$H285)&gt;0,N285-$H285,0),(_xll.xSPRDOPT(N285,$E285,$BU285,0,$BP285,$BS285,$BT285,($A285-Inputs!$D$1)+15,1,0)))))</f>
        <v xml:space="preserve"> </v>
      </c>
      <c r="V285" s="259" t="str">
        <f>IF($A285="N/A"," ",(IF('Pricing Inputs'!$AN$8=2,(O285-$H285),IF((O285-$H285)&lt;=0,0,(O285-$H285)))))</f>
        <v xml:space="preserve"> </v>
      </c>
      <c r="AK285" s="229"/>
      <c r="AL285" s="229"/>
      <c r="AM285" s="229"/>
      <c r="AN285" s="229"/>
      <c r="AO285" s="229"/>
      <c r="AP285" s="229"/>
      <c r="AQ285" s="229"/>
      <c r="AR285" s="229"/>
      <c r="BA285" s="267" t="str">
        <f>IF($A285="N/A"," ",(IF(MONTH(A285)&gt;=4,IF(MONTH(A285)&lt;=10,Inputs!$F$13,Inputs!$F$14),Inputs!$F$14))*$BW285)</f>
        <v xml:space="preserve"> </v>
      </c>
      <c r="BN285" s="405" t="str">
        <f>IF(A285="N/A"," ",(VLOOKUP(A285,PowerVolTable,(IF('Pricing Inputs'!$AT$3=2,7,IF('Pricing Inputs'!$AT$3=1,6,8))),FALSE)))</f>
        <v xml:space="preserve"> </v>
      </c>
      <c r="BO285" s="405" t="str">
        <f>IF(A285="N/A"," ",(VLOOKUP(A285,IntraPowerVol,(IF('Pricing Inputs'!$AT$3=2,3,IF('Pricing Inputs'!$AT$3=1,2,4))),FALSE)*VLOOKUP(MONTH($A285),Inputs!$A$28:$B$39,2)))</f>
        <v xml:space="preserve"> </v>
      </c>
      <c r="BP285" s="406" t="str">
        <f t="shared" si="430"/>
        <v xml:space="preserve"> </v>
      </c>
      <c r="BQ285" s="405" t="str">
        <f>IF($A285="N/A"," ",(VLOOKUP($A285,GasVolTable,(IF('Pricing Inputs'!$AT$3=2,6,IF('Pricing Inputs'!$AT$3=1,7,5))),FALSE)))</f>
        <v xml:space="preserve"> </v>
      </c>
      <c r="BR285" s="405" t="str">
        <f>IF($A285="N/A"," ",(VLOOKUP($A285,OmicronVol,(IF('Pricing Inputs'!$AT$3=2,3,IF('Pricing Inputs'!$AT$3=1,4,2))),FALSE)))</f>
        <v xml:space="preserve"> </v>
      </c>
      <c r="BS285" s="406" t="str">
        <f>IF($A285="N/A"," ",IF('Pricing Inputs'!$AN$3=1,(IF(DateToday&gt;$A285,$BR285,((($BQ285^2)*((($A285-1)-DateToday)/((EOMONTH($A285,0)+1)-DateToday-15)))+((($BR285)^2)*((15)/((EOMONTH($A285,0)+1)-DateToday-15))))^0.5)),0.0001))</f>
        <v xml:space="preserve"> </v>
      </c>
      <c r="BT285" s="405" t="str">
        <f>IF($A285="N/A"," ",IF('Pricing Inputs'!$AN$3=1,(VLOOKUP($A285,CorrelationTable,2,FALSE)),0))</f>
        <v xml:space="preserve"> </v>
      </c>
      <c r="BU285" s="407" t="str">
        <f>IF($A285="N/A"," ",F285+G285+(D285*(VLOOKUP($A285,'Gas Curves'!$B$17:$P$310,14,FALSE))))</f>
        <v xml:space="preserve"> </v>
      </c>
      <c r="BV285" s="405" t="str">
        <f>IF($A285="N/A"," ",IF('Pricing Inputs'!$AW$3=1,0,(VLOOKUP($A285,InterestRatesTable,2))))</f>
        <v xml:space="preserve"> </v>
      </c>
      <c r="BW285" s="408" t="str">
        <f t="shared" si="431"/>
        <v xml:space="preserve"> </v>
      </c>
    </row>
    <row r="286" spans="1:75">
      <c r="A286" s="248" t="str">
        <f>IF(A285="N/A","N/A",IF(EDATE(A285,1)&gt;Inputs!$K$3,"N/A",EDATE(A285,1)))</f>
        <v>N/A</v>
      </c>
      <c r="B286" s="262" t="str">
        <f t="shared" si="432"/>
        <v xml:space="preserve"> </v>
      </c>
      <c r="C286" s="249" t="str">
        <f t="shared" si="433"/>
        <v xml:space="preserve"> </v>
      </c>
      <c r="D286" s="250" t="str">
        <f>IF(A286="N/A"," ",(VLOOKUP(MONTH($A286),Inputs!$A$14:$B$25,2))/1000)</f>
        <v xml:space="preserve"> </v>
      </c>
      <c r="E286" s="304" t="str">
        <f t="shared" si="434"/>
        <v xml:space="preserve"> </v>
      </c>
      <c r="F286" s="251" t="str">
        <f>IF(A286="N/A"," ",Inputs!$F$6)</f>
        <v xml:space="preserve"> </v>
      </c>
      <c r="G286" s="251" t="str">
        <f>IF(A286="N/A"," ",Inputs!$F$9/IF(AND('Pricing Inputs'!$AQ$3&gt;=4,'Pricing Inputs'!$AQ$3&lt;=6),16,IF(AND('Pricing Inputs'!$AQ$3&gt;=7,'Pricing Inputs'!$AQ$3&lt;=9),8,24))/(BA286/BW286))</f>
        <v xml:space="preserve"> </v>
      </c>
      <c r="H286" s="252" t="str">
        <f t="shared" si="435"/>
        <v xml:space="preserve"> </v>
      </c>
      <c r="I286" s="255" t="str">
        <f>VLOOKUP(A286,ScaledPrice,(IF(AND('Pricing Inputs'!$AQ$3&gt;=1,'Pricing Inputs'!$AQ$3&lt;=6),2,4)))</f>
        <v xml:space="preserve"> </v>
      </c>
      <c r="J286" s="255" t="str">
        <f>IF(A286="N/A"," ",IF(AND('Pricing Inputs'!$AQ$3&gt;=1,'Pricing Inputs'!$AQ$3&lt;=6),I286,(VLOOKUP(A286,ScaledPrice,2))*(2-(VLOOKUP(A286,ScaledPrice,3)))))</f>
        <v xml:space="preserve"> </v>
      </c>
      <c r="K286" s="255" t="str">
        <f>IF(A286="N/A"," ",IF(OR('Pricing Inputs'!$AQ$3=2,'Pricing Inputs'!$AQ$3=3,'Pricing Inputs'!$AQ$3=5,'Pricing Inputs'!$AQ$3=6,'Pricing Inputs'!$AQ$3=8,'Pricing Inputs'!$AQ$3=9),VLOOKUP(A286,ScaledPrice,IF(AND('Pricing Inputs'!$AQ$3&gt;=2,'Pricing Inputs'!$AQ$3&lt;=6),5,6)),0))</f>
        <v xml:space="preserve"> </v>
      </c>
      <c r="L286" s="255" t="str">
        <f>IF(A286="N/A"," ",IF(OR('Pricing Inputs'!$AQ$3=2,'Pricing Inputs'!$AQ$3=3,'Pricing Inputs'!$AQ$3=5,'Pricing Inputs'!$AQ$3=6,'Pricing Inputs'!$AQ$3=8,'Pricing Inputs'!$AQ$3=9),IF(AND('Pricing Inputs'!$AQ$3&gt;=2,'Pricing Inputs'!$AQ$3&lt;=6),K286,(VLOOKUP(A286,ScaledPrice,5))*(2-(VLOOKUP(A286,ScaledPrice,3)))),0))</f>
        <v xml:space="preserve"> </v>
      </c>
      <c r="M286" s="255" t="str">
        <f>IF(A286="N/A"," ",IF(OR('Pricing Inputs'!$AQ$3=3,'Pricing Inputs'!$AQ$3=6,'Pricing Inputs'!$AQ$3=9),(VLOOKUP(A286,ScaledPrice,IF(AND('Pricing Inputs'!$AQ$3&gt;=3,'Pricing Inputs'!$AQ$3&lt;=6),7,8))),0))</f>
        <v xml:space="preserve"> </v>
      </c>
      <c r="N286" s="255" t="str">
        <f>IF(A286="N/A"," ",IF(OR('Pricing Inputs'!$AQ$3=3,'Pricing Inputs'!$AQ$3=6,'Pricing Inputs'!$AQ$3=9),IF(AND('Pricing Inputs'!$AQ$3&gt;=3,'Pricing Inputs'!$AQ$3&lt;=6),M286,(VLOOKUP(A286,ScaledPrice,7))*(2-(VLOOKUP(A286,ScaledPrice,3)))),0))</f>
        <v xml:space="preserve"> </v>
      </c>
      <c r="O286" s="255" t="str">
        <f>IF(A286="N/A"," ",IF(AND('Pricing Inputs'!$AQ$3&gt;=1,'Pricing Inputs'!$AQ$3&lt;=3),VLOOKUP(A286,ScaledPrice,9),0))</f>
        <v xml:space="preserve"> </v>
      </c>
      <c r="P286" s="320" t="str">
        <f>IF($A286="N/A"," ",IF('Pricing Inputs'!$AN$8=2,(I286-H286),IF('Pricing Inputs'!$AN$3=2,IF((I286-$H286)&gt;0,I286-$H286,0),(_xll.xSPRDOPT(I286,$E286,$BU286,0,$BP286,$BS286,$BT286,($A286-Inputs!$D$1)+15,1,0)))))</f>
        <v xml:space="preserve"> </v>
      </c>
      <c r="Q286" s="320" t="str">
        <f>IF($A286="N/A"," ",IF('Pricing Inputs'!$AN$8=2,(J286-$H286),IF('Pricing Inputs'!$AN$3=2,IF((J286-$H286)&gt;0,J286-$H286,0),(_xll.xSPRDOPT(J286,$E286,$BU286,0,$BP286,$BS286,$BT286,($A286-Inputs!$D$1)+15,1,0)))))</f>
        <v xml:space="preserve"> </v>
      </c>
      <c r="R286" s="320" t="str">
        <f>IF($A286="N/A"," ",IF('Pricing Inputs'!$AN$8=2,(K286-$H286),IF('Pricing Inputs'!$AN$3=2,IF((K286-$H286)&gt;0,K286-$H286,0),(_xll.xSPRDOPT(K286,$E286,$BU286,0,$BP286,$BS286,$BT286,($A286-Inputs!$D$1)+15,1,0)))))</f>
        <v xml:space="preserve"> </v>
      </c>
      <c r="S286" s="320" t="str">
        <f>IF($A286="N/A"," ",IF('Pricing Inputs'!$AN$8=2,(L286-$H286),IF('Pricing Inputs'!$AN$3=2,IF((L286-$H286)&gt;0,L286-$H286,0),(_xll.xSPRDOPT(L286,$E286,$BU286,0,$BP286,$BS286,$BT286,($A286-Inputs!$D$1)+15,1,0)))))</f>
        <v xml:space="preserve"> </v>
      </c>
      <c r="T286" s="320" t="str">
        <f>IF($A286="N/A"," ",IF('Pricing Inputs'!$AN$8=2,(M286-$H286),IF('Pricing Inputs'!$AN$3=2,IF((M286-$H286)&gt;0,M286-$H286,0),(_xll.xSPRDOPT(M286,$E286,$BU286,0,$BP286,$BS286,$BT286,($A286-Inputs!$D$1)+15,1,0)))))</f>
        <v xml:space="preserve"> </v>
      </c>
      <c r="U286" s="320" t="str">
        <f>IF($A286="N/A"," ",IF('Pricing Inputs'!$AN$8=2,(N286-$H286),IF('Pricing Inputs'!$AN$3=2,IF((N286-$H286)&gt;0,N286-$H286,0),(_xll.xSPRDOPT(N286,$E286,$BU286,0,$BP286,$BS286,$BT286,($A286-Inputs!$D$1)+15,1,0)))))</f>
        <v xml:space="preserve"> </v>
      </c>
      <c r="V286" s="259" t="str">
        <f>IF($A286="N/A"," ",(IF('Pricing Inputs'!$AN$8=2,(O286-$H286),IF((O286-$H286)&lt;=0,0,(O286-$H286)))))</f>
        <v xml:space="preserve"> </v>
      </c>
      <c r="AK286" s="229"/>
      <c r="AL286" s="229"/>
      <c r="AM286" s="229"/>
      <c r="AN286" s="229"/>
      <c r="AO286" s="229"/>
      <c r="AP286" s="229"/>
      <c r="AQ286" s="229"/>
      <c r="AR286" s="229"/>
      <c r="BA286" s="267" t="str">
        <f>IF($A286="N/A"," ",(IF(MONTH(A286)&gt;=4,IF(MONTH(A286)&lt;=10,Inputs!$F$13,Inputs!$F$14),Inputs!$F$14))*$BW286)</f>
        <v xml:space="preserve"> </v>
      </c>
      <c r="BN286" s="405" t="str">
        <f>IF(A286="N/A"," ",(VLOOKUP(A286,PowerVolTable,(IF('Pricing Inputs'!$AT$3=2,7,IF('Pricing Inputs'!$AT$3=1,6,8))),FALSE)))</f>
        <v xml:space="preserve"> </v>
      </c>
      <c r="BO286" s="405" t="str">
        <f>IF(A286="N/A"," ",(VLOOKUP(A286,IntraPowerVol,(IF('Pricing Inputs'!$AT$3=2,3,IF('Pricing Inputs'!$AT$3=1,2,4))),FALSE)*VLOOKUP(MONTH($A286),Inputs!$A$28:$B$39,2)))</f>
        <v xml:space="preserve"> </v>
      </c>
      <c r="BP286" s="406" t="str">
        <f t="shared" si="430"/>
        <v xml:space="preserve"> </v>
      </c>
      <c r="BQ286" s="405" t="str">
        <f>IF($A286="N/A"," ",(VLOOKUP($A286,GasVolTable,(IF('Pricing Inputs'!$AT$3=2,6,IF('Pricing Inputs'!$AT$3=1,7,5))),FALSE)))</f>
        <v xml:space="preserve"> </v>
      </c>
      <c r="BR286" s="405" t="str">
        <f>IF($A286="N/A"," ",(VLOOKUP($A286,OmicronVol,(IF('Pricing Inputs'!$AT$3=2,3,IF('Pricing Inputs'!$AT$3=1,4,2))),FALSE)))</f>
        <v xml:space="preserve"> </v>
      </c>
      <c r="BS286" s="406" t="str">
        <f>IF($A286="N/A"," ",IF('Pricing Inputs'!$AN$3=1,(IF(DateToday&gt;$A286,$BR286,((($BQ286^2)*((($A286-1)-DateToday)/((EOMONTH($A286,0)+1)-DateToday-15)))+((($BR286)^2)*((15)/((EOMONTH($A286,0)+1)-DateToday-15))))^0.5)),0.0001))</f>
        <v xml:space="preserve"> </v>
      </c>
      <c r="BT286" s="405" t="str">
        <f>IF($A286="N/A"," ",IF('Pricing Inputs'!$AN$3=1,(VLOOKUP($A286,CorrelationTable,2,FALSE)),0))</f>
        <v xml:space="preserve"> </v>
      </c>
      <c r="BU286" s="407" t="str">
        <f>IF($A286="N/A"," ",F286+G286+(D286*(VLOOKUP($A286,'Gas Curves'!$B$17:$P$310,14,FALSE))))</f>
        <v xml:space="preserve"> </v>
      </c>
      <c r="BV286" s="405" t="str">
        <f>IF($A286="N/A"," ",IF('Pricing Inputs'!$AW$3=1,0,(VLOOKUP($A286,InterestRatesTable,2))))</f>
        <v xml:space="preserve"> </v>
      </c>
      <c r="BW286" s="408" t="str">
        <f t="shared" si="431"/>
        <v xml:space="preserve"> </v>
      </c>
    </row>
    <row r="287" spans="1:75">
      <c r="A287" s="248" t="str">
        <f>IF(A286="N/A","N/A",IF(EDATE(A286,1)&gt;Inputs!$K$3,"N/A",EDATE(A286,1)))</f>
        <v>N/A</v>
      </c>
      <c r="B287" s="262" t="str">
        <f t="shared" si="432"/>
        <v xml:space="preserve"> </v>
      </c>
      <c r="C287" s="249" t="str">
        <f t="shared" si="433"/>
        <v xml:space="preserve"> </v>
      </c>
      <c r="D287" s="250" t="str">
        <f>IF(A287="N/A"," ",(VLOOKUP(MONTH($A287),Inputs!$A$14:$B$25,2))/1000)</f>
        <v xml:space="preserve"> </v>
      </c>
      <c r="E287" s="304" t="str">
        <f t="shared" si="434"/>
        <v xml:space="preserve"> </v>
      </c>
      <c r="F287" s="251" t="str">
        <f>IF(A287="N/A"," ",Inputs!$F$6)</f>
        <v xml:space="preserve"> </v>
      </c>
      <c r="G287" s="251" t="str">
        <f>IF(A287="N/A"," ",Inputs!$F$9/IF(AND('Pricing Inputs'!$AQ$3&gt;=4,'Pricing Inputs'!$AQ$3&lt;=6),16,IF(AND('Pricing Inputs'!$AQ$3&gt;=7,'Pricing Inputs'!$AQ$3&lt;=9),8,24))/(BA287/BW287))</f>
        <v xml:space="preserve"> </v>
      </c>
      <c r="H287" s="252" t="str">
        <f t="shared" si="435"/>
        <v xml:space="preserve"> </v>
      </c>
      <c r="I287" s="255" t="str">
        <f>VLOOKUP(A287,ScaledPrice,(IF(AND('Pricing Inputs'!$AQ$3&gt;=1,'Pricing Inputs'!$AQ$3&lt;=6),2,4)))</f>
        <v xml:space="preserve"> </v>
      </c>
      <c r="J287" s="255" t="str">
        <f>IF(A287="N/A"," ",IF(AND('Pricing Inputs'!$AQ$3&gt;=1,'Pricing Inputs'!$AQ$3&lt;=6),I287,(VLOOKUP(A287,ScaledPrice,2))*(2-(VLOOKUP(A287,ScaledPrice,3)))))</f>
        <v xml:space="preserve"> </v>
      </c>
      <c r="K287" s="255" t="str">
        <f>IF(A287="N/A"," ",IF(OR('Pricing Inputs'!$AQ$3=2,'Pricing Inputs'!$AQ$3=3,'Pricing Inputs'!$AQ$3=5,'Pricing Inputs'!$AQ$3=6,'Pricing Inputs'!$AQ$3=8,'Pricing Inputs'!$AQ$3=9),VLOOKUP(A287,ScaledPrice,IF(AND('Pricing Inputs'!$AQ$3&gt;=2,'Pricing Inputs'!$AQ$3&lt;=6),5,6)),0))</f>
        <v xml:space="preserve"> </v>
      </c>
      <c r="L287" s="255" t="str">
        <f>IF(A287="N/A"," ",IF(OR('Pricing Inputs'!$AQ$3=2,'Pricing Inputs'!$AQ$3=3,'Pricing Inputs'!$AQ$3=5,'Pricing Inputs'!$AQ$3=6,'Pricing Inputs'!$AQ$3=8,'Pricing Inputs'!$AQ$3=9),IF(AND('Pricing Inputs'!$AQ$3&gt;=2,'Pricing Inputs'!$AQ$3&lt;=6),K287,(VLOOKUP(A287,ScaledPrice,5))*(2-(VLOOKUP(A287,ScaledPrice,3)))),0))</f>
        <v xml:space="preserve"> </v>
      </c>
      <c r="M287" s="255" t="str">
        <f>IF(A287="N/A"," ",IF(OR('Pricing Inputs'!$AQ$3=3,'Pricing Inputs'!$AQ$3=6,'Pricing Inputs'!$AQ$3=9),(VLOOKUP(A287,ScaledPrice,IF(AND('Pricing Inputs'!$AQ$3&gt;=3,'Pricing Inputs'!$AQ$3&lt;=6),7,8))),0))</f>
        <v xml:space="preserve"> </v>
      </c>
      <c r="N287" s="255" t="str">
        <f>IF(A287="N/A"," ",IF(OR('Pricing Inputs'!$AQ$3=3,'Pricing Inputs'!$AQ$3=6,'Pricing Inputs'!$AQ$3=9),IF(AND('Pricing Inputs'!$AQ$3&gt;=3,'Pricing Inputs'!$AQ$3&lt;=6),M287,(VLOOKUP(A287,ScaledPrice,7))*(2-(VLOOKUP(A287,ScaledPrice,3)))),0))</f>
        <v xml:space="preserve"> </v>
      </c>
      <c r="O287" s="255" t="str">
        <f>IF(A287="N/A"," ",IF(AND('Pricing Inputs'!$AQ$3&gt;=1,'Pricing Inputs'!$AQ$3&lt;=3),VLOOKUP(A287,ScaledPrice,9),0))</f>
        <v xml:space="preserve"> </v>
      </c>
      <c r="P287" s="320" t="str">
        <f>IF($A287="N/A"," ",IF('Pricing Inputs'!$AN$8=2,(I287-H287),IF('Pricing Inputs'!$AN$3=2,IF((I287-$H287)&gt;0,I287-$H287,0),(_xll.xSPRDOPT(I287,$E287,$BU287,0,$BP287,$BS287,$BT287,($A287-Inputs!$D$1)+15,1,0)))))</f>
        <v xml:space="preserve"> </v>
      </c>
      <c r="Q287" s="320" t="str">
        <f>IF($A287="N/A"," ",IF('Pricing Inputs'!$AN$8=2,(J287-$H287),IF('Pricing Inputs'!$AN$3=2,IF((J287-$H287)&gt;0,J287-$H287,0),(_xll.xSPRDOPT(J287,$E287,$BU287,0,$BP287,$BS287,$BT287,($A287-Inputs!$D$1)+15,1,0)))))</f>
        <v xml:space="preserve"> </v>
      </c>
      <c r="R287" s="320" t="str">
        <f>IF($A287="N/A"," ",IF('Pricing Inputs'!$AN$8=2,(K287-$H287),IF('Pricing Inputs'!$AN$3=2,IF((K287-$H287)&gt;0,K287-$H287,0),(_xll.xSPRDOPT(K287,$E287,$BU287,0,$BP287,$BS287,$BT287,($A287-Inputs!$D$1)+15,1,0)))))</f>
        <v xml:space="preserve"> </v>
      </c>
      <c r="S287" s="320" t="str">
        <f>IF($A287="N/A"," ",IF('Pricing Inputs'!$AN$8=2,(L287-$H287),IF('Pricing Inputs'!$AN$3=2,IF((L287-$H287)&gt;0,L287-$H287,0),(_xll.xSPRDOPT(L287,$E287,$BU287,0,$BP287,$BS287,$BT287,($A287-Inputs!$D$1)+15,1,0)))))</f>
        <v xml:space="preserve"> </v>
      </c>
      <c r="T287" s="320" t="str">
        <f>IF($A287="N/A"," ",IF('Pricing Inputs'!$AN$8=2,(M287-$H287),IF('Pricing Inputs'!$AN$3=2,IF((M287-$H287)&gt;0,M287-$H287,0),(_xll.xSPRDOPT(M287,$E287,$BU287,0,$BP287,$BS287,$BT287,($A287-Inputs!$D$1)+15,1,0)))))</f>
        <v xml:space="preserve"> </v>
      </c>
      <c r="U287" s="320" t="str">
        <f>IF($A287="N/A"," ",IF('Pricing Inputs'!$AN$8=2,(N287-$H287),IF('Pricing Inputs'!$AN$3=2,IF((N287-$H287)&gt;0,N287-$H287,0),(_xll.xSPRDOPT(N287,$E287,$BU287,0,$BP287,$BS287,$BT287,($A287-Inputs!$D$1)+15,1,0)))))</f>
        <v xml:space="preserve"> </v>
      </c>
      <c r="V287" s="259" t="str">
        <f>IF($A287="N/A"," ",(IF('Pricing Inputs'!$AN$8=2,(O287-$H287),IF((O287-$H287)&lt;=0,0,(O287-$H287)))))</f>
        <v xml:space="preserve"> </v>
      </c>
      <c r="AK287" s="229"/>
      <c r="AL287" s="229"/>
      <c r="AM287" s="229"/>
      <c r="AN287" s="229"/>
      <c r="AO287" s="229"/>
      <c r="AP287" s="229"/>
      <c r="AQ287" s="229"/>
      <c r="AR287" s="229"/>
      <c r="BA287" s="267" t="str">
        <f>IF($A287="N/A"," ",(IF(MONTH(A287)&gt;=4,IF(MONTH(A287)&lt;=10,Inputs!$F$13,Inputs!$F$14),Inputs!$F$14))*$BW287)</f>
        <v xml:space="preserve"> </v>
      </c>
      <c r="BN287" s="405" t="str">
        <f>IF(A287="N/A"," ",(VLOOKUP(A287,PowerVolTable,(IF('Pricing Inputs'!$AT$3=2,7,IF('Pricing Inputs'!$AT$3=1,6,8))),FALSE)))</f>
        <v xml:space="preserve"> </v>
      </c>
      <c r="BO287" s="405" t="str">
        <f>IF(A287="N/A"," ",(VLOOKUP(A287,IntraPowerVol,(IF('Pricing Inputs'!$AT$3=2,3,IF('Pricing Inputs'!$AT$3=1,2,4))),FALSE)*VLOOKUP(MONTH($A287),Inputs!$A$28:$B$39,2)))</f>
        <v xml:space="preserve"> </v>
      </c>
      <c r="BP287" s="406" t="str">
        <f t="shared" si="430"/>
        <v xml:space="preserve"> </v>
      </c>
      <c r="BQ287" s="405" t="str">
        <f>IF($A287="N/A"," ",(VLOOKUP($A287,GasVolTable,(IF('Pricing Inputs'!$AT$3=2,6,IF('Pricing Inputs'!$AT$3=1,7,5))),FALSE)))</f>
        <v xml:space="preserve"> </v>
      </c>
      <c r="BR287" s="405" t="str">
        <f>IF($A287="N/A"," ",(VLOOKUP($A287,OmicronVol,(IF('Pricing Inputs'!$AT$3=2,3,IF('Pricing Inputs'!$AT$3=1,4,2))),FALSE)))</f>
        <v xml:space="preserve"> </v>
      </c>
      <c r="BS287" s="406" t="str">
        <f>IF($A287="N/A"," ",IF('Pricing Inputs'!$AN$3=1,(IF(DateToday&gt;$A287,$BR287,((($BQ287^2)*((($A287-1)-DateToday)/((EOMONTH($A287,0)+1)-DateToday-15)))+((($BR287)^2)*((15)/((EOMONTH($A287,0)+1)-DateToday-15))))^0.5)),0.0001))</f>
        <v xml:space="preserve"> </v>
      </c>
      <c r="BT287" s="405" t="str">
        <f>IF($A287="N/A"," ",IF('Pricing Inputs'!$AN$3=1,(VLOOKUP($A287,CorrelationTable,2,FALSE)),0))</f>
        <v xml:space="preserve"> </v>
      </c>
      <c r="BU287" s="407" t="str">
        <f>IF($A287="N/A"," ",F287+G287+(D287*(VLOOKUP($A287,'Gas Curves'!$B$17:$P$310,14,FALSE))))</f>
        <v xml:space="preserve"> </v>
      </c>
      <c r="BV287" s="405" t="str">
        <f>IF($A287="N/A"," ",IF('Pricing Inputs'!$AW$3=1,0,(VLOOKUP($A287,InterestRatesTable,2))))</f>
        <v xml:space="preserve"> </v>
      </c>
      <c r="BW287" s="408" t="str">
        <f t="shared" si="431"/>
        <v xml:space="preserve"> </v>
      </c>
    </row>
    <row r="288" spans="1:75">
      <c r="A288" s="248" t="str">
        <f>IF(A287="N/A","N/A",IF(EDATE(A287,1)&gt;Inputs!$K$3,"N/A",EDATE(A287,1)))</f>
        <v>N/A</v>
      </c>
      <c r="B288" s="262" t="str">
        <f t="shared" si="432"/>
        <v xml:space="preserve"> </v>
      </c>
      <c r="C288" s="249" t="str">
        <f t="shared" si="433"/>
        <v xml:space="preserve"> </v>
      </c>
      <c r="D288" s="250" t="str">
        <f>IF(A288="N/A"," ",(VLOOKUP(MONTH($A288),Inputs!$A$14:$B$25,2))/1000)</f>
        <v xml:space="preserve"> </v>
      </c>
      <c r="E288" s="304" t="str">
        <f t="shared" si="434"/>
        <v xml:space="preserve"> </v>
      </c>
      <c r="F288" s="251" t="str">
        <f>IF(A288="N/A"," ",Inputs!$F$6)</f>
        <v xml:space="preserve"> </v>
      </c>
      <c r="G288" s="251" t="str">
        <f>IF(A288="N/A"," ",Inputs!$F$9/IF(AND('Pricing Inputs'!$AQ$3&gt;=4,'Pricing Inputs'!$AQ$3&lt;=6),16,IF(AND('Pricing Inputs'!$AQ$3&gt;=7,'Pricing Inputs'!$AQ$3&lt;=9),8,24))/(BA288/BW288))</f>
        <v xml:space="preserve"> </v>
      </c>
      <c r="H288" s="252" t="str">
        <f t="shared" si="435"/>
        <v xml:space="preserve"> </v>
      </c>
      <c r="I288" s="255" t="str">
        <f>VLOOKUP(A288,ScaledPrice,(IF(AND('Pricing Inputs'!$AQ$3&gt;=1,'Pricing Inputs'!$AQ$3&lt;=6),2,4)))</f>
        <v xml:space="preserve"> </v>
      </c>
      <c r="J288" s="255" t="str">
        <f>IF(A288="N/A"," ",IF(AND('Pricing Inputs'!$AQ$3&gt;=1,'Pricing Inputs'!$AQ$3&lt;=6),I288,(VLOOKUP(A288,ScaledPrice,2))*(2-(VLOOKUP(A288,ScaledPrice,3)))))</f>
        <v xml:space="preserve"> </v>
      </c>
      <c r="K288" s="255" t="str">
        <f>IF(A288="N/A"," ",IF(OR('Pricing Inputs'!$AQ$3=2,'Pricing Inputs'!$AQ$3=3,'Pricing Inputs'!$AQ$3=5,'Pricing Inputs'!$AQ$3=6,'Pricing Inputs'!$AQ$3=8,'Pricing Inputs'!$AQ$3=9),VLOOKUP(A288,ScaledPrice,IF(AND('Pricing Inputs'!$AQ$3&gt;=2,'Pricing Inputs'!$AQ$3&lt;=6),5,6)),0))</f>
        <v xml:space="preserve"> </v>
      </c>
      <c r="L288" s="255" t="str">
        <f>IF(A288="N/A"," ",IF(OR('Pricing Inputs'!$AQ$3=2,'Pricing Inputs'!$AQ$3=3,'Pricing Inputs'!$AQ$3=5,'Pricing Inputs'!$AQ$3=6,'Pricing Inputs'!$AQ$3=8,'Pricing Inputs'!$AQ$3=9),IF(AND('Pricing Inputs'!$AQ$3&gt;=2,'Pricing Inputs'!$AQ$3&lt;=6),K288,(VLOOKUP(A288,ScaledPrice,5))*(2-(VLOOKUP(A288,ScaledPrice,3)))),0))</f>
        <v xml:space="preserve"> </v>
      </c>
      <c r="M288" s="255" t="str">
        <f>IF(A288="N/A"," ",IF(OR('Pricing Inputs'!$AQ$3=3,'Pricing Inputs'!$AQ$3=6,'Pricing Inputs'!$AQ$3=9),(VLOOKUP(A288,ScaledPrice,IF(AND('Pricing Inputs'!$AQ$3&gt;=3,'Pricing Inputs'!$AQ$3&lt;=6),7,8))),0))</f>
        <v xml:space="preserve"> </v>
      </c>
      <c r="N288" s="255" t="str">
        <f>IF(A288="N/A"," ",IF(OR('Pricing Inputs'!$AQ$3=3,'Pricing Inputs'!$AQ$3=6,'Pricing Inputs'!$AQ$3=9),IF(AND('Pricing Inputs'!$AQ$3&gt;=3,'Pricing Inputs'!$AQ$3&lt;=6),M288,(VLOOKUP(A288,ScaledPrice,7))*(2-(VLOOKUP(A288,ScaledPrice,3)))),0))</f>
        <v xml:space="preserve"> </v>
      </c>
      <c r="O288" s="255" t="str">
        <f>IF(A288="N/A"," ",IF(AND('Pricing Inputs'!$AQ$3&gt;=1,'Pricing Inputs'!$AQ$3&lt;=3),VLOOKUP(A288,ScaledPrice,9),0))</f>
        <v xml:space="preserve"> </v>
      </c>
      <c r="P288" s="320" t="str">
        <f>IF($A288="N/A"," ",IF('Pricing Inputs'!$AN$8=2,(I288-H288),IF('Pricing Inputs'!$AN$3=2,IF((I288-$H288)&gt;0,I288-$H288,0),(_xll.xSPRDOPT(I288,$E288,$BU288,0,$BP288,$BS288,$BT288,($A288-Inputs!$D$1)+15,1,0)))))</f>
        <v xml:space="preserve"> </v>
      </c>
      <c r="Q288" s="320" t="str">
        <f>IF($A288="N/A"," ",IF('Pricing Inputs'!$AN$8=2,(J288-$H288),IF('Pricing Inputs'!$AN$3=2,IF((J288-$H288)&gt;0,J288-$H288,0),(_xll.xSPRDOPT(J288,$E288,$BU288,0,$BP288,$BS288,$BT288,($A288-Inputs!$D$1)+15,1,0)))))</f>
        <v xml:space="preserve"> </v>
      </c>
      <c r="R288" s="320" t="str">
        <f>IF($A288="N/A"," ",IF('Pricing Inputs'!$AN$8=2,(K288-$H288),IF('Pricing Inputs'!$AN$3=2,IF((K288-$H288)&gt;0,K288-$H288,0),(_xll.xSPRDOPT(K288,$E288,$BU288,0,$BP288,$BS288,$BT288,($A288-Inputs!$D$1)+15,1,0)))))</f>
        <v xml:space="preserve"> </v>
      </c>
      <c r="S288" s="320" t="str">
        <f>IF($A288="N/A"," ",IF('Pricing Inputs'!$AN$8=2,(L288-$H288),IF('Pricing Inputs'!$AN$3=2,IF((L288-$H288)&gt;0,L288-$H288,0),(_xll.xSPRDOPT(L288,$E288,$BU288,0,$BP288,$BS288,$BT288,($A288-Inputs!$D$1)+15,1,0)))))</f>
        <v xml:space="preserve"> </v>
      </c>
      <c r="T288" s="320" t="str">
        <f>IF($A288="N/A"," ",IF('Pricing Inputs'!$AN$8=2,(M288-$H288),IF('Pricing Inputs'!$AN$3=2,IF((M288-$H288)&gt;0,M288-$H288,0),(_xll.xSPRDOPT(M288,$E288,$BU288,0,$BP288,$BS288,$BT288,($A288-Inputs!$D$1)+15,1,0)))))</f>
        <v xml:space="preserve"> </v>
      </c>
      <c r="U288" s="320" t="str">
        <f>IF($A288="N/A"," ",IF('Pricing Inputs'!$AN$8=2,(N288-$H288),IF('Pricing Inputs'!$AN$3=2,IF((N288-$H288)&gt;0,N288-$H288,0),(_xll.xSPRDOPT(N288,$E288,$BU288,0,$BP288,$BS288,$BT288,($A288-Inputs!$D$1)+15,1,0)))))</f>
        <v xml:space="preserve"> </v>
      </c>
      <c r="V288" s="259" t="str">
        <f>IF($A288="N/A"," ",(IF('Pricing Inputs'!$AN$8=2,(O288-$H288),IF((O288-$H288)&lt;=0,0,(O288-$H288)))))</f>
        <v xml:space="preserve"> </v>
      </c>
      <c r="AK288" s="229"/>
      <c r="AL288" s="229"/>
      <c r="AM288" s="229"/>
      <c r="AN288" s="229"/>
      <c r="AO288" s="229"/>
      <c r="AP288" s="229"/>
      <c r="AQ288" s="229"/>
      <c r="AR288" s="229"/>
      <c r="BA288" s="267" t="str">
        <f>IF($A288="N/A"," ",(IF(MONTH(A288)&gt;=4,IF(MONTH(A288)&lt;=10,Inputs!$F$13,Inputs!$F$14),Inputs!$F$14))*$BW288)</f>
        <v xml:space="preserve"> </v>
      </c>
      <c r="BN288" s="405" t="str">
        <f>IF(A288="N/A"," ",(VLOOKUP(A288,PowerVolTable,(IF('Pricing Inputs'!$AT$3=2,7,IF('Pricing Inputs'!$AT$3=1,6,8))),FALSE)))</f>
        <v xml:space="preserve"> </v>
      </c>
      <c r="BO288" s="405" t="str">
        <f>IF(A288="N/A"," ",(VLOOKUP(A288,IntraPowerVol,(IF('Pricing Inputs'!$AT$3=2,3,IF('Pricing Inputs'!$AT$3=1,2,4))),FALSE)*VLOOKUP(MONTH($A288),Inputs!$A$28:$B$39,2)))</f>
        <v xml:space="preserve"> </v>
      </c>
      <c r="BP288" s="406" t="str">
        <f t="shared" si="430"/>
        <v xml:space="preserve"> </v>
      </c>
      <c r="BQ288" s="405" t="str">
        <f>IF($A288="N/A"," ",(VLOOKUP($A288,GasVolTable,(IF('Pricing Inputs'!$AT$3=2,6,IF('Pricing Inputs'!$AT$3=1,7,5))),FALSE)))</f>
        <v xml:space="preserve"> </v>
      </c>
      <c r="BR288" s="405" t="str">
        <f>IF($A288="N/A"," ",(VLOOKUP($A288,OmicronVol,(IF('Pricing Inputs'!$AT$3=2,3,IF('Pricing Inputs'!$AT$3=1,4,2))),FALSE)))</f>
        <v xml:space="preserve"> </v>
      </c>
      <c r="BS288" s="406" t="str">
        <f>IF($A288="N/A"," ",IF('Pricing Inputs'!$AN$3=1,(IF(DateToday&gt;$A288,$BR288,((($BQ288^2)*((($A288-1)-DateToday)/((EOMONTH($A288,0)+1)-DateToday-15)))+((($BR288)^2)*((15)/((EOMONTH($A288,0)+1)-DateToday-15))))^0.5)),0.0001))</f>
        <v xml:space="preserve"> </v>
      </c>
      <c r="BT288" s="405" t="str">
        <f>IF($A288="N/A"," ",IF('Pricing Inputs'!$AN$3=1,(VLOOKUP($A288,CorrelationTable,2,FALSE)),0))</f>
        <v xml:space="preserve"> </v>
      </c>
      <c r="BU288" s="407" t="str">
        <f>IF($A288="N/A"," ",F288+G288+(D288*(VLOOKUP($A288,'Gas Curves'!$B$17:$P$310,14,FALSE))))</f>
        <v xml:space="preserve"> </v>
      </c>
      <c r="BV288" s="405" t="str">
        <f>IF($A288="N/A"," ",IF('Pricing Inputs'!$AW$3=1,0,(VLOOKUP($A288,InterestRatesTable,2))))</f>
        <v xml:space="preserve"> </v>
      </c>
      <c r="BW288" s="408" t="str">
        <f t="shared" si="431"/>
        <v xml:space="preserve"> </v>
      </c>
    </row>
    <row r="289" spans="1:75">
      <c r="A289" s="248" t="str">
        <f>IF(A288="N/A","N/A",IF(EDATE(A288,1)&gt;Inputs!$K$3,"N/A",EDATE(A288,1)))</f>
        <v>N/A</v>
      </c>
      <c r="B289" s="262" t="str">
        <f t="shared" si="432"/>
        <v xml:space="preserve"> </v>
      </c>
      <c r="C289" s="249" t="str">
        <f t="shared" si="433"/>
        <v xml:space="preserve"> </v>
      </c>
      <c r="D289" s="250" t="str">
        <f>IF(A289="N/A"," ",(VLOOKUP(MONTH($A289),Inputs!$A$14:$B$25,2))/1000)</f>
        <v xml:space="preserve"> </v>
      </c>
      <c r="E289" s="304" t="str">
        <f t="shared" si="434"/>
        <v xml:space="preserve"> </v>
      </c>
      <c r="F289" s="251" t="str">
        <f>IF(A289="N/A"," ",Inputs!$F$6)</f>
        <v xml:space="preserve"> </v>
      </c>
      <c r="G289" s="251" t="str">
        <f>IF(A289="N/A"," ",Inputs!$F$9/IF(AND('Pricing Inputs'!$AQ$3&gt;=4,'Pricing Inputs'!$AQ$3&lt;=6),16,IF(AND('Pricing Inputs'!$AQ$3&gt;=7,'Pricing Inputs'!$AQ$3&lt;=9),8,24))/(BA289/BW289))</f>
        <v xml:space="preserve"> </v>
      </c>
      <c r="H289" s="252" t="str">
        <f t="shared" si="435"/>
        <v xml:space="preserve"> </v>
      </c>
      <c r="I289" s="255" t="str">
        <f>VLOOKUP(A289,ScaledPrice,(IF(AND('Pricing Inputs'!$AQ$3&gt;=1,'Pricing Inputs'!$AQ$3&lt;=6),2,4)))</f>
        <v xml:space="preserve"> </v>
      </c>
      <c r="J289" s="255" t="str">
        <f>IF(A289="N/A"," ",IF(AND('Pricing Inputs'!$AQ$3&gt;=1,'Pricing Inputs'!$AQ$3&lt;=6),I289,(VLOOKUP(A289,ScaledPrice,2))*(2-(VLOOKUP(A289,ScaledPrice,3)))))</f>
        <v xml:space="preserve"> </v>
      </c>
      <c r="K289" s="255" t="str">
        <f>IF(A289="N/A"," ",IF(OR('Pricing Inputs'!$AQ$3=2,'Pricing Inputs'!$AQ$3=3,'Pricing Inputs'!$AQ$3=5,'Pricing Inputs'!$AQ$3=6,'Pricing Inputs'!$AQ$3=8,'Pricing Inputs'!$AQ$3=9),VLOOKUP(A289,ScaledPrice,IF(AND('Pricing Inputs'!$AQ$3&gt;=2,'Pricing Inputs'!$AQ$3&lt;=6),5,6)),0))</f>
        <v xml:space="preserve"> </v>
      </c>
      <c r="L289" s="255" t="str">
        <f>IF(A289="N/A"," ",IF(OR('Pricing Inputs'!$AQ$3=2,'Pricing Inputs'!$AQ$3=3,'Pricing Inputs'!$AQ$3=5,'Pricing Inputs'!$AQ$3=6,'Pricing Inputs'!$AQ$3=8,'Pricing Inputs'!$AQ$3=9),IF(AND('Pricing Inputs'!$AQ$3&gt;=2,'Pricing Inputs'!$AQ$3&lt;=6),K289,(VLOOKUP(A289,ScaledPrice,5))*(2-(VLOOKUP(A289,ScaledPrice,3)))),0))</f>
        <v xml:space="preserve"> </v>
      </c>
      <c r="M289" s="255" t="str">
        <f>IF(A289="N/A"," ",IF(OR('Pricing Inputs'!$AQ$3=3,'Pricing Inputs'!$AQ$3=6,'Pricing Inputs'!$AQ$3=9),(VLOOKUP(A289,ScaledPrice,IF(AND('Pricing Inputs'!$AQ$3&gt;=3,'Pricing Inputs'!$AQ$3&lt;=6),7,8))),0))</f>
        <v xml:space="preserve"> </v>
      </c>
      <c r="N289" s="255" t="str">
        <f>IF(A289="N/A"," ",IF(OR('Pricing Inputs'!$AQ$3=3,'Pricing Inputs'!$AQ$3=6,'Pricing Inputs'!$AQ$3=9),IF(AND('Pricing Inputs'!$AQ$3&gt;=3,'Pricing Inputs'!$AQ$3&lt;=6),M289,(VLOOKUP(A289,ScaledPrice,7))*(2-(VLOOKUP(A289,ScaledPrice,3)))),0))</f>
        <v xml:space="preserve"> </v>
      </c>
      <c r="O289" s="255" t="str">
        <f>IF(A289="N/A"," ",IF(AND('Pricing Inputs'!$AQ$3&gt;=1,'Pricing Inputs'!$AQ$3&lt;=3),VLOOKUP(A289,ScaledPrice,9),0))</f>
        <v xml:space="preserve"> </v>
      </c>
      <c r="P289" s="320" t="str">
        <f>IF($A289="N/A"," ",IF('Pricing Inputs'!$AN$8=2,(I289-H289),IF('Pricing Inputs'!$AN$3=2,IF((I289-$H289)&gt;0,I289-$H289,0),(_xll.xSPRDOPT(I289,$E289,$BU289,0,$BP289,$BS289,$BT289,($A289-Inputs!$D$1)+15,1,0)))))</f>
        <v xml:space="preserve"> </v>
      </c>
      <c r="Q289" s="320" t="str">
        <f>IF($A289="N/A"," ",IF('Pricing Inputs'!$AN$8=2,(J289-$H289),IF('Pricing Inputs'!$AN$3=2,IF((J289-$H289)&gt;0,J289-$H289,0),(_xll.xSPRDOPT(J289,$E289,$BU289,0,$BP289,$BS289,$BT289,($A289-Inputs!$D$1)+15,1,0)))))</f>
        <v xml:space="preserve"> </v>
      </c>
      <c r="R289" s="320" t="str">
        <f>IF($A289="N/A"," ",IF('Pricing Inputs'!$AN$8=2,(K289-$H289),IF('Pricing Inputs'!$AN$3=2,IF((K289-$H289)&gt;0,K289-$H289,0),(_xll.xSPRDOPT(K289,$E289,$BU289,0,$BP289,$BS289,$BT289,($A289-Inputs!$D$1)+15,1,0)))))</f>
        <v xml:space="preserve"> </v>
      </c>
      <c r="S289" s="320" t="str">
        <f>IF($A289="N/A"," ",IF('Pricing Inputs'!$AN$8=2,(L289-$H289),IF('Pricing Inputs'!$AN$3=2,IF((L289-$H289)&gt;0,L289-$H289,0),(_xll.xSPRDOPT(L289,$E289,$BU289,0,$BP289,$BS289,$BT289,($A289-Inputs!$D$1)+15,1,0)))))</f>
        <v xml:space="preserve"> </v>
      </c>
      <c r="T289" s="320" t="str">
        <f>IF($A289="N/A"," ",IF('Pricing Inputs'!$AN$8=2,(M289-$H289),IF('Pricing Inputs'!$AN$3=2,IF((M289-$H289)&gt;0,M289-$H289,0),(_xll.xSPRDOPT(M289,$E289,$BU289,0,$BP289,$BS289,$BT289,($A289-Inputs!$D$1)+15,1,0)))))</f>
        <v xml:space="preserve"> </v>
      </c>
      <c r="U289" s="320" t="str">
        <f>IF($A289="N/A"," ",IF('Pricing Inputs'!$AN$8=2,(N289-$H289),IF('Pricing Inputs'!$AN$3=2,IF((N289-$H289)&gt;0,N289-$H289,0),(_xll.xSPRDOPT(N289,$E289,$BU289,0,$BP289,$BS289,$BT289,($A289-Inputs!$D$1)+15,1,0)))))</f>
        <v xml:space="preserve"> </v>
      </c>
      <c r="V289" s="259" t="str">
        <f>IF($A289="N/A"," ",(IF('Pricing Inputs'!$AN$8=2,(O289-$H289),IF((O289-$H289)&lt;=0,0,(O289-$H289)))))</f>
        <v xml:space="preserve"> </v>
      </c>
      <c r="AK289" s="229"/>
      <c r="AL289" s="229"/>
      <c r="AM289" s="229"/>
      <c r="AN289" s="229"/>
      <c r="AO289" s="229"/>
      <c r="AP289" s="229"/>
      <c r="AQ289" s="229"/>
      <c r="AR289" s="229"/>
      <c r="BA289" s="267" t="str">
        <f>IF($A289="N/A"," ",(IF(MONTH(A289)&gt;=4,IF(MONTH(A289)&lt;=10,Inputs!$F$13,Inputs!$F$14),Inputs!$F$14))*$BW289)</f>
        <v xml:space="preserve"> </v>
      </c>
      <c r="BN289" s="405" t="str">
        <f>IF(A289="N/A"," ",(VLOOKUP(A289,PowerVolTable,(IF('Pricing Inputs'!$AT$3=2,7,IF('Pricing Inputs'!$AT$3=1,6,8))),FALSE)))</f>
        <v xml:space="preserve"> </v>
      </c>
      <c r="BO289" s="405" t="str">
        <f>IF(A289="N/A"," ",(VLOOKUP(A289,IntraPowerVol,(IF('Pricing Inputs'!$AT$3=2,3,IF('Pricing Inputs'!$AT$3=1,2,4))),FALSE)*VLOOKUP(MONTH($A289),Inputs!$A$28:$B$39,2)))</f>
        <v xml:space="preserve"> </v>
      </c>
      <c r="BP289" s="406" t="str">
        <f t="shared" si="430"/>
        <v xml:space="preserve"> </v>
      </c>
      <c r="BQ289" s="405" t="str">
        <f>IF($A289="N/A"," ",(VLOOKUP($A289,GasVolTable,(IF('Pricing Inputs'!$AT$3=2,6,IF('Pricing Inputs'!$AT$3=1,7,5))),FALSE)))</f>
        <v xml:space="preserve"> </v>
      </c>
      <c r="BR289" s="405" t="str">
        <f>IF($A289="N/A"," ",(VLOOKUP($A289,OmicronVol,(IF('Pricing Inputs'!$AT$3=2,3,IF('Pricing Inputs'!$AT$3=1,4,2))),FALSE)))</f>
        <v xml:space="preserve"> </v>
      </c>
      <c r="BS289" s="406" t="str">
        <f>IF($A289="N/A"," ",IF('Pricing Inputs'!$AN$3=1,(IF(DateToday&gt;$A289,$BR289,((($BQ289^2)*((($A289-1)-DateToday)/((EOMONTH($A289,0)+1)-DateToday-15)))+((($BR289)^2)*((15)/((EOMONTH($A289,0)+1)-DateToday-15))))^0.5)),0.0001))</f>
        <v xml:space="preserve"> </v>
      </c>
      <c r="BT289" s="405" t="str">
        <f>IF($A289="N/A"," ",IF('Pricing Inputs'!$AN$3=1,(VLOOKUP($A289,CorrelationTable,2,FALSE)),0))</f>
        <v xml:space="preserve"> </v>
      </c>
      <c r="BU289" s="407" t="str">
        <f>IF($A289="N/A"," ",F289+G289+(D289*(VLOOKUP($A289,'Gas Curves'!$B$17:$P$310,14,FALSE))))</f>
        <v xml:space="preserve"> </v>
      </c>
      <c r="BV289" s="405" t="str">
        <f>IF($A289="N/A"," ",IF('Pricing Inputs'!$AW$3=1,0,(VLOOKUP($A289,InterestRatesTable,2))))</f>
        <v xml:space="preserve"> </v>
      </c>
      <c r="BW289" s="408" t="str">
        <f t="shared" si="431"/>
        <v xml:space="preserve"> </v>
      </c>
    </row>
    <row r="290" spans="1:75">
      <c r="A290" s="248" t="str">
        <f>IF(A289="N/A","N/A",IF(EDATE(A289,1)&gt;Inputs!$K$3,"N/A",EDATE(A289,1)))</f>
        <v>N/A</v>
      </c>
      <c r="B290" s="262" t="str">
        <f t="shared" si="432"/>
        <v xml:space="preserve"> </v>
      </c>
      <c r="C290" s="249" t="str">
        <f t="shared" si="433"/>
        <v xml:space="preserve"> </v>
      </c>
      <c r="D290" s="250" t="str">
        <f>IF(A290="N/A"," ",(VLOOKUP(MONTH($A290),Inputs!$A$14:$B$25,2))/1000)</f>
        <v xml:space="preserve"> </v>
      </c>
      <c r="E290" s="304" t="str">
        <f t="shared" si="434"/>
        <v xml:space="preserve"> </v>
      </c>
      <c r="F290" s="251" t="str">
        <f>IF(A290="N/A"," ",Inputs!$F$6)</f>
        <v xml:space="preserve"> </v>
      </c>
      <c r="G290" s="251" t="str">
        <f>IF(A290="N/A"," ",Inputs!$F$9/IF(AND('Pricing Inputs'!$AQ$3&gt;=4,'Pricing Inputs'!$AQ$3&lt;=6),16,IF(AND('Pricing Inputs'!$AQ$3&gt;=7,'Pricing Inputs'!$AQ$3&lt;=9),8,24))/(BA290/BW290))</f>
        <v xml:space="preserve"> </v>
      </c>
      <c r="H290" s="252" t="str">
        <f t="shared" si="435"/>
        <v xml:space="preserve"> </v>
      </c>
      <c r="I290" s="255" t="str">
        <f>VLOOKUP(A290,ScaledPrice,(IF(AND('Pricing Inputs'!$AQ$3&gt;=1,'Pricing Inputs'!$AQ$3&lt;=6),2,4)))</f>
        <v xml:space="preserve"> </v>
      </c>
      <c r="J290" s="255" t="str">
        <f>IF(A290="N/A"," ",IF(AND('Pricing Inputs'!$AQ$3&gt;=1,'Pricing Inputs'!$AQ$3&lt;=6),I290,(VLOOKUP(A290,ScaledPrice,2))*(2-(VLOOKUP(A290,ScaledPrice,3)))))</f>
        <v xml:space="preserve"> </v>
      </c>
      <c r="K290" s="255" t="str">
        <f>IF(A290="N/A"," ",IF(OR('Pricing Inputs'!$AQ$3=2,'Pricing Inputs'!$AQ$3=3,'Pricing Inputs'!$AQ$3=5,'Pricing Inputs'!$AQ$3=6,'Pricing Inputs'!$AQ$3=8,'Pricing Inputs'!$AQ$3=9),VLOOKUP(A290,ScaledPrice,IF(AND('Pricing Inputs'!$AQ$3&gt;=2,'Pricing Inputs'!$AQ$3&lt;=6),5,6)),0))</f>
        <v xml:space="preserve"> </v>
      </c>
      <c r="L290" s="255" t="str">
        <f>IF(A290="N/A"," ",IF(OR('Pricing Inputs'!$AQ$3=2,'Pricing Inputs'!$AQ$3=3,'Pricing Inputs'!$AQ$3=5,'Pricing Inputs'!$AQ$3=6,'Pricing Inputs'!$AQ$3=8,'Pricing Inputs'!$AQ$3=9),IF(AND('Pricing Inputs'!$AQ$3&gt;=2,'Pricing Inputs'!$AQ$3&lt;=6),K290,(VLOOKUP(A290,ScaledPrice,5))*(2-(VLOOKUP(A290,ScaledPrice,3)))),0))</f>
        <v xml:space="preserve"> </v>
      </c>
      <c r="M290" s="255" t="str">
        <f>IF(A290="N/A"," ",IF(OR('Pricing Inputs'!$AQ$3=3,'Pricing Inputs'!$AQ$3=6,'Pricing Inputs'!$AQ$3=9),(VLOOKUP(A290,ScaledPrice,IF(AND('Pricing Inputs'!$AQ$3&gt;=3,'Pricing Inputs'!$AQ$3&lt;=6),7,8))),0))</f>
        <v xml:space="preserve"> </v>
      </c>
      <c r="N290" s="255" t="str">
        <f>IF(A290="N/A"," ",IF(OR('Pricing Inputs'!$AQ$3=3,'Pricing Inputs'!$AQ$3=6,'Pricing Inputs'!$AQ$3=9),IF(AND('Pricing Inputs'!$AQ$3&gt;=3,'Pricing Inputs'!$AQ$3&lt;=6),M290,(VLOOKUP(A290,ScaledPrice,7))*(2-(VLOOKUP(A290,ScaledPrice,3)))),0))</f>
        <v xml:space="preserve"> </v>
      </c>
      <c r="O290" s="255" t="str">
        <f>IF(A290="N/A"," ",IF(AND('Pricing Inputs'!$AQ$3&gt;=1,'Pricing Inputs'!$AQ$3&lt;=3),VLOOKUP(A290,ScaledPrice,9),0))</f>
        <v xml:space="preserve"> </v>
      </c>
      <c r="P290" s="320" t="str">
        <f>IF($A290="N/A"," ",IF('Pricing Inputs'!$AN$8=2,(I290-H290),IF('Pricing Inputs'!$AN$3=2,IF((I290-$H290)&gt;0,I290-$H290,0),(_xll.xSPRDOPT(I290,$E290,$BU290,0,$BP290,$BS290,$BT290,($A290-Inputs!$D$1)+15,1,0)))))</f>
        <v xml:space="preserve"> </v>
      </c>
      <c r="Q290" s="320" t="str">
        <f>IF($A290="N/A"," ",IF('Pricing Inputs'!$AN$8=2,(J290-$H290),IF('Pricing Inputs'!$AN$3=2,IF((J290-$H290)&gt;0,J290-$H290,0),(_xll.xSPRDOPT(J290,$E290,$BU290,0,$BP290,$BS290,$BT290,($A290-Inputs!$D$1)+15,1,0)))))</f>
        <v xml:space="preserve"> </v>
      </c>
      <c r="R290" s="320" t="str">
        <f>IF($A290="N/A"," ",IF('Pricing Inputs'!$AN$8=2,(K290-$H290),IF('Pricing Inputs'!$AN$3=2,IF((K290-$H290)&gt;0,K290-$H290,0),(_xll.xSPRDOPT(K290,$E290,$BU290,0,$BP290,$BS290,$BT290,($A290-Inputs!$D$1)+15,1,0)))))</f>
        <v xml:space="preserve"> </v>
      </c>
      <c r="S290" s="320" t="str">
        <f>IF($A290="N/A"," ",IF('Pricing Inputs'!$AN$8=2,(L290-$H290),IF('Pricing Inputs'!$AN$3=2,IF((L290-$H290)&gt;0,L290-$H290,0),(_xll.xSPRDOPT(L290,$E290,$BU290,0,$BP290,$BS290,$BT290,($A290-Inputs!$D$1)+15,1,0)))))</f>
        <v xml:space="preserve"> </v>
      </c>
      <c r="T290" s="320" t="str">
        <f>IF($A290="N/A"," ",IF('Pricing Inputs'!$AN$8=2,(M290-$H290),IF('Pricing Inputs'!$AN$3=2,IF((M290-$H290)&gt;0,M290-$H290,0),(_xll.xSPRDOPT(M290,$E290,$BU290,0,$BP290,$BS290,$BT290,($A290-Inputs!$D$1)+15,1,0)))))</f>
        <v xml:space="preserve"> </v>
      </c>
      <c r="U290" s="320" t="str">
        <f>IF($A290="N/A"," ",IF('Pricing Inputs'!$AN$8=2,(N290-$H290),IF('Pricing Inputs'!$AN$3=2,IF((N290-$H290)&gt;0,N290-$H290,0),(_xll.xSPRDOPT(N290,$E290,$BU290,0,$BP290,$BS290,$BT290,($A290-Inputs!$D$1)+15,1,0)))))</f>
        <v xml:space="preserve"> </v>
      </c>
      <c r="V290" s="259" t="str">
        <f>IF($A290="N/A"," ",(IF('Pricing Inputs'!$AN$8=2,(O290-$H290),IF((O290-$H290)&lt;=0,0,(O290-$H290)))))</f>
        <v xml:space="preserve"> </v>
      </c>
      <c r="AK290" s="229"/>
      <c r="AL290" s="229"/>
      <c r="AM290" s="229"/>
      <c r="AN290" s="229"/>
      <c r="AO290" s="229"/>
      <c r="AP290" s="229"/>
      <c r="AQ290" s="229"/>
      <c r="AR290" s="229"/>
      <c r="BA290" s="267" t="str">
        <f>IF($A290="N/A"," ",(IF(MONTH(A290)&gt;=4,IF(MONTH(A290)&lt;=10,Inputs!$F$13,Inputs!$F$14),Inputs!$F$14))*$BW290)</f>
        <v xml:space="preserve"> </v>
      </c>
      <c r="BN290" s="405" t="str">
        <f>IF(A290="N/A"," ",(VLOOKUP(A290,PowerVolTable,(IF('Pricing Inputs'!$AT$3=2,7,IF('Pricing Inputs'!$AT$3=1,6,8))),FALSE)))</f>
        <v xml:space="preserve"> </v>
      </c>
      <c r="BO290" s="405" t="str">
        <f>IF(A290="N/A"," ",(VLOOKUP(A290,IntraPowerVol,(IF('Pricing Inputs'!$AT$3=2,3,IF('Pricing Inputs'!$AT$3=1,2,4))),FALSE)*VLOOKUP(MONTH($A290),Inputs!$A$28:$B$39,2)))</f>
        <v xml:space="preserve"> </v>
      </c>
      <c r="BP290" s="406" t="str">
        <f t="shared" si="430"/>
        <v xml:space="preserve"> </v>
      </c>
      <c r="BQ290" s="405" t="str">
        <f>IF($A290="N/A"," ",(VLOOKUP($A290,GasVolTable,(IF('Pricing Inputs'!$AT$3=2,6,IF('Pricing Inputs'!$AT$3=1,7,5))),FALSE)))</f>
        <v xml:space="preserve"> </v>
      </c>
      <c r="BR290" s="405" t="str">
        <f>IF($A290="N/A"," ",(VLOOKUP($A290,OmicronVol,(IF('Pricing Inputs'!$AT$3=2,3,IF('Pricing Inputs'!$AT$3=1,4,2))),FALSE)))</f>
        <v xml:space="preserve"> </v>
      </c>
      <c r="BS290" s="406" t="str">
        <f>IF($A290="N/A"," ",IF('Pricing Inputs'!$AN$3=1,(IF(DateToday&gt;$A290,$BR290,((($BQ290^2)*((($A290-1)-DateToday)/((EOMONTH($A290,0)+1)-DateToday-15)))+((($BR290)^2)*((15)/((EOMONTH($A290,0)+1)-DateToday-15))))^0.5)),0.0001))</f>
        <v xml:space="preserve"> </v>
      </c>
      <c r="BT290" s="405" t="str">
        <f>IF($A290="N/A"," ",IF('Pricing Inputs'!$AN$3=1,(VLOOKUP($A290,CorrelationTable,2,FALSE)),0))</f>
        <v xml:space="preserve"> </v>
      </c>
      <c r="BU290" s="407" t="str">
        <f>IF($A290="N/A"," ",F290+G290+(D290*(VLOOKUP($A290,'Gas Curves'!$B$17:$P$310,14,FALSE))))</f>
        <v xml:space="preserve"> </v>
      </c>
      <c r="BV290" s="405" t="str">
        <f>IF($A290="N/A"," ",IF('Pricing Inputs'!$AW$3=1,0,(VLOOKUP($A290,InterestRatesTable,2))))</f>
        <v xml:space="preserve"> </v>
      </c>
      <c r="BW290" s="408" t="str">
        <f t="shared" si="431"/>
        <v xml:space="preserve"> </v>
      </c>
    </row>
    <row r="291" spans="1:75">
      <c r="A291" s="248" t="str">
        <f>IF(A290="N/A","N/A",IF(EDATE(A290,1)&gt;Inputs!$K$3,"N/A",EDATE(A290,1)))</f>
        <v>N/A</v>
      </c>
      <c r="B291" s="262" t="str">
        <f t="shared" si="432"/>
        <v xml:space="preserve"> </v>
      </c>
      <c r="C291" s="249" t="str">
        <f t="shared" si="433"/>
        <v xml:space="preserve"> </v>
      </c>
      <c r="D291" s="250" t="str">
        <f>IF(A291="N/A"," ",(VLOOKUP(MONTH($A291),Inputs!$A$14:$B$25,2))/1000)</f>
        <v xml:space="preserve"> </v>
      </c>
      <c r="E291" s="304" t="str">
        <f t="shared" si="434"/>
        <v xml:space="preserve"> </v>
      </c>
      <c r="F291" s="251" t="str">
        <f>IF(A291="N/A"," ",Inputs!$F$6)</f>
        <v xml:space="preserve"> </v>
      </c>
      <c r="G291" s="251" t="str">
        <f>IF(A291="N/A"," ",Inputs!$F$9/IF(AND('Pricing Inputs'!$AQ$3&gt;=4,'Pricing Inputs'!$AQ$3&lt;=6),16,IF(AND('Pricing Inputs'!$AQ$3&gt;=7,'Pricing Inputs'!$AQ$3&lt;=9),8,24))/(BA291/BW291))</f>
        <v xml:space="preserve"> </v>
      </c>
      <c r="H291" s="252" t="str">
        <f t="shared" si="435"/>
        <v xml:space="preserve"> </v>
      </c>
      <c r="I291" s="255" t="str">
        <f>VLOOKUP(A291,ScaledPrice,(IF(AND('Pricing Inputs'!$AQ$3&gt;=1,'Pricing Inputs'!$AQ$3&lt;=6),2,4)))</f>
        <v xml:space="preserve"> </v>
      </c>
      <c r="J291" s="255" t="str">
        <f>IF(A291="N/A"," ",IF(AND('Pricing Inputs'!$AQ$3&gt;=1,'Pricing Inputs'!$AQ$3&lt;=6),I291,(VLOOKUP(A291,ScaledPrice,2))*(2-(VLOOKUP(A291,ScaledPrice,3)))))</f>
        <v xml:space="preserve"> </v>
      </c>
      <c r="K291" s="255" t="str">
        <f>IF(A291="N/A"," ",IF(OR('Pricing Inputs'!$AQ$3=2,'Pricing Inputs'!$AQ$3=3,'Pricing Inputs'!$AQ$3=5,'Pricing Inputs'!$AQ$3=6,'Pricing Inputs'!$AQ$3=8,'Pricing Inputs'!$AQ$3=9),VLOOKUP(A291,ScaledPrice,IF(AND('Pricing Inputs'!$AQ$3&gt;=2,'Pricing Inputs'!$AQ$3&lt;=6),5,6)),0))</f>
        <v xml:space="preserve"> </v>
      </c>
      <c r="L291" s="255" t="str">
        <f>IF(A291="N/A"," ",IF(OR('Pricing Inputs'!$AQ$3=2,'Pricing Inputs'!$AQ$3=3,'Pricing Inputs'!$AQ$3=5,'Pricing Inputs'!$AQ$3=6,'Pricing Inputs'!$AQ$3=8,'Pricing Inputs'!$AQ$3=9),IF(AND('Pricing Inputs'!$AQ$3&gt;=2,'Pricing Inputs'!$AQ$3&lt;=6),K291,(VLOOKUP(A291,ScaledPrice,5))*(2-(VLOOKUP(A291,ScaledPrice,3)))),0))</f>
        <v xml:space="preserve"> </v>
      </c>
      <c r="M291" s="255" t="str">
        <f>IF(A291="N/A"," ",IF(OR('Pricing Inputs'!$AQ$3=3,'Pricing Inputs'!$AQ$3=6,'Pricing Inputs'!$AQ$3=9),(VLOOKUP(A291,ScaledPrice,IF(AND('Pricing Inputs'!$AQ$3&gt;=3,'Pricing Inputs'!$AQ$3&lt;=6),7,8))),0))</f>
        <v xml:space="preserve"> </v>
      </c>
      <c r="N291" s="255" t="str">
        <f>IF(A291="N/A"," ",IF(OR('Pricing Inputs'!$AQ$3=3,'Pricing Inputs'!$AQ$3=6,'Pricing Inputs'!$AQ$3=9),IF(AND('Pricing Inputs'!$AQ$3&gt;=3,'Pricing Inputs'!$AQ$3&lt;=6),M291,(VLOOKUP(A291,ScaledPrice,7))*(2-(VLOOKUP(A291,ScaledPrice,3)))),0))</f>
        <v xml:space="preserve"> </v>
      </c>
      <c r="O291" s="255" t="str">
        <f>IF(A291="N/A"," ",IF(AND('Pricing Inputs'!$AQ$3&gt;=1,'Pricing Inputs'!$AQ$3&lt;=3),VLOOKUP(A291,ScaledPrice,9),0))</f>
        <v xml:space="preserve"> </v>
      </c>
      <c r="P291" s="320" t="str">
        <f>IF($A291="N/A"," ",IF('Pricing Inputs'!$AN$8=2,(I291-H291),IF('Pricing Inputs'!$AN$3=2,IF((I291-$H291)&gt;0,I291-$H291,0),(_xll.xSPRDOPT(I291,$E291,$BU291,0,$BP291,$BS291,$BT291,($A291-Inputs!$D$1)+15,1,0)))))</f>
        <v xml:space="preserve"> </v>
      </c>
      <c r="Q291" s="320" t="str">
        <f>IF($A291="N/A"," ",IF('Pricing Inputs'!$AN$8=2,(J291-$H291),IF('Pricing Inputs'!$AN$3=2,IF((J291-$H291)&gt;0,J291-$H291,0),(_xll.xSPRDOPT(J291,$E291,$BU291,0,$BP291,$BS291,$BT291,($A291-Inputs!$D$1)+15,1,0)))))</f>
        <v xml:space="preserve"> </v>
      </c>
      <c r="R291" s="320" t="str">
        <f>IF($A291="N/A"," ",IF('Pricing Inputs'!$AN$8=2,(K291-$H291),IF('Pricing Inputs'!$AN$3=2,IF((K291-$H291)&gt;0,K291-$H291,0),(_xll.xSPRDOPT(K291,$E291,$BU291,0,$BP291,$BS291,$BT291,($A291-Inputs!$D$1)+15,1,0)))))</f>
        <v xml:space="preserve"> </v>
      </c>
      <c r="S291" s="320" t="str">
        <f>IF($A291="N/A"," ",IF('Pricing Inputs'!$AN$8=2,(L291-$H291),IF('Pricing Inputs'!$AN$3=2,IF((L291-$H291)&gt;0,L291-$H291,0),(_xll.xSPRDOPT(L291,$E291,$BU291,0,$BP291,$BS291,$BT291,($A291-Inputs!$D$1)+15,1,0)))))</f>
        <v xml:space="preserve"> </v>
      </c>
      <c r="T291" s="320" t="str">
        <f>IF($A291="N/A"," ",IF('Pricing Inputs'!$AN$8=2,(M291-$H291),IF('Pricing Inputs'!$AN$3=2,IF((M291-$H291)&gt;0,M291-$H291,0),(_xll.xSPRDOPT(M291,$E291,$BU291,0,$BP291,$BS291,$BT291,($A291-Inputs!$D$1)+15,1,0)))))</f>
        <v xml:space="preserve"> </v>
      </c>
      <c r="U291" s="320" t="str">
        <f>IF($A291="N/A"," ",IF('Pricing Inputs'!$AN$8=2,(N291-$H291),IF('Pricing Inputs'!$AN$3=2,IF((N291-$H291)&gt;0,N291-$H291,0),(_xll.xSPRDOPT(N291,$E291,$BU291,0,$BP291,$BS291,$BT291,($A291-Inputs!$D$1)+15,1,0)))))</f>
        <v xml:space="preserve"> </v>
      </c>
      <c r="V291" s="259" t="str">
        <f>IF($A291="N/A"," ",(IF('Pricing Inputs'!$AN$8=2,(O291-$H291),IF((O291-$H291)&lt;=0,0,(O291-$H291)))))</f>
        <v xml:space="preserve"> </v>
      </c>
      <c r="AK291" s="229"/>
      <c r="AL291" s="229"/>
      <c r="AM291" s="229"/>
      <c r="AN291" s="229"/>
      <c r="AO291" s="229"/>
      <c r="AP291" s="229"/>
      <c r="AQ291" s="229"/>
      <c r="AR291" s="229"/>
      <c r="BA291" s="267" t="str">
        <f>IF($A291="N/A"," ",(IF(MONTH(A291)&gt;=4,IF(MONTH(A291)&lt;=10,Inputs!$F$13,Inputs!$F$14),Inputs!$F$14))*$BW291)</f>
        <v xml:space="preserve"> </v>
      </c>
      <c r="BN291" s="405" t="str">
        <f>IF(A291="N/A"," ",(VLOOKUP(A291,PowerVolTable,(IF('Pricing Inputs'!$AT$3=2,7,IF('Pricing Inputs'!$AT$3=1,6,8))),FALSE)))</f>
        <v xml:space="preserve"> </v>
      </c>
      <c r="BO291" s="405" t="str">
        <f>IF(A291="N/A"," ",(VLOOKUP(A291,IntraPowerVol,(IF('Pricing Inputs'!$AT$3=2,3,IF('Pricing Inputs'!$AT$3=1,2,4))),FALSE)*VLOOKUP(MONTH($A291),Inputs!$A$28:$B$39,2)))</f>
        <v xml:space="preserve"> </v>
      </c>
      <c r="BP291" s="406" t="str">
        <f t="shared" si="430"/>
        <v xml:space="preserve"> </v>
      </c>
      <c r="BQ291" s="405" t="str">
        <f>IF($A291="N/A"," ",(VLOOKUP($A291,GasVolTable,(IF('Pricing Inputs'!$AT$3=2,6,IF('Pricing Inputs'!$AT$3=1,7,5))),FALSE)))</f>
        <v xml:space="preserve"> </v>
      </c>
      <c r="BR291" s="405" t="str">
        <f>IF($A291="N/A"," ",(VLOOKUP($A291,OmicronVol,(IF('Pricing Inputs'!$AT$3=2,3,IF('Pricing Inputs'!$AT$3=1,4,2))),FALSE)))</f>
        <v xml:space="preserve"> </v>
      </c>
      <c r="BS291" s="406" t="str">
        <f>IF($A291="N/A"," ",IF('Pricing Inputs'!$AN$3=1,(IF(DateToday&gt;$A291,$BR291,((($BQ291^2)*((($A291-1)-DateToday)/((EOMONTH($A291,0)+1)-DateToday-15)))+((($BR291)^2)*((15)/((EOMONTH($A291,0)+1)-DateToday-15))))^0.5)),0.0001))</f>
        <v xml:space="preserve"> </v>
      </c>
      <c r="BT291" s="405" t="str">
        <f>IF($A291="N/A"," ",IF('Pricing Inputs'!$AN$3=1,(VLOOKUP($A291,CorrelationTable,2,FALSE)),0))</f>
        <v xml:space="preserve"> </v>
      </c>
      <c r="BU291" s="407" t="str">
        <f>IF($A291="N/A"," ",F291+G291+(D291*(VLOOKUP($A291,'Gas Curves'!$B$17:$P$310,14,FALSE))))</f>
        <v xml:space="preserve"> </v>
      </c>
      <c r="BV291" s="405" t="str">
        <f>IF($A291="N/A"," ",IF('Pricing Inputs'!$AW$3=1,0,(VLOOKUP($A291,InterestRatesTable,2))))</f>
        <v xml:space="preserve"> </v>
      </c>
      <c r="BW291" s="408" t="str">
        <f t="shared" si="431"/>
        <v xml:space="preserve"> </v>
      </c>
    </row>
    <row r="292" spans="1:75">
      <c r="A292" s="248" t="str">
        <f>IF(A291="N/A","N/A",IF(EDATE(A291,1)&gt;Inputs!$K$3,"N/A",EDATE(A291,1)))</f>
        <v>N/A</v>
      </c>
      <c r="B292" s="262" t="str">
        <f t="shared" si="432"/>
        <v xml:space="preserve"> </v>
      </c>
      <c r="C292" s="249" t="str">
        <f t="shared" si="433"/>
        <v xml:space="preserve"> </v>
      </c>
      <c r="D292" s="250" t="str">
        <f>IF(A292="N/A"," ",(VLOOKUP(MONTH($A292),Inputs!$A$14:$B$25,2))/1000)</f>
        <v xml:space="preserve"> </v>
      </c>
      <c r="E292" s="304" t="str">
        <f t="shared" si="434"/>
        <v xml:space="preserve"> </v>
      </c>
      <c r="F292" s="251" t="str">
        <f>IF(A292="N/A"," ",Inputs!$F$6)</f>
        <v xml:space="preserve"> </v>
      </c>
      <c r="G292" s="251" t="str">
        <f>IF(A292="N/A"," ",Inputs!$F$9/IF(AND('Pricing Inputs'!$AQ$3&gt;=4,'Pricing Inputs'!$AQ$3&lt;=6),16,IF(AND('Pricing Inputs'!$AQ$3&gt;=7,'Pricing Inputs'!$AQ$3&lt;=9),8,24))/(BA292/BW292))</f>
        <v xml:space="preserve"> </v>
      </c>
      <c r="H292" s="252" t="str">
        <f t="shared" si="435"/>
        <v xml:space="preserve"> </v>
      </c>
      <c r="I292" s="255" t="str">
        <f>VLOOKUP(A292,ScaledPrice,(IF(AND('Pricing Inputs'!$AQ$3&gt;=1,'Pricing Inputs'!$AQ$3&lt;=6),2,4)))</f>
        <v xml:space="preserve"> </v>
      </c>
      <c r="J292" s="255" t="str">
        <f>IF(A292="N/A"," ",IF(AND('Pricing Inputs'!$AQ$3&gt;=1,'Pricing Inputs'!$AQ$3&lt;=6),I292,(VLOOKUP(A292,ScaledPrice,2))*(2-(VLOOKUP(A292,ScaledPrice,3)))))</f>
        <v xml:space="preserve"> </v>
      </c>
      <c r="K292" s="255" t="str">
        <f>IF(A292="N/A"," ",IF(OR('Pricing Inputs'!$AQ$3=2,'Pricing Inputs'!$AQ$3=3,'Pricing Inputs'!$AQ$3=5,'Pricing Inputs'!$AQ$3=6,'Pricing Inputs'!$AQ$3=8,'Pricing Inputs'!$AQ$3=9),VLOOKUP(A292,ScaledPrice,IF(AND('Pricing Inputs'!$AQ$3&gt;=2,'Pricing Inputs'!$AQ$3&lt;=6),5,6)),0))</f>
        <v xml:space="preserve"> </v>
      </c>
      <c r="L292" s="255" t="str">
        <f>IF(A292="N/A"," ",IF(OR('Pricing Inputs'!$AQ$3=2,'Pricing Inputs'!$AQ$3=3,'Pricing Inputs'!$AQ$3=5,'Pricing Inputs'!$AQ$3=6,'Pricing Inputs'!$AQ$3=8,'Pricing Inputs'!$AQ$3=9),IF(AND('Pricing Inputs'!$AQ$3&gt;=2,'Pricing Inputs'!$AQ$3&lt;=6),K292,(VLOOKUP(A292,ScaledPrice,5))*(2-(VLOOKUP(A292,ScaledPrice,3)))),0))</f>
        <v xml:space="preserve"> </v>
      </c>
      <c r="M292" s="255" t="str">
        <f>IF(A292="N/A"," ",IF(OR('Pricing Inputs'!$AQ$3=3,'Pricing Inputs'!$AQ$3=6,'Pricing Inputs'!$AQ$3=9),(VLOOKUP(A292,ScaledPrice,IF(AND('Pricing Inputs'!$AQ$3&gt;=3,'Pricing Inputs'!$AQ$3&lt;=6),7,8))),0))</f>
        <v xml:space="preserve"> </v>
      </c>
      <c r="N292" s="255" t="str">
        <f>IF(A292="N/A"," ",IF(OR('Pricing Inputs'!$AQ$3=3,'Pricing Inputs'!$AQ$3=6,'Pricing Inputs'!$AQ$3=9),IF(AND('Pricing Inputs'!$AQ$3&gt;=3,'Pricing Inputs'!$AQ$3&lt;=6),M292,(VLOOKUP(A292,ScaledPrice,7))*(2-(VLOOKUP(A292,ScaledPrice,3)))),0))</f>
        <v xml:space="preserve"> </v>
      </c>
      <c r="O292" s="255" t="str">
        <f>IF(A292="N/A"," ",IF(AND('Pricing Inputs'!$AQ$3&gt;=1,'Pricing Inputs'!$AQ$3&lt;=3),VLOOKUP(A292,ScaledPrice,9),0))</f>
        <v xml:space="preserve"> </v>
      </c>
      <c r="P292" s="320" t="str">
        <f>IF($A292="N/A"," ",IF('Pricing Inputs'!$AN$8=2,(I292-H292),IF('Pricing Inputs'!$AN$3=2,IF((I292-$H292)&gt;0,I292-$H292,0),(_xll.xSPRDOPT(I292,$E292,$BU292,0,$BP292,$BS292,$BT292,($A292-Inputs!$D$1)+15,1,0)))))</f>
        <v xml:space="preserve"> </v>
      </c>
      <c r="Q292" s="320" t="str">
        <f>IF($A292="N/A"," ",IF('Pricing Inputs'!$AN$8=2,(J292-$H292),IF('Pricing Inputs'!$AN$3=2,IF((J292-$H292)&gt;0,J292-$H292,0),(_xll.xSPRDOPT(J292,$E292,$BU292,0,$BP292,$BS292,$BT292,($A292-Inputs!$D$1)+15,1,0)))))</f>
        <v xml:space="preserve"> </v>
      </c>
      <c r="R292" s="320" t="str">
        <f>IF($A292="N/A"," ",IF('Pricing Inputs'!$AN$8=2,(K292-$H292),IF('Pricing Inputs'!$AN$3=2,IF((K292-$H292)&gt;0,K292-$H292,0),(_xll.xSPRDOPT(K292,$E292,$BU292,0,$BP292,$BS292,$BT292,($A292-Inputs!$D$1)+15,1,0)))))</f>
        <v xml:space="preserve"> </v>
      </c>
      <c r="S292" s="320" t="str">
        <f>IF($A292="N/A"," ",IF('Pricing Inputs'!$AN$8=2,(L292-$H292),IF('Pricing Inputs'!$AN$3=2,IF((L292-$H292)&gt;0,L292-$H292,0),(_xll.xSPRDOPT(L292,$E292,$BU292,0,$BP292,$BS292,$BT292,($A292-Inputs!$D$1)+15,1,0)))))</f>
        <v xml:space="preserve"> </v>
      </c>
      <c r="T292" s="320" t="str">
        <f>IF($A292="N/A"," ",IF('Pricing Inputs'!$AN$8=2,(M292-$H292),IF('Pricing Inputs'!$AN$3=2,IF((M292-$H292)&gt;0,M292-$H292,0),(_xll.xSPRDOPT(M292,$E292,$BU292,0,$BP292,$BS292,$BT292,($A292-Inputs!$D$1)+15,1,0)))))</f>
        <v xml:space="preserve"> </v>
      </c>
      <c r="U292" s="320" t="str">
        <f>IF($A292="N/A"," ",IF('Pricing Inputs'!$AN$8=2,(N292-$H292),IF('Pricing Inputs'!$AN$3=2,IF((N292-$H292)&gt;0,N292-$H292,0),(_xll.xSPRDOPT(N292,$E292,$BU292,0,$BP292,$BS292,$BT292,($A292-Inputs!$D$1)+15,1,0)))))</f>
        <v xml:space="preserve"> </v>
      </c>
      <c r="V292" s="259" t="str">
        <f>IF($A292="N/A"," ",(IF('Pricing Inputs'!$AN$8=2,(O292-$H292),IF((O292-$H292)&lt;=0,0,(O292-$H292)))))</f>
        <v xml:space="preserve"> </v>
      </c>
      <c r="AK292" s="229"/>
      <c r="AL292" s="229"/>
      <c r="AM292" s="229"/>
      <c r="AN292" s="229"/>
      <c r="AO292" s="229"/>
      <c r="AP292" s="229"/>
      <c r="AQ292" s="229"/>
      <c r="AR292" s="229"/>
      <c r="BA292" s="267" t="str">
        <f>IF($A292="N/A"," ",(IF(MONTH(A292)&gt;=4,IF(MONTH(A292)&lt;=10,Inputs!$F$13,Inputs!$F$14),Inputs!$F$14))*$BW292)</f>
        <v xml:space="preserve"> </v>
      </c>
      <c r="BN292" s="405" t="str">
        <f>IF(A292="N/A"," ",(VLOOKUP(A292,PowerVolTable,(IF('Pricing Inputs'!$AT$3=2,7,IF('Pricing Inputs'!$AT$3=1,6,8))),FALSE)))</f>
        <v xml:space="preserve"> </v>
      </c>
      <c r="BO292" s="405" t="str">
        <f>IF(A292="N/A"," ",(VLOOKUP(A292,IntraPowerVol,(IF('Pricing Inputs'!$AT$3=2,3,IF('Pricing Inputs'!$AT$3=1,2,4))),FALSE)*VLOOKUP(MONTH($A292),Inputs!$A$28:$B$39,2)))</f>
        <v xml:space="preserve"> </v>
      </c>
      <c r="BP292" s="406" t="str">
        <f t="shared" si="430"/>
        <v xml:space="preserve"> </v>
      </c>
      <c r="BQ292" s="405" t="str">
        <f>IF($A292="N/A"," ",(VLOOKUP($A292,GasVolTable,(IF('Pricing Inputs'!$AT$3=2,6,IF('Pricing Inputs'!$AT$3=1,7,5))),FALSE)))</f>
        <v xml:space="preserve"> </v>
      </c>
      <c r="BR292" s="405" t="str">
        <f>IF($A292="N/A"," ",(VLOOKUP($A292,OmicronVol,(IF('Pricing Inputs'!$AT$3=2,3,IF('Pricing Inputs'!$AT$3=1,4,2))),FALSE)))</f>
        <v xml:space="preserve"> </v>
      </c>
      <c r="BS292" s="406" t="str">
        <f>IF($A292="N/A"," ",IF('Pricing Inputs'!$AN$3=1,(IF(DateToday&gt;$A292,$BR292,((($BQ292^2)*((($A292-1)-DateToday)/((EOMONTH($A292,0)+1)-DateToday-15)))+((($BR292)^2)*((15)/((EOMONTH($A292,0)+1)-DateToday-15))))^0.5)),0.0001))</f>
        <v xml:space="preserve"> </v>
      </c>
      <c r="BT292" s="405" t="str">
        <f>IF($A292="N/A"," ",IF('Pricing Inputs'!$AN$3=1,(VLOOKUP($A292,CorrelationTable,2,FALSE)),0))</f>
        <v xml:space="preserve"> </v>
      </c>
      <c r="BU292" s="407" t="str">
        <f>IF($A292="N/A"," ",F292+G292+(D292*(VLOOKUP($A292,'Gas Curves'!$B$17:$P$310,14,FALSE))))</f>
        <v xml:space="preserve"> </v>
      </c>
      <c r="BV292" s="405" t="str">
        <f>IF($A292="N/A"," ",IF('Pricing Inputs'!$AW$3=1,0,(VLOOKUP($A292,InterestRatesTable,2))))</f>
        <v xml:space="preserve"> </v>
      </c>
      <c r="BW292" s="408" t="str">
        <f t="shared" si="431"/>
        <v xml:space="preserve"> </v>
      </c>
    </row>
    <row r="293" spans="1:75">
      <c r="A293" s="248" t="str">
        <f>IF(A292="N/A","N/A",IF(EDATE(A292,1)&gt;Inputs!$K$3,"N/A",EDATE(A292,1)))</f>
        <v>N/A</v>
      </c>
      <c r="B293" s="262" t="str">
        <f t="shared" si="432"/>
        <v xml:space="preserve"> </v>
      </c>
      <c r="C293" s="249" t="str">
        <f t="shared" si="433"/>
        <v xml:space="preserve"> </v>
      </c>
      <c r="D293" s="250" t="str">
        <f>IF(A293="N/A"," ",(VLOOKUP(MONTH($A293),Inputs!$A$14:$B$25,2))/1000)</f>
        <v xml:space="preserve"> </v>
      </c>
      <c r="E293" s="304" t="str">
        <f t="shared" si="434"/>
        <v xml:space="preserve"> </v>
      </c>
      <c r="F293" s="251" t="str">
        <f>IF(A293="N/A"," ",Inputs!$F$6)</f>
        <v xml:space="preserve"> </v>
      </c>
      <c r="G293" s="251" t="str">
        <f>IF(A293="N/A"," ",Inputs!$F$9/IF(AND('Pricing Inputs'!$AQ$3&gt;=4,'Pricing Inputs'!$AQ$3&lt;=6),16,IF(AND('Pricing Inputs'!$AQ$3&gt;=7,'Pricing Inputs'!$AQ$3&lt;=9),8,24))/(BA293/BW293))</f>
        <v xml:space="preserve"> </v>
      </c>
      <c r="H293" s="252" t="str">
        <f t="shared" si="435"/>
        <v xml:space="preserve"> </v>
      </c>
      <c r="I293" s="255" t="str">
        <f>VLOOKUP(A293,ScaledPrice,(IF(AND('Pricing Inputs'!$AQ$3&gt;=1,'Pricing Inputs'!$AQ$3&lt;=6),2,4)))</f>
        <v xml:space="preserve"> </v>
      </c>
      <c r="J293" s="255" t="str">
        <f>IF(A293="N/A"," ",IF(AND('Pricing Inputs'!$AQ$3&gt;=1,'Pricing Inputs'!$AQ$3&lt;=6),I293,(VLOOKUP(A293,ScaledPrice,2))*(2-(VLOOKUP(A293,ScaledPrice,3)))))</f>
        <v xml:space="preserve"> </v>
      </c>
      <c r="K293" s="255" t="str">
        <f>IF(A293="N/A"," ",IF(OR('Pricing Inputs'!$AQ$3=2,'Pricing Inputs'!$AQ$3=3,'Pricing Inputs'!$AQ$3=5,'Pricing Inputs'!$AQ$3=6,'Pricing Inputs'!$AQ$3=8,'Pricing Inputs'!$AQ$3=9),VLOOKUP(A293,ScaledPrice,IF(AND('Pricing Inputs'!$AQ$3&gt;=2,'Pricing Inputs'!$AQ$3&lt;=6),5,6)),0))</f>
        <v xml:space="preserve"> </v>
      </c>
      <c r="L293" s="255" t="str">
        <f>IF(A293="N/A"," ",IF(OR('Pricing Inputs'!$AQ$3=2,'Pricing Inputs'!$AQ$3=3,'Pricing Inputs'!$AQ$3=5,'Pricing Inputs'!$AQ$3=6,'Pricing Inputs'!$AQ$3=8,'Pricing Inputs'!$AQ$3=9),IF(AND('Pricing Inputs'!$AQ$3&gt;=2,'Pricing Inputs'!$AQ$3&lt;=6),K293,(VLOOKUP(A293,ScaledPrice,5))*(2-(VLOOKUP(A293,ScaledPrice,3)))),0))</f>
        <v xml:space="preserve"> </v>
      </c>
      <c r="M293" s="255" t="str">
        <f>IF(A293="N/A"," ",IF(OR('Pricing Inputs'!$AQ$3=3,'Pricing Inputs'!$AQ$3=6,'Pricing Inputs'!$AQ$3=9),(VLOOKUP(A293,ScaledPrice,IF(AND('Pricing Inputs'!$AQ$3&gt;=3,'Pricing Inputs'!$AQ$3&lt;=6),7,8))),0))</f>
        <v xml:space="preserve"> </v>
      </c>
      <c r="N293" s="255" t="str">
        <f>IF(A293="N/A"," ",IF(OR('Pricing Inputs'!$AQ$3=3,'Pricing Inputs'!$AQ$3=6,'Pricing Inputs'!$AQ$3=9),IF(AND('Pricing Inputs'!$AQ$3&gt;=3,'Pricing Inputs'!$AQ$3&lt;=6),M293,(VLOOKUP(A293,ScaledPrice,7))*(2-(VLOOKUP(A293,ScaledPrice,3)))),0))</f>
        <v xml:space="preserve"> </v>
      </c>
      <c r="O293" s="255" t="str">
        <f>IF(A293="N/A"," ",IF(AND('Pricing Inputs'!$AQ$3&gt;=1,'Pricing Inputs'!$AQ$3&lt;=3),VLOOKUP(A293,ScaledPrice,9),0))</f>
        <v xml:space="preserve"> </v>
      </c>
      <c r="P293" s="320" t="str">
        <f>IF($A293="N/A"," ",IF('Pricing Inputs'!$AN$8=2,(I293-H293),IF('Pricing Inputs'!$AN$3=2,IF((I293-$H293)&gt;0,I293-$H293,0),(_xll.xSPRDOPT(I293,$E293,$BU293,0,$BP293,$BS293,$BT293,($A293-Inputs!$D$1)+15,1,0)))))</f>
        <v xml:space="preserve"> </v>
      </c>
      <c r="Q293" s="320" t="str">
        <f>IF($A293="N/A"," ",IF('Pricing Inputs'!$AN$8=2,(J293-$H293),IF('Pricing Inputs'!$AN$3=2,IF((J293-$H293)&gt;0,J293-$H293,0),(_xll.xSPRDOPT(J293,$E293,$BU293,0,$BP293,$BS293,$BT293,($A293-Inputs!$D$1)+15,1,0)))))</f>
        <v xml:space="preserve"> </v>
      </c>
      <c r="R293" s="320" t="str">
        <f>IF($A293="N/A"," ",IF('Pricing Inputs'!$AN$8=2,(K293-$H293),IF('Pricing Inputs'!$AN$3=2,IF((K293-$H293)&gt;0,K293-$H293,0),(_xll.xSPRDOPT(K293,$E293,$BU293,0,$BP293,$BS293,$BT293,($A293-Inputs!$D$1)+15,1,0)))))</f>
        <v xml:space="preserve"> </v>
      </c>
      <c r="S293" s="320" t="str">
        <f>IF($A293="N/A"," ",IF('Pricing Inputs'!$AN$8=2,(L293-$H293),IF('Pricing Inputs'!$AN$3=2,IF((L293-$H293)&gt;0,L293-$H293,0),(_xll.xSPRDOPT(L293,$E293,$BU293,0,$BP293,$BS293,$BT293,($A293-Inputs!$D$1)+15,1,0)))))</f>
        <v xml:space="preserve"> </v>
      </c>
      <c r="T293" s="320" t="str">
        <f>IF($A293="N/A"," ",IF('Pricing Inputs'!$AN$8=2,(M293-$H293),IF('Pricing Inputs'!$AN$3=2,IF((M293-$H293)&gt;0,M293-$H293,0),(_xll.xSPRDOPT(M293,$E293,$BU293,0,$BP293,$BS293,$BT293,($A293-Inputs!$D$1)+15,1,0)))))</f>
        <v xml:space="preserve"> </v>
      </c>
      <c r="U293" s="320" t="str">
        <f>IF($A293="N/A"," ",IF('Pricing Inputs'!$AN$8=2,(N293-$H293),IF('Pricing Inputs'!$AN$3=2,IF((N293-$H293)&gt;0,N293-$H293,0),(_xll.xSPRDOPT(N293,$E293,$BU293,0,$BP293,$BS293,$BT293,($A293-Inputs!$D$1)+15,1,0)))))</f>
        <v xml:space="preserve"> </v>
      </c>
      <c r="V293" s="259" t="str">
        <f>IF($A293="N/A"," ",(IF('Pricing Inputs'!$AN$8=2,(O293-$H293),IF((O293-$H293)&lt;=0,0,(O293-$H293)))))</f>
        <v xml:space="preserve"> </v>
      </c>
      <c r="AK293" s="229"/>
      <c r="AL293" s="229"/>
      <c r="AM293" s="229"/>
      <c r="AN293" s="229"/>
      <c r="AO293" s="229"/>
      <c r="AP293" s="229"/>
      <c r="AQ293" s="229"/>
      <c r="AR293" s="229"/>
      <c r="BA293" s="267" t="str">
        <f>IF($A293="N/A"," ",(IF(MONTH(A293)&gt;=4,IF(MONTH(A293)&lt;=10,Inputs!$F$13,Inputs!$F$14),Inputs!$F$14))*$BW293)</f>
        <v xml:space="preserve"> </v>
      </c>
      <c r="BN293" s="405" t="str">
        <f>IF(A293="N/A"," ",(VLOOKUP(A293,PowerVolTable,(IF('Pricing Inputs'!$AT$3=2,7,IF('Pricing Inputs'!$AT$3=1,6,8))),FALSE)))</f>
        <v xml:space="preserve"> </v>
      </c>
      <c r="BO293" s="405" t="str">
        <f>IF(A293="N/A"," ",(VLOOKUP(A293,IntraPowerVol,(IF('Pricing Inputs'!$AT$3=2,3,IF('Pricing Inputs'!$AT$3=1,2,4))),FALSE)*VLOOKUP(MONTH($A293),Inputs!$A$28:$B$39,2)))</f>
        <v xml:space="preserve"> </v>
      </c>
      <c r="BP293" s="406" t="str">
        <f t="shared" si="430"/>
        <v xml:space="preserve"> </v>
      </c>
      <c r="BQ293" s="405" t="str">
        <f>IF($A293="N/A"," ",(VLOOKUP($A293,GasVolTable,(IF('Pricing Inputs'!$AT$3=2,6,IF('Pricing Inputs'!$AT$3=1,7,5))),FALSE)))</f>
        <v xml:space="preserve"> </v>
      </c>
      <c r="BR293" s="405" t="str">
        <f>IF($A293="N/A"," ",(VLOOKUP($A293,OmicronVol,(IF('Pricing Inputs'!$AT$3=2,3,IF('Pricing Inputs'!$AT$3=1,4,2))),FALSE)))</f>
        <v xml:space="preserve"> </v>
      </c>
      <c r="BS293" s="406" t="str">
        <f>IF($A293="N/A"," ",IF('Pricing Inputs'!$AN$3=1,(IF(DateToday&gt;$A293,$BR293,((($BQ293^2)*((($A293-1)-DateToday)/((EOMONTH($A293,0)+1)-DateToday-15)))+((($BR293)^2)*((15)/((EOMONTH($A293,0)+1)-DateToday-15))))^0.5)),0.0001))</f>
        <v xml:space="preserve"> </v>
      </c>
      <c r="BT293" s="405" t="str">
        <f>IF($A293="N/A"," ",IF('Pricing Inputs'!$AN$3=1,(VLOOKUP($A293,CorrelationTable,2,FALSE)),0))</f>
        <v xml:space="preserve"> </v>
      </c>
      <c r="BU293" s="407" t="str">
        <f>IF($A293="N/A"," ",F293+G293+(D293*(VLOOKUP($A293,'Gas Curves'!$B$17:$P$310,14,FALSE))))</f>
        <v xml:space="preserve"> </v>
      </c>
      <c r="BV293" s="405" t="str">
        <f>IF($A293="N/A"," ",IF('Pricing Inputs'!$AW$3=1,0,(VLOOKUP($A293,InterestRatesTable,2))))</f>
        <v xml:space="preserve"> </v>
      </c>
      <c r="BW293" s="408" t="str">
        <f t="shared" si="431"/>
        <v xml:space="preserve"> </v>
      </c>
    </row>
    <row r="294" spans="1:75">
      <c r="A294" s="248" t="str">
        <f>IF(A293="N/A","N/A",IF(EDATE(A293,1)&gt;Inputs!$K$3,"N/A",EDATE(A293,1)))</f>
        <v>N/A</v>
      </c>
      <c r="B294" s="262" t="str">
        <f t="shared" si="432"/>
        <v xml:space="preserve"> </v>
      </c>
      <c r="C294" s="249" t="str">
        <f t="shared" si="433"/>
        <v xml:space="preserve"> </v>
      </c>
      <c r="D294" s="250" t="str">
        <f>IF(A294="N/A"," ",(VLOOKUP(MONTH($A294),Inputs!$A$14:$B$25,2))/1000)</f>
        <v xml:space="preserve"> </v>
      </c>
      <c r="E294" s="304" t="str">
        <f t="shared" si="434"/>
        <v xml:space="preserve"> </v>
      </c>
      <c r="F294" s="251" t="str">
        <f>IF(A294="N/A"," ",Inputs!$F$6)</f>
        <v xml:space="preserve"> </v>
      </c>
      <c r="G294" s="251" t="str">
        <f>IF(A294="N/A"," ",Inputs!$F$9/IF(AND('Pricing Inputs'!$AQ$3&gt;=4,'Pricing Inputs'!$AQ$3&lt;=6),16,IF(AND('Pricing Inputs'!$AQ$3&gt;=7,'Pricing Inputs'!$AQ$3&lt;=9),8,24))/(BA294/BW294))</f>
        <v xml:space="preserve"> </v>
      </c>
      <c r="H294" s="252" t="str">
        <f t="shared" si="435"/>
        <v xml:space="preserve"> </v>
      </c>
      <c r="I294" s="255" t="str">
        <f>VLOOKUP(A294,ScaledPrice,(IF(AND('Pricing Inputs'!$AQ$3&gt;=1,'Pricing Inputs'!$AQ$3&lt;=6),2,4)))</f>
        <v xml:space="preserve"> </v>
      </c>
      <c r="J294" s="255" t="str">
        <f>IF(A294="N/A"," ",IF(AND('Pricing Inputs'!$AQ$3&gt;=1,'Pricing Inputs'!$AQ$3&lt;=6),I294,(VLOOKUP(A294,ScaledPrice,2))*(2-(VLOOKUP(A294,ScaledPrice,3)))))</f>
        <v xml:space="preserve"> </v>
      </c>
      <c r="K294" s="255" t="str">
        <f>IF(A294="N/A"," ",IF(OR('Pricing Inputs'!$AQ$3=2,'Pricing Inputs'!$AQ$3=3,'Pricing Inputs'!$AQ$3=5,'Pricing Inputs'!$AQ$3=6,'Pricing Inputs'!$AQ$3=8,'Pricing Inputs'!$AQ$3=9),VLOOKUP(A294,ScaledPrice,IF(AND('Pricing Inputs'!$AQ$3&gt;=2,'Pricing Inputs'!$AQ$3&lt;=6),5,6)),0))</f>
        <v xml:space="preserve"> </v>
      </c>
      <c r="L294" s="255" t="str">
        <f>IF(A294="N/A"," ",IF(OR('Pricing Inputs'!$AQ$3=2,'Pricing Inputs'!$AQ$3=3,'Pricing Inputs'!$AQ$3=5,'Pricing Inputs'!$AQ$3=6,'Pricing Inputs'!$AQ$3=8,'Pricing Inputs'!$AQ$3=9),IF(AND('Pricing Inputs'!$AQ$3&gt;=2,'Pricing Inputs'!$AQ$3&lt;=6),K294,(VLOOKUP(A294,ScaledPrice,5))*(2-(VLOOKUP(A294,ScaledPrice,3)))),0))</f>
        <v xml:space="preserve"> </v>
      </c>
      <c r="M294" s="255" t="str">
        <f>IF(A294="N/A"," ",IF(OR('Pricing Inputs'!$AQ$3=3,'Pricing Inputs'!$AQ$3=6,'Pricing Inputs'!$AQ$3=9),(VLOOKUP(A294,ScaledPrice,IF(AND('Pricing Inputs'!$AQ$3&gt;=3,'Pricing Inputs'!$AQ$3&lt;=6),7,8))),0))</f>
        <v xml:space="preserve"> </v>
      </c>
      <c r="N294" s="255" t="str">
        <f>IF(A294="N/A"," ",IF(OR('Pricing Inputs'!$AQ$3=3,'Pricing Inputs'!$AQ$3=6,'Pricing Inputs'!$AQ$3=9),IF(AND('Pricing Inputs'!$AQ$3&gt;=3,'Pricing Inputs'!$AQ$3&lt;=6),M294,(VLOOKUP(A294,ScaledPrice,7))*(2-(VLOOKUP(A294,ScaledPrice,3)))),0))</f>
        <v xml:space="preserve"> </v>
      </c>
      <c r="O294" s="255" t="str">
        <f>IF(A294="N/A"," ",IF(AND('Pricing Inputs'!$AQ$3&gt;=1,'Pricing Inputs'!$AQ$3&lt;=3),VLOOKUP(A294,ScaledPrice,9),0))</f>
        <v xml:space="preserve"> </v>
      </c>
      <c r="P294" s="320" t="str">
        <f>IF($A294="N/A"," ",IF('Pricing Inputs'!$AN$8=2,(I294-H294),IF('Pricing Inputs'!$AN$3=2,IF((I294-$H294)&gt;0,I294-$H294,0),(_xll.xSPRDOPT(I294,$E294,$BU294,0,$BP294,$BS294,$BT294,($A294-Inputs!$D$1)+15,1,0)))))</f>
        <v xml:space="preserve"> </v>
      </c>
      <c r="Q294" s="320" t="str">
        <f>IF($A294="N/A"," ",IF('Pricing Inputs'!$AN$8=2,(J294-$H294),IF('Pricing Inputs'!$AN$3=2,IF((J294-$H294)&gt;0,J294-$H294,0),(_xll.xSPRDOPT(J294,$E294,$BU294,0,$BP294,$BS294,$BT294,($A294-Inputs!$D$1)+15,1,0)))))</f>
        <v xml:space="preserve"> </v>
      </c>
      <c r="R294" s="320" t="str">
        <f>IF($A294="N/A"," ",IF('Pricing Inputs'!$AN$8=2,(K294-$H294),IF('Pricing Inputs'!$AN$3=2,IF((K294-$H294)&gt;0,K294-$H294,0),(_xll.xSPRDOPT(K294,$E294,$BU294,0,$BP294,$BS294,$BT294,($A294-Inputs!$D$1)+15,1,0)))))</f>
        <v xml:space="preserve"> </v>
      </c>
      <c r="S294" s="320" t="str">
        <f>IF($A294="N/A"," ",IF('Pricing Inputs'!$AN$8=2,(L294-$H294),IF('Pricing Inputs'!$AN$3=2,IF((L294-$H294)&gt;0,L294-$H294,0),(_xll.xSPRDOPT(L294,$E294,$BU294,0,$BP294,$BS294,$BT294,($A294-Inputs!$D$1)+15,1,0)))))</f>
        <v xml:space="preserve"> </v>
      </c>
      <c r="T294" s="320" t="str">
        <f>IF($A294="N/A"," ",IF('Pricing Inputs'!$AN$8=2,(M294-$H294),IF('Pricing Inputs'!$AN$3=2,IF((M294-$H294)&gt;0,M294-$H294,0),(_xll.xSPRDOPT(M294,$E294,$BU294,0,$BP294,$BS294,$BT294,($A294-Inputs!$D$1)+15,1,0)))))</f>
        <v xml:space="preserve"> </v>
      </c>
      <c r="U294" s="320" t="str">
        <f>IF($A294="N/A"," ",IF('Pricing Inputs'!$AN$8=2,(N294-$H294),IF('Pricing Inputs'!$AN$3=2,IF((N294-$H294)&gt;0,N294-$H294,0),(_xll.xSPRDOPT(N294,$E294,$BU294,0,$BP294,$BS294,$BT294,($A294-Inputs!$D$1)+15,1,0)))))</f>
        <v xml:space="preserve"> </v>
      </c>
      <c r="V294" s="259" t="str">
        <f>IF($A294="N/A"," ",(IF('Pricing Inputs'!$AN$8=2,(O294-$H294),IF((O294-$H294)&lt;=0,0,(O294-$H294)))))</f>
        <v xml:space="preserve"> </v>
      </c>
      <c r="AK294" s="229"/>
      <c r="AL294" s="229"/>
      <c r="AM294" s="229"/>
      <c r="AN294" s="229"/>
      <c r="AO294" s="229"/>
      <c r="AP294" s="229"/>
      <c r="AQ294" s="229"/>
      <c r="AR294" s="229"/>
      <c r="BA294" s="267" t="str">
        <f>IF($A294="N/A"," ",(IF(MONTH(A294)&gt;=4,IF(MONTH(A294)&lt;=10,Inputs!$F$13,Inputs!$F$14),Inputs!$F$14))*$BW294)</f>
        <v xml:space="preserve"> </v>
      </c>
      <c r="BN294" s="405" t="str">
        <f>IF(A294="N/A"," ",(VLOOKUP(A294,PowerVolTable,(IF('Pricing Inputs'!$AT$3=2,7,IF('Pricing Inputs'!$AT$3=1,6,8))),FALSE)))</f>
        <v xml:space="preserve"> </v>
      </c>
      <c r="BO294" s="405" t="str">
        <f>IF(A294="N/A"," ",(VLOOKUP(A294,IntraPowerVol,(IF('Pricing Inputs'!$AT$3=2,3,IF('Pricing Inputs'!$AT$3=1,2,4))),FALSE)*VLOOKUP(MONTH($A294),Inputs!$A$28:$B$39,2)))</f>
        <v xml:space="preserve"> </v>
      </c>
      <c r="BP294" s="406" t="str">
        <f t="shared" si="430"/>
        <v xml:space="preserve"> </v>
      </c>
      <c r="BQ294" s="405" t="str">
        <f>IF($A294="N/A"," ",(VLOOKUP($A294,GasVolTable,(IF('Pricing Inputs'!$AT$3=2,6,IF('Pricing Inputs'!$AT$3=1,7,5))),FALSE)))</f>
        <v xml:space="preserve"> </v>
      </c>
      <c r="BR294" s="405" t="str">
        <f>IF($A294="N/A"," ",(VLOOKUP($A294,OmicronVol,(IF('Pricing Inputs'!$AT$3=2,3,IF('Pricing Inputs'!$AT$3=1,4,2))),FALSE)))</f>
        <v xml:space="preserve"> </v>
      </c>
      <c r="BS294" s="406" t="str">
        <f>IF($A294="N/A"," ",IF('Pricing Inputs'!$AN$3=1,(IF(DateToday&gt;$A294,$BR294,((($BQ294^2)*((($A294-1)-DateToday)/((EOMONTH($A294,0)+1)-DateToday-15)))+((($BR294)^2)*((15)/((EOMONTH($A294,0)+1)-DateToday-15))))^0.5)),0.0001))</f>
        <v xml:space="preserve"> </v>
      </c>
      <c r="BT294" s="405" t="str">
        <f>IF($A294="N/A"," ",IF('Pricing Inputs'!$AN$3=1,(VLOOKUP($A294,CorrelationTable,2,FALSE)),0))</f>
        <v xml:space="preserve"> </v>
      </c>
      <c r="BU294" s="407" t="str">
        <f>IF($A294="N/A"," ",F294+G294+(D294*(VLOOKUP($A294,'Gas Curves'!$B$17:$P$310,14,FALSE))))</f>
        <v xml:space="preserve"> </v>
      </c>
      <c r="BV294" s="405" t="str">
        <f>IF($A294="N/A"," ",IF('Pricing Inputs'!$AW$3=1,0,(VLOOKUP($A294,InterestRatesTable,2))))</f>
        <v xml:space="preserve"> </v>
      </c>
      <c r="BW294" s="408" t="str">
        <f t="shared" si="431"/>
        <v xml:space="preserve"> </v>
      </c>
    </row>
    <row r="295" spans="1:75">
      <c r="A295" s="248" t="str">
        <f>IF(A294="N/A","N/A",IF(EDATE(A294,1)&gt;Inputs!$K$3,"N/A",EDATE(A294,1)))</f>
        <v>N/A</v>
      </c>
      <c r="B295" s="262" t="str">
        <f t="shared" si="432"/>
        <v xml:space="preserve"> </v>
      </c>
      <c r="C295" s="249" t="str">
        <f t="shared" si="433"/>
        <v xml:space="preserve"> </v>
      </c>
      <c r="D295" s="250" t="str">
        <f>IF(A295="N/A"," ",(VLOOKUP(MONTH($A295),Inputs!$A$14:$B$25,2))/1000)</f>
        <v xml:space="preserve"> </v>
      </c>
      <c r="E295" s="304" t="str">
        <f t="shared" si="434"/>
        <v xml:space="preserve"> </v>
      </c>
      <c r="F295" s="251" t="str">
        <f>IF(A295="N/A"," ",Inputs!$F$6)</f>
        <v xml:space="preserve"> </v>
      </c>
      <c r="G295" s="251" t="str">
        <f>IF(A295="N/A"," ",Inputs!$F$9/IF(AND('Pricing Inputs'!$AQ$3&gt;=4,'Pricing Inputs'!$AQ$3&lt;=6),16,IF(AND('Pricing Inputs'!$AQ$3&gt;=7,'Pricing Inputs'!$AQ$3&lt;=9),8,24))/(BA295/BW295))</f>
        <v xml:space="preserve"> </v>
      </c>
      <c r="H295" s="252" t="str">
        <f t="shared" si="435"/>
        <v xml:space="preserve"> </v>
      </c>
      <c r="I295" s="255" t="str">
        <f>VLOOKUP(A295,ScaledPrice,(IF(AND('Pricing Inputs'!$AQ$3&gt;=1,'Pricing Inputs'!$AQ$3&lt;=6),2,4)))</f>
        <v xml:space="preserve"> </v>
      </c>
      <c r="J295" s="255" t="str">
        <f>IF(A295="N/A"," ",IF(AND('Pricing Inputs'!$AQ$3&gt;=1,'Pricing Inputs'!$AQ$3&lt;=6),I295,(VLOOKUP(A295,ScaledPrice,2))*(2-(VLOOKUP(A295,ScaledPrice,3)))))</f>
        <v xml:space="preserve"> </v>
      </c>
      <c r="K295" s="255" t="str">
        <f>IF(A295="N/A"," ",IF(OR('Pricing Inputs'!$AQ$3=2,'Pricing Inputs'!$AQ$3=3,'Pricing Inputs'!$AQ$3=5,'Pricing Inputs'!$AQ$3=6,'Pricing Inputs'!$AQ$3=8,'Pricing Inputs'!$AQ$3=9),VLOOKUP(A295,ScaledPrice,IF(AND('Pricing Inputs'!$AQ$3&gt;=2,'Pricing Inputs'!$AQ$3&lt;=6),5,6)),0))</f>
        <v xml:space="preserve"> </v>
      </c>
      <c r="L295" s="255" t="str">
        <f>IF(A295="N/A"," ",IF(OR('Pricing Inputs'!$AQ$3=2,'Pricing Inputs'!$AQ$3=3,'Pricing Inputs'!$AQ$3=5,'Pricing Inputs'!$AQ$3=6,'Pricing Inputs'!$AQ$3=8,'Pricing Inputs'!$AQ$3=9),IF(AND('Pricing Inputs'!$AQ$3&gt;=2,'Pricing Inputs'!$AQ$3&lt;=6),K295,(VLOOKUP(A295,ScaledPrice,5))*(2-(VLOOKUP(A295,ScaledPrice,3)))),0))</f>
        <v xml:space="preserve"> </v>
      </c>
      <c r="M295" s="255" t="str">
        <f>IF(A295="N/A"," ",IF(OR('Pricing Inputs'!$AQ$3=3,'Pricing Inputs'!$AQ$3=6,'Pricing Inputs'!$AQ$3=9),(VLOOKUP(A295,ScaledPrice,IF(AND('Pricing Inputs'!$AQ$3&gt;=3,'Pricing Inputs'!$AQ$3&lt;=6),7,8))),0))</f>
        <v xml:space="preserve"> </v>
      </c>
      <c r="N295" s="255" t="str">
        <f>IF(A295="N/A"," ",IF(OR('Pricing Inputs'!$AQ$3=3,'Pricing Inputs'!$AQ$3=6,'Pricing Inputs'!$AQ$3=9),IF(AND('Pricing Inputs'!$AQ$3&gt;=3,'Pricing Inputs'!$AQ$3&lt;=6),M295,(VLOOKUP(A295,ScaledPrice,7))*(2-(VLOOKUP(A295,ScaledPrice,3)))),0))</f>
        <v xml:space="preserve"> </v>
      </c>
      <c r="O295" s="255" t="str">
        <f>IF(A295="N/A"," ",IF(AND('Pricing Inputs'!$AQ$3&gt;=1,'Pricing Inputs'!$AQ$3&lt;=3),VLOOKUP(A295,ScaledPrice,9),0))</f>
        <v xml:space="preserve"> </v>
      </c>
      <c r="P295" s="320" t="str">
        <f>IF($A295="N/A"," ",IF('Pricing Inputs'!$AN$8=2,(I295-H295),IF('Pricing Inputs'!$AN$3=2,IF((I295-$H295)&gt;0,I295-$H295,0),(_xll.xSPRDOPT(I295,$E295,$BU295,0,$BP295,$BS295,$BT295,($A295-Inputs!$D$1)+15,1,0)))))</f>
        <v xml:space="preserve"> </v>
      </c>
      <c r="Q295" s="320" t="str">
        <f>IF($A295="N/A"," ",IF('Pricing Inputs'!$AN$8=2,(J295-$H295),IF('Pricing Inputs'!$AN$3=2,IF((J295-$H295)&gt;0,J295-$H295,0),(_xll.xSPRDOPT(J295,$E295,$BU295,0,$BP295,$BS295,$BT295,($A295-Inputs!$D$1)+15,1,0)))))</f>
        <v xml:space="preserve"> </v>
      </c>
      <c r="R295" s="320" t="str">
        <f>IF($A295="N/A"," ",IF('Pricing Inputs'!$AN$8=2,(K295-$H295),IF('Pricing Inputs'!$AN$3=2,IF((K295-$H295)&gt;0,K295-$H295,0),(_xll.xSPRDOPT(K295,$E295,$BU295,0,$BP295,$BS295,$BT295,($A295-Inputs!$D$1)+15,1,0)))))</f>
        <v xml:space="preserve"> </v>
      </c>
      <c r="S295" s="320" t="str">
        <f>IF($A295="N/A"," ",IF('Pricing Inputs'!$AN$8=2,(L295-$H295),IF('Pricing Inputs'!$AN$3=2,IF((L295-$H295)&gt;0,L295-$H295,0),(_xll.xSPRDOPT(L295,$E295,$BU295,0,$BP295,$BS295,$BT295,($A295-Inputs!$D$1)+15,1,0)))))</f>
        <v xml:space="preserve"> </v>
      </c>
      <c r="T295" s="320" t="str">
        <f>IF($A295="N/A"," ",IF('Pricing Inputs'!$AN$8=2,(M295-$H295),IF('Pricing Inputs'!$AN$3=2,IF((M295-$H295)&gt;0,M295-$H295,0),(_xll.xSPRDOPT(M295,$E295,$BU295,0,$BP295,$BS295,$BT295,($A295-Inputs!$D$1)+15,1,0)))))</f>
        <v xml:space="preserve"> </v>
      </c>
      <c r="U295" s="320" t="str">
        <f>IF($A295="N/A"," ",IF('Pricing Inputs'!$AN$8=2,(N295-$H295),IF('Pricing Inputs'!$AN$3=2,IF((N295-$H295)&gt;0,N295-$H295,0),(_xll.xSPRDOPT(N295,$E295,$BU295,0,$BP295,$BS295,$BT295,($A295-Inputs!$D$1)+15,1,0)))))</f>
        <v xml:space="preserve"> </v>
      </c>
      <c r="V295" s="259" t="str">
        <f>IF($A295="N/A"," ",(IF('Pricing Inputs'!$AN$8=2,(O295-$H295),IF((O295-$H295)&lt;=0,0,(O295-$H295)))))</f>
        <v xml:space="preserve"> </v>
      </c>
      <c r="AK295" s="229"/>
      <c r="AL295" s="229"/>
      <c r="AM295" s="229"/>
      <c r="AN295" s="229"/>
      <c r="AO295" s="229"/>
      <c r="AP295" s="229"/>
      <c r="AQ295" s="229"/>
      <c r="AR295" s="229"/>
      <c r="BA295" s="267" t="str">
        <f>IF($A295="N/A"," ",(IF(MONTH(A295)&gt;=4,IF(MONTH(A295)&lt;=10,Inputs!$F$13,Inputs!$F$14),Inputs!$F$14))*$BW295)</f>
        <v xml:space="preserve"> </v>
      </c>
      <c r="BN295" s="405" t="str">
        <f>IF(A295="N/A"," ",(VLOOKUP(A295,PowerVolTable,(IF('Pricing Inputs'!$AT$3=2,7,IF('Pricing Inputs'!$AT$3=1,6,8))),FALSE)))</f>
        <v xml:space="preserve"> </v>
      </c>
      <c r="BO295" s="405" t="str">
        <f>IF(A295="N/A"," ",(VLOOKUP(A295,IntraPowerVol,(IF('Pricing Inputs'!$AT$3=2,3,IF('Pricing Inputs'!$AT$3=1,2,4))),FALSE)*VLOOKUP(MONTH($A295),Inputs!$A$28:$B$39,2)))</f>
        <v xml:space="preserve"> </v>
      </c>
      <c r="BP295" s="406" t="str">
        <f t="shared" si="430"/>
        <v xml:space="preserve"> </v>
      </c>
      <c r="BQ295" s="405" t="str">
        <f>IF($A295="N/A"," ",(VLOOKUP($A295,GasVolTable,(IF('Pricing Inputs'!$AT$3=2,6,IF('Pricing Inputs'!$AT$3=1,7,5))),FALSE)))</f>
        <v xml:space="preserve"> </v>
      </c>
      <c r="BR295" s="405" t="str">
        <f>IF($A295="N/A"," ",(VLOOKUP($A295,OmicronVol,(IF('Pricing Inputs'!$AT$3=2,3,IF('Pricing Inputs'!$AT$3=1,4,2))),FALSE)))</f>
        <v xml:space="preserve"> </v>
      </c>
      <c r="BS295" s="406" t="str">
        <f>IF($A295="N/A"," ",IF('Pricing Inputs'!$AN$3=1,(IF(DateToday&gt;$A295,$BR295,((($BQ295^2)*((($A295-1)-DateToday)/((EOMONTH($A295,0)+1)-DateToday-15)))+((($BR295)^2)*((15)/((EOMONTH($A295,0)+1)-DateToday-15))))^0.5)),0.0001))</f>
        <v xml:space="preserve"> </v>
      </c>
      <c r="BT295" s="405" t="str">
        <f>IF($A295="N/A"," ",IF('Pricing Inputs'!$AN$3=1,(VLOOKUP($A295,CorrelationTable,2,FALSE)),0))</f>
        <v xml:space="preserve"> </v>
      </c>
      <c r="BU295" s="407" t="str">
        <f>IF($A295="N/A"," ",F295+G295+(D295*(VLOOKUP($A295,'Gas Curves'!$B$17:$P$310,14,FALSE))))</f>
        <v xml:space="preserve"> </v>
      </c>
      <c r="BV295" s="405" t="str">
        <f>IF($A295="N/A"," ",IF('Pricing Inputs'!$AW$3=1,0,(VLOOKUP($A295,InterestRatesTable,2))))</f>
        <v xml:space="preserve"> </v>
      </c>
      <c r="BW295" s="408" t="str">
        <f t="shared" si="431"/>
        <v xml:space="preserve"> </v>
      </c>
    </row>
    <row r="296" spans="1:75">
      <c r="A296" s="248" t="str">
        <f>IF(A295="N/A","N/A",IF(EDATE(A295,1)&gt;Inputs!$K$3,"N/A",EDATE(A295,1)))</f>
        <v>N/A</v>
      </c>
      <c r="B296" s="262" t="str">
        <f t="shared" si="432"/>
        <v xml:space="preserve"> </v>
      </c>
      <c r="C296" s="249" t="str">
        <f t="shared" si="433"/>
        <v xml:space="preserve"> </v>
      </c>
      <c r="D296" s="250" t="str">
        <f>IF(A296="N/A"," ",(VLOOKUP(MONTH($A296),Inputs!$A$14:$B$25,2))/1000)</f>
        <v xml:space="preserve"> </v>
      </c>
      <c r="E296" s="304" t="str">
        <f t="shared" si="434"/>
        <v xml:space="preserve"> </v>
      </c>
      <c r="F296" s="251" t="str">
        <f>IF(A296="N/A"," ",Inputs!$F$6)</f>
        <v xml:space="preserve"> </v>
      </c>
      <c r="G296" s="251" t="str">
        <f>IF(A296="N/A"," ",Inputs!$F$9/IF(AND('Pricing Inputs'!$AQ$3&gt;=4,'Pricing Inputs'!$AQ$3&lt;=6),16,IF(AND('Pricing Inputs'!$AQ$3&gt;=7,'Pricing Inputs'!$AQ$3&lt;=9),8,24))/(BA296/BW296))</f>
        <v xml:space="preserve"> </v>
      </c>
      <c r="H296" s="252" t="str">
        <f t="shared" si="435"/>
        <v xml:space="preserve"> </v>
      </c>
      <c r="I296" s="255" t="str">
        <f>VLOOKUP(A296,ScaledPrice,(IF(AND('Pricing Inputs'!$AQ$3&gt;=1,'Pricing Inputs'!$AQ$3&lt;=6),2,4)))</f>
        <v xml:space="preserve"> </v>
      </c>
      <c r="J296" s="255" t="str">
        <f>IF(A296="N/A"," ",IF(AND('Pricing Inputs'!$AQ$3&gt;=1,'Pricing Inputs'!$AQ$3&lt;=6),I296,(VLOOKUP(A296,ScaledPrice,2))*(2-(VLOOKUP(A296,ScaledPrice,3)))))</f>
        <v xml:space="preserve"> </v>
      </c>
      <c r="K296" s="255" t="str">
        <f>IF(A296="N/A"," ",IF(OR('Pricing Inputs'!$AQ$3=2,'Pricing Inputs'!$AQ$3=3,'Pricing Inputs'!$AQ$3=5,'Pricing Inputs'!$AQ$3=6,'Pricing Inputs'!$AQ$3=8,'Pricing Inputs'!$AQ$3=9),VLOOKUP(A296,ScaledPrice,IF(AND('Pricing Inputs'!$AQ$3&gt;=2,'Pricing Inputs'!$AQ$3&lt;=6),5,6)),0))</f>
        <v xml:space="preserve"> </v>
      </c>
      <c r="L296" s="255" t="str">
        <f>IF(A296="N/A"," ",IF(OR('Pricing Inputs'!$AQ$3=2,'Pricing Inputs'!$AQ$3=3,'Pricing Inputs'!$AQ$3=5,'Pricing Inputs'!$AQ$3=6,'Pricing Inputs'!$AQ$3=8,'Pricing Inputs'!$AQ$3=9),IF(AND('Pricing Inputs'!$AQ$3&gt;=2,'Pricing Inputs'!$AQ$3&lt;=6),K296,(VLOOKUP(A296,ScaledPrice,5))*(2-(VLOOKUP(A296,ScaledPrice,3)))),0))</f>
        <v xml:space="preserve"> </v>
      </c>
      <c r="M296" s="255" t="str">
        <f>IF(A296="N/A"," ",IF(OR('Pricing Inputs'!$AQ$3=3,'Pricing Inputs'!$AQ$3=6,'Pricing Inputs'!$AQ$3=9),(VLOOKUP(A296,ScaledPrice,IF(AND('Pricing Inputs'!$AQ$3&gt;=3,'Pricing Inputs'!$AQ$3&lt;=6),7,8))),0))</f>
        <v xml:space="preserve"> </v>
      </c>
      <c r="N296" s="255" t="str">
        <f>IF(A296="N/A"," ",IF(OR('Pricing Inputs'!$AQ$3=3,'Pricing Inputs'!$AQ$3=6,'Pricing Inputs'!$AQ$3=9),IF(AND('Pricing Inputs'!$AQ$3&gt;=3,'Pricing Inputs'!$AQ$3&lt;=6),M296,(VLOOKUP(A296,ScaledPrice,7))*(2-(VLOOKUP(A296,ScaledPrice,3)))),0))</f>
        <v xml:space="preserve"> </v>
      </c>
      <c r="O296" s="255" t="str">
        <f>IF(A296="N/A"," ",IF(AND('Pricing Inputs'!$AQ$3&gt;=1,'Pricing Inputs'!$AQ$3&lt;=3),VLOOKUP(A296,ScaledPrice,9),0))</f>
        <v xml:space="preserve"> </v>
      </c>
      <c r="P296" s="320" t="str">
        <f>IF($A296="N/A"," ",IF('Pricing Inputs'!$AN$8=2,(I296-H296),IF('Pricing Inputs'!$AN$3=2,IF((I296-$H296)&gt;0,I296-$H296,0),(_xll.xSPRDOPT(I296,$E296,$BU296,0,$BP296,$BS296,$BT296,($A296-Inputs!$D$1)+15,1,0)))))</f>
        <v xml:space="preserve"> </v>
      </c>
      <c r="Q296" s="320" t="str">
        <f>IF($A296="N/A"," ",IF('Pricing Inputs'!$AN$8=2,(J296-$H296),IF('Pricing Inputs'!$AN$3=2,IF((J296-$H296)&gt;0,J296-$H296,0),(_xll.xSPRDOPT(J296,$E296,$BU296,0,$BP296,$BS296,$BT296,($A296-Inputs!$D$1)+15,1,0)))))</f>
        <v xml:space="preserve"> </v>
      </c>
      <c r="R296" s="320" t="str">
        <f>IF($A296="N/A"," ",IF('Pricing Inputs'!$AN$8=2,(K296-$H296),IF('Pricing Inputs'!$AN$3=2,IF((K296-$H296)&gt;0,K296-$H296,0),(_xll.xSPRDOPT(K296,$E296,$BU296,0,$BP296,$BS296,$BT296,($A296-Inputs!$D$1)+15,1,0)))))</f>
        <v xml:space="preserve"> </v>
      </c>
      <c r="S296" s="320" t="str">
        <f>IF($A296="N/A"," ",IF('Pricing Inputs'!$AN$8=2,(L296-$H296),IF('Pricing Inputs'!$AN$3=2,IF((L296-$H296)&gt;0,L296-$H296,0),(_xll.xSPRDOPT(L296,$E296,$BU296,0,$BP296,$BS296,$BT296,($A296-Inputs!$D$1)+15,1,0)))))</f>
        <v xml:space="preserve"> </v>
      </c>
      <c r="T296" s="320" t="str">
        <f>IF($A296="N/A"," ",IF('Pricing Inputs'!$AN$8=2,(M296-$H296),IF('Pricing Inputs'!$AN$3=2,IF((M296-$H296)&gt;0,M296-$H296,0),(_xll.xSPRDOPT(M296,$E296,$BU296,0,$BP296,$BS296,$BT296,($A296-Inputs!$D$1)+15,1,0)))))</f>
        <v xml:space="preserve"> </v>
      </c>
      <c r="U296" s="320" t="str">
        <f>IF($A296="N/A"," ",IF('Pricing Inputs'!$AN$8=2,(N296-$H296),IF('Pricing Inputs'!$AN$3=2,IF((N296-$H296)&gt;0,N296-$H296,0),(_xll.xSPRDOPT(N296,$E296,$BU296,0,$BP296,$BS296,$BT296,($A296-Inputs!$D$1)+15,1,0)))))</f>
        <v xml:space="preserve"> </v>
      </c>
      <c r="V296" s="259" t="str">
        <f>IF($A296="N/A"," ",(IF('Pricing Inputs'!$AN$8=2,(O296-$H296),IF((O296-$H296)&lt;=0,0,(O296-$H296)))))</f>
        <v xml:space="preserve"> </v>
      </c>
      <c r="AK296" s="229"/>
      <c r="AL296" s="229"/>
      <c r="AM296" s="229"/>
      <c r="AN296" s="229"/>
      <c r="AO296" s="229"/>
      <c r="AP296" s="229"/>
      <c r="AQ296" s="229"/>
      <c r="AR296" s="229"/>
      <c r="BA296" s="267" t="str">
        <f>IF($A296="N/A"," ",(IF(MONTH(A296)&gt;=4,IF(MONTH(A296)&lt;=10,Inputs!$F$13,Inputs!$F$14),Inputs!$F$14))*$BW296)</f>
        <v xml:space="preserve"> </v>
      </c>
      <c r="BN296" s="405" t="str">
        <f>IF(A296="N/A"," ",(VLOOKUP(A296,PowerVolTable,(IF('Pricing Inputs'!$AT$3=2,7,IF('Pricing Inputs'!$AT$3=1,6,8))),FALSE)))</f>
        <v xml:space="preserve"> </v>
      </c>
      <c r="BO296" s="405" t="str">
        <f>IF(A296="N/A"," ",(VLOOKUP(A296,IntraPowerVol,(IF('Pricing Inputs'!$AT$3=2,3,IF('Pricing Inputs'!$AT$3=1,2,4))),FALSE)*VLOOKUP(MONTH($A296),Inputs!$A$28:$B$39,2)))</f>
        <v xml:space="preserve"> </v>
      </c>
      <c r="BP296" s="406" t="str">
        <f t="shared" si="430"/>
        <v xml:space="preserve"> </v>
      </c>
      <c r="BQ296" s="405" t="str">
        <f>IF($A296="N/A"," ",(VLOOKUP($A296,GasVolTable,(IF('Pricing Inputs'!$AT$3=2,6,IF('Pricing Inputs'!$AT$3=1,7,5))),FALSE)))</f>
        <v xml:space="preserve"> </v>
      </c>
      <c r="BR296" s="405" t="str">
        <f>IF($A296="N/A"," ",(VLOOKUP($A296,OmicronVol,(IF('Pricing Inputs'!$AT$3=2,3,IF('Pricing Inputs'!$AT$3=1,4,2))),FALSE)))</f>
        <v xml:space="preserve"> </v>
      </c>
      <c r="BS296" s="406" t="str">
        <f>IF($A296="N/A"," ",IF('Pricing Inputs'!$AN$3=1,(IF(DateToday&gt;$A296,$BR296,((($BQ296^2)*((($A296-1)-DateToday)/((EOMONTH($A296,0)+1)-DateToday-15)))+((($BR296)^2)*((15)/((EOMONTH($A296,0)+1)-DateToday-15))))^0.5)),0.0001))</f>
        <v xml:space="preserve"> </v>
      </c>
      <c r="BT296" s="405" t="str">
        <f>IF($A296="N/A"," ",IF('Pricing Inputs'!$AN$3=1,(VLOOKUP($A296,CorrelationTable,2,FALSE)),0))</f>
        <v xml:space="preserve"> </v>
      </c>
      <c r="BU296" s="407" t="str">
        <f>IF($A296="N/A"," ",F296+G296+(D296*(VLOOKUP($A296,'Gas Curves'!$B$17:$P$310,14,FALSE))))</f>
        <v xml:space="preserve"> </v>
      </c>
      <c r="BV296" s="405" t="str">
        <f>IF($A296="N/A"," ",IF('Pricing Inputs'!$AW$3=1,0,(VLOOKUP($A296,InterestRatesTable,2))))</f>
        <v xml:space="preserve"> </v>
      </c>
      <c r="BW296" s="408" t="str">
        <f t="shared" si="431"/>
        <v xml:space="preserve"> </v>
      </c>
    </row>
    <row r="297" spans="1:75">
      <c r="A297" s="248" t="str">
        <f>IF(A296="N/A","N/A",IF(EDATE(A296,1)&gt;Inputs!$K$3,"N/A",EDATE(A296,1)))</f>
        <v>N/A</v>
      </c>
      <c r="B297" s="262" t="str">
        <f t="shared" si="432"/>
        <v xml:space="preserve"> </v>
      </c>
      <c r="C297" s="249" t="str">
        <f t="shared" si="433"/>
        <v xml:space="preserve"> </v>
      </c>
      <c r="D297" s="250" t="str">
        <f>IF(A297="N/A"," ",(VLOOKUP(MONTH($A297),Inputs!$A$14:$B$25,2))/1000)</f>
        <v xml:space="preserve"> </v>
      </c>
      <c r="E297" s="304" t="str">
        <f t="shared" si="434"/>
        <v xml:space="preserve"> </v>
      </c>
      <c r="F297" s="251" t="str">
        <f>IF(A297="N/A"," ",Inputs!$F$6)</f>
        <v xml:space="preserve"> </v>
      </c>
      <c r="G297" s="251" t="str">
        <f>IF(A297="N/A"," ",Inputs!$F$9/IF(AND('Pricing Inputs'!$AQ$3&gt;=4,'Pricing Inputs'!$AQ$3&lt;=6),16,IF(AND('Pricing Inputs'!$AQ$3&gt;=7,'Pricing Inputs'!$AQ$3&lt;=9),8,24))/(BA297/BW297))</f>
        <v xml:space="preserve"> </v>
      </c>
      <c r="H297" s="252" t="str">
        <f t="shared" si="435"/>
        <v xml:space="preserve"> </v>
      </c>
      <c r="I297" s="255" t="str">
        <f>VLOOKUP(A297,ScaledPrice,(IF(AND('Pricing Inputs'!$AQ$3&gt;=1,'Pricing Inputs'!$AQ$3&lt;=6),2,4)))</f>
        <v xml:space="preserve"> </v>
      </c>
      <c r="J297" s="255" t="str">
        <f>IF(A297="N/A"," ",IF(AND('Pricing Inputs'!$AQ$3&gt;=1,'Pricing Inputs'!$AQ$3&lt;=6),I297,(VLOOKUP(A297,ScaledPrice,2))*(2-(VLOOKUP(A297,ScaledPrice,3)))))</f>
        <v xml:space="preserve"> </v>
      </c>
      <c r="K297" s="255" t="str">
        <f>IF(A297="N/A"," ",IF(OR('Pricing Inputs'!$AQ$3=2,'Pricing Inputs'!$AQ$3=3,'Pricing Inputs'!$AQ$3=5,'Pricing Inputs'!$AQ$3=6,'Pricing Inputs'!$AQ$3=8,'Pricing Inputs'!$AQ$3=9),VLOOKUP(A297,ScaledPrice,IF(AND('Pricing Inputs'!$AQ$3&gt;=2,'Pricing Inputs'!$AQ$3&lt;=6),5,6)),0))</f>
        <v xml:space="preserve"> </v>
      </c>
      <c r="L297" s="255" t="str">
        <f>IF(A297="N/A"," ",IF(OR('Pricing Inputs'!$AQ$3=2,'Pricing Inputs'!$AQ$3=3,'Pricing Inputs'!$AQ$3=5,'Pricing Inputs'!$AQ$3=6,'Pricing Inputs'!$AQ$3=8,'Pricing Inputs'!$AQ$3=9),IF(AND('Pricing Inputs'!$AQ$3&gt;=2,'Pricing Inputs'!$AQ$3&lt;=6),K297,(VLOOKUP(A297,ScaledPrice,5))*(2-(VLOOKUP(A297,ScaledPrice,3)))),0))</f>
        <v xml:space="preserve"> </v>
      </c>
      <c r="M297" s="255" t="str">
        <f>IF(A297="N/A"," ",IF(OR('Pricing Inputs'!$AQ$3=3,'Pricing Inputs'!$AQ$3=6,'Pricing Inputs'!$AQ$3=9),(VLOOKUP(A297,ScaledPrice,IF(AND('Pricing Inputs'!$AQ$3&gt;=3,'Pricing Inputs'!$AQ$3&lt;=6),7,8))),0))</f>
        <v xml:space="preserve"> </v>
      </c>
      <c r="N297" s="255" t="str">
        <f>IF(A297="N/A"," ",IF(OR('Pricing Inputs'!$AQ$3=3,'Pricing Inputs'!$AQ$3=6,'Pricing Inputs'!$AQ$3=9),IF(AND('Pricing Inputs'!$AQ$3&gt;=3,'Pricing Inputs'!$AQ$3&lt;=6),M297,(VLOOKUP(A297,ScaledPrice,7))*(2-(VLOOKUP(A297,ScaledPrice,3)))),0))</f>
        <v xml:space="preserve"> </v>
      </c>
      <c r="O297" s="255" t="str">
        <f>IF(A297="N/A"," ",IF(AND('Pricing Inputs'!$AQ$3&gt;=1,'Pricing Inputs'!$AQ$3&lt;=3),VLOOKUP(A297,ScaledPrice,9),0))</f>
        <v xml:space="preserve"> </v>
      </c>
      <c r="P297" s="320" t="str">
        <f>IF($A297="N/A"," ",IF('Pricing Inputs'!$AN$8=2,(I297-H297),IF('Pricing Inputs'!$AN$3=2,IF((I297-$H297)&gt;0,I297-$H297,0),(_xll.xSPRDOPT(I297,$E297,$BU297,0,$BP297,$BS297,$BT297,($A297-Inputs!$D$1)+15,1,0)))))</f>
        <v xml:space="preserve"> </v>
      </c>
      <c r="Q297" s="320" t="str">
        <f>IF($A297="N/A"," ",IF('Pricing Inputs'!$AN$8=2,(J297-$H297),IF('Pricing Inputs'!$AN$3=2,IF((J297-$H297)&gt;0,J297-$H297,0),(_xll.xSPRDOPT(J297,$E297,$BU297,0,$BP297,$BS297,$BT297,($A297-Inputs!$D$1)+15,1,0)))))</f>
        <v xml:space="preserve"> </v>
      </c>
      <c r="R297" s="320" t="str">
        <f>IF($A297="N/A"," ",IF('Pricing Inputs'!$AN$8=2,(K297-$H297),IF('Pricing Inputs'!$AN$3=2,IF((K297-$H297)&gt;0,K297-$H297,0),(_xll.xSPRDOPT(K297,$E297,$BU297,0,$BP297,$BS297,$BT297,($A297-Inputs!$D$1)+15,1,0)))))</f>
        <v xml:space="preserve"> </v>
      </c>
      <c r="S297" s="320" t="str">
        <f>IF($A297="N/A"," ",IF('Pricing Inputs'!$AN$8=2,(L297-$H297),IF('Pricing Inputs'!$AN$3=2,IF((L297-$H297)&gt;0,L297-$H297,0),(_xll.xSPRDOPT(L297,$E297,$BU297,0,$BP297,$BS297,$BT297,($A297-Inputs!$D$1)+15,1,0)))))</f>
        <v xml:space="preserve"> </v>
      </c>
      <c r="T297" s="320" t="str">
        <f>IF($A297="N/A"," ",IF('Pricing Inputs'!$AN$8=2,(M297-$H297),IF('Pricing Inputs'!$AN$3=2,IF((M297-$H297)&gt;0,M297-$H297,0),(_xll.xSPRDOPT(M297,$E297,$BU297,0,$BP297,$BS297,$BT297,($A297-Inputs!$D$1)+15,1,0)))))</f>
        <v xml:space="preserve"> </v>
      </c>
      <c r="U297" s="320" t="str">
        <f>IF($A297="N/A"," ",IF('Pricing Inputs'!$AN$8=2,(N297-$H297),IF('Pricing Inputs'!$AN$3=2,IF((N297-$H297)&gt;0,N297-$H297,0),(_xll.xSPRDOPT(N297,$E297,$BU297,0,$BP297,$BS297,$BT297,($A297-Inputs!$D$1)+15,1,0)))))</f>
        <v xml:space="preserve"> </v>
      </c>
      <c r="V297" s="259" t="str">
        <f>IF($A297="N/A"," ",(IF('Pricing Inputs'!$AN$8=2,(O297-$H297),IF((O297-$H297)&lt;=0,0,(O297-$H297)))))</f>
        <v xml:space="preserve"> </v>
      </c>
      <c r="AK297" s="229"/>
      <c r="AL297" s="229"/>
      <c r="AM297" s="229"/>
      <c r="AN297" s="229"/>
      <c r="AO297" s="229"/>
      <c r="AP297" s="229"/>
      <c r="AQ297" s="229"/>
      <c r="AR297" s="229"/>
      <c r="BA297" s="267" t="str">
        <f>IF($A297="N/A"," ",(IF(MONTH(A297)&gt;=4,IF(MONTH(A297)&lt;=10,Inputs!$F$13,Inputs!$F$14),Inputs!$F$14))*$BW297)</f>
        <v xml:space="preserve"> </v>
      </c>
      <c r="BN297" s="405" t="str">
        <f>IF(A297="N/A"," ",(VLOOKUP(A297,PowerVolTable,(IF('Pricing Inputs'!$AT$3=2,7,IF('Pricing Inputs'!$AT$3=1,6,8))),FALSE)))</f>
        <v xml:space="preserve"> </v>
      </c>
      <c r="BO297" s="405" t="str">
        <f>IF(A297="N/A"," ",(VLOOKUP(A297,IntraPowerVol,(IF('Pricing Inputs'!$AT$3=2,3,IF('Pricing Inputs'!$AT$3=1,2,4))),FALSE)*VLOOKUP(MONTH($A297),Inputs!$A$28:$B$39,2)))</f>
        <v xml:space="preserve"> </v>
      </c>
      <c r="BP297" s="406" t="str">
        <f t="shared" si="430"/>
        <v xml:space="preserve"> </v>
      </c>
      <c r="BQ297" s="405" t="str">
        <f>IF($A297="N/A"," ",(VLOOKUP($A297,GasVolTable,(IF('Pricing Inputs'!$AT$3=2,6,IF('Pricing Inputs'!$AT$3=1,7,5))),FALSE)))</f>
        <v xml:space="preserve"> </v>
      </c>
      <c r="BR297" s="405" t="str">
        <f>IF($A297="N/A"," ",(VLOOKUP($A297,OmicronVol,(IF('Pricing Inputs'!$AT$3=2,3,IF('Pricing Inputs'!$AT$3=1,4,2))),FALSE)))</f>
        <v xml:space="preserve"> </v>
      </c>
      <c r="BS297" s="406" t="str">
        <f>IF($A297="N/A"," ",IF('Pricing Inputs'!$AN$3=1,(IF(DateToday&gt;$A297,$BR297,((($BQ297^2)*((($A297-1)-DateToday)/((EOMONTH($A297,0)+1)-DateToday-15)))+((($BR297)^2)*((15)/((EOMONTH($A297,0)+1)-DateToday-15))))^0.5)),0.0001))</f>
        <v xml:space="preserve"> </v>
      </c>
      <c r="BT297" s="405" t="str">
        <f>IF($A297="N/A"," ",IF('Pricing Inputs'!$AN$3=1,(VLOOKUP($A297,CorrelationTable,2,FALSE)),0))</f>
        <v xml:space="preserve"> </v>
      </c>
      <c r="BU297" s="407" t="str">
        <f>IF($A297="N/A"," ",F297+G297+(D297*(VLOOKUP($A297,'Gas Curves'!$B$17:$P$310,14,FALSE))))</f>
        <v xml:space="preserve"> </v>
      </c>
      <c r="BV297" s="405" t="str">
        <f>IF($A297="N/A"," ",IF('Pricing Inputs'!$AW$3=1,0,(VLOOKUP($A297,InterestRatesTable,2))))</f>
        <v xml:space="preserve"> </v>
      </c>
      <c r="BW297" s="408" t="str">
        <f t="shared" si="431"/>
        <v xml:space="preserve"> </v>
      </c>
    </row>
    <row r="298" spans="1:75">
      <c r="A298" s="248" t="str">
        <f>IF(A297="N/A","N/A",IF(EDATE(A297,1)&gt;Inputs!$K$3,"N/A",EDATE(A297,1)))</f>
        <v>N/A</v>
      </c>
      <c r="B298" s="262" t="str">
        <f t="shared" si="432"/>
        <v xml:space="preserve"> </v>
      </c>
      <c r="C298" s="249" t="str">
        <f t="shared" si="433"/>
        <v xml:space="preserve"> </v>
      </c>
      <c r="D298" s="250" t="str">
        <f>IF(A298="N/A"," ",(VLOOKUP(MONTH($A298),Inputs!$A$14:$B$25,2))/1000)</f>
        <v xml:space="preserve"> </v>
      </c>
      <c r="E298" s="304" t="str">
        <f t="shared" si="434"/>
        <v xml:space="preserve"> </v>
      </c>
      <c r="F298" s="251" t="str">
        <f>IF(A298="N/A"," ",Inputs!$F$6)</f>
        <v xml:space="preserve"> </v>
      </c>
      <c r="G298" s="251" t="str">
        <f>IF(A298="N/A"," ",Inputs!$F$9/IF(AND('Pricing Inputs'!$AQ$3&gt;=4,'Pricing Inputs'!$AQ$3&lt;=6),16,IF(AND('Pricing Inputs'!$AQ$3&gt;=7,'Pricing Inputs'!$AQ$3&lt;=9),8,24))/(BA298/BW298))</f>
        <v xml:space="preserve"> </v>
      </c>
      <c r="H298" s="252" t="str">
        <f t="shared" si="435"/>
        <v xml:space="preserve"> </v>
      </c>
      <c r="I298" s="255" t="str">
        <f>VLOOKUP(A298,ScaledPrice,(IF(AND('Pricing Inputs'!$AQ$3&gt;=1,'Pricing Inputs'!$AQ$3&lt;=6),2,4)))</f>
        <v xml:space="preserve"> </v>
      </c>
      <c r="J298" s="255" t="str">
        <f>IF(A298="N/A"," ",IF(AND('Pricing Inputs'!$AQ$3&gt;=1,'Pricing Inputs'!$AQ$3&lt;=6),I298,(VLOOKUP(A298,ScaledPrice,2))*(2-(VLOOKUP(A298,ScaledPrice,3)))))</f>
        <v xml:space="preserve"> </v>
      </c>
      <c r="K298" s="255" t="str">
        <f>IF(A298="N/A"," ",IF(OR('Pricing Inputs'!$AQ$3=2,'Pricing Inputs'!$AQ$3=3,'Pricing Inputs'!$AQ$3=5,'Pricing Inputs'!$AQ$3=6,'Pricing Inputs'!$AQ$3=8,'Pricing Inputs'!$AQ$3=9),VLOOKUP(A298,ScaledPrice,IF(AND('Pricing Inputs'!$AQ$3&gt;=2,'Pricing Inputs'!$AQ$3&lt;=6),5,6)),0))</f>
        <v xml:space="preserve"> </v>
      </c>
      <c r="L298" s="255" t="str">
        <f>IF(A298="N/A"," ",IF(OR('Pricing Inputs'!$AQ$3=2,'Pricing Inputs'!$AQ$3=3,'Pricing Inputs'!$AQ$3=5,'Pricing Inputs'!$AQ$3=6,'Pricing Inputs'!$AQ$3=8,'Pricing Inputs'!$AQ$3=9),IF(AND('Pricing Inputs'!$AQ$3&gt;=2,'Pricing Inputs'!$AQ$3&lt;=6),K298,(VLOOKUP(A298,ScaledPrice,5))*(2-(VLOOKUP(A298,ScaledPrice,3)))),0))</f>
        <v xml:space="preserve"> </v>
      </c>
      <c r="M298" s="255" t="str">
        <f>IF(A298="N/A"," ",IF(OR('Pricing Inputs'!$AQ$3=3,'Pricing Inputs'!$AQ$3=6,'Pricing Inputs'!$AQ$3=9),(VLOOKUP(A298,ScaledPrice,IF(AND('Pricing Inputs'!$AQ$3&gt;=3,'Pricing Inputs'!$AQ$3&lt;=6),7,8))),0))</f>
        <v xml:space="preserve"> </v>
      </c>
      <c r="N298" s="255" t="str">
        <f>IF(A298="N/A"," ",IF(OR('Pricing Inputs'!$AQ$3=3,'Pricing Inputs'!$AQ$3=6,'Pricing Inputs'!$AQ$3=9),IF(AND('Pricing Inputs'!$AQ$3&gt;=3,'Pricing Inputs'!$AQ$3&lt;=6),M298,(VLOOKUP(A298,ScaledPrice,7))*(2-(VLOOKUP(A298,ScaledPrice,3)))),0))</f>
        <v xml:space="preserve"> </v>
      </c>
      <c r="O298" s="255" t="str">
        <f>IF(A298="N/A"," ",IF(AND('Pricing Inputs'!$AQ$3&gt;=1,'Pricing Inputs'!$AQ$3&lt;=3),VLOOKUP(A298,ScaledPrice,9),0))</f>
        <v xml:space="preserve"> </v>
      </c>
      <c r="P298" s="320" t="str">
        <f>IF($A298="N/A"," ",IF('Pricing Inputs'!$AN$8=2,(I298-H298),IF('Pricing Inputs'!$AN$3=2,IF((I298-$H298)&gt;0,I298-$H298,0),(_xll.xSPRDOPT(I298,$E298,$BU298,0,$BP298,$BS298,$BT298,($A298-Inputs!$D$1)+15,1,0)))))</f>
        <v xml:space="preserve"> </v>
      </c>
      <c r="Q298" s="320" t="str">
        <f>IF($A298="N/A"," ",IF('Pricing Inputs'!$AN$8=2,(J298-$H298),IF('Pricing Inputs'!$AN$3=2,IF((J298-$H298)&gt;0,J298-$H298,0),(_xll.xSPRDOPT(J298,$E298,$BU298,0,$BP298,$BS298,$BT298,($A298-Inputs!$D$1)+15,1,0)))))</f>
        <v xml:space="preserve"> </v>
      </c>
      <c r="R298" s="320" t="str">
        <f>IF($A298="N/A"," ",IF('Pricing Inputs'!$AN$8=2,(K298-$H298),IF('Pricing Inputs'!$AN$3=2,IF((K298-$H298)&gt;0,K298-$H298,0),(_xll.xSPRDOPT(K298,$E298,$BU298,0,$BP298,$BS298,$BT298,($A298-Inputs!$D$1)+15,1,0)))))</f>
        <v xml:space="preserve"> </v>
      </c>
      <c r="S298" s="320" t="str">
        <f>IF($A298="N/A"," ",IF('Pricing Inputs'!$AN$8=2,(L298-$H298),IF('Pricing Inputs'!$AN$3=2,IF((L298-$H298)&gt;0,L298-$H298,0),(_xll.xSPRDOPT(L298,$E298,$BU298,0,$BP298,$BS298,$BT298,($A298-Inputs!$D$1)+15,1,0)))))</f>
        <v xml:space="preserve"> </v>
      </c>
      <c r="T298" s="320" t="str">
        <f>IF($A298="N/A"," ",IF('Pricing Inputs'!$AN$8=2,(M298-$H298),IF('Pricing Inputs'!$AN$3=2,IF((M298-$H298)&gt;0,M298-$H298,0),(_xll.xSPRDOPT(M298,$E298,$BU298,0,$BP298,$BS298,$BT298,($A298-Inputs!$D$1)+15,1,0)))))</f>
        <v xml:space="preserve"> </v>
      </c>
      <c r="U298" s="320" t="str">
        <f>IF($A298="N/A"," ",IF('Pricing Inputs'!$AN$8=2,(N298-$H298),IF('Pricing Inputs'!$AN$3=2,IF((N298-$H298)&gt;0,N298-$H298,0),(_xll.xSPRDOPT(N298,$E298,$BU298,0,$BP298,$BS298,$BT298,($A298-Inputs!$D$1)+15,1,0)))))</f>
        <v xml:space="preserve"> </v>
      </c>
      <c r="V298" s="259" t="str">
        <f>IF($A298="N/A"," ",(IF('Pricing Inputs'!$AN$8=2,(O298-$H298),IF((O298-$H298)&lt;=0,0,(O298-$H298)))))</f>
        <v xml:space="preserve"> </v>
      </c>
      <c r="AK298" s="229"/>
      <c r="AL298" s="229"/>
      <c r="AM298" s="229"/>
      <c r="AN298" s="229"/>
      <c r="AO298" s="229"/>
      <c r="AP298" s="229"/>
      <c r="AQ298" s="229"/>
      <c r="AR298" s="229"/>
      <c r="BA298" s="267" t="str">
        <f>IF($A298="N/A"," ",(IF(MONTH(A298)&gt;=4,IF(MONTH(A298)&lt;=10,Inputs!$F$13,Inputs!$F$14),Inputs!$F$14))*$BW298)</f>
        <v xml:space="preserve"> </v>
      </c>
      <c r="BN298" s="405" t="str">
        <f>IF(A298="N/A"," ",(VLOOKUP(A298,PowerVolTable,(IF('Pricing Inputs'!$AT$3=2,7,IF('Pricing Inputs'!$AT$3=1,6,8))),FALSE)))</f>
        <v xml:space="preserve"> </v>
      </c>
      <c r="BO298" s="405" t="str">
        <f>IF(A298="N/A"," ",(VLOOKUP(A298,IntraPowerVol,(IF('Pricing Inputs'!$AT$3=2,3,IF('Pricing Inputs'!$AT$3=1,2,4))),FALSE)*VLOOKUP(MONTH($A298),Inputs!$A$28:$B$39,2)))</f>
        <v xml:space="preserve"> </v>
      </c>
      <c r="BP298" s="406" t="str">
        <f t="shared" si="430"/>
        <v xml:space="preserve"> </v>
      </c>
      <c r="BQ298" s="405" t="str">
        <f>IF($A298="N/A"," ",(VLOOKUP($A298,GasVolTable,(IF('Pricing Inputs'!$AT$3=2,6,IF('Pricing Inputs'!$AT$3=1,7,5))),FALSE)))</f>
        <v xml:space="preserve"> </v>
      </c>
      <c r="BR298" s="405" t="str">
        <f>IF($A298="N/A"," ",(VLOOKUP($A298,OmicronVol,(IF('Pricing Inputs'!$AT$3=2,3,IF('Pricing Inputs'!$AT$3=1,4,2))),FALSE)))</f>
        <v xml:space="preserve"> </v>
      </c>
      <c r="BS298" s="406" t="str">
        <f>IF($A298="N/A"," ",IF('Pricing Inputs'!$AN$3=1,(IF(DateToday&gt;$A298,$BR298,((($BQ298^2)*((($A298-1)-DateToday)/((EOMONTH($A298,0)+1)-DateToday-15)))+((($BR298)^2)*((15)/((EOMONTH($A298,0)+1)-DateToday-15))))^0.5)),0.0001))</f>
        <v xml:space="preserve"> </v>
      </c>
      <c r="BT298" s="405" t="str">
        <f>IF($A298="N/A"," ",IF('Pricing Inputs'!$AN$3=1,(VLOOKUP($A298,CorrelationTable,2,FALSE)),0))</f>
        <v xml:space="preserve"> </v>
      </c>
      <c r="BU298" s="407" t="str">
        <f>IF($A298="N/A"," ",F298+G298+(D298*(VLOOKUP($A298,'Gas Curves'!$B$17:$P$310,14,FALSE))))</f>
        <v xml:space="preserve"> </v>
      </c>
      <c r="BV298" s="405" t="str">
        <f>IF($A298="N/A"," ",IF('Pricing Inputs'!$AW$3=1,0,(VLOOKUP($A298,InterestRatesTable,2))))</f>
        <v xml:space="preserve"> </v>
      </c>
      <c r="BW298" s="408" t="str">
        <f t="shared" si="431"/>
        <v xml:space="preserve"> </v>
      </c>
    </row>
    <row r="299" spans="1:75">
      <c r="A299" s="248" t="str">
        <f>IF(A298="N/A","N/A",IF(EDATE(A298,1)&gt;Inputs!$K$3,"N/A",EDATE(A298,1)))</f>
        <v>N/A</v>
      </c>
      <c r="B299" s="262" t="str">
        <f t="shared" si="432"/>
        <v xml:space="preserve"> </v>
      </c>
      <c r="C299" s="249" t="str">
        <f t="shared" si="433"/>
        <v xml:space="preserve"> </v>
      </c>
      <c r="D299" s="250" t="str">
        <f>IF(A299="N/A"," ",(VLOOKUP(MONTH($A299),Inputs!$A$14:$B$25,2))/1000)</f>
        <v xml:space="preserve"> </v>
      </c>
      <c r="E299" s="304" t="str">
        <f t="shared" si="434"/>
        <v xml:space="preserve"> </v>
      </c>
      <c r="F299" s="251" t="str">
        <f>IF(A299="N/A"," ",Inputs!$F$6)</f>
        <v xml:space="preserve"> </v>
      </c>
      <c r="G299" s="251" t="str">
        <f>IF(A299="N/A"," ",Inputs!$F$9/IF(AND('Pricing Inputs'!$AQ$3&gt;=4,'Pricing Inputs'!$AQ$3&lt;=6),16,IF(AND('Pricing Inputs'!$AQ$3&gt;=7,'Pricing Inputs'!$AQ$3&lt;=9),8,24))/(BA299/BW299))</f>
        <v xml:space="preserve"> </v>
      </c>
      <c r="H299" s="252" t="str">
        <f t="shared" si="435"/>
        <v xml:space="preserve"> </v>
      </c>
      <c r="I299" s="255" t="str">
        <f>VLOOKUP(A299,ScaledPrice,(IF(AND('Pricing Inputs'!$AQ$3&gt;=1,'Pricing Inputs'!$AQ$3&lt;=6),2,4)))</f>
        <v xml:space="preserve"> </v>
      </c>
      <c r="J299" s="255" t="str">
        <f>IF(A299="N/A"," ",IF(AND('Pricing Inputs'!$AQ$3&gt;=1,'Pricing Inputs'!$AQ$3&lt;=6),I299,(VLOOKUP(A299,ScaledPrice,2))*(2-(VLOOKUP(A299,ScaledPrice,3)))))</f>
        <v xml:space="preserve"> </v>
      </c>
      <c r="K299" s="255" t="str">
        <f>IF(A299="N/A"," ",IF(OR('Pricing Inputs'!$AQ$3=2,'Pricing Inputs'!$AQ$3=3,'Pricing Inputs'!$AQ$3=5,'Pricing Inputs'!$AQ$3=6,'Pricing Inputs'!$AQ$3=8,'Pricing Inputs'!$AQ$3=9),VLOOKUP(A299,ScaledPrice,IF(AND('Pricing Inputs'!$AQ$3&gt;=2,'Pricing Inputs'!$AQ$3&lt;=6),5,6)),0))</f>
        <v xml:space="preserve"> </v>
      </c>
      <c r="L299" s="255" t="str">
        <f>IF(A299="N/A"," ",IF(OR('Pricing Inputs'!$AQ$3=2,'Pricing Inputs'!$AQ$3=3,'Pricing Inputs'!$AQ$3=5,'Pricing Inputs'!$AQ$3=6,'Pricing Inputs'!$AQ$3=8,'Pricing Inputs'!$AQ$3=9),IF(AND('Pricing Inputs'!$AQ$3&gt;=2,'Pricing Inputs'!$AQ$3&lt;=6),K299,(VLOOKUP(A299,ScaledPrice,5))*(2-(VLOOKUP(A299,ScaledPrice,3)))),0))</f>
        <v xml:space="preserve"> </v>
      </c>
      <c r="M299" s="255" t="str">
        <f>IF(A299="N/A"," ",IF(OR('Pricing Inputs'!$AQ$3=3,'Pricing Inputs'!$AQ$3=6,'Pricing Inputs'!$AQ$3=9),(VLOOKUP(A299,ScaledPrice,IF(AND('Pricing Inputs'!$AQ$3&gt;=3,'Pricing Inputs'!$AQ$3&lt;=6),7,8))),0))</f>
        <v xml:space="preserve"> </v>
      </c>
      <c r="N299" s="255" t="str">
        <f>IF(A299="N/A"," ",IF(OR('Pricing Inputs'!$AQ$3=3,'Pricing Inputs'!$AQ$3=6,'Pricing Inputs'!$AQ$3=9),IF(AND('Pricing Inputs'!$AQ$3&gt;=3,'Pricing Inputs'!$AQ$3&lt;=6),M299,(VLOOKUP(A299,ScaledPrice,7))*(2-(VLOOKUP(A299,ScaledPrice,3)))),0))</f>
        <v xml:space="preserve"> </v>
      </c>
      <c r="O299" s="255" t="str">
        <f>IF(A299="N/A"," ",IF(AND('Pricing Inputs'!$AQ$3&gt;=1,'Pricing Inputs'!$AQ$3&lt;=3),VLOOKUP(A299,ScaledPrice,9),0))</f>
        <v xml:space="preserve"> </v>
      </c>
      <c r="P299" s="320" t="str">
        <f>IF($A299="N/A"," ",IF('Pricing Inputs'!$AN$8=2,(I299-H299),IF('Pricing Inputs'!$AN$3=2,IF((I299-$H299)&gt;0,I299-$H299,0),(_xll.xSPRDOPT(I299,$E299,$BU299,0,$BP299,$BS299,$BT299,($A299-Inputs!$D$1)+15,1,0)))))</f>
        <v xml:space="preserve"> </v>
      </c>
      <c r="Q299" s="320" t="str">
        <f>IF($A299="N/A"," ",IF('Pricing Inputs'!$AN$8=2,(J299-$H299),IF('Pricing Inputs'!$AN$3=2,IF((J299-$H299)&gt;0,J299-$H299,0),(_xll.xSPRDOPT(J299,$E299,$BU299,0,$BP299,$BS299,$BT299,($A299-Inputs!$D$1)+15,1,0)))))</f>
        <v xml:space="preserve"> </v>
      </c>
      <c r="R299" s="320" t="str">
        <f>IF($A299="N/A"," ",IF('Pricing Inputs'!$AN$8=2,(K299-$H299),IF('Pricing Inputs'!$AN$3=2,IF((K299-$H299)&gt;0,K299-$H299,0),(_xll.xSPRDOPT(K299,$E299,$BU299,0,$BP299,$BS299,$BT299,($A299-Inputs!$D$1)+15,1,0)))))</f>
        <v xml:space="preserve"> </v>
      </c>
      <c r="S299" s="320" t="str">
        <f>IF($A299="N/A"," ",IF('Pricing Inputs'!$AN$8=2,(L299-$H299),IF('Pricing Inputs'!$AN$3=2,IF((L299-$H299)&gt;0,L299-$H299,0),(_xll.xSPRDOPT(L299,$E299,$BU299,0,$BP299,$BS299,$BT299,($A299-Inputs!$D$1)+15,1,0)))))</f>
        <v xml:space="preserve"> </v>
      </c>
      <c r="T299" s="320" t="str">
        <f>IF($A299="N/A"," ",IF('Pricing Inputs'!$AN$8=2,(M299-$H299),IF('Pricing Inputs'!$AN$3=2,IF((M299-$H299)&gt;0,M299-$H299,0),(_xll.xSPRDOPT(M299,$E299,$BU299,0,$BP299,$BS299,$BT299,($A299-Inputs!$D$1)+15,1,0)))))</f>
        <v xml:space="preserve"> </v>
      </c>
      <c r="U299" s="320" t="str">
        <f>IF($A299="N/A"," ",IF('Pricing Inputs'!$AN$8=2,(N299-$H299),IF('Pricing Inputs'!$AN$3=2,IF((N299-$H299)&gt;0,N299-$H299,0),(_xll.xSPRDOPT(N299,$E299,$BU299,0,$BP299,$BS299,$BT299,($A299-Inputs!$D$1)+15,1,0)))))</f>
        <v xml:space="preserve"> </v>
      </c>
      <c r="V299" s="259" t="str">
        <f>IF($A299="N/A"," ",(IF('Pricing Inputs'!$AN$8=2,(O299-$H299),IF((O299-$H299)&lt;=0,0,(O299-$H299)))))</f>
        <v xml:space="preserve"> </v>
      </c>
      <c r="AK299" s="229"/>
      <c r="AL299" s="229"/>
      <c r="AM299" s="229"/>
      <c r="AN299" s="229"/>
      <c r="AO299" s="229"/>
      <c r="AP299" s="229"/>
      <c r="AQ299" s="229"/>
      <c r="AR299" s="229"/>
      <c r="BA299" s="267" t="str">
        <f>IF($A299="N/A"," ",(IF(MONTH(A299)&gt;=4,IF(MONTH(A299)&lt;=10,Inputs!$F$13,Inputs!$F$14),Inputs!$F$14))*$BW299)</f>
        <v xml:space="preserve"> </v>
      </c>
      <c r="BN299" s="405" t="str">
        <f>IF(A299="N/A"," ",(VLOOKUP(A299,PowerVolTable,(IF('Pricing Inputs'!$AT$3=2,7,IF('Pricing Inputs'!$AT$3=1,6,8))),FALSE)))</f>
        <v xml:space="preserve"> </v>
      </c>
      <c r="BO299" s="405" t="str">
        <f>IF(A299="N/A"," ",(VLOOKUP(A299,IntraPowerVol,(IF('Pricing Inputs'!$AT$3=2,3,IF('Pricing Inputs'!$AT$3=1,2,4))),FALSE)*VLOOKUP(MONTH($A299),Inputs!$A$28:$B$39,2)))</f>
        <v xml:space="preserve"> </v>
      </c>
      <c r="BP299" s="406" t="str">
        <f t="shared" si="430"/>
        <v xml:space="preserve"> </v>
      </c>
      <c r="BQ299" s="405" t="str">
        <f>IF($A299="N/A"," ",(VLOOKUP($A299,GasVolTable,(IF('Pricing Inputs'!$AT$3=2,6,IF('Pricing Inputs'!$AT$3=1,7,5))),FALSE)))</f>
        <v xml:space="preserve"> </v>
      </c>
      <c r="BR299" s="405" t="str">
        <f>IF($A299="N/A"," ",(VLOOKUP($A299,OmicronVol,(IF('Pricing Inputs'!$AT$3=2,3,IF('Pricing Inputs'!$AT$3=1,4,2))),FALSE)))</f>
        <v xml:space="preserve"> </v>
      </c>
      <c r="BS299" s="406" t="str">
        <f>IF($A299="N/A"," ",IF('Pricing Inputs'!$AN$3=1,(IF(DateToday&gt;$A299,$BR299,((($BQ299^2)*((($A299-1)-DateToday)/((EOMONTH($A299,0)+1)-DateToday-15)))+((($BR299)^2)*((15)/((EOMONTH($A299,0)+1)-DateToday-15))))^0.5)),0.0001))</f>
        <v xml:space="preserve"> </v>
      </c>
      <c r="BT299" s="405" t="str">
        <f>IF($A299="N/A"," ",IF('Pricing Inputs'!$AN$3=1,(VLOOKUP($A299,CorrelationTable,2,FALSE)),0))</f>
        <v xml:space="preserve"> </v>
      </c>
      <c r="BU299" s="407" t="str">
        <f>IF($A299="N/A"," ",F299+G299+(D299*(VLOOKUP($A299,'Gas Curves'!$B$17:$P$310,14,FALSE))))</f>
        <v xml:space="preserve"> </v>
      </c>
      <c r="BV299" s="405" t="str">
        <f>IF($A299="N/A"," ",IF('Pricing Inputs'!$AW$3=1,0,(VLOOKUP($A299,InterestRatesTable,2))))</f>
        <v xml:space="preserve"> </v>
      </c>
      <c r="BW299" s="408" t="str">
        <f t="shared" si="431"/>
        <v xml:space="preserve"> </v>
      </c>
    </row>
    <row r="300" spans="1:75">
      <c r="A300" s="248" t="str">
        <f>IF(A299="N/A","N/A",IF(EDATE(A299,1)&gt;Inputs!$K$3,"N/A",EDATE(A299,1)))</f>
        <v>N/A</v>
      </c>
      <c r="B300" s="262" t="str">
        <f t="shared" si="432"/>
        <v xml:space="preserve"> </v>
      </c>
      <c r="C300" s="249" t="str">
        <f t="shared" si="433"/>
        <v xml:space="preserve"> </v>
      </c>
      <c r="D300" s="250" t="str">
        <f>IF(A300="N/A"," ",(VLOOKUP(MONTH($A300),Inputs!$A$14:$B$25,2))/1000)</f>
        <v xml:space="preserve"> </v>
      </c>
      <c r="E300" s="304" t="str">
        <f t="shared" si="434"/>
        <v xml:space="preserve"> </v>
      </c>
      <c r="F300" s="251" t="str">
        <f>IF(A300="N/A"," ",Inputs!$F$6)</f>
        <v xml:space="preserve"> </v>
      </c>
      <c r="G300" s="251" t="str">
        <f>IF(A300="N/A"," ",Inputs!$F$9/IF(AND('Pricing Inputs'!$AQ$3&gt;=4,'Pricing Inputs'!$AQ$3&lt;=6),16,IF(AND('Pricing Inputs'!$AQ$3&gt;=7,'Pricing Inputs'!$AQ$3&lt;=9),8,24))/(BA300/BW300))</f>
        <v xml:space="preserve"> </v>
      </c>
      <c r="H300" s="252" t="str">
        <f t="shared" si="435"/>
        <v xml:space="preserve"> </v>
      </c>
      <c r="I300" s="255" t="str">
        <f>VLOOKUP(A300,ScaledPrice,(IF(AND('Pricing Inputs'!$AQ$3&gt;=1,'Pricing Inputs'!$AQ$3&lt;=6),2,4)))</f>
        <v xml:space="preserve"> </v>
      </c>
      <c r="J300" s="255" t="str">
        <f>IF(A300="N/A"," ",IF(AND('Pricing Inputs'!$AQ$3&gt;=1,'Pricing Inputs'!$AQ$3&lt;=6),I300,(VLOOKUP(A300,ScaledPrice,2))*(2-(VLOOKUP(A300,ScaledPrice,3)))))</f>
        <v xml:space="preserve"> </v>
      </c>
      <c r="K300" s="255" t="str">
        <f>IF(A300="N/A"," ",IF(OR('Pricing Inputs'!$AQ$3=2,'Pricing Inputs'!$AQ$3=3,'Pricing Inputs'!$AQ$3=5,'Pricing Inputs'!$AQ$3=6,'Pricing Inputs'!$AQ$3=8,'Pricing Inputs'!$AQ$3=9),VLOOKUP(A300,ScaledPrice,IF(AND('Pricing Inputs'!$AQ$3&gt;=2,'Pricing Inputs'!$AQ$3&lt;=6),5,6)),0))</f>
        <v xml:space="preserve"> </v>
      </c>
      <c r="L300" s="255" t="str">
        <f>IF(A300="N/A"," ",IF(OR('Pricing Inputs'!$AQ$3=2,'Pricing Inputs'!$AQ$3=3,'Pricing Inputs'!$AQ$3=5,'Pricing Inputs'!$AQ$3=6,'Pricing Inputs'!$AQ$3=8,'Pricing Inputs'!$AQ$3=9),IF(AND('Pricing Inputs'!$AQ$3&gt;=2,'Pricing Inputs'!$AQ$3&lt;=6),K300,(VLOOKUP(A300,ScaledPrice,5))*(2-(VLOOKUP(A300,ScaledPrice,3)))),0))</f>
        <v xml:space="preserve"> </v>
      </c>
      <c r="M300" s="255" t="str">
        <f>IF(A300="N/A"," ",IF(OR('Pricing Inputs'!$AQ$3=3,'Pricing Inputs'!$AQ$3=6,'Pricing Inputs'!$AQ$3=9),(VLOOKUP(A300,ScaledPrice,IF(AND('Pricing Inputs'!$AQ$3&gt;=3,'Pricing Inputs'!$AQ$3&lt;=6),7,8))),0))</f>
        <v xml:space="preserve"> </v>
      </c>
      <c r="N300" s="255" t="str">
        <f>IF(A300="N/A"," ",IF(OR('Pricing Inputs'!$AQ$3=3,'Pricing Inputs'!$AQ$3=6,'Pricing Inputs'!$AQ$3=9),IF(AND('Pricing Inputs'!$AQ$3&gt;=3,'Pricing Inputs'!$AQ$3&lt;=6),M300,(VLOOKUP(A300,ScaledPrice,7))*(2-(VLOOKUP(A300,ScaledPrice,3)))),0))</f>
        <v xml:space="preserve"> </v>
      </c>
      <c r="O300" s="255" t="str">
        <f>IF(A300="N/A"," ",IF(AND('Pricing Inputs'!$AQ$3&gt;=1,'Pricing Inputs'!$AQ$3&lt;=3),VLOOKUP(A300,ScaledPrice,9),0))</f>
        <v xml:space="preserve"> </v>
      </c>
      <c r="P300" s="320" t="str">
        <f>IF($A300="N/A"," ",IF('Pricing Inputs'!$AN$8=2,(I300-H300),IF('Pricing Inputs'!$AN$3=2,IF((I300-$H300)&gt;0,I300-$H300,0),(_xll.xSPRDOPT(I300,$E300,$BU300,0,$BP300,$BS300,$BT300,($A300-Inputs!$D$1)+15,1,0)))))</f>
        <v xml:space="preserve"> </v>
      </c>
      <c r="Q300" s="320" t="str">
        <f>IF($A300="N/A"," ",IF('Pricing Inputs'!$AN$8=2,(J300-$H300),IF('Pricing Inputs'!$AN$3=2,IF((J300-$H300)&gt;0,J300-$H300,0),(_xll.xSPRDOPT(J300,$E300,$BU300,0,$BP300,$BS300,$BT300,($A300-Inputs!$D$1)+15,1,0)))))</f>
        <v xml:space="preserve"> </v>
      </c>
      <c r="R300" s="320" t="str">
        <f>IF($A300="N/A"," ",IF('Pricing Inputs'!$AN$8=2,(K300-$H300),IF('Pricing Inputs'!$AN$3=2,IF((K300-$H300)&gt;0,K300-$H300,0),(_xll.xSPRDOPT(K300,$E300,$BU300,0,$BP300,$BS300,$BT300,($A300-Inputs!$D$1)+15,1,0)))))</f>
        <v xml:space="preserve"> </v>
      </c>
      <c r="S300" s="320" t="str">
        <f>IF($A300="N/A"," ",IF('Pricing Inputs'!$AN$8=2,(L300-$H300),IF('Pricing Inputs'!$AN$3=2,IF((L300-$H300)&gt;0,L300-$H300,0),(_xll.xSPRDOPT(L300,$E300,$BU300,0,$BP300,$BS300,$BT300,($A300-Inputs!$D$1)+15,1,0)))))</f>
        <v xml:space="preserve"> </v>
      </c>
      <c r="T300" s="320" t="str">
        <f>IF($A300="N/A"," ",IF('Pricing Inputs'!$AN$8=2,(M300-$H300),IF('Pricing Inputs'!$AN$3=2,IF((M300-$H300)&gt;0,M300-$H300,0),(_xll.xSPRDOPT(M300,$E300,$BU300,0,$BP300,$BS300,$BT300,($A300-Inputs!$D$1)+15,1,0)))))</f>
        <v xml:space="preserve"> </v>
      </c>
      <c r="U300" s="320" t="str">
        <f>IF($A300="N/A"," ",IF('Pricing Inputs'!$AN$8=2,(N300-$H300),IF('Pricing Inputs'!$AN$3=2,IF((N300-$H300)&gt;0,N300-$H300,0),(_xll.xSPRDOPT(N300,$E300,$BU300,0,$BP300,$BS300,$BT300,($A300-Inputs!$D$1)+15,1,0)))))</f>
        <v xml:space="preserve"> </v>
      </c>
      <c r="V300" s="259" t="str">
        <f>IF($A300="N/A"," ",(IF('Pricing Inputs'!$AN$8=2,(O300-$H300),IF((O300-$H300)&lt;=0,0,(O300-$H300)))))</f>
        <v xml:space="preserve"> </v>
      </c>
      <c r="AK300" s="229"/>
      <c r="AL300" s="229"/>
      <c r="AM300" s="229"/>
      <c r="AN300" s="229"/>
      <c r="AO300" s="229"/>
      <c r="AP300" s="229"/>
      <c r="AQ300" s="229"/>
      <c r="AR300" s="229"/>
      <c r="BA300" s="267" t="str">
        <f>IF($A300="N/A"," ",(IF(MONTH(A300)&gt;=4,IF(MONTH(A300)&lt;=10,Inputs!$F$13,Inputs!$F$14),Inputs!$F$14))*$BW300)</f>
        <v xml:space="preserve"> </v>
      </c>
      <c r="BN300" s="405" t="str">
        <f>IF(A300="N/A"," ",(VLOOKUP(A300,PowerVolTable,(IF('Pricing Inputs'!$AT$3=2,7,IF('Pricing Inputs'!$AT$3=1,6,8))),FALSE)))</f>
        <v xml:space="preserve"> </v>
      </c>
      <c r="BO300" s="405" t="str">
        <f>IF(A300="N/A"," ",(VLOOKUP(A300,IntraPowerVol,(IF('Pricing Inputs'!$AT$3=2,3,IF('Pricing Inputs'!$AT$3=1,2,4))),FALSE)*VLOOKUP(MONTH($A300),Inputs!$A$28:$B$39,2)))</f>
        <v xml:space="preserve"> </v>
      </c>
      <c r="BP300" s="406" t="str">
        <f t="shared" si="430"/>
        <v xml:space="preserve"> </v>
      </c>
      <c r="BQ300" s="405" t="str">
        <f>IF($A300="N/A"," ",(VLOOKUP($A300,GasVolTable,(IF('Pricing Inputs'!$AT$3=2,6,IF('Pricing Inputs'!$AT$3=1,7,5))),FALSE)))</f>
        <v xml:space="preserve"> </v>
      </c>
      <c r="BR300" s="405" t="str">
        <f>IF($A300="N/A"," ",(VLOOKUP($A300,OmicronVol,(IF('Pricing Inputs'!$AT$3=2,3,IF('Pricing Inputs'!$AT$3=1,4,2))),FALSE)))</f>
        <v xml:space="preserve"> </v>
      </c>
      <c r="BS300" s="406" t="str">
        <f>IF($A300="N/A"," ",IF('Pricing Inputs'!$AN$3=1,(IF(DateToday&gt;$A300,$BR300,((($BQ300^2)*((($A300-1)-DateToday)/((EOMONTH($A300,0)+1)-DateToday-15)))+((($BR300)^2)*((15)/((EOMONTH($A300,0)+1)-DateToday-15))))^0.5)),0.0001))</f>
        <v xml:space="preserve"> </v>
      </c>
      <c r="BT300" s="405" t="str">
        <f>IF($A300="N/A"," ",IF('Pricing Inputs'!$AN$3=1,(VLOOKUP($A300,CorrelationTable,2,FALSE)),0))</f>
        <v xml:space="preserve"> </v>
      </c>
      <c r="BU300" s="407" t="str">
        <f>IF($A300="N/A"," ",F300+G300+(D300*(VLOOKUP($A300,'Gas Curves'!$B$17:$P$310,14,FALSE))))</f>
        <v xml:space="preserve"> </v>
      </c>
      <c r="BV300" s="405" t="str">
        <f>IF($A300="N/A"," ",IF('Pricing Inputs'!$AW$3=1,0,(VLOOKUP($A300,InterestRatesTable,2))))</f>
        <v xml:space="preserve"> </v>
      </c>
      <c r="BW300" s="408" t="str">
        <f t="shared" si="431"/>
        <v xml:space="preserve"> </v>
      </c>
    </row>
    <row r="301" spans="1:75">
      <c r="A301" s="248" t="str">
        <f>IF(A300="N/A","N/A",IF(EDATE(A300,1)&gt;Inputs!$K$3,"N/A",EDATE(A300,1)))</f>
        <v>N/A</v>
      </c>
      <c r="B301" s="262" t="str">
        <f t="shared" si="432"/>
        <v xml:space="preserve"> </v>
      </c>
      <c r="C301" s="249" t="str">
        <f t="shared" si="433"/>
        <v xml:space="preserve"> </v>
      </c>
      <c r="D301" s="250" t="str">
        <f>IF(A301="N/A"," ",(VLOOKUP(MONTH($A301),Inputs!$A$14:$B$25,2))/1000)</f>
        <v xml:space="preserve"> </v>
      </c>
      <c r="E301" s="304" t="str">
        <f t="shared" si="434"/>
        <v xml:space="preserve"> </v>
      </c>
      <c r="F301" s="251" t="str">
        <f>IF(A301="N/A"," ",Inputs!$F$6)</f>
        <v xml:space="preserve"> </v>
      </c>
      <c r="G301" s="251" t="str">
        <f>IF(A301="N/A"," ",Inputs!$F$9/IF(AND('Pricing Inputs'!$AQ$3&gt;=4,'Pricing Inputs'!$AQ$3&lt;=6),16,IF(AND('Pricing Inputs'!$AQ$3&gt;=7,'Pricing Inputs'!$AQ$3&lt;=9),8,24))/(BA301/BW301))</f>
        <v xml:space="preserve"> </v>
      </c>
      <c r="H301" s="252" t="str">
        <f t="shared" si="435"/>
        <v xml:space="preserve"> </v>
      </c>
      <c r="I301" s="255" t="str">
        <f>VLOOKUP(A301,ScaledPrice,(IF(AND('Pricing Inputs'!$AQ$3&gt;=1,'Pricing Inputs'!$AQ$3&lt;=6),2,4)))</f>
        <v xml:space="preserve"> </v>
      </c>
      <c r="J301" s="255" t="str">
        <f>IF(A301="N/A"," ",IF(AND('Pricing Inputs'!$AQ$3&gt;=1,'Pricing Inputs'!$AQ$3&lt;=6),I301,(VLOOKUP(A301,ScaledPrice,2))*(2-(VLOOKUP(A301,ScaledPrice,3)))))</f>
        <v xml:space="preserve"> </v>
      </c>
      <c r="K301" s="255" t="str">
        <f>IF(A301="N/A"," ",IF(OR('Pricing Inputs'!$AQ$3=2,'Pricing Inputs'!$AQ$3=3,'Pricing Inputs'!$AQ$3=5,'Pricing Inputs'!$AQ$3=6,'Pricing Inputs'!$AQ$3=8,'Pricing Inputs'!$AQ$3=9),VLOOKUP(A301,ScaledPrice,IF(AND('Pricing Inputs'!$AQ$3&gt;=2,'Pricing Inputs'!$AQ$3&lt;=6),5,6)),0))</f>
        <v xml:space="preserve"> </v>
      </c>
      <c r="L301" s="255" t="str">
        <f>IF(A301="N/A"," ",IF(OR('Pricing Inputs'!$AQ$3=2,'Pricing Inputs'!$AQ$3=3,'Pricing Inputs'!$AQ$3=5,'Pricing Inputs'!$AQ$3=6,'Pricing Inputs'!$AQ$3=8,'Pricing Inputs'!$AQ$3=9),IF(AND('Pricing Inputs'!$AQ$3&gt;=2,'Pricing Inputs'!$AQ$3&lt;=6),K301,(VLOOKUP(A301,ScaledPrice,5))*(2-(VLOOKUP(A301,ScaledPrice,3)))),0))</f>
        <v xml:space="preserve"> </v>
      </c>
      <c r="M301" s="255" t="str">
        <f>IF(A301="N/A"," ",IF(OR('Pricing Inputs'!$AQ$3=3,'Pricing Inputs'!$AQ$3=6,'Pricing Inputs'!$AQ$3=9),(VLOOKUP(A301,ScaledPrice,IF(AND('Pricing Inputs'!$AQ$3&gt;=3,'Pricing Inputs'!$AQ$3&lt;=6),7,8))),0))</f>
        <v xml:space="preserve"> </v>
      </c>
      <c r="N301" s="255" t="str">
        <f>IF(A301="N/A"," ",IF(OR('Pricing Inputs'!$AQ$3=3,'Pricing Inputs'!$AQ$3=6,'Pricing Inputs'!$AQ$3=9),IF(AND('Pricing Inputs'!$AQ$3&gt;=3,'Pricing Inputs'!$AQ$3&lt;=6),M301,(VLOOKUP(A301,ScaledPrice,7))*(2-(VLOOKUP(A301,ScaledPrice,3)))),0))</f>
        <v xml:space="preserve"> </v>
      </c>
      <c r="O301" s="255" t="str">
        <f>IF(A301="N/A"," ",IF(AND('Pricing Inputs'!$AQ$3&gt;=1,'Pricing Inputs'!$AQ$3&lt;=3),VLOOKUP(A301,ScaledPrice,9),0))</f>
        <v xml:space="preserve"> </v>
      </c>
      <c r="P301" s="320" t="str">
        <f>IF($A301="N/A"," ",IF('Pricing Inputs'!$AN$8=2,(I301-H301),IF('Pricing Inputs'!$AN$3=2,IF((I301-$H301)&gt;0,I301-$H301,0),(_xll.xSPRDOPT(I301,$E301,$BU301,0,$BP301,$BS301,$BT301,($A301-Inputs!$D$1)+15,1,0)))))</f>
        <v xml:space="preserve"> </v>
      </c>
      <c r="Q301" s="320" t="str">
        <f>IF($A301="N/A"," ",IF('Pricing Inputs'!$AN$8=2,(J301-$H301),IF('Pricing Inputs'!$AN$3=2,IF((J301-$H301)&gt;0,J301-$H301,0),(_xll.xSPRDOPT(J301,$E301,$BU301,0,$BP301,$BS301,$BT301,($A301-Inputs!$D$1)+15,1,0)))))</f>
        <v xml:space="preserve"> </v>
      </c>
      <c r="R301" s="320" t="str">
        <f>IF($A301="N/A"," ",IF('Pricing Inputs'!$AN$8=2,(K301-$H301),IF('Pricing Inputs'!$AN$3=2,IF((K301-$H301)&gt;0,K301-$H301,0),(_xll.xSPRDOPT(K301,$E301,$BU301,0,$BP301,$BS301,$BT301,($A301-Inputs!$D$1)+15,1,0)))))</f>
        <v xml:space="preserve"> </v>
      </c>
      <c r="S301" s="320" t="str">
        <f>IF($A301="N/A"," ",IF('Pricing Inputs'!$AN$8=2,(L301-$H301),IF('Pricing Inputs'!$AN$3=2,IF((L301-$H301)&gt;0,L301-$H301,0),(_xll.xSPRDOPT(L301,$E301,$BU301,0,$BP301,$BS301,$BT301,($A301-Inputs!$D$1)+15,1,0)))))</f>
        <v xml:space="preserve"> </v>
      </c>
      <c r="T301" s="320" t="str">
        <f>IF($A301="N/A"," ",IF('Pricing Inputs'!$AN$8=2,(M301-$H301),IF('Pricing Inputs'!$AN$3=2,IF((M301-$H301)&gt;0,M301-$H301,0),(_xll.xSPRDOPT(M301,$E301,$BU301,0,$BP301,$BS301,$BT301,($A301-Inputs!$D$1)+15,1,0)))))</f>
        <v xml:space="preserve"> </v>
      </c>
      <c r="U301" s="320" t="str">
        <f>IF($A301="N/A"," ",IF('Pricing Inputs'!$AN$8=2,(N301-$H301),IF('Pricing Inputs'!$AN$3=2,IF((N301-$H301)&gt;0,N301-$H301,0),(_xll.xSPRDOPT(N301,$E301,$BU301,0,$BP301,$BS301,$BT301,($A301-Inputs!$D$1)+15,1,0)))))</f>
        <v xml:space="preserve"> </v>
      </c>
      <c r="V301" s="259" t="str">
        <f>IF($A301="N/A"," ",(IF('Pricing Inputs'!$AN$8=2,(O301-$H301),IF((O301-$H301)&lt;=0,0,(O301-$H301)))))</f>
        <v xml:space="preserve"> </v>
      </c>
      <c r="AK301" s="229"/>
      <c r="AL301" s="229"/>
      <c r="AM301" s="229"/>
      <c r="AN301" s="229"/>
      <c r="AO301" s="229"/>
      <c r="AP301" s="229"/>
      <c r="AQ301" s="229"/>
      <c r="AR301" s="229"/>
      <c r="BA301" s="267" t="str">
        <f>IF($A301="N/A"," ",(IF(MONTH(A301)&gt;=4,IF(MONTH(A301)&lt;=10,Inputs!$F$13,Inputs!$F$14),Inputs!$F$14))*$BW301)</f>
        <v xml:space="preserve"> </v>
      </c>
      <c r="BN301" s="405" t="str">
        <f>IF(A301="N/A"," ",(VLOOKUP(A301,PowerVolTable,(IF('Pricing Inputs'!$AT$3=2,7,IF('Pricing Inputs'!$AT$3=1,6,8))),FALSE)))</f>
        <v xml:space="preserve"> </v>
      </c>
      <c r="BO301" s="405" t="str">
        <f>IF(A301="N/A"," ",(VLOOKUP(A301,IntraPowerVol,(IF('Pricing Inputs'!$AT$3=2,3,IF('Pricing Inputs'!$AT$3=1,2,4))),FALSE)*VLOOKUP(MONTH($A301),Inputs!$A$28:$B$39,2)))</f>
        <v xml:space="preserve"> </v>
      </c>
      <c r="BP301" s="406" t="str">
        <f t="shared" si="430"/>
        <v xml:space="preserve"> </v>
      </c>
      <c r="BQ301" s="405" t="str">
        <f>IF($A301="N/A"," ",(VLOOKUP($A301,GasVolTable,(IF('Pricing Inputs'!$AT$3=2,6,IF('Pricing Inputs'!$AT$3=1,7,5))),FALSE)))</f>
        <v xml:space="preserve"> </v>
      </c>
      <c r="BR301" s="405" t="str">
        <f>IF($A301="N/A"," ",(VLOOKUP($A301,OmicronVol,(IF('Pricing Inputs'!$AT$3=2,3,IF('Pricing Inputs'!$AT$3=1,4,2))),FALSE)))</f>
        <v xml:space="preserve"> </v>
      </c>
      <c r="BS301" s="406" t="str">
        <f>IF($A301="N/A"," ",IF('Pricing Inputs'!$AN$3=1,(IF(DateToday&gt;$A301,$BR301,((($BQ301^2)*((($A301-1)-DateToday)/((EOMONTH($A301,0)+1)-DateToday-15)))+((($BR301)^2)*((15)/((EOMONTH($A301,0)+1)-DateToday-15))))^0.5)),0.0001))</f>
        <v xml:space="preserve"> </v>
      </c>
      <c r="BT301" s="405" t="str">
        <f>IF($A301="N/A"," ",IF('Pricing Inputs'!$AN$3=1,(VLOOKUP($A301,CorrelationTable,2,FALSE)),0))</f>
        <v xml:space="preserve"> </v>
      </c>
      <c r="BU301" s="407" t="str">
        <f>IF($A301="N/A"," ",F301+G301+(D301*(VLOOKUP($A301,'Gas Curves'!$B$17:$P$310,14,FALSE))))</f>
        <v xml:space="preserve"> </v>
      </c>
      <c r="BV301" s="405" t="str">
        <f>IF($A301="N/A"," ",IF('Pricing Inputs'!$AW$3=1,0,(VLOOKUP($A301,InterestRatesTable,2))))</f>
        <v xml:space="preserve"> </v>
      </c>
      <c r="BW301" s="408" t="str">
        <f t="shared" si="431"/>
        <v xml:space="preserve"> </v>
      </c>
    </row>
    <row r="302" spans="1:75">
      <c r="A302" s="248" t="str">
        <f>IF(A301="N/A","N/A",IF(EDATE(A301,1)&gt;Inputs!$K$3,"N/A",EDATE(A301,1)))</f>
        <v>N/A</v>
      </c>
      <c r="B302" s="262" t="str">
        <f t="shared" si="432"/>
        <v xml:space="preserve"> </v>
      </c>
      <c r="C302" s="249" t="str">
        <f t="shared" si="433"/>
        <v xml:space="preserve"> </v>
      </c>
      <c r="D302" s="250" t="str">
        <f>IF(A302="N/A"," ",(VLOOKUP(MONTH($A302),Inputs!$A$14:$B$25,2))/1000)</f>
        <v xml:space="preserve"> </v>
      </c>
      <c r="E302" s="304" t="str">
        <f t="shared" si="434"/>
        <v xml:space="preserve"> </v>
      </c>
      <c r="F302" s="251" t="str">
        <f>IF(A302="N/A"," ",Inputs!$F$6)</f>
        <v xml:space="preserve"> </v>
      </c>
      <c r="G302" s="251" t="str">
        <f>IF(A302="N/A"," ",Inputs!$F$9/IF(AND('Pricing Inputs'!$AQ$3&gt;=4,'Pricing Inputs'!$AQ$3&lt;=6),16,IF(AND('Pricing Inputs'!$AQ$3&gt;=7,'Pricing Inputs'!$AQ$3&lt;=9),8,24))/(BA302/BW302))</f>
        <v xml:space="preserve"> </v>
      </c>
      <c r="H302" s="252" t="str">
        <f t="shared" si="435"/>
        <v xml:space="preserve"> </v>
      </c>
      <c r="I302" s="255" t="str">
        <f>VLOOKUP(A302,ScaledPrice,(IF(AND('Pricing Inputs'!$AQ$3&gt;=1,'Pricing Inputs'!$AQ$3&lt;=6),2,4)))</f>
        <v xml:space="preserve"> </v>
      </c>
      <c r="J302" s="255" t="str">
        <f>IF(A302="N/A"," ",IF(AND('Pricing Inputs'!$AQ$3&gt;=1,'Pricing Inputs'!$AQ$3&lt;=6),I302,(VLOOKUP(A302,ScaledPrice,2))*(2-(VLOOKUP(A302,ScaledPrice,3)))))</f>
        <v xml:space="preserve"> </v>
      </c>
      <c r="K302" s="255" t="str">
        <f>IF(A302="N/A"," ",IF(OR('Pricing Inputs'!$AQ$3=2,'Pricing Inputs'!$AQ$3=3,'Pricing Inputs'!$AQ$3=5,'Pricing Inputs'!$AQ$3=6,'Pricing Inputs'!$AQ$3=8,'Pricing Inputs'!$AQ$3=9),VLOOKUP(A302,ScaledPrice,IF(AND('Pricing Inputs'!$AQ$3&gt;=2,'Pricing Inputs'!$AQ$3&lt;=6),5,6)),0))</f>
        <v xml:space="preserve"> </v>
      </c>
      <c r="L302" s="255" t="str">
        <f>IF(A302="N/A"," ",IF(OR('Pricing Inputs'!$AQ$3=2,'Pricing Inputs'!$AQ$3=3,'Pricing Inputs'!$AQ$3=5,'Pricing Inputs'!$AQ$3=6,'Pricing Inputs'!$AQ$3=8,'Pricing Inputs'!$AQ$3=9),IF(AND('Pricing Inputs'!$AQ$3&gt;=2,'Pricing Inputs'!$AQ$3&lt;=6),K302,(VLOOKUP(A302,ScaledPrice,5))*(2-(VLOOKUP(A302,ScaledPrice,3)))),0))</f>
        <v xml:space="preserve"> </v>
      </c>
      <c r="M302" s="255" t="str">
        <f>IF(A302="N/A"," ",IF(OR('Pricing Inputs'!$AQ$3=3,'Pricing Inputs'!$AQ$3=6,'Pricing Inputs'!$AQ$3=9),(VLOOKUP(A302,ScaledPrice,IF(AND('Pricing Inputs'!$AQ$3&gt;=3,'Pricing Inputs'!$AQ$3&lt;=6),7,8))),0))</f>
        <v xml:space="preserve"> </v>
      </c>
      <c r="N302" s="255" t="str">
        <f>IF(A302="N/A"," ",IF(OR('Pricing Inputs'!$AQ$3=3,'Pricing Inputs'!$AQ$3=6,'Pricing Inputs'!$AQ$3=9),IF(AND('Pricing Inputs'!$AQ$3&gt;=3,'Pricing Inputs'!$AQ$3&lt;=6),M302,(VLOOKUP(A302,ScaledPrice,7))*(2-(VLOOKUP(A302,ScaledPrice,3)))),0))</f>
        <v xml:space="preserve"> </v>
      </c>
      <c r="O302" s="255" t="str">
        <f>IF(A302="N/A"," ",IF(AND('Pricing Inputs'!$AQ$3&gt;=1,'Pricing Inputs'!$AQ$3&lt;=3),VLOOKUP(A302,ScaledPrice,9),0))</f>
        <v xml:space="preserve"> </v>
      </c>
      <c r="P302" s="320" t="str">
        <f>IF($A302="N/A"," ",IF('Pricing Inputs'!$AN$8=2,(I302-H302),IF('Pricing Inputs'!$AN$3=2,IF((I302-$H302)&gt;0,I302-$H302,0),(_xll.xSPRDOPT(I302,$E302,$BU302,0,$BP302,$BS302,$BT302,($A302-Inputs!$D$1)+15,1,0)))))</f>
        <v xml:space="preserve"> </v>
      </c>
      <c r="Q302" s="320" t="str">
        <f>IF($A302="N/A"," ",IF('Pricing Inputs'!$AN$8=2,(J302-$H302),IF('Pricing Inputs'!$AN$3=2,IF((J302-$H302)&gt;0,J302-$H302,0),(_xll.xSPRDOPT(J302,$E302,$BU302,0,$BP302,$BS302,$BT302,($A302-Inputs!$D$1)+15,1,0)))))</f>
        <v xml:space="preserve"> </v>
      </c>
      <c r="R302" s="320" t="str">
        <f>IF($A302="N/A"," ",IF('Pricing Inputs'!$AN$8=2,(K302-$H302),IF('Pricing Inputs'!$AN$3=2,IF((K302-$H302)&gt;0,K302-$H302,0),(_xll.xSPRDOPT(K302,$E302,$BU302,0,$BP302,$BS302,$BT302,($A302-Inputs!$D$1)+15,1,0)))))</f>
        <v xml:space="preserve"> </v>
      </c>
      <c r="S302" s="320" t="str">
        <f>IF($A302="N/A"," ",IF('Pricing Inputs'!$AN$8=2,(L302-$H302),IF('Pricing Inputs'!$AN$3=2,IF((L302-$H302)&gt;0,L302-$H302,0),(_xll.xSPRDOPT(L302,$E302,$BU302,0,$BP302,$BS302,$BT302,($A302-Inputs!$D$1)+15,1,0)))))</f>
        <v xml:space="preserve"> </v>
      </c>
      <c r="T302" s="320" t="str">
        <f>IF($A302="N/A"," ",IF('Pricing Inputs'!$AN$8=2,(M302-$H302),IF('Pricing Inputs'!$AN$3=2,IF((M302-$H302)&gt;0,M302-$H302,0),(_xll.xSPRDOPT(M302,$E302,$BU302,0,$BP302,$BS302,$BT302,($A302-Inputs!$D$1)+15,1,0)))))</f>
        <v xml:space="preserve"> </v>
      </c>
      <c r="U302" s="320" t="str">
        <f>IF($A302="N/A"," ",IF('Pricing Inputs'!$AN$8=2,(N302-$H302),IF('Pricing Inputs'!$AN$3=2,IF((N302-$H302)&gt;0,N302-$H302,0),(_xll.xSPRDOPT(N302,$E302,$BU302,0,$BP302,$BS302,$BT302,($A302-Inputs!$D$1)+15,1,0)))))</f>
        <v xml:space="preserve"> </v>
      </c>
      <c r="V302" s="259" t="str">
        <f>IF($A302="N/A"," ",(IF('Pricing Inputs'!$AN$8=2,(O302-$H302),IF((O302-$H302)&lt;=0,0,(O302-$H302)))))</f>
        <v xml:space="preserve"> </v>
      </c>
      <c r="AK302" s="229"/>
      <c r="AL302" s="229"/>
      <c r="AM302" s="229"/>
      <c r="AN302" s="229"/>
      <c r="AO302" s="229"/>
      <c r="AP302" s="229"/>
      <c r="AQ302" s="229"/>
      <c r="AR302" s="229"/>
      <c r="BA302" s="267" t="str">
        <f>IF($A302="N/A"," ",(IF(MONTH(A302)&gt;=4,IF(MONTH(A302)&lt;=10,Inputs!$F$13,Inputs!$F$14),Inputs!$F$14))*$BW302)</f>
        <v xml:space="preserve"> </v>
      </c>
      <c r="BN302" s="405" t="str">
        <f>IF(A302="N/A"," ",(VLOOKUP(A302,PowerVolTable,(IF('Pricing Inputs'!$AT$3=2,7,IF('Pricing Inputs'!$AT$3=1,6,8))),FALSE)))</f>
        <v xml:space="preserve"> </v>
      </c>
      <c r="BO302" s="405" t="str">
        <f>IF(A302="N/A"," ",(VLOOKUP(A302,IntraPowerVol,(IF('Pricing Inputs'!$AT$3=2,3,IF('Pricing Inputs'!$AT$3=1,2,4))),FALSE)*VLOOKUP(MONTH($A302),Inputs!$A$28:$B$39,2)))</f>
        <v xml:space="preserve"> </v>
      </c>
      <c r="BP302" s="406" t="str">
        <f t="shared" si="430"/>
        <v xml:space="preserve"> </v>
      </c>
      <c r="BQ302" s="405" t="str">
        <f>IF($A302="N/A"," ",(VLOOKUP($A302,GasVolTable,(IF('Pricing Inputs'!$AT$3=2,6,IF('Pricing Inputs'!$AT$3=1,7,5))),FALSE)))</f>
        <v xml:space="preserve"> </v>
      </c>
      <c r="BR302" s="405" t="str">
        <f>IF($A302="N/A"," ",(VLOOKUP($A302,OmicronVol,(IF('Pricing Inputs'!$AT$3=2,3,IF('Pricing Inputs'!$AT$3=1,4,2))),FALSE)))</f>
        <v xml:space="preserve"> </v>
      </c>
      <c r="BS302" s="406" t="str">
        <f>IF($A302="N/A"," ",IF('Pricing Inputs'!$AN$3=1,(IF(DateToday&gt;$A302,$BR302,((($BQ302^2)*((($A302-1)-DateToday)/((EOMONTH($A302,0)+1)-DateToday-15)))+((($BR302)^2)*((15)/((EOMONTH($A302,0)+1)-DateToday-15))))^0.5)),0.0001))</f>
        <v xml:space="preserve"> </v>
      </c>
      <c r="BT302" s="405" t="str">
        <f>IF($A302="N/A"," ",IF('Pricing Inputs'!$AN$3=1,(VLOOKUP($A302,CorrelationTable,2,FALSE)),0))</f>
        <v xml:space="preserve"> </v>
      </c>
      <c r="BU302" s="407" t="str">
        <f>IF($A302="N/A"," ",F302+G302+(D302*(VLOOKUP($A302,'Gas Curves'!$B$17:$P$310,14,FALSE))))</f>
        <v xml:space="preserve"> </v>
      </c>
      <c r="BV302" s="405" t="str">
        <f>IF($A302="N/A"," ",IF('Pricing Inputs'!$AW$3=1,0,(VLOOKUP($A302,InterestRatesTable,2))))</f>
        <v xml:space="preserve"> </v>
      </c>
      <c r="BW302" s="408" t="str">
        <f t="shared" si="431"/>
        <v xml:space="preserve"> </v>
      </c>
    </row>
    <row r="303" spans="1:75">
      <c r="A303" s="248" t="str">
        <f>IF(A302="N/A","N/A",IF(EDATE(A302,1)&gt;Inputs!$K$3,"N/A",EDATE(A302,1)))</f>
        <v>N/A</v>
      </c>
      <c r="B303" s="262" t="str">
        <f t="shared" si="432"/>
        <v xml:space="preserve"> </v>
      </c>
      <c r="C303" s="249" t="str">
        <f t="shared" si="433"/>
        <v xml:space="preserve"> </v>
      </c>
      <c r="D303" s="250" t="str">
        <f>IF(A303="N/A"," ",(VLOOKUP(MONTH($A303),Inputs!$A$14:$B$25,2))/1000)</f>
        <v xml:space="preserve"> </v>
      </c>
      <c r="E303" s="304" t="str">
        <f t="shared" si="434"/>
        <v xml:space="preserve"> </v>
      </c>
      <c r="F303" s="251" t="str">
        <f>IF(A303="N/A"," ",Inputs!$F$6)</f>
        <v xml:space="preserve"> </v>
      </c>
      <c r="G303" s="251" t="str">
        <f>IF(A303="N/A"," ",Inputs!$F$9/IF(AND('Pricing Inputs'!$AQ$3&gt;=4,'Pricing Inputs'!$AQ$3&lt;=6),16,IF(AND('Pricing Inputs'!$AQ$3&gt;=7,'Pricing Inputs'!$AQ$3&lt;=9),8,24))/(BA303/BW303))</f>
        <v xml:space="preserve"> </v>
      </c>
      <c r="H303" s="252" t="str">
        <f t="shared" si="435"/>
        <v xml:space="preserve"> </v>
      </c>
      <c r="I303" s="255" t="str">
        <f>VLOOKUP(A303,ScaledPrice,(IF(AND('Pricing Inputs'!$AQ$3&gt;=1,'Pricing Inputs'!$AQ$3&lt;=6),2,4)))</f>
        <v xml:space="preserve"> </v>
      </c>
      <c r="J303" s="255" t="str">
        <f>IF(A303="N/A"," ",IF(AND('Pricing Inputs'!$AQ$3&gt;=1,'Pricing Inputs'!$AQ$3&lt;=6),I303,(VLOOKUP(A303,ScaledPrice,2))*(2-(VLOOKUP(A303,ScaledPrice,3)))))</f>
        <v xml:space="preserve"> </v>
      </c>
      <c r="K303" s="255" t="str">
        <f>IF(A303="N/A"," ",IF(OR('Pricing Inputs'!$AQ$3=2,'Pricing Inputs'!$AQ$3=3,'Pricing Inputs'!$AQ$3=5,'Pricing Inputs'!$AQ$3=6,'Pricing Inputs'!$AQ$3=8,'Pricing Inputs'!$AQ$3=9),VLOOKUP(A303,ScaledPrice,IF(AND('Pricing Inputs'!$AQ$3&gt;=2,'Pricing Inputs'!$AQ$3&lt;=6),5,6)),0))</f>
        <v xml:space="preserve"> </v>
      </c>
      <c r="L303" s="255" t="str">
        <f>IF(A303="N/A"," ",IF(OR('Pricing Inputs'!$AQ$3=2,'Pricing Inputs'!$AQ$3=3,'Pricing Inputs'!$AQ$3=5,'Pricing Inputs'!$AQ$3=6,'Pricing Inputs'!$AQ$3=8,'Pricing Inputs'!$AQ$3=9),IF(AND('Pricing Inputs'!$AQ$3&gt;=2,'Pricing Inputs'!$AQ$3&lt;=6),K303,(VLOOKUP(A303,ScaledPrice,5))*(2-(VLOOKUP(A303,ScaledPrice,3)))),0))</f>
        <v xml:space="preserve"> </v>
      </c>
      <c r="M303" s="255" t="str">
        <f>IF(A303="N/A"," ",IF(OR('Pricing Inputs'!$AQ$3=3,'Pricing Inputs'!$AQ$3=6,'Pricing Inputs'!$AQ$3=9),(VLOOKUP(A303,ScaledPrice,IF(AND('Pricing Inputs'!$AQ$3&gt;=3,'Pricing Inputs'!$AQ$3&lt;=6),7,8))),0))</f>
        <v xml:space="preserve"> </v>
      </c>
      <c r="N303" s="255" t="str">
        <f>IF(A303="N/A"," ",IF(OR('Pricing Inputs'!$AQ$3=3,'Pricing Inputs'!$AQ$3=6,'Pricing Inputs'!$AQ$3=9),IF(AND('Pricing Inputs'!$AQ$3&gt;=3,'Pricing Inputs'!$AQ$3&lt;=6),M303,(VLOOKUP(A303,ScaledPrice,7))*(2-(VLOOKUP(A303,ScaledPrice,3)))),0))</f>
        <v xml:space="preserve"> </v>
      </c>
      <c r="O303" s="255" t="str">
        <f>IF(A303="N/A"," ",IF(AND('Pricing Inputs'!$AQ$3&gt;=1,'Pricing Inputs'!$AQ$3&lt;=3),VLOOKUP(A303,ScaledPrice,9),0))</f>
        <v xml:space="preserve"> </v>
      </c>
      <c r="P303" s="320" t="str">
        <f>IF($A303="N/A"," ",IF('Pricing Inputs'!$AN$8=2,(I303-H303),IF('Pricing Inputs'!$AN$3=2,IF((I303-$H303)&gt;0,I303-$H303,0),(_xll.xSPRDOPT(I303,$E303,$BU303,0,$BP303,$BS303,$BT303,($A303-Inputs!$D$1)+15,1,0)))))</f>
        <v xml:space="preserve"> </v>
      </c>
      <c r="Q303" s="320" t="str">
        <f>IF($A303="N/A"," ",IF('Pricing Inputs'!$AN$8=2,(J303-$H303),IF('Pricing Inputs'!$AN$3=2,IF((J303-$H303)&gt;0,J303-$H303,0),(_xll.xSPRDOPT(J303,$E303,$BU303,0,$BP303,$BS303,$BT303,($A303-Inputs!$D$1)+15,1,0)))))</f>
        <v xml:space="preserve"> </v>
      </c>
      <c r="R303" s="320" t="str">
        <f>IF($A303="N/A"," ",IF('Pricing Inputs'!$AN$8=2,(K303-$H303),IF('Pricing Inputs'!$AN$3=2,IF((K303-$H303)&gt;0,K303-$H303,0),(_xll.xSPRDOPT(K303,$E303,$BU303,0,$BP303,$BS303,$BT303,($A303-Inputs!$D$1)+15,1,0)))))</f>
        <v xml:space="preserve"> </v>
      </c>
      <c r="S303" s="320" t="str">
        <f>IF($A303="N/A"," ",IF('Pricing Inputs'!$AN$8=2,(L303-$H303),IF('Pricing Inputs'!$AN$3=2,IF((L303-$H303)&gt;0,L303-$H303,0),(_xll.xSPRDOPT(L303,$E303,$BU303,0,$BP303,$BS303,$BT303,($A303-Inputs!$D$1)+15,1,0)))))</f>
        <v xml:space="preserve"> </v>
      </c>
      <c r="T303" s="320" t="str">
        <f>IF($A303="N/A"," ",IF('Pricing Inputs'!$AN$8=2,(M303-$H303),IF('Pricing Inputs'!$AN$3=2,IF((M303-$H303)&gt;0,M303-$H303,0),(_xll.xSPRDOPT(M303,$E303,$BU303,0,$BP303,$BS303,$BT303,($A303-Inputs!$D$1)+15,1,0)))))</f>
        <v xml:space="preserve"> </v>
      </c>
      <c r="U303" s="320" t="str">
        <f>IF($A303="N/A"," ",IF('Pricing Inputs'!$AN$8=2,(N303-$H303),IF('Pricing Inputs'!$AN$3=2,IF((N303-$H303)&gt;0,N303-$H303,0),(_xll.xSPRDOPT(N303,$E303,$BU303,0,$BP303,$BS303,$BT303,($A303-Inputs!$D$1)+15,1,0)))))</f>
        <v xml:space="preserve"> </v>
      </c>
      <c r="V303" s="259" t="str">
        <f>IF($A303="N/A"," ",(IF('Pricing Inputs'!$AN$8=2,(O303-$H303),IF((O303-$H303)&lt;=0,0,(O303-$H303)))))</f>
        <v xml:space="preserve"> </v>
      </c>
      <c r="AK303" s="229"/>
      <c r="AL303" s="229"/>
      <c r="AM303" s="229"/>
      <c r="AN303" s="229"/>
      <c r="AO303" s="229"/>
      <c r="AP303" s="229"/>
      <c r="AQ303" s="229"/>
      <c r="AR303" s="229"/>
      <c r="BA303" s="267" t="str">
        <f>IF($A303="N/A"," ",(IF(MONTH(A303)&gt;=4,IF(MONTH(A303)&lt;=10,Inputs!$F$13,Inputs!$F$14),Inputs!$F$14))*$BW303)</f>
        <v xml:space="preserve"> </v>
      </c>
      <c r="BN303" s="405" t="str">
        <f>IF(A303="N/A"," ",(VLOOKUP(A303,PowerVolTable,(IF('Pricing Inputs'!$AT$3=2,7,IF('Pricing Inputs'!$AT$3=1,6,8))),FALSE)))</f>
        <v xml:space="preserve"> </v>
      </c>
      <c r="BO303" s="405" t="str">
        <f>IF(A303="N/A"," ",(VLOOKUP(A303,IntraPowerVol,(IF('Pricing Inputs'!$AT$3=2,3,IF('Pricing Inputs'!$AT$3=1,2,4))),FALSE)*VLOOKUP(MONTH($A303),Inputs!$A$28:$B$39,2)))</f>
        <v xml:space="preserve"> </v>
      </c>
      <c r="BP303" s="406" t="str">
        <f t="shared" si="430"/>
        <v xml:space="preserve"> </v>
      </c>
      <c r="BQ303" s="405" t="str">
        <f>IF($A303="N/A"," ",(VLOOKUP($A303,GasVolTable,(IF('Pricing Inputs'!$AT$3=2,6,IF('Pricing Inputs'!$AT$3=1,7,5))),FALSE)))</f>
        <v xml:space="preserve"> </v>
      </c>
      <c r="BR303" s="405" t="str">
        <f>IF($A303="N/A"," ",(VLOOKUP($A303,OmicronVol,(IF('Pricing Inputs'!$AT$3=2,3,IF('Pricing Inputs'!$AT$3=1,4,2))),FALSE)))</f>
        <v xml:space="preserve"> </v>
      </c>
      <c r="BS303" s="406" t="str">
        <f>IF($A303="N/A"," ",IF('Pricing Inputs'!$AN$3=1,(IF(DateToday&gt;$A303,$BR303,((($BQ303^2)*((($A303-1)-DateToday)/((EOMONTH($A303,0)+1)-DateToday-15)))+((($BR303)^2)*((15)/((EOMONTH($A303,0)+1)-DateToday-15))))^0.5)),0.0001))</f>
        <v xml:space="preserve"> </v>
      </c>
      <c r="BT303" s="405" t="str">
        <f>IF($A303="N/A"," ",IF('Pricing Inputs'!$AN$3=1,(VLOOKUP($A303,CorrelationTable,2,FALSE)),0))</f>
        <v xml:space="preserve"> </v>
      </c>
      <c r="BU303" s="407" t="str">
        <f>IF($A303="N/A"," ",F303+G303+(D303*(VLOOKUP($A303,'Gas Curves'!$B$17:$P$310,14,FALSE))))</f>
        <v xml:space="preserve"> </v>
      </c>
      <c r="BV303" s="405" t="str">
        <f>IF($A303="N/A"," ",IF('Pricing Inputs'!$AW$3=1,0,(VLOOKUP($A303,InterestRatesTable,2))))</f>
        <v xml:space="preserve"> </v>
      </c>
      <c r="BW303" s="408" t="str">
        <f t="shared" si="431"/>
        <v xml:space="preserve"> </v>
      </c>
    </row>
    <row r="304" spans="1:75">
      <c r="A304" s="248" t="str">
        <f>IF(A303="N/A","N/A",IF(EDATE(A303,1)&gt;Inputs!$K$3,"N/A",EDATE(A303,1)))</f>
        <v>N/A</v>
      </c>
      <c r="B304" s="262" t="str">
        <f t="shared" si="432"/>
        <v xml:space="preserve"> </v>
      </c>
      <c r="C304" s="249" t="str">
        <f t="shared" si="433"/>
        <v xml:space="preserve"> </v>
      </c>
      <c r="D304" s="250" t="str">
        <f>IF(A304="N/A"," ",(VLOOKUP(MONTH($A304),Inputs!$A$14:$B$25,2))/1000)</f>
        <v xml:space="preserve"> </v>
      </c>
      <c r="E304" s="304" t="str">
        <f t="shared" si="434"/>
        <v xml:space="preserve"> </v>
      </c>
      <c r="F304" s="251" t="str">
        <f>IF(A304="N/A"," ",Inputs!$F$6)</f>
        <v xml:space="preserve"> </v>
      </c>
      <c r="G304" s="251" t="str">
        <f>IF(A304="N/A"," ",Inputs!$F$9/IF(AND('Pricing Inputs'!$AQ$3&gt;=4,'Pricing Inputs'!$AQ$3&lt;=6),16,IF(AND('Pricing Inputs'!$AQ$3&gt;=7,'Pricing Inputs'!$AQ$3&lt;=9),8,24))/(BA304/BW304))</f>
        <v xml:space="preserve"> </v>
      </c>
      <c r="H304" s="252" t="str">
        <f t="shared" si="435"/>
        <v xml:space="preserve"> </v>
      </c>
      <c r="I304" s="255" t="str">
        <f>VLOOKUP(A304,ScaledPrice,(IF(AND('Pricing Inputs'!$AQ$3&gt;=1,'Pricing Inputs'!$AQ$3&lt;=6),2,4)))</f>
        <v xml:space="preserve"> </v>
      </c>
      <c r="J304" s="255" t="str">
        <f>IF(A304="N/A"," ",IF(AND('Pricing Inputs'!$AQ$3&gt;=1,'Pricing Inputs'!$AQ$3&lt;=6),I304,(VLOOKUP(A304,ScaledPrice,2))*(2-(VLOOKUP(A304,ScaledPrice,3)))))</f>
        <v xml:space="preserve"> </v>
      </c>
      <c r="K304" s="255" t="str">
        <f>IF(A304="N/A"," ",IF(OR('Pricing Inputs'!$AQ$3=2,'Pricing Inputs'!$AQ$3=3,'Pricing Inputs'!$AQ$3=5,'Pricing Inputs'!$AQ$3=6,'Pricing Inputs'!$AQ$3=8,'Pricing Inputs'!$AQ$3=9),VLOOKUP(A304,ScaledPrice,IF(AND('Pricing Inputs'!$AQ$3&gt;=2,'Pricing Inputs'!$AQ$3&lt;=6),5,6)),0))</f>
        <v xml:space="preserve"> </v>
      </c>
      <c r="L304" s="255" t="str">
        <f>IF(A304="N/A"," ",IF(OR('Pricing Inputs'!$AQ$3=2,'Pricing Inputs'!$AQ$3=3,'Pricing Inputs'!$AQ$3=5,'Pricing Inputs'!$AQ$3=6,'Pricing Inputs'!$AQ$3=8,'Pricing Inputs'!$AQ$3=9),IF(AND('Pricing Inputs'!$AQ$3&gt;=2,'Pricing Inputs'!$AQ$3&lt;=6),K304,(VLOOKUP(A304,ScaledPrice,5))*(2-(VLOOKUP(A304,ScaledPrice,3)))),0))</f>
        <v xml:space="preserve"> </v>
      </c>
      <c r="M304" s="255" t="str">
        <f>IF(A304="N/A"," ",IF(OR('Pricing Inputs'!$AQ$3=3,'Pricing Inputs'!$AQ$3=6,'Pricing Inputs'!$AQ$3=9),(VLOOKUP(A304,ScaledPrice,IF(AND('Pricing Inputs'!$AQ$3&gt;=3,'Pricing Inputs'!$AQ$3&lt;=6),7,8))),0))</f>
        <v xml:space="preserve"> </v>
      </c>
      <c r="N304" s="255" t="str">
        <f>IF(A304="N/A"," ",IF(OR('Pricing Inputs'!$AQ$3=3,'Pricing Inputs'!$AQ$3=6,'Pricing Inputs'!$AQ$3=9),IF(AND('Pricing Inputs'!$AQ$3&gt;=3,'Pricing Inputs'!$AQ$3&lt;=6),M304,(VLOOKUP(A304,ScaledPrice,7))*(2-(VLOOKUP(A304,ScaledPrice,3)))),0))</f>
        <v xml:space="preserve"> </v>
      </c>
      <c r="O304" s="255" t="str">
        <f>IF(A304="N/A"," ",IF(AND('Pricing Inputs'!$AQ$3&gt;=1,'Pricing Inputs'!$AQ$3&lt;=3),VLOOKUP(A304,ScaledPrice,9),0))</f>
        <v xml:space="preserve"> </v>
      </c>
      <c r="P304" s="320" t="str">
        <f>IF($A304="N/A"," ",IF('Pricing Inputs'!$AN$8=2,(I304-H304),IF('Pricing Inputs'!$AN$3=2,IF((I304-$H304)&gt;0,I304-$H304,0),(_xll.xSPRDOPT(I304,$E304,$BU304,0,$BP304,$BS304,$BT304,($A304-Inputs!$D$1)+15,1,0)))))</f>
        <v xml:space="preserve"> </v>
      </c>
      <c r="Q304" s="320" t="str">
        <f>IF($A304="N/A"," ",IF('Pricing Inputs'!$AN$8=2,(J304-$H304),IF('Pricing Inputs'!$AN$3=2,IF((J304-$H304)&gt;0,J304-$H304,0),(_xll.xSPRDOPT(J304,$E304,$BU304,0,$BP304,$BS304,$BT304,($A304-Inputs!$D$1)+15,1,0)))))</f>
        <v xml:space="preserve"> </v>
      </c>
      <c r="R304" s="320" t="str">
        <f>IF($A304="N/A"," ",IF('Pricing Inputs'!$AN$8=2,(K304-$H304),IF('Pricing Inputs'!$AN$3=2,IF((K304-$H304)&gt;0,K304-$H304,0),(_xll.xSPRDOPT(K304,$E304,$BU304,0,$BP304,$BS304,$BT304,($A304-Inputs!$D$1)+15,1,0)))))</f>
        <v xml:space="preserve"> </v>
      </c>
      <c r="S304" s="320" t="str">
        <f>IF($A304="N/A"," ",IF('Pricing Inputs'!$AN$8=2,(L304-$H304),IF('Pricing Inputs'!$AN$3=2,IF((L304-$H304)&gt;0,L304-$H304,0),(_xll.xSPRDOPT(L304,$E304,$BU304,0,$BP304,$BS304,$BT304,($A304-Inputs!$D$1)+15,1,0)))))</f>
        <v xml:space="preserve"> </v>
      </c>
      <c r="T304" s="320" t="str">
        <f>IF($A304="N/A"," ",IF('Pricing Inputs'!$AN$8=2,(M304-$H304),IF('Pricing Inputs'!$AN$3=2,IF((M304-$H304)&gt;0,M304-$H304,0),(_xll.xSPRDOPT(M304,$E304,$BU304,0,$BP304,$BS304,$BT304,($A304-Inputs!$D$1)+15,1,0)))))</f>
        <v xml:space="preserve"> </v>
      </c>
      <c r="U304" s="320" t="str">
        <f>IF($A304="N/A"," ",IF('Pricing Inputs'!$AN$8=2,(N304-$H304),IF('Pricing Inputs'!$AN$3=2,IF((N304-$H304)&gt;0,N304-$H304,0),(_xll.xSPRDOPT(N304,$E304,$BU304,0,$BP304,$BS304,$BT304,($A304-Inputs!$D$1)+15,1,0)))))</f>
        <v xml:space="preserve"> </v>
      </c>
      <c r="V304" s="259" t="str">
        <f>IF($A304="N/A"," ",(IF('Pricing Inputs'!$AN$8=2,(O304-$H304),IF((O304-$H304)&lt;=0,0,(O304-$H304)))))</f>
        <v xml:space="preserve"> </v>
      </c>
      <c r="AK304" s="229"/>
      <c r="AL304" s="229"/>
      <c r="AM304" s="229"/>
      <c r="AN304" s="229"/>
      <c r="AO304" s="229"/>
      <c r="AP304" s="229"/>
      <c r="AQ304" s="229"/>
      <c r="AR304" s="229"/>
      <c r="BA304" s="267" t="str">
        <f>IF($A304="N/A"," ",(IF(MONTH(A304)&gt;=4,IF(MONTH(A304)&lt;=10,Inputs!$F$13,Inputs!$F$14),Inputs!$F$14))*$BW304)</f>
        <v xml:space="preserve"> </v>
      </c>
      <c r="BN304" s="405" t="str">
        <f>IF(A304="N/A"," ",(VLOOKUP(A304,PowerVolTable,(IF('Pricing Inputs'!$AT$3=2,7,IF('Pricing Inputs'!$AT$3=1,6,8))),FALSE)))</f>
        <v xml:space="preserve"> </v>
      </c>
      <c r="BO304" s="405" t="str">
        <f>IF(A304="N/A"," ",(VLOOKUP(A304,IntraPowerVol,(IF('Pricing Inputs'!$AT$3=2,3,IF('Pricing Inputs'!$AT$3=1,2,4))),FALSE)*VLOOKUP(MONTH($A304),Inputs!$A$28:$B$39,2)))</f>
        <v xml:space="preserve"> </v>
      </c>
      <c r="BP304" s="406" t="str">
        <f t="shared" si="430"/>
        <v xml:space="preserve"> </v>
      </c>
      <c r="BQ304" s="405" t="str">
        <f>IF($A304="N/A"," ",(VLOOKUP($A304,GasVolTable,(IF('Pricing Inputs'!$AT$3=2,6,IF('Pricing Inputs'!$AT$3=1,7,5))),FALSE)))</f>
        <v xml:space="preserve"> </v>
      </c>
      <c r="BR304" s="405" t="str">
        <f>IF($A304="N/A"," ",(VLOOKUP($A304,OmicronVol,(IF('Pricing Inputs'!$AT$3=2,3,IF('Pricing Inputs'!$AT$3=1,4,2))),FALSE)))</f>
        <v xml:space="preserve"> </v>
      </c>
      <c r="BS304" s="406" t="str">
        <f>IF($A304="N/A"," ",IF('Pricing Inputs'!$AN$3=1,(IF(DateToday&gt;$A304,$BR304,((($BQ304^2)*((($A304-1)-DateToday)/((EOMONTH($A304,0)+1)-DateToday-15)))+((($BR304)^2)*((15)/((EOMONTH($A304,0)+1)-DateToday-15))))^0.5)),0.0001))</f>
        <v xml:space="preserve"> </v>
      </c>
      <c r="BT304" s="405" t="str">
        <f>IF($A304="N/A"," ",IF('Pricing Inputs'!$AN$3=1,(VLOOKUP($A304,CorrelationTable,2,FALSE)),0))</f>
        <v xml:space="preserve"> </v>
      </c>
      <c r="BU304" s="407" t="str">
        <f>IF($A304="N/A"," ",F304+G304+(D304*(VLOOKUP($A304,'Gas Curves'!$B$17:$P$310,14,FALSE))))</f>
        <v xml:space="preserve"> </v>
      </c>
      <c r="BV304" s="405" t="str">
        <f>IF($A304="N/A"," ",IF('Pricing Inputs'!$AW$3=1,0,(VLOOKUP($A304,InterestRatesTable,2))))</f>
        <v xml:space="preserve"> </v>
      </c>
      <c r="BW304" s="408" t="str">
        <f t="shared" si="431"/>
        <v xml:space="preserve"> </v>
      </c>
    </row>
    <row r="305" spans="1:75">
      <c r="A305" s="248" t="str">
        <f>IF(A304="N/A","N/A",IF(EDATE(A304,1)&gt;Inputs!$K$3,"N/A",EDATE(A304,1)))</f>
        <v>N/A</v>
      </c>
      <c r="B305" s="262" t="str">
        <f t="shared" si="432"/>
        <v xml:space="preserve"> </v>
      </c>
      <c r="C305" s="249" t="str">
        <f t="shared" si="433"/>
        <v xml:space="preserve"> </v>
      </c>
      <c r="D305" s="250" t="str">
        <f>IF(A305="N/A"," ",(VLOOKUP(MONTH($A305),Inputs!$A$14:$B$25,2))/1000)</f>
        <v xml:space="preserve"> </v>
      </c>
      <c r="E305" s="304" t="str">
        <f t="shared" si="434"/>
        <v xml:space="preserve"> </v>
      </c>
      <c r="F305" s="251" t="str">
        <f>IF(A305="N/A"," ",Inputs!$F$6)</f>
        <v xml:space="preserve"> </v>
      </c>
      <c r="G305" s="251" t="str">
        <f>IF(A305="N/A"," ",Inputs!$F$9/IF(AND('Pricing Inputs'!$AQ$3&gt;=4,'Pricing Inputs'!$AQ$3&lt;=6),16,IF(AND('Pricing Inputs'!$AQ$3&gt;=7,'Pricing Inputs'!$AQ$3&lt;=9),8,24))/(BA305/BW305))</f>
        <v xml:space="preserve"> </v>
      </c>
      <c r="H305" s="252" t="str">
        <f t="shared" si="435"/>
        <v xml:space="preserve"> </v>
      </c>
      <c r="I305" s="255" t="str">
        <f>VLOOKUP(A305,ScaledPrice,(IF(AND('Pricing Inputs'!$AQ$3&gt;=1,'Pricing Inputs'!$AQ$3&lt;=6),2,4)))</f>
        <v xml:space="preserve"> </v>
      </c>
      <c r="J305" s="255" t="str">
        <f>IF(A305="N/A"," ",IF(AND('Pricing Inputs'!$AQ$3&gt;=1,'Pricing Inputs'!$AQ$3&lt;=6),I305,(VLOOKUP(A305,ScaledPrice,2))*(2-(VLOOKUP(A305,ScaledPrice,3)))))</f>
        <v xml:space="preserve"> </v>
      </c>
      <c r="K305" s="255" t="str">
        <f>IF(A305="N/A"," ",IF(OR('Pricing Inputs'!$AQ$3=2,'Pricing Inputs'!$AQ$3=3,'Pricing Inputs'!$AQ$3=5,'Pricing Inputs'!$AQ$3=6,'Pricing Inputs'!$AQ$3=8,'Pricing Inputs'!$AQ$3=9),VLOOKUP(A305,ScaledPrice,IF(AND('Pricing Inputs'!$AQ$3&gt;=2,'Pricing Inputs'!$AQ$3&lt;=6),5,6)),0))</f>
        <v xml:space="preserve"> </v>
      </c>
      <c r="L305" s="255" t="str">
        <f>IF(A305="N/A"," ",IF(OR('Pricing Inputs'!$AQ$3=2,'Pricing Inputs'!$AQ$3=3,'Pricing Inputs'!$AQ$3=5,'Pricing Inputs'!$AQ$3=6,'Pricing Inputs'!$AQ$3=8,'Pricing Inputs'!$AQ$3=9),IF(AND('Pricing Inputs'!$AQ$3&gt;=2,'Pricing Inputs'!$AQ$3&lt;=6),K305,(VLOOKUP(A305,ScaledPrice,5))*(2-(VLOOKUP(A305,ScaledPrice,3)))),0))</f>
        <v xml:space="preserve"> </v>
      </c>
      <c r="M305" s="255" t="str">
        <f>IF(A305="N/A"," ",IF(OR('Pricing Inputs'!$AQ$3=3,'Pricing Inputs'!$AQ$3=6,'Pricing Inputs'!$AQ$3=9),(VLOOKUP(A305,ScaledPrice,IF(AND('Pricing Inputs'!$AQ$3&gt;=3,'Pricing Inputs'!$AQ$3&lt;=6),7,8))),0))</f>
        <v xml:space="preserve"> </v>
      </c>
      <c r="N305" s="255" t="str">
        <f>IF(A305="N/A"," ",IF(OR('Pricing Inputs'!$AQ$3=3,'Pricing Inputs'!$AQ$3=6,'Pricing Inputs'!$AQ$3=9),IF(AND('Pricing Inputs'!$AQ$3&gt;=3,'Pricing Inputs'!$AQ$3&lt;=6),M305,(VLOOKUP(A305,ScaledPrice,7))*(2-(VLOOKUP(A305,ScaledPrice,3)))),0))</f>
        <v xml:space="preserve"> </v>
      </c>
      <c r="O305" s="255" t="str">
        <f>IF(A305="N/A"," ",IF(AND('Pricing Inputs'!$AQ$3&gt;=1,'Pricing Inputs'!$AQ$3&lt;=3),VLOOKUP(A305,ScaledPrice,9),0))</f>
        <v xml:space="preserve"> </v>
      </c>
      <c r="P305" s="320" t="str">
        <f>IF($A305="N/A"," ",IF('Pricing Inputs'!$AN$8=2,(I305-H305),IF('Pricing Inputs'!$AN$3=2,IF((I305-$H305)&gt;0,I305-$H305,0),(_xll.xSPRDOPT(I305,$E305,$BU305,0,$BP305,$BS305,$BT305,($A305-Inputs!$D$1)+15,1,0)))))</f>
        <v xml:space="preserve"> </v>
      </c>
      <c r="Q305" s="320" t="str">
        <f>IF($A305="N/A"," ",IF('Pricing Inputs'!$AN$8=2,(J305-$H305),IF('Pricing Inputs'!$AN$3=2,IF((J305-$H305)&gt;0,J305-$H305,0),(_xll.xSPRDOPT(J305,$E305,$BU305,0,$BP305,$BS305,$BT305,($A305-Inputs!$D$1)+15,1,0)))))</f>
        <v xml:space="preserve"> </v>
      </c>
      <c r="R305" s="320" t="str">
        <f>IF($A305="N/A"," ",IF('Pricing Inputs'!$AN$8=2,(K305-$H305),IF('Pricing Inputs'!$AN$3=2,IF((K305-$H305)&gt;0,K305-$H305,0),(_xll.xSPRDOPT(K305,$E305,$BU305,0,$BP305,$BS305,$BT305,($A305-Inputs!$D$1)+15,1,0)))))</f>
        <v xml:space="preserve"> </v>
      </c>
      <c r="S305" s="320" t="str">
        <f>IF($A305="N/A"," ",IF('Pricing Inputs'!$AN$8=2,(L305-$H305),IF('Pricing Inputs'!$AN$3=2,IF((L305-$H305)&gt;0,L305-$H305,0),(_xll.xSPRDOPT(L305,$E305,$BU305,0,$BP305,$BS305,$BT305,($A305-Inputs!$D$1)+15,1,0)))))</f>
        <v xml:space="preserve"> </v>
      </c>
      <c r="T305" s="320" t="str">
        <f>IF($A305="N/A"," ",IF('Pricing Inputs'!$AN$8=2,(M305-$H305),IF('Pricing Inputs'!$AN$3=2,IF((M305-$H305)&gt;0,M305-$H305,0),(_xll.xSPRDOPT(M305,$E305,$BU305,0,$BP305,$BS305,$BT305,($A305-Inputs!$D$1)+15,1,0)))))</f>
        <v xml:space="preserve"> </v>
      </c>
      <c r="U305" s="320" t="str">
        <f>IF($A305="N/A"," ",IF('Pricing Inputs'!$AN$8=2,(N305-$H305),IF('Pricing Inputs'!$AN$3=2,IF((N305-$H305)&gt;0,N305-$H305,0),(_xll.xSPRDOPT(N305,$E305,$BU305,0,$BP305,$BS305,$BT305,($A305-Inputs!$D$1)+15,1,0)))))</f>
        <v xml:space="preserve"> </v>
      </c>
      <c r="V305" s="259" t="str">
        <f>IF($A305="N/A"," ",(IF('Pricing Inputs'!$AN$8=2,(O305-$H305),IF((O305-$H305)&lt;=0,0,(O305-$H305)))))</f>
        <v xml:space="preserve"> </v>
      </c>
      <c r="AK305" s="229"/>
      <c r="AL305" s="229"/>
      <c r="AM305" s="229"/>
      <c r="AN305" s="229"/>
      <c r="AO305" s="229"/>
      <c r="AP305" s="229"/>
      <c r="AQ305" s="229"/>
      <c r="AR305" s="229"/>
      <c r="BA305" s="267" t="str">
        <f>IF($A305="N/A"," ",(IF(MONTH(A305)&gt;=4,IF(MONTH(A305)&lt;=10,Inputs!$F$13,Inputs!$F$14),Inputs!$F$14))*$BW305)</f>
        <v xml:space="preserve"> </v>
      </c>
      <c r="BN305" s="405" t="str">
        <f>IF(A305="N/A"," ",(VLOOKUP(A305,PowerVolTable,(IF('Pricing Inputs'!$AT$3=2,7,IF('Pricing Inputs'!$AT$3=1,6,8))),FALSE)))</f>
        <v xml:space="preserve"> </v>
      </c>
      <c r="BO305" s="405" t="str">
        <f>IF(A305="N/A"," ",(VLOOKUP(A305,IntraPowerVol,(IF('Pricing Inputs'!$AT$3=2,3,IF('Pricing Inputs'!$AT$3=1,2,4))),FALSE)*VLOOKUP(MONTH($A305),Inputs!$A$28:$B$39,2)))</f>
        <v xml:space="preserve"> </v>
      </c>
      <c r="BP305" s="406" t="str">
        <f t="shared" si="430"/>
        <v xml:space="preserve"> </v>
      </c>
      <c r="BQ305" s="405" t="str">
        <f>IF($A305="N/A"," ",(VLOOKUP($A305,GasVolTable,(IF('Pricing Inputs'!$AT$3=2,6,IF('Pricing Inputs'!$AT$3=1,7,5))),FALSE)))</f>
        <v xml:space="preserve"> </v>
      </c>
      <c r="BR305" s="405" t="str">
        <f>IF($A305="N/A"," ",(VLOOKUP($A305,OmicronVol,(IF('Pricing Inputs'!$AT$3=2,3,IF('Pricing Inputs'!$AT$3=1,4,2))),FALSE)))</f>
        <v xml:space="preserve"> </v>
      </c>
      <c r="BS305" s="406" t="str">
        <f>IF($A305="N/A"," ",IF('Pricing Inputs'!$AN$3=1,(IF(DateToday&gt;$A305,$BR305,((($BQ305^2)*((($A305-1)-DateToday)/((EOMONTH($A305,0)+1)-DateToday-15)))+((($BR305)^2)*((15)/((EOMONTH($A305,0)+1)-DateToday-15))))^0.5)),0.0001))</f>
        <v xml:space="preserve"> </v>
      </c>
      <c r="BT305" s="405" t="str">
        <f>IF($A305="N/A"," ",IF('Pricing Inputs'!$AN$3=1,(VLOOKUP($A305,CorrelationTable,2,FALSE)),0))</f>
        <v xml:space="preserve"> </v>
      </c>
      <c r="BU305" s="407" t="str">
        <f>IF($A305="N/A"," ",F305+G305+(D305*(VLOOKUP($A305,'Gas Curves'!$B$17:$P$310,14,FALSE))))</f>
        <v xml:space="preserve"> </v>
      </c>
      <c r="BV305" s="405" t="str">
        <f>IF($A305="N/A"," ",IF('Pricing Inputs'!$AW$3=1,0,(VLOOKUP($A305,InterestRatesTable,2))))</f>
        <v xml:space="preserve"> </v>
      </c>
      <c r="BW305" s="408" t="str">
        <f t="shared" si="431"/>
        <v xml:space="preserve"> </v>
      </c>
    </row>
    <row r="306" spans="1:75">
      <c r="A306" s="248" t="str">
        <f>IF(A305="N/A","N/A",IF(EDATE(A305,1)&gt;Inputs!$K$3,"N/A",EDATE(A305,1)))</f>
        <v>N/A</v>
      </c>
      <c r="B306" s="262" t="str">
        <f t="shared" si="432"/>
        <v xml:space="preserve"> </v>
      </c>
      <c r="C306" s="249" t="str">
        <f t="shared" si="433"/>
        <v xml:space="preserve"> </v>
      </c>
      <c r="D306" s="250" t="str">
        <f>IF(A306="N/A"," ",(VLOOKUP(MONTH($A306),Inputs!$A$14:$B$25,2))/1000)</f>
        <v xml:space="preserve"> </v>
      </c>
      <c r="E306" s="304" t="str">
        <f t="shared" si="434"/>
        <v xml:space="preserve"> </v>
      </c>
      <c r="F306" s="251" t="str">
        <f>IF(A306="N/A"," ",Inputs!$F$6)</f>
        <v xml:space="preserve"> </v>
      </c>
      <c r="G306" s="251" t="str">
        <f>IF(A306="N/A"," ",Inputs!$F$9/IF(AND('Pricing Inputs'!$AQ$3&gt;=4,'Pricing Inputs'!$AQ$3&lt;=6),16,IF(AND('Pricing Inputs'!$AQ$3&gt;=7,'Pricing Inputs'!$AQ$3&lt;=9),8,24))/(BA306/BW306))</f>
        <v xml:space="preserve"> </v>
      </c>
      <c r="H306" s="252" t="str">
        <f t="shared" si="435"/>
        <v xml:space="preserve"> </v>
      </c>
      <c r="I306" s="255" t="str">
        <f>VLOOKUP(A306,ScaledPrice,(IF(AND('Pricing Inputs'!$AQ$3&gt;=1,'Pricing Inputs'!$AQ$3&lt;=6),2,4)))</f>
        <v xml:space="preserve"> </v>
      </c>
      <c r="J306" s="255" t="str">
        <f>IF(A306="N/A"," ",IF(AND('Pricing Inputs'!$AQ$3&gt;=1,'Pricing Inputs'!$AQ$3&lt;=6),I306,(VLOOKUP(A306,ScaledPrice,2))*(2-(VLOOKUP(A306,ScaledPrice,3)))))</f>
        <v xml:space="preserve"> </v>
      </c>
      <c r="K306" s="255" t="str">
        <f>IF(A306="N/A"," ",IF(OR('Pricing Inputs'!$AQ$3=2,'Pricing Inputs'!$AQ$3=3,'Pricing Inputs'!$AQ$3=5,'Pricing Inputs'!$AQ$3=6,'Pricing Inputs'!$AQ$3=8,'Pricing Inputs'!$AQ$3=9),VLOOKUP(A306,ScaledPrice,IF(AND('Pricing Inputs'!$AQ$3&gt;=2,'Pricing Inputs'!$AQ$3&lt;=6),5,6)),0))</f>
        <v xml:space="preserve"> </v>
      </c>
      <c r="L306" s="255" t="str">
        <f>IF(A306="N/A"," ",IF(OR('Pricing Inputs'!$AQ$3=2,'Pricing Inputs'!$AQ$3=3,'Pricing Inputs'!$AQ$3=5,'Pricing Inputs'!$AQ$3=6,'Pricing Inputs'!$AQ$3=8,'Pricing Inputs'!$AQ$3=9),IF(AND('Pricing Inputs'!$AQ$3&gt;=2,'Pricing Inputs'!$AQ$3&lt;=6),K306,(VLOOKUP(A306,ScaledPrice,5))*(2-(VLOOKUP(A306,ScaledPrice,3)))),0))</f>
        <v xml:space="preserve"> </v>
      </c>
      <c r="M306" s="255" t="str">
        <f>IF(A306="N/A"," ",IF(OR('Pricing Inputs'!$AQ$3=3,'Pricing Inputs'!$AQ$3=6,'Pricing Inputs'!$AQ$3=9),(VLOOKUP(A306,ScaledPrice,IF(AND('Pricing Inputs'!$AQ$3&gt;=3,'Pricing Inputs'!$AQ$3&lt;=6),7,8))),0))</f>
        <v xml:space="preserve"> </v>
      </c>
      <c r="N306" s="255" t="str">
        <f>IF(A306="N/A"," ",IF(OR('Pricing Inputs'!$AQ$3=3,'Pricing Inputs'!$AQ$3=6,'Pricing Inputs'!$AQ$3=9),IF(AND('Pricing Inputs'!$AQ$3&gt;=3,'Pricing Inputs'!$AQ$3&lt;=6),M306,(VLOOKUP(A306,ScaledPrice,7))*(2-(VLOOKUP(A306,ScaledPrice,3)))),0))</f>
        <v xml:space="preserve"> </v>
      </c>
      <c r="O306" s="255" t="str">
        <f>IF(A306="N/A"," ",IF(AND('Pricing Inputs'!$AQ$3&gt;=1,'Pricing Inputs'!$AQ$3&lt;=3),VLOOKUP(A306,ScaledPrice,9),0))</f>
        <v xml:space="preserve"> </v>
      </c>
      <c r="P306" s="320" t="str">
        <f>IF($A306="N/A"," ",IF('Pricing Inputs'!$AN$8=2,(I306-H306),IF('Pricing Inputs'!$AN$3=2,IF((I306-$H306)&gt;0,I306-$H306,0),(_xll.xSPRDOPT(I306,$E306,$BU306,0,$BP306,$BS306,$BT306,($A306-Inputs!$D$1)+15,1,0)))))</f>
        <v xml:space="preserve"> </v>
      </c>
      <c r="Q306" s="320" t="str">
        <f>IF($A306="N/A"," ",IF('Pricing Inputs'!$AN$8=2,(J306-$H306),IF('Pricing Inputs'!$AN$3=2,IF((J306-$H306)&gt;0,J306-$H306,0),(_xll.xSPRDOPT(J306,$E306,$BU306,0,$BP306,$BS306,$BT306,($A306-Inputs!$D$1)+15,1,0)))))</f>
        <v xml:space="preserve"> </v>
      </c>
      <c r="R306" s="320" t="str">
        <f>IF($A306="N/A"," ",IF('Pricing Inputs'!$AN$8=2,(K306-$H306),IF('Pricing Inputs'!$AN$3=2,IF((K306-$H306)&gt;0,K306-$H306,0),(_xll.xSPRDOPT(K306,$E306,$BU306,0,$BP306,$BS306,$BT306,($A306-Inputs!$D$1)+15,1,0)))))</f>
        <v xml:space="preserve"> </v>
      </c>
      <c r="S306" s="320" t="str">
        <f>IF($A306="N/A"," ",IF('Pricing Inputs'!$AN$8=2,(L306-$H306),IF('Pricing Inputs'!$AN$3=2,IF((L306-$H306)&gt;0,L306-$H306,0),(_xll.xSPRDOPT(L306,$E306,$BU306,0,$BP306,$BS306,$BT306,($A306-Inputs!$D$1)+15,1,0)))))</f>
        <v xml:space="preserve"> </v>
      </c>
      <c r="T306" s="320" t="str">
        <f>IF($A306="N/A"," ",IF('Pricing Inputs'!$AN$8=2,(M306-$H306),IF('Pricing Inputs'!$AN$3=2,IF((M306-$H306)&gt;0,M306-$H306,0),(_xll.xSPRDOPT(M306,$E306,$BU306,0,$BP306,$BS306,$BT306,($A306-Inputs!$D$1)+15,1,0)))))</f>
        <v xml:space="preserve"> </v>
      </c>
      <c r="U306" s="320" t="str">
        <f>IF($A306="N/A"," ",IF('Pricing Inputs'!$AN$8=2,(N306-$H306),IF('Pricing Inputs'!$AN$3=2,IF((N306-$H306)&gt;0,N306-$H306,0),(_xll.xSPRDOPT(N306,$E306,$BU306,0,$BP306,$BS306,$BT306,($A306-Inputs!$D$1)+15,1,0)))))</f>
        <v xml:space="preserve"> </v>
      </c>
      <c r="V306" s="259" t="str">
        <f>IF($A306="N/A"," ",(IF('Pricing Inputs'!$AN$8=2,(O306-$H306),IF((O306-$H306)&lt;=0,0,(O306-$H306)))))</f>
        <v xml:space="preserve"> </v>
      </c>
      <c r="AK306" s="229"/>
      <c r="AL306" s="229"/>
      <c r="AM306" s="229"/>
      <c r="AN306" s="229"/>
      <c r="AO306" s="229"/>
      <c r="AP306" s="229"/>
      <c r="AQ306" s="229"/>
      <c r="AR306" s="229"/>
      <c r="BA306" s="267" t="str">
        <f>IF($A306="N/A"," ",(IF(MONTH(A306)&gt;=4,IF(MONTH(A306)&lt;=10,Inputs!$F$13,Inputs!$F$14),Inputs!$F$14))*$BW306)</f>
        <v xml:space="preserve"> </v>
      </c>
      <c r="BN306" s="405" t="str">
        <f>IF(A306="N/A"," ",(VLOOKUP(A306,PowerVolTable,(IF('Pricing Inputs'!$AT$3=2,7,IF('Pricing Inputs'!$AT$3=1,6,8))),FALSE)))</f>
        <v xml:space="preserve"> </v>
      </c>
      <c r="BO306" s="405" t="str">
        <f>IF(A306="N/A"," ",(VLOOKUP(A306,IntraPowerVol,(IF('Pricing Inputs'!$AT$3=2,3,IF('Pricing Inputs'!$AT$3=1,2,4))),FALSE)*VLOOKUP(MONTH($A306),Inputs!$A$28:$B$39,2)))</f>
        <v xml:space="preserve"> </v>
      </c>
      <c r="BP306" s="406" t="str">
        <f t="shared" si="430"/>
        <v xml:space="preserve"> </v>
      </c>
      <c r="BQ306" s="405" t="str">
        <f>IF($A306="N/A"," ",(VLOOKUP($A306,GasVolTable,(IF('Pricing Inputs'!$AT$3=2,6,IF('Pricing Inputs'!$AT$3=1,7,5))),FALSE)))</f>
        <v xml:space="preserve"> </v>
      </c>
      <c r="BR306" s="405" t="str">
        <f>IF($A306="N/A"," ",(VLOOKUP($A306,OmicronVol,(IF('Pricing Inputs'!$AT$3=2,3,IF('Pricing Inputs'!$AT$3=1,4,2))),FALSE)))</f>
        <v xml:space="preserve"> </v>
      </c>
      <c r="BS306" s="406" t="str">
        <f>IF($A306="N/A"," ",IF('Pricing Inputs'!$AN$3=1,(IF(DateToday&gt;$A306,$BR306,((($BQ306^2)*((($A306-1)-DateToday)/((EOMONTH($A306,0)+1)-DateToday-15)))+((($BR306)^2)*((15)/((EOMONTH($A306,0)+1)-DateToday-15))))^0.5)),0.0001))</f>
        <v xml:space="preserve"> </v>
      </c>
      <c r="BT306" s="405" t="str">
        <f>IF($A306="N/A"," ",IF('Pricing Inputs'!$AN$3=1,(VLOOKUP($A306,CorrelationTable,2,FALSE)),0))</f>
        <v xml:space="preserve"> </v>
      </c>
      <c r="BU306" s="407" t="str">
        <f>IF($A306="N/A"," ",F306+G306+(D306*(VLOOKUP($A306,'Gas Curves'!$B$17:$P$310,14,FALSE))))</f>
        <v xml:space="preserve"> </v>
      </c>
      <c r="BV306" s="405" t="str">
        <f>IF($A306="N/A"," ",IF('Pricing Inputs'!$AW$3=1,0,(VLOOKUP($A306,InterestRatesTable,2))))</f>
        <v xml:space="preserve"> </v>
      </c>
      <c r="BW306" s="408" t="str">
        <f t="shared" si="431"/>
        <v xml:space="preserve"> </v>
      </c>
    </row>
    <row r="307" spans="1:75">
      <c r="A307" s="248" t="str">
        <f>IF(A306="N/A","N/A",IF(EDATE(A306,1)&gt;Inputs!$K$3,"N/A",EDATE(A306,1)))</f>
        <v>N/A</v>
      </c>
      <c r="B307" s="262" t="str">
        <f t="shared" si="432"/>
        <v xml:space="preserve"> </v>
      </c>
      <c r="C307" s="249" t="str">
        <f t="shared" si="433"/>
        <v xml:space="preserve"> </v>
      </c>
      <c r="D307" s="250" t="str">
        <f>IF(A307="N/A"," ",(VLOOKUP(MONTH($A307),Inputs!$A$14:$B$25,2))/1000)</f>
        <v xml:space="preserve"> </v>
      </c>
      <c r="E307" s="304" t="str">
        <f t="shared" si="434"/>
        <v xml:space="preserve"> </v>
      </c>
      <c r="F307" s="251" t="str">
        <f>IF(A307="N/A"," ",Inputs!$F$6)</f>
        <v xml:space="preserve"> </v>
      </c>
      <c r="G307" s="251" t="str">
        <f>IF(A307="N/A"," ",Inputs!$F$9/IF(AND('Pricing Inputs'!$AQ$3&gt;=4,'Pricing Inputs'!$AQ$3&lt;=6),16,IF(AND('Pricing Inputs'!$AQ$3&gt;=7,'Pricing Inputs'!$AQ$3&lt;=9),8,24))/(BA307/BW307))</f>
        <v xml:space="preserve"> </v>
      </c>
      <c r="H307" s="252" t="str">
        <f t="shared" si="435"/>
        <v xml:space="preserve"> </v>
      </c>
      <c r="I307" s="255" t="str">
        <f>VLOOKUP(A307,ScaledPrice,(IF(AND('Pricing Inputs'!$AQ$3&gt;=1,'Pricing Inputs'!$AQ$3&lt;=6),2,4)))</f>
        <v xml:space="preserve"> </v>
      </c>
      <c r="J307" s="255" t="str">
        <f>IF(A307="N/A"," ",IF(AND('Pricing Inputs'!$AQ$3&gt;=1,'Pricing Inputs'!$AQ$3&lt;=6),I307,(VLOOKUP(A307,ScaledPrice,2))*(2-(VLOOKUP(A307,ScaledPrice,3)))))</f>
        <v xml:space="preserve"> </v>
      </c>
      <c r="K307" s="255" t="str">
        <f>IF(A307="N/A"," ",IF(OR('Pricing Inputs'!$AQ$3=2,'Pricing Inputs'!$AQ$3=3,'Pricing Inputs'!$AQ$3=5,'Pricing Inputs'!$AQ$3=6,'Pricing Inputs'!$AQ$3=8,'Pricing Inputs'!$AQ$3=9),VLOOKUP(A307,ScaledPrice,IF(AND('Pricing Inputs'!$AQ$3&gt;=2,'Pricing Inputs'!$AQ$3&lt;=6),5,6)),0))</f>
        <v xml:space="preserve"> </v>
      </c>
      <c r="L307" s="255" t="str">
        <f>IF(A307="N/A"," ",IF(OR('Pricing Inputs'!$AQ$3=2,'Pricing Inputs'!$AQ$3=3,'Pricing Inputs'!$AQ$3=5,'Pricing Inputs'!$AQ$3=6,'Pricing Inputs'!$AQ$3=8,'Pricing Inputs'!$AQ$3=9),IF(AND('Pricing Inputs'!$AQ$3&gt;=2,'Pricing Inputs'!$AQ$3&lt;=6),K307,(VLOOKUP(A307,ScaledPrice,5))*(2-(VLOOKUP(A307,ScaledPrice,3)))),0))</f>
        <v xml:space="preserve"> </v>
      </c>
      <c r="M307" s="255" t="str">
        <f>IF(A307="N/A"," ",IF(OR('Pricing Inputs'!$AQ$3=3,'Pricing Inputs'!$AQ$3=6,'Pricing Inputs'!$AQ$3=9),(VLOOKUP(A307,ScaledPrice,IF(AND('Pricing Inputs'!$AQ$3&gt;=3,'Pricing Inputs'!$AQ$3&lt;=6),7,8))),0))</f>
        <v xml:space="preserve"> </v>
      </c>
      <c r="N307" s="255" t="str">
        <f>IF(A307="N/A"," ",IF(OR('Pricing Inputs'!$AQ$3=3,'Pricing Inputs'!$AQ$3=6,'Pricing Inputs'!$AQ$3=9),IF(AND('Pricing Inputs'!$AQ$3&gt;=3,'Pricing Inputs'!$AQ$3&lt;=6),M307,(VLOOKUP(A307,ScaledPrice,7))*(2-(VLOOKUP(A307,ScaledPrice,3)))),0))</f>
        <v xml:space="preserve"> </v>
      </c>
      <c r="O307" s="255" t="str">
        <f>IF(A307="N/A"," ",IF(AND('Pricing Inputs'!$AQ$3&gt;=1,'Pricing Inputs'!$AQ$3&lt;=3),VLOOKUP(A307,ScaledPrice,9),0))</f>
        <v xml:space="preserve"> </v>
      </c>
      <c r="P307" s="320" t="str">
        <f>IF($A307="N/A"," ",IF('Pricing Inputs'!$AN$8=2,(I307-H307),IF('Pricing Inputs'!$AN$3=2,IF((I307-$H307)&gt;0,I307-$H307,0),(_xll.xSPRDOPT(I307,$E307,$BU307,0,$BP307,$BS307,$BT307,($A307-Inputs!$D$1)+15,1,0)))))</f>
        <v xml:space="preserve"> </v>
      </c>
      <c r="Q307" s="320" t="str">
        <f>IF($A307="N/A"," ",IF('Pricing Inputs'!$AN$8=2,(J307-$H307),IF('Pricing Inputs'!$AN$3=2,IF((J307-$H307)&gt;0,J307-$H307,0),(_xll.xSPRDOPT(J307,$E307,$BU307,0,$BP307,$BS307,$BT307,($A307-Inputs!$D$1)+15,1,0)))))</f>
        <v xml:space="preserve"> </v>
      </c>
      <c r="R307" s="320" t="str">
        <f>IF($A307="N/A"," ",IF('Pricing Inputs'!$AN$8=2,(K307-$H307),IF('Pricing Inputs'!$AN$3=2,IF((K307-$H307)&gt;0,K307-$H307,0),(_xll.xSPRDOPT(K307,$E307,$BU307,0,$BP307,$BS307,$BT307,($A307-Inputs!$D$1)+15,1,0)))))</f>
        <v xml:space="preserve"> </v>
      </c>
      <c r="S307" s="320" t="str">
        <f>IF($A307="N/A"," ",IF('Pricing Inputs'!$AN$8=2,(L307-$H307),IF('Pricing Inputs'!$AN$3=2,IF((L307-$H307)&gt;0,L307-$H307,0),(_xll.xSPRDOPT(L307,$E307,$BU307,0,$BP307,$BS307,$BT307,($A307-Inputs!$D$1)+15,1,0)))))</f>
        <v xml:space="preserve"> </v>
      </c>
      <c r="T307" s="320" t="str">
        <f>IF($A307="N/A"," ",IF('Pricing Inputs'!$AN$8=2,(M307-$H307),IF('Pricing Inputs'!$AN$3=2,IF((M307-$H307)&gt;0,M307-$H307,0),(_xll.xSPRDOPT(M307,$E307,$BU307,0,$BP307,$BS307,$BT307,($A307-Inputs!$D$1)+15,1,0)))))</f>
        <v xml:space="preserve"> </v>
      </c>
      <c r="U307" s="320" t="str">
        <f>IF($A307="N/A"," ",IF('Pricing Inputs'!$AN$8=2,(N307-$H307),IF('Pricing Inputs'!$AN$3=2,IF((N307-$H307)&gt;0,N307-$H307,0),(_xll.xSPRDOPT(N307,$E307,$BU307,0,$BP307,$BS307,$BT307,($A307-Inputs!$D$1)+15,1,0)))))</f>
        <v xml:space="preserve"> </v>
      </c>
      <c r="V307" s="259" t="str">
        <f>IF($A307="N/A"," ",(IF('Pricing Inputs'!$AN$8=2,(O307-$H307),IF((O307-$H307)&lt;=0,0,(O307-$H307)))))</f>
        <v xml:space="preserve"> </v>
      </c>
      <c r="AK307" s="229"/>
      <c r="AL307" s="229"/>
      <c r="AM307" s="229"/>
      <c r="AN307" s="229"/>
      <c r="AO307" s="229"/>
      <c r="AP307" s="229"/>
      <c r="AQ307" s="229"/>
      <c r="AR307" s="229"/>
      <c r="BA307" s="267" t="str">
        <f>IF($A307="N/A"," ",(IF(MONTH(A307)&gt;=4,IF(MONTH(A307)&lt;=10,Inputs!$F$13,Inputs!$F$14),Inputs!$F$14))*$BW307)</f>
        <v xml:space="preserve"> </v>
      </c>
      <c r="BN307" s="405" t="str">
        <f>IF(A307="N/A"," ",(VLOOKUP(A307,PowerVolTable,(IF('Pricing Inputs'!$AT$3=2,7,IF('Pricing Inputs'!$AT$3=1,6,8))),FALSE)))</f>
        <v xml:space="preserve"> </v>
      </c>
      <c r="BO307" s="405" t="str">
        <f>IF(A307="N/A"," ",(VLOOKUP(A307,IntraPowerVol,(IF('Pricing Inputs'!$AT$3=2,3,IF('Pricing Inputs'!$AT$3=1,2,4))),FALSE)*VLOOKUP(MONTH($A307),Inputs!$A$28:$B$39,2)))</f>
        <v xml:space="preserve"> </v>
      </c>
      <c r="BP307" s="406" t="str">
        <f t="shared" si="430"/>
        <v xml:space="preserve"> </v>
      </c>
      <c r="BQ307" s="405" t="str">
        <f>IF($A307="N/A"," ",(VLOOKUP($A307,GasVolTable,(IF('Pricing Inputs'!$AT$3=2,6,IF('Pricing Inputs'!$AT$3=1,7,5))),FALSE)))</f>
        <v xml:space="preserve"> </v>
      </c>
      <c r="BR307" s="405" t="str">
        <f>IF($A307="N/A"," ",(VLOOKUP($A307,OmicronVol,(IF('Pricing Inputs'!$AT$3=2,3,IF('Pricing Inputs'!$AT$3=1,4,2))),FALSE)))</f>
        <v xml:space="preserve"> </v>
      </c>
      <c r="BS307" s="406" t="str">
        <f>IF($A307="N/A"," ",IF('Pricing Inputs'!$AN$3=1,(IF(DateToday&gt;$A307,$BR307,((($BQ307^2)*((($A307-1)-DateToday)/((EOMONTH($A307,0)+1)-DateToday-15)))+((($BR307)^2)*((15)/((EOMONTH($A307,0)+1)-DateToday-15))))^0.5)),0.0001))</f>
        <v xml:space="preserve"> </v>
      </c>
      <c r="BT307" s="405" t="str">
        <f>IF($A307="N/A"," ",IF('Pricing Inputs'!$AN$3=1,(VLOOKUP($A307,CorrelationTable,2,FALSE)),0))</f>
        <v xml:space="preserve"> </v>
      </c>
      <c r="BU307" s="407" t="str">
        <f>IF($A307="N/A"," ",F307+G307+(D307*(VLOOKUP($A307,'Gas Curves'!$B$17:$P$310,14,FALSE))))</f>
        <v xml:space="preserve"> </v>
      </c>
      <c r="BV307" s="405" t="str">
        <f>IF($A307="N/A"," ",IF('Pricing Inputs'!$AW$3=1,0,(VLOOKUP($A307,InterestRatesTable,2))))</f>
        <v xml:space="preserve"> </v>
      </c>
      <c r="BW307" s="408" t="str">
        <f t="shared" si="431"/>
        <v xml:space="preserve"> </v>
      </c>
    </row>
    <row r="308" spans="1:75">
      <c r="A308" s="248" t="str">
        <f>IF(A307="N/A","N/A",IF(EDATE(A307,1)&gt;Inputs!$K$3,"N/A",EDATE(A307,1)))</f>
        <v>N/A</v>
      </c>
      <c r="B308" s="262" t="str">
        <f t="shared" si="432"/>
        <v xml:space="preserve"> </v>
      </c>
      <c r="C308" s="249" t="str">
        <f t="shared" si="433"/>
        <v xml:space="preserve"> </v>
      </c>
      <c r="D308" s="250" t="str">
        <f>IF(A308="N/A"," ",(VLOOKUP(MONTH($A308),Inputs!$A$14:$B$25,2))/1000)</f>
        <v xml:space="preserve"> </v>
      </c>
      <c r="E308" s="304" t="str">
        <f t="shared" si="434"/>
        <v xml:space="preserve"> </v>
      </c>
      <c r="F308" s="251" t="str">
        <f>IF(A308="N/A"," ",Inputs!$F$6)</f>
        <v xml:space="preserve"> </v>
      </c>
      <c r="G308" s="251" t="str">
        <f>IF(A308="N/A"," ",Inputs!$F$9/IF(AND('Pricing Inputs'!$AQ$3&gt;=4,'Pricing Inputs'!$AQ$3&lt;=6),16,IF(AND('Pricing Inputs'!$AQ$3&gt;=7,'Pricing Inputs'!$AQ$3&lt;=9),8,24))/(BA308/BW308))</f>
        <v xml:space="preserve"> </v>
      </c>
      <c r="H308" s="252" t="str">
        <f t="shared" si="435"/>
        <v xml:space="preserve"> </v>
      </c>
      <c r="I308" s="255" t="str">
        <f>VLOOKUP(A308,ScaledPrice,(IF(AND('Pricing Inputs'!$AQ$3&gt;=1,'Pricing Inputs'!$AQ$3&lt;=6),2,4)))</f>
        <v xml:space="preserve"> </v>
      </c>
      <c r="J308" s="255" t="str">
        <f>IF(A308="N/A"," ",IF(AND('Pricing Inputs'!$AQ$3&gt;=1,'Pricing Inputs'!$AQ$3&lt;=6),I308,(VLOOKUP(A308,ScaledPrice,2))*(2-(VLOOKUP(A308,ScaledPrice,3)))))</f>
        <v xml:space="preserve"> </v>
      </c>
      <c r="K308" s="255" t="str">
        <f>IF(A308="N/A"," ",IF(OR('Pricing Inputs'!$AQ$3=2,'Pricing Inputs'!$AQ$3=3,'Pricing Inputs'!$AQ$3=5,'Pricing Inputs'!$AQ$3=6,'Pricing Inputs'!$AQ$3=8,'Pricing Inputs'!$AQ$3=9),VLOOKUP(A308,ScaledPrice,IF(AND('Pricing Inputs'!$AQ$3&gt;=2,'Pricing Inputs'!$AQ$3&lt;=6),5,6)),0))</f>
        <v xml:space="preserve"> </v>
      </c>
      <c r="L308" s="255" t="str">
        <f>IF(A308="N/A"," ",IF(OR('Pricing Inputs'!$AQ$3=2,'Pricing Inputs'!$AQ$3=3,'Pricing Inputs'!$AQ$3=5,'Pricing Inputs'!$AQ$3=6,'Pricing Inputs'!$AQ$3=8,'Pricing Inputs'!$AQ$3=9),IF(AND('Pricing Inputs'!$AQ$3&gt;=2,'Pricing Inputs'!$AQ$3&lt;=6),K308,(VLOOKUP(A308,ScaledPrice,5))*(2-(VLOOKUP(A308,ScaledPrice,3)))),0))</f>
        <v xml:space="preserve"> </v>
      </c>
      <c r="M308" s="255" t="str">
        <f>IF(A308="N/A"," ",IF(OR('Pricing Inputs'!$AQ$3=3,'Pricing Inputs'!$AQ$3=6,'Pricing Inputs'!$AQ$3=9),(VLOOKUP(A308,ScaledPrice,IF(AND('Pricing Inputs'!$AQ$3&gt;=3,'Pricing Inputs'!$AQ$3&lt;=6),7,8))),0))</f>
        <v xml:space="preserve"> </v>
      </c>
      <c r="N308" s="255" t="str">
        <f>IF(A308="N/A"," ",IF(OR('Pricing Inputs'!$AQ$3=3,'Pricing Inputs'!$AQ$3=6,'Pricing Inputs'!$AQ$3=9),IF(AND('Pricing Inputs'!$AQ$3&gt;=3,'Pricing Inputs'!$AQ$3&lt;=6),M308,(VLOOKUP(A308,ScaledPrice,7))*(2-(VLOOKUP(A308,ScaledPrice,3)))),0))</f>
        <v xml:space="preserve"> </v>
      </c>
      <c r="O308" s="255" t="str">
        <f>IF(A308="N/A"," ",IF(AND('Pricing Inputs'!$AQ$3&gt;=1,'Pricing Inputs'!$AQ$3&lt;=3),VLOOKUP(A308,ScaledPrice,9),0))</f>
        <v xml:space="preserve"> </v>
      </c>
      <c r="P308" s="320" t="str">
        <f>IF($A308="N/A"," ",IF('Pricing Inputs'!$AN$8=2,(I308-H308),IF('Pricing Inputs'!$AN$3=2,IF((I308-$H308)&gt;0,I308-$H308,0),(_xll.xSPRDOPT(I308,$E308,$BU308,0,$BP308,$BS308,$BT308,($A308-Inputs!$D$1)+15,1,0)))))</f>
        <v xml:space="preserve"> </v>
      </c>
      <c r="Q308" s="320" t="str">
        <f>IF($A308="N/A"," ",IF('Pricing Inputs'!$AN$8=2,(J308-$H308),IF('Pricing Inputs'!$AN$3=2,IF((J308-$H308)&gt;0,J308-$H308,0),(_xll.xSPRDOPT(J308,$E308,$BU308,0,$BP308,$BS308,$BT308,($A308-Inputs!$D$1)+15,1,0)))))</f>
        <v xml:space="preserve"> </v>
      </c>
      <c r="R308" s="320" t="str">
        <f>IF($A308="N/A"," ",IF('Pricing Inputs'!$AN$8=2,(K308-$H308),IF('Pricing Inputs'!$AN$3=2,IF((K308-$H308)&gt;0,K308-$H308,0),(_xll.xSPRDOPT(K308,$E308,$BU308,0,$BP308,$BS308,$BT308,($A308-Inputs!$D$1)+15,1,0)))))</f>
        <v xml:space="preserve"> </v>
      </c>
      <c r="S308" s="320" t="str">
        <f>IF($A308="N/A"," ",IF('Pricing Inputs'!$AN$8=2,(L308-$H308),IF('Pricing Inputs'!$AN$3=2,IF((L308-$H308)&gt;0,L308-$H308,0),(_xll.xSPRDOPT(L308,$E308,$BU308,0,$BP308,$BS308,$BT308,($A308-Inputs!$D$1)+15,1,0)))))</f>
        <v xml:space="preserve"> </v>
      </c>
      <c r="T308" s="320" t="str">
        <f>IF($A308="N/A"," ",IF('Pricing Inputs'!$AN$8=2,(M308-$H308),IF('Pricing Inputs'!$AN$3=2,IF((M308-$H308)&gt;0,M308-$H308,0),(_xll.xSPRDOPT(M308,$E308,$BU308,0,$BP308,$BS308,$BT308,($A308-Inputs!$D$1)+15,1,0)))))</f>
        <v xml:space="preserve"> </v>
      </c>
      <c r="U308" s="320" t="str">
        <f>IF($A308="N/A"," ",IF('Pricing Inputs'!$AN$8=2,(N308-$H308),IF('Pricing Inputs'!$AN$3=2,IF((N308-$H308)&gt;0,N308-$H308,0),(_xll.xSPRDOPT(N308,$E308,$BU308,0,$BP308,$BS308,$BT308,($A308-Inputs!$D$1)+15,1,0)))))</f>
        <v xml:space="preserve"> </v>
      </c>
      <c r="V308" s="259" t="str">
        <f>IF($A308="N/A"," ",(IF('Pricing Inputs'!$AN$8=2,(O308-$H308),IF((O308-$H308)&lt;=0,0,(O308-$H308)))))</f>
        <v xml:space="preserve"> </v>
      </c>
      <c r="AK308" s="229"/>
      <c r="AL308" s="229"/>
      <c r="AM308" s="229"/>
      <c r="AN308" s="229"/>
      <c r="AO308" s="229"/>
      <c r="AP308" s="229"/>
      <c r="AQ308" s="229"/>
      <c r="AR308" s="229"/>
      <c r="BA308" s="267" t="str">
        <f>IF($A308="N/A"," ",(IF(MONTH(A308)&gt;=4,IF(MONTH(A308)&lt;=10,Inputs!$F$13,Inputs!$F$14),Inputs!$F$14))*$BW308)</f>
        <v xml:space="preserve"> </v>
      </c>
      <c r="BN308" s="405" t="str">
        <f>IF(A308="N/A"," ",(VLOOKUP(A308,PowerVolTable,(IF('Pricing Inputs'!$AT$3=2,7,IF('Pricing Inputs'!$AT$3=1,6,8))),FALSE)))</f>
        <v xml:space="preserve"> </v>
      </c>
      <c r="BO308" s="405" t="str">
        <f>IF(A308="N/A"," ",(VLOOKUP(A308,IntraPowerVol,(IF('Pricing Inputs'!$AT$3=2,3,IF('Pricing Inputs'!$AT$3=1,2,4))),FALSE)*VLOOKUP(MONTH($A308),Inputs!$A$28:$B$39,2)))</f>
        <v xml:space="preserve"> </v>
      </c>
      <c r="BP308" s="406" t="str">
        <f t="shared" si="430"/>
        <v xml:space="preserve"> </v>
      </c>
      <c r="BQ308" s="405" t="str">
        <f>IF($A308="N/A"," ",(VLOOKUP($A308,GasVolTable,(IF('Pricing Inputs'!$AT$3=2,6,IF('Pricing Inputs'!$AT$3=1,7,5))),FALSE)))</f>
        <v xml:space="preserve"> </v>
      </c>
      <c r="BR308" s="405" t="str">
        <f>IF($A308="N/A"," ",(VLOOKUP($A308,OmicronVol,(IF('Pricing Inputs'!$AT$3=2,3,IF('Pricing Inputs'!$AT$3=1,4,2))),FALSE)))</f>
        <v xml:space="preserve"> </v>
      </c>
      <c r="BS308" s="406" t="str">
        <f>IF($A308="N/A"," ",IF('Pricing Inputs'!$AN$3=1,(IF(DateToday&gt;$A308,$BR308,((($BQ308^2)*((($A308-1)-DateToday)/((EOMONTH($A308,0)+1)-DateToday-15)))+((($BR308)^2)*((15)/((EOMONTH($A308,0)+1)-DateToday-15))))^0.5)),0.0001))</f>
        <v xml:space="preserve"> </v>
      </c>
      <c r="BT308" s="405" t="str">
        <f>IF($A308="N/A"," ",IF('Pricing Inputs'!$AN$3=1,(VLOOKUP($A308,CorrelationTable,2,FALSE)),0))</f>
        <v xml:space="preserve"> </v>
      </c>
      <c r="BU308" s="407" t="str">
        <f>IF($A308="N/A"," ",F308+G308+(D308*(VLOOKUP($A308,'Gas Curves'!$B$17:$P$310,14,FALSE))))</f>
        <v xml:space="preserve"> </v>
      </c>
      <c r="BV308" s="405" t="str">
        <f>IF($A308="N/A"," ",IF('Pricing Inputs'!$AW$3=1,0,(VLOOKUP($A308,InterestRatesTable,2))))</f>
        <v xml:space="preserve"> </v>
      </c>
      <c r="BW308" s="408" t="str">
        <f t="shared" si="431"/>
        <v xml:space="preserve"> </v>
      </c>
    </row>
    <row r="309" spans="1:75">
      <c r="A309" s="248" t="str">
        <f>IF(A308="N/A","N/A",IF(EDATE(A308,1)&gt;Inputs!$K$3,"N/A",EDATE(A308,1)))</f>
        <v>N/A</v>
      </c>
      <c r="B309" s="262" t="str">
        <f t="shared" si="432"/>
        <v xml:space="preserve"> </v>
      </c>
      <c r="C309" s="249" t="str">
        <f t="shared" si="433"/>
        <v xml:space="preserve"> </v>
      </c>
      <c r="D309" s="250" t="str">
        <f>IF(A309="N/A"," ",(VLOOKUP(MONTH($A309),Inputs!$A$14:$B$25,2))/1000)</f>
        <v xml:space="preserve"> </v>
      </c>
      <c r="E309" s="304" t="str">
        <f t="shared" si="434"/>
        <v xml:space="preserve"> </v>
      </c>
      <c r="F309" s="251" t="str">
        <f>IF(A309="N/A"," ",Inputs!$F$6)</f>
        <v xml:space="preserve"> </v>
      </c>
      <c r="G309" s="251" t="str">
        <f>IF(A309="N/A"," ",Inputs!$F$9/IF(AND('Pricing Inputs'!$AQ$3&gt;=4,'Pricing Inputs'!$AQ$3&lt;=6),16,IF(AND('Pricing Inputs'!$AQ$3&gt;=7,'Pricing Inputs'!$AQ$3&lt;=9),8,24))/(BA309/BW309))</f>
        <v xml:space="preserve"> </v>
      </c>
      <c r="H309" s="252" t="str">
        <f t="shared" si="435"/>
        <v xml:space="preserve"> </v>
      </c>
      <c r="I309" s="255" t="str">
        <f>VLOOKUP(A309,ScaledPrice,(IF(AND('Pricing Inputs'!$AQ$3&gt;=1,'Pricing Inputs'!$AQ$3&lt;=6),2,4)))</f>
        <v xml:space="preserve"> </v>
      </c>
      <c r="J309" s="255" t="str">
        <f>IF(A309="N/A"," ",IF(AND('Pricing Inputs'!$AQ$3&gt;=1,'Pricing Inputs'!$AQ$3&lt;=6),I309,(VLOOKUP(A309,ScaledPrice,2))*(2-(VLOOKUP(A309,ScaledPrice,3)))))</f>
        <v xml:space="preserve"> </v>
      </c>
      <c r="K309" s="255" t="str">
        <f>IF(A309="N/A"," ",IF(OR('Pricing Inputs'!$AQ$3=2,'Pricing Inputs'!$AQ$3=3,'Pricing Inputs'!$AQ$3=5,'Pricing Inputs'!$AQ$3=6,'Pricing Inputs'!$AQ$3=8,'Pricing Inputs'!$AQ$3=9),VLOOKUP(A309,ScaledPrice,IF(AND('Pricing Inputs'!$AQ$3&gt;=2,'Pricing Inputs'!$AQ$3&lt;=6),5,6)),0))</f>
        <v xml:space="preserve"> </v>
      </c>
      <c r="L309" s="255" t="str">
        <f>IF(A309="N/A"," ",IF(OR('Pricing Inputs'!$AQ$3=2,'Pricing Inputs'!$AQ$3=3,'Pricing Inputs'!$AQ$3=5,'Pricing Inputs'!$AQ$3=6,'Pricing Inputs'!$AQ$3=8,'Pricing Inputs'!$AQ$3=9),IF(AND('Pricing Inputs'!$AQ$3&gt;=2,'Pricing Inputs'!$AQ$3&lt;=6),K309,(VLOOKUP(A309,ScaledPrice,5))*(2-(VLOOKUP(A309,ScaledPrice,3)))),0))</f>
        <v xml:space="preserve"> </v>
      </c>
      <c r="M309" s="255" t="str">
        <f>IF(A309="N/A"," ",IF(OR('Pricing Inputs'!$AQ$3=3,'Pricing Inputs'!$AQ$3=6,'Pricing Inputs'!$AQ$3=9),(VLOOKUP(A309,ScaledPrice,IF(AND('Pricing Inputs'!$AQ$3&gt;=3,'Pricing Inputs'!$AQ$3&lt;=6),7,8))),0))</f>
        <v xml:space="preserve"> </v>
      </c>
      <c r="N309" s="255" t="str">
        <f>IF(A309="N/A"," ",IF(OR('Pricing Inputs'!$AQ$3=3,'Pricing Inputs'!$AQ$3=6,'Pricing Inputs'!$AQ$3=9),IF(AND('Pricing Inputs'!$AQ$3&gt;=3,'Pricing Inputs'!$AQ$3&lt;=6),M309,(VLOOKUP(A309,ScaledPrice,7))*(2-(VLOOKUP(A309,ScaledPrice,3)))),0))</f>
        <v xml:space="preserve"> </v>
      </c>
      <c r="O309" s="255" t="str">
        <f>IF(A309="N/A"," ",IF(AND('Pricing Inputs'!$AQ$3&gt;=1,'Pricing Inputs'!$AQ$3&lt;=3),VLOOKUP(A309,ScaledPrice,9),0))</f>
        <v xml:space="preserve"> </v>
      </c>
      <c r="P309" s="320" t="str">
        <f>IF($A309="N/A"," ",IF('Pricing Inputs'!$AN$8=2,(I309-H309),IF('Pricing Inputs'!$AN$3=2,IF((I309-$H309)&gt;0,I309-$H309,0),(_xll.xSPRDOPT(I309,$E309,$BU309,0,$BP309,$BS309,$BT309,($A309-Inputs!$D$1)+15,1,0)))))</f>
        <v xml:space="preserve"> </v>
      </c>
      <c r="Q309" s="320" t="str">
        <f>IF($A309="N/A"," ",IF('Pricing Inputs'!$AN$8=2,(J309-$H309),IF('Pricing Inputs'!$AN$3=2,IF((J309-$H309)&gt;0,J309-$H309,0),(_xll.xSPRDOPT(J309,$E309,$BU309,0,$BP309,$BS309,$BT309,($A309-Inputs!$D$1)+15,1,0)))))</f>
        <v xml:space="preserve"> </v>
      </c>
      <c r="R309" s="320" t="str">
        <f>IF($A309="N/A"," ",IF('Pricing Inputs'!$AN$8=2,(K309-$H309),IF('Pricing Inputs'!$AN$3=2,IF((K309-$H309)&gt;0,K309-$H309,0),(_xll.xSPRDOPT(K309,$E309,$BU309,0,$BP309,$BS309,$BT309,($A309-Inputs!$D$1)+15,1,0)))))</f>
        <v xml:space="preserve"> </v>
      </c>
      <c r="S309" s="320" t="str">
        <f>IF($A309="N/A"," ",IF('Pricing Inputs'!$AN$8=2,(L309-$H309),IF('Pricing Inputs'!$AN$3=2,IF((L309-$H309)&gt;0,L309-$H309,0),(_xll.xSPRDOPT(L309,$E309,$BU309,0,$BP309,$BS309,$BT309,($A309-Inputs!$D$1)+15,1,0)))))</f>
        <v xml:space="preserve"> </v>
      </c>
      <c r="T309" s="320" t="str">
        <f>IF($A309="N/A"," ",IF('Pricing Inputs'!$AN$8=2,(M309-$H309),IF('Pricing Inputs'!$AN$3=2,IF((M309-$H309)&gt;0,M309-$H309,0),(_xll.xSPRDOPT(M309,$E309,$BU309,0,$BP309,$BS309,$BT309,($A309-Inputs!$D$1)+15,1,0)))))</f>
        <v xml:space="preserve"> </v>
      </c>
      <c r="U309" s="320" t="str">
        <f>IF($A309="N/A"," ",IF('Pricing Inputs'!$AN$8=2,(N309-$H309),IF('Pricing Inputs'!$AN$3=2,IF((N309-$H309)&gt;0,N309-$H309,0),(_xll.xSPRDOPT(N309,$E309,$BU309,0,$BP309,$BS309,$BT309,($A309-Inputs!$D$1)+15,1,0)))))</f>
        <v xml:space="preserve"> </v>
      </c>
      <c r="V309" s="259" t="str">
        <f>IF($A309="N/A"," ",(IF('Pricing Inputs'!$AN$8=2,(O309-$H309),IF((O309-$H309)&lt;=0,0,(O309-$H309)))))</f>
        <v xml:space="preserve"> </v>
      </c>
      <c r="AK309" s="229"/>
      <c r="AL309" s="229"/>
      <c r="AM309" s="229"/>
      <c r="AN309" s="229"/>
      <c r="AO309" s="229"/>
      <c r="AP309" s="229"/>
      <c r="AQ309" s="229"/>
      <c r="AR309" s="229"/>
      <c r="BA309" s="267" t="str">
        <f>IF($A309="N/A"," ",(IF(MONTH(A309)&gt;=4,IF(MONTH(A309)&lt;=10,Inputs!$F$13,Inputs!$F$14),Inputs!$F$14))*$BW309)</f>
        <v xml:space="preserve"> </v>
      </c>
      <c r="BN309" s="405" t="str">
        <f>IF(A309="N/A"," ",(VLOOKUP(A309,PowerVolTable,(IF('Pricing Inputs'!$AT$3=2,7,IF('Pricing Inputs'!$AT$3=1,6,8))),FALSE)))</f>
        <v xml:space="preserve"> </v>
      </c>
      <c r="BO309" s="405" t="str">
        <f>IF(A309="N/A"," ",(VLOOKUP(A309,IntraPowerVol,(IF('Pricing Inputs'!$AT$3=2,3,IF('Pricing Inputs'!$AT$3=1,2,4))),FALSE)*VLOOKUP(MONTH($A309),Inputs!$A$28:$B$39,2)))</f>
        <v xml:space="preserve"> </v>
      </c>
      <c r="BP309" s="406" t="str">
        <f t="shared" si="430"/>
        <v xml:space="preserve"> </v>
      </c>
      <c r="BQ309" s="405" t="str">
        <f>IF($A309="N/A"," ",(VLOOKUP($A309,GasVolTable,(IF('Pricing Inputs'!$AT$3=2,6,IF('Pricing Inputs'!$AT$3=1,7,5))),FALSE)))</f>
        <v xml:space="preserve"> </v>
      </c>
      <c r="BR309" s="405" t="str">
        <f>IF($A309="N/A"," ",(VLOOKUP($A309,OmicronVol,(IF('Pricing Inputs'!$AT$3=2,3,IF('Pricing Inputs'!$AT$3=1,4,2))),FALSE)))</f>
        <v xml:space="preserve"> </v>
      </c>
      <c r="BS309" s="406" t="str">
        <f>IF($A309="N/A"," ",IF('Pricing Inputs'!$AN$3=1,(IF(DateToday&gt;$A309,$BR309,((($BQ309^2)*((($A309-1)-DateToday)/((EOMONTH($A309,0)+1)-DateToday-15)))+((($BR309)^2)*((15)/((EOMONTH($A309,0)+1)-DateToday-15))))^0.5)),0.0001))</f>
        <v xml:space="preserve"> </v>
      </c>
      <c r="BT309" s="405" t="str">
        <f>IF($A309="N/A"," ",IF('Pricing Inputs'!$AN$3=1,(VLOOKUP($A309,CorrelationTable,2,FALSE)),0))</f>
        <v xml:space="preserve"> </v>
      </c>
      <c r="BU309" s="407" t="str">
        <f>IF($A309="N/A"," ",F309+G309+(D309*(VLOOKUP($A309,'Gas Curves'!$B$17:$P$310,14,FALSE))))</f>
        <v xml:space="preserve"> </v>
      </c>
      <c r="BV309" s="405" t="str">
        <f>IF($A309="N/A"," ",IF('Pricing Inputs'!$AW$3=1,0,(VLOOKUP($A309,InterestRatesTable,2))))</f>
        <v xml:space="preserve"> </v>
      </c>
      <c r="BW309" s="408" t="str">
        <f t="shared" si="431"/>
        <v xml:space="preserve"> </v>
      </c>
    </row>
    <row r="310" spans="1:75">
      <c r="A310" s="248" t="str">
        <f>IF(A309="N/A","N/A",IF(EDATE(A309,1)&gt;Inputs!$K$3,"N/A",EDATE(A309,1)))</f>
        <v>N/A</v>
      </c>
      <c r="B310" s="262" t="str">
        <f t="shared" si="432"/>
        <v xml:space="preserve"> </v>
      </c>
      <c r="C310" s="249" t="str">
        <f t="shared" si="433"/>
        <v xml:space="preserve"> </v>
      </c>
      <c r="D310" s="250" t="str">
        <f>IF(A310="N/A"," ",(VLOOKUP(MONTH($A310),Inputs!$A$14:$B$25,2))/1000)</f>
        <v xml:space="preserve"> </v>
      </c>
      <c r="E310" s="304" t="str">
        <f t="shared" si="434"/>
        <v xml:space="preserve"> </v>
      </c>
      <c r="F310" s="251" t="str">
        <f>IF(A310="N/A"," ",Inputs!$F$6)</f>
        <v xml:space="preserve"> </v>
      </c>
      <c r="G310" s="251" t="str">
        <f>IF(A310="N/A"," ",Inputs!$F$9/IF(AND('Pricing Inputs'!$AQ$3&gt;=4,'Pricing Inputs'!$AQ$3&lt;=6),16,IF(AND('Pricing Inputs'!$AQ$3&gt;=7,'Pricing Inputs'!$AQ$3&lt;=9),8,24))/(BA310/BW310))</f>
        <v xml:space="preserve"> </v>
      </c>
      <c r="H310" s="252" t="str">
        <f t="shared" si="435"/>
        <v xml:space="preserve"> </v>
      </c>
      <c r="I310" s="255" t="str">
        <f>VLOOKUP(A310,ScaledPrice,(IF(AND('Pricing Inputs'!$AQ$3&gt;=1,'Pricing Inputs'!$AQ$3&lt;=6),2,4)))</f>
        <v xml:space="preserve"> </v>
      </c>
      <c r="J310" s="255" t="str">
        <f>IF(A310="N/A"," ",IF(AND('Pricing Inputs'!$AQ$3&gt;=1,'Pricing Inputs'!$AQ$3&lt;=6),I310,(VLOOKUP(A310,ScaledPrice,2))*(2-(VLOOKUP(A310,ScaledPrice,3)))))</f>
        <v xml:space="preserve"> </v>
      </c>
      <c r="K310" s="255" t="str">
        <f>IF(A310="N/A"," ",IF(OR('Pricing Inputs'!$AQ$3=2,'Pricing Inputs'!$AQ$3=3,'Pricing Inputs'!$AQ$3=5,'Pricing Inputs'!$AQ$3=6,'Pricing Inputs'!$AQ$3=8,'Pricing Inputs'!$AQ$3=9),VLOOKUP(A310,ScaledPrice,IF(AND('Pricing Inputs'!$AQ$3&gt;=2,'Pricing Inputs'!$AQ$3&lt;=6),5,6)),0))</f>
        <v xml:space="preserve"> </v>
      </c>
      <c r="L310" s="255" t="str">
        <f>IF(A310="N/A"," ",IF(OR('Pricing Inputs'!$AQ$3=2,'Pricing Inputs'!$AQ$3=3,'Pricing Inputs'!$AQ$3=5,'Pricing Inputs'!$AQ$3=6,'Pricing Inputs'!$AQ$3=8,'Pricing Inputs'!$AQ$3=9),IF(AND('Pricing Inputs'!$AQ$3&gt;=2,'Pricing Inputs'!$AQ$3&lt;=6),K310,(VLOOKUP(A310,ScaledPrice,5))*(2-(VLOOKUP(A310,ScaledPrice,3)))),0))</f>
        <v xml:space="preserve"> </v>
      </c>
      <c r="M310" s="255" t="str">
        <f>IF(A310="N/A"," ",IF(OR('Pricing Inputs'!$AQ$3=3,'Pricing Inputs'!$AQ$3=6,'Pricing Inputs'!$AQ$3=9),(VLOOKUP(A310,ScaledPrice,IF(AND('Pricing Inputs'!$AQ$3&gt;=3,'Pricing Inputs'!$AQ$3&lt;=6),7,8))),0))</f>
        <v xml:space="preserve"> </v>
      </c>
      <c r="N310" s="255" t="str">
        <f>IF(A310="N/A"," ",IF(OR('Pricing Inputs'!$AQ$3=3,'Pricing Inputs'!$AQ$3=6,'Pricing Inputs'!$AQ$3=9),IF(AND('Pricing Inputs'!$AQ$3&gt;=3,'Pricing Inputs'!$AQ$3&lt;=6),M310,(VLOOKUP(A310,ScaledPrice,7))*(2-(VLOOKUP(A310,ScaledPrice,3)))),0))</f>
        <v xml:space="preserve"> </v>
      </c>
      <c r="O310" s="255" t="str">
        <f>IF(A310="N/A"," ",IF(AND('Pricing Inputs'!$AQ$3&gt;=1,'Pricing Inputs'!$AQ$3&lt;=3),VLOOKUP(A310,ScaledPrice,9),0))</f>
        <v xml:space="preserve"> </v>
      </c>
      <c r="P310" s="320" t="str">
        <f>IF($A310="N/A"," ",IF('Pricing Inputs'!$AN$8=2,(I310-H310),IF('Pricing Inputs'!$AN$3=2,IF((I310-$H310)&gt;0,I310-$H310,0),(_xll.xSPRDOPT(I310,$E310,$BU310,0,$BP310,$BS310,$BT310,($A310-Inputs!$D$1)+15,1,0)))))</f>
        <v xml:space="preserve"> </v>
      </c>
      <c r="Q310" s="320" t="str">
        <f>IF($A310="N/A"," ",IF('Pricing Inputs'!$AN$8=2,(J310-$H310),IF('Pricing Inputs'!$AN$3=2,IF((J310-$H310)&gt;0,J310-$H310,0),(_xll.xSPRDOPT(J310,$E310,$BU310,0,$BP310,$BS310,$BT310,($A310-Inputs!$D$1)+15,1,0)))))</f>
        <v xml:space="preserve"> </v>
      </c>
      <c r="R310" s="320" t="str">
        <f>IF($A310="N/A"," ",IF('Pricing Inputs'!$AN$8=2,(K310-$H310),IF('Pricing Inputs'!$AN$3=2,IF((K310-$H310)&gt;0,K310-$H310,0),(_xll.xSPRDOPT(K310,$E310,$BU310,0,$BP310,$BS310,$BT310,($A310-Inputs!$D$1)+15,1,0)))))</f>
        <v xml:space="preserve"> </v>
      </c>
      <c r="S310" s="320" t="str">
        <f>IF($A310="N/A"," ",IF('Pricing Inputs'!$AN$8=2,(L310-$H310),IF('Pricing Inputs'!$AN$3=2,IF((L310-$H310)&gt;0,L310-$H310,0),(_xll.xSPRDOPT(L310,$E310,$BU310,0,$BP310,$BS310,$BT310,($A310-Inputs!$D$1)+15,1,0)))))</f>
        <v xml:space="preserve"> </v>
      </c>
      <c r="T310" s="320" t="str">
        <f>IF($A310="N/A"," ",IF('Pricing Inputs'!$AN$8=2,(M310-$H310),IF('Pricing Inputs'!$AN$3=2,IF((M310-$H310)&gt;0,M310-$H310,0),(_xll.xSPRDOPT(M310,$E310,$BU310,0,$BP310,$BS310,$BT310,($A310-Inputs!$D$1)+15,1,0)))))</f>
        <v xml:space="preserve"> </v>
      </c>
      <c r="U310" s="320" t="str">
        <f>IF($A310="N/A"," ",IF('Pricing Inputs'!$AN$8=2,(N310-$H310),IF('Pricing Inputs'!$AN$3=2,IF((N310-$H310)&gt;0,N310-$H310,0),(_xll.xSPRDOPT(N310,$E310,$BU310,0,$BP310,$BS310,$BT310,($A310-Inputs!$D$1)+15,1,0)))))</f>
        <v xml:space="preserve"> </v>
      </c>
      <c r="V310" s="259" t="str">
        <f>IF($A310="N/A"," ",(IF('Pricing Inputs'!$AN$8=2,(O310-$H310),IF((O310-$H310)&lt;=0,0,(O310-$H310)))))</f>
        <v xml:space="preserve"> </v>
      </c>
      <c r="AK310" s="229"/>
      <c r="AL310" s="229"/>
      <c r="AM310" s="229"/>
      <c r="AN310" s="229"/>
      <c r="AO310" s="229"/>
      <c r="AP310" s="229"/>
      <c r="AQ310" s="229"/>
      <c r="AR310" s="229"/>
      <c r="BA310" s="267" t="str">
        <f>IF($A310="N/A"," ",(IF(MONTH(A310)&gt;=4,IF(MONTH(A310)&lt;=10,Inputs!$F$13,Inputs!$F$14),Inputs!$F$14))*$BW310)</f>
        <v xml:space="preserve"> </v>
      </c>
      <c r="BN310" s="405" t="str">
        <f>IF(A310="N/A"," ",(VLOOKUP(A310,PowerVolTable,(IF('Pricing Inputs'!$AT$3=2,7,IF('Pricing Inputs'!$AT$3=1,6,8))),FALSE)))</f>
        <v xml:space="preserve"> </v>
      </c>
      <c r="BO310" s="405" t="str">
        <f>IF(A310="N/A"," ",(VLOOKUP(A310,IntraPowerVol,(IF('Pricing Inputs'!$AT$3=2,3,IF('Pricing Inputs'!$AT$3=1,2,4))),FALSE)*VLOOKUP(MONTH($A310),Inputs!$A$28:$B$39,2)))</f>
        <v xml:space="preserve"> </v>
      </c>
      <c r="BP310" s="406" t="str">
        <f t="shared" si="430"/>
        <v xml:space="preserve"> </v>
      </c>
      <c r="BQ310" s="405" t="str">
        <f>IF($A310="N/A"," ",(VLOOKUP($A310,GasVolTable,(IF('Pricing Inputs'!$AT$3=2,6,IF('Pricing Inputs'!$AT$3=1,7,5))),FALSE)))</f>
        <v xml:space="preserve"> </v>
      </c>
      <c r="BR310" s="405" t="str">
        <f>IF($A310="N/A"," ",(VLOOKUP($A310,OmicronVol,(IF('Pricing Inputs'!$AT$3=2,3,IF('Pricing Inputs'!$AT$3=1,4,2))),FALSE)))</f>
        <v xml:space="preserve"> </v>
      </c>
      <c r="BS310" s="406" t="str">
        <f>IF($A310="N/A"," ",IF('Pricing Inputs'!$AN$3=1,(IF(DateToday&gt;$A310,$BR310,((($BQ310^2)*((($A310-1)-DateToday)/((EOMONTH($A310,0)+1)-DateToday-15)))+((($BR310)^2)*((15)/((EOMONTH($A310,0)+1)-DateToday-15))))^0.5)),0.0001))</f>
        <v xml:space="preserve"> </v>
      </c>
      <c r="BT310" s="405" t="str">
        <f>IF($A310="N/A"," ",IF('Pricing Inputs'!$AN$3=1,(VLOOKUP($A310,CorrelationTable,2,FALSE)),0))</f>
        <v xml:space="preserve"> </v>
      </c>
      <c r="BU310" s="407" t="str">
        <f>IF($A310="N/A"," ",F310+G310+(D310*(VLOOKUP($A310,'Gas Curves'!$B$17:$P$310,14,FALSE))))</f>
        <v xml:space="preserve"> </v>
      </c>
      <c r="BV310" s="405" t="str">
        <f>IF($A310="N/A"," ",IF('Pricing Inputs'!$AW$3=1,0,(VLOOKUP($A310,InterestRatesTable,2))))</f>
        <v xml:space="preserve"> </v>
      </c>
      <c r="BW310" s="408" t="str">
        <f t="shared" si="431"/>
        <v xml:space="preserve"> </v>
      </c>
    </row>
    <row r="311" spans="1:75">
      <c r="A311" s="248" t="str">
        <f>IF(A310="N/A","N/A",IF(EDATE(A310,1)&gt;Inputs!$K$3,"N/A",EDATE(A310,1)))</f>
        <v>N/A</v>
      </c>
      <c r="B311" s="262" t="str">
        <f t="shared" si="432"/>
        <v xml:space="preserve"> </v>
      </c>
      <c r="C311" s="249" t="str">
        <f t="shared" si="433"/>
        <v xml:space="preserve"> </v>
      </c>
      <c r="D311" s="250" t="str">
        <f>IF(A311="N/A"," ",(VLOOKUP(MONTH($A311),Inputs!$A$14:$B$25,2))/1000)</f>
        <v xml:space="preserve"> </v>
      </c>
      <c r="E311" s="304" t="str">
        <f t="shared" si="434"/>
        <v xml:space="preserve"> </v>
      </c>
      <c r="F311" s="251" t="str">
        <f>IF(A311="N/A"," ",Inputs!$F$6)</f>
        <v xml:space="preserve"> </v>
      </c>
      <c r="G311" s="251" t="str">
        <f>IF(A311="N/A"," ",Inputs!$F$9/IF(AND('Pricing Inputs'!$AQ$3&gt;=4,'Pricing Inputs'!$AQ$3&lt;=6),16,IF(AND('Pricing Inputs'!$AQ$3&gt;=7,'Pricing Inputs'!$AQ$3&lt;=9),8,24))/(BA311/BW311))</f>
        <v xml:space="preserve"> </v>
      </c>
      <c r="H311" s="252" t="str">
        <f t="shared" si="435"/>
        <v xml:space="preserve"> </v>
      </c>
      <c r="I311" s="255" t="str">
        <f>VLOOKUP(A311,ScaledPrice,(IF(AND('Pricing Inputs'!$AQ$3&gt;=1,'Pricing Inputs'!$AQ$3&lt;=6),2,4)))</f>
        <v xml:space="preserve"> </v>
      </c>
      <c r="J311" s="255" t="str">
        <f>IF(A311="N/A"," ",IF(AND('Pricing Inputs'!$AQ$3&gt;=1,'Pricing Inputs'!$AQ$3&lt;=6),I311,(VLOOKUP(A311,ScaledPrice,2))*(2-(VLOOKUP(A311,ScaledPrice,3)))))</f>
        <v xml:space="preserve"> </v>
      </c>
      <c r="K311" s="255" t="str">
        <f>IF(A311="N/A"," ",IF(OR('Pricing Inputs'!$AQ$3=2,'Pricing Inputs'!$AQ$3=3,'Pricing Inputs'!$AQ$3=5,'Pricing Inputs'!$AQ$3=6,'Pricing Inputs'!$AQ$3=8,'Pricing Inputs'!$AQ$3=9),VLOOKUP(A311,ScaledPrice,IF(AND('Pricing Inputs'!$AQ$3&gt;=2,'Pricing Inputs'!$AQ$3&lt;=6),5,6)),0))</f>
        <v xml:space="preserve"> </v>
      </c>
      <c r="L311" s="255" t="str">
        <f>IF(A311="N/A"," ",IF(OR('Pricing Inputs'!$AQ$3=2,'Pricing Inputs'!$AQ$3=3,'Pricing Inputs'!$AQ$3=5,'Pricing Inputs'!$AQ$3=6,'Pricing Inputs'!$AQ$3=8,'Pricing Inputs'!$AQ$3=9),IF(AND('Pricing Inputs'!$AQ$3&gt;=2,'Pricing Inputs'!$AQ$3&lt;=6),K311,(VLOOKUP(A311,ScaledPrice,5))*(2-(VLOOKUP(A311,ScaledPrice,3)))),0))</f>
        <v xml:space="preserve"> </v>
      </c>
      <c r="M311" s="255" t="str">
        <f>IF(A311="N/A"," ",IF(OR('Pricing Inputs'!$AQ$3=3,'Pricing Inputs'!$AQ$3=6,'Pricing Inputs'!$AQ$3=9),(VLOOKUP(A311,ScaledPrice,IF(AND('Pricing Inputs'!$AQ$3&gt;=3,'Pricing Inputs'!$AQ$3&lt;=6),7,8))),0))</f>
        <v xml:space="preserve"> </v>
      </c>
      <c r="N311" s="255" t="str">
        <f>IF(A311="N/A"," ",IF(OR('Pricing Inputs'!$AQ$3=3,'Pricing Inputs'!$AQ$3=6,'Pricing Inputs'!$AQ$3=9),IF(AND('Pricing Inputs'!$AQ$3&gt;=3,'Pricing Inputs'!$AQ$3&lt;=6),M311,(VLOOKUP(A311,ScaledPrice,7))*(2-(VLOOKUP(A311,ScaledPrice,3)))),0))</f>
        <v xml:space="preserve"> </v>
      </c>
      <c r="O311" s="255" t="str">
        <f>IF(A311="N/A"," ",IF(AND('Pricing Inputs'!$AQ$3&gt;=1,'Pricing Inputs'!$AQ$3&lt;=3),VLOOKUP(A311,ScaledPrice,9),0))</f>
        <v xml:space="preserve"> </v>
      </c>
      <c r="P311" s="320" t="str">
        <f>IF($A311="N/A"," ",IF('Pricing Inputs'!$AN$8=2,(I311-H311),IF('Pricing Inputs'!$AN$3=2,IF((I311-$H311)&gt;0,I311-$H311,0),(_xll.xSPRDOPT(I311,$E311,$BU311,0,$BP311,$BS311,$BT311,($A311-Inputs!$D$1)+15,1,0)))))</f>
        <v xml:space="preserve"> </v>
      </c>
      <c r="Q311" s="320" t="str">
        <f>IF($A311="N/A"," ",IF('Pricing Inputs'!$AN$8=2,(J311-$H311),IF('Pricing Inputs'!$AN$3=2,IF((J311-$H311)&gt;0,J311-$H311,0),(_xll.xSPRDOPT(J311,$E311,$BU311,0,$BP311,$BS311,$BT311,($A311-Inputs!$D$1)+15,1,0)))))</f>
        <v xml:space="preserve"> </v>
      </c>
      <c r="R311" s="320" t="str">
        <f>IF($A311="N/A"," ",IF('Pricing Inputs'!$AN$8=2,(K311-$H311),IF('Pricing Inputs'!$AN$3=2,IF((K311-$H311)&gt;0,K311-$H311,0),(_xll.xSPRDOPT(K311,$E311,$BU311,0,$BP311,$BS311,$BT311,($A311-Inputs!$D$1)+15,1,0)))))</f>
        <v xml:space="preserve"> </v>
      </c>
      <c r="S311" s="320" t="str">
        <f>IF($A311="N/A"," ",IF('Pricing Inputs'!$AN$8=2,(L311-$H311),IF('Pricing Inputs'!$AN$3=2,IF((L311-$H311)&gt;0,L311-$H311,0),(_xll.xSPRDOPT(L311,$E311,$BU311,0,$BP311,$BS311,$BT311,($A311-Inputs!$D$1)+15,1,0)))))</f>
        <v xml:space="preserve"> </v>
      </c>
      <c r="T311" s="320" t="str">
        <f>IF($A311="N/A"," ",IF('Pricing Inputs'!$AN$8=2,(M311-$H311),IF('Pricing Inputs'!$AN$3=2,IF((M311-$H311)&gt;0,M311-$H311,0),(_xll.xSPRDOPT(M311,$E311,$BU311,0,$BP311,$BS311,$BT311,($A311-Inputs!$D$1)+15,1,0)))))</f>
        <v xml:space="preserve"> </v>
      </c>
      <c r="U311" s="320" t="str">
        <f>IF($A311="N/A"," ",IF('Pricing Inputs'!$AN$8=2,(N311-$H311),IF('Pricing Inputs'!$AN$3=2,IF((N311-$H311)&gt;0,N311-$H311,0),(_xll.xSPRDOPT(N311,$E311,$BU311,0,$BP311,$BS311,$BT311,($A311-Inputs!$D$1)+15,1,0)))))</f>
        <v xml:space="preserve"> </v>
      </c>
      <c r="V311" s="259" t="str">
        <f>IF($A311="N/A"," ",(IF('Pricing Inputs'!$AN$8=2,(O311-$H311),IF((O311-$H311)&lt;=0,0,(O311-$H311)))))</f>
        <v xml:space="preserve"> </v>
      </c>
      <c r="AK311" s="229"/>
      <c r="AL311" s="229"/>
      <c r="AM311" s="229"/>
      <c r="AN311" s="229"/>
      <c r="AO311" s="229"/>
      <c r="AP311" s="229"/>
      <c r="AQ311" s="229"/>
      <c r="AR311" s="229"/>
      <c r="BA311" s="267" t="str">
        <f>IF($A311="N/A"," ",(IF(MONTH(A311)&gt;=4,IF(MONTH(A311)&lt;=10,Inputs!$F$13,Inputs!$F$14),Inputs!$F$14))*$BW311)</f>
        <v xml:space="preserve"> </v>
      </c>
      <c r="BN311" s="405" t="str">
        <f>IF(A311="N/A"," ",(VLOOKUP(A311,PowerVolTable,(IF('Pricing Inputs'!$AT$3=2,7,IF('Pricing Inputs'!$AT$3=1,6,8))),FALSE)))</f>
        <v xml:space="preserve"> </v>
      </c>
      <c r="BO311" s="405" t="str">
        <f>IF(A311="N/A"," ",(VLOOKUP(A311,IntraPowerVol,(IF('Pricing Inputs'!$AT$3=2,3,IF('Pricing Inputs'!$AT$3=1,2,4))),FALSE)*VLOOKUP(MONTH($A311),Inputs!$A$28:$B$39,2)))</f>
        <v xml:space="preserve"> </v>
      </c>
      <c r="BP311" s="406" t="str">
        <f t="shared" si="430"/>
        <v xml:space="preserve"> </v>
      </c>
      <c r="BQ311" s="405" t="str">
        <f>IF($A311="N/A"," ",(VLOOKUP($A311,GasVolTable,(IF('Pricing Inputs'!$AT$3=2,6,IF('Pricing Inputs'!$AT$3=1,7,5))),FALSE)))</f>
        <v xml:space="preserve"> </v>
      </c>
      <c r="BR311" s="405" t="str">
        <f>IF($A311="N/A"," ",(VLOOKUP($A311,OmicronVol,(IF('Pricing Inputs'!$AT$3=2,3,IF('Pricing Inputs'!$AT$3=1,4,2))),FALSE)))</f>
        <v xml:space="preserve"> </v>
      </c>
      <c r="BS311" s="406" t="str">
        <f>IF($A311="N/A"," ",IF('Pricing Inputs'!$AN$3=1,(IF(DateToday&gt;$A311,$BR311,((($BQ311^2)*((($A311-1)-DateToday)/((EOMONTH($A311,0)+1)-DateToday-15)))+((($BR311)^2)*((15)/((EOMONTH($A311,0)+1)-DateToday-15))))^0.5)),0.0001))</f>
        <v xml:space="preserve"> </v>
      </c>
      <c r="BT311" s="405" t="str">
        <f>IF($A311="N/A"," ",IF('Pricing Inputs'!$AN$3=1,(VLOOKUP($A311,CorrelationTable,2,FALSE)),0))</f>
        <v xml:space="preserve"> </v>
      </c>
      <c r="BU311" s="407" t="str">
        <f>IF($A311="N/A"," ",F311+G311+(D311*(VLOOKUP($A311,'Gas Curves'!$B$17:$P$310,14,FALSE))))</f>
        <v xml:space="preserve"> </v>
      </c>
      <c r="BV311" s="405" t="str">
        <f>IF($A311="N/A"," ",IF('Pricing Inputs'!$AW$3=1,0,(VLOOKUP($A311,InterestRatesTable,2))))</f>
        <v xml:space="preserve"> </v>
      </c>
      <c r="BW311" s="408" t="str">
        <f t="shared" si="431"/>
        <v xml:space="preserve"> </v>
      </c>
    </row>
    <row r="312" spans="1:75">
      <c r="A312" s="248" t="str">
        <f>IF(A311="N/A","N/A",IF(EDATE(A311,1)&gt;Inputs!$K$3,"N/A",EDATE(A311,1)))</f>
        <v>N/A</v>
      </c>
      <c r="B312" s="262" t="str">
        <f t="shared" si="432"/>
        <v xml:space="preserve"> </v>
      </c>
      <c r="C312" s="249" t="str">
        <f t="shared" si="433"/>
        <v xml:space="preserve"> </v>
      </c>
      <c r="D312" s="250" t="str">
        <f>IF(A312="N/A"," ",(VLOOKUP(MONTH($A312),Inputs!$A$14:$B$25,2))/1000)</f>
        <v xml:space="preserve"> </v>
      </c>
      <c r="E312" s="304" t="str">
        <f t="shared" si="434"/>
        <v xml:space="preserve"> </v>
      </c>
      <c r="F312" s="251" t="str">
        <f>IF(A312="N/A"," ",Inputs!$F$6)</f>
        <v xml:space="preserve"> </v>
      </c>
      <c r="G312" s="251" t="str">
        <f>IF(A312="N/A"," ",Inputs!$F$9/IF(AND('Pricing Inputs'!$AQ$3&gt;=4,'Pricing Inputs'!$AQ$3&lt;=6),16,IF(AND('Pricing Inputs'!$AQ$3&gt;=7,'Pricing Inputs'!$AQ$3&lt;=9),8,24))/(BA312/BW312))</f>
        <v xml:space="preserve"> </v>
      </c>
      <c r="H312" s="252" t="str">
        <f t="shared" si="435"/>
        <v xml:space="preserve"> </v>
      </c>
      <c r="I312" s="255" t="str">
        <f>VLOOKUP(A312,ScaledPrice,(IF(AND('Pricing Inputs'!$AQ$3&gt;=1,'Pricing Inputs'!$AQ$3&lt;=6),2,4)))</f>
        <v xml:space="preserve"> </v>
      </c>
      <c r="J312" s="255" t="str">
        <f>IF(A312="N/A"," ",IF(AND('Pricing Inputs'!$AQ$3&gt;=1,'Pricing Inputs'!$AQ$3&lt;=6),I312,(VLOOKUP(A312,ScaledPrice,2))*(2-(VLOOKUP(A312,ScaledPrice,3)))))</f>
        <v xml:space="preserve"> </v>
      </c>
      <c r="K312" s="255" t="str">
        <f>IF(A312="N/A"," ",IF(OR('Pricing Inputs'!$AQ$3=2,'Pricing Inputs'!$AQ$3=3,'Pricing Inputs'!$AQ$3=5,'Pricing Inputs'!$AQ$3=6,'Pricing Inputs'!$AQ$3=8,'Pricing Inputs'!$AQ$3=9),VLOOKUP(A312,ScaledPrice,IF(AND('Pricing Inputs'!$AQ$3&gt;=2,'Pricing Inputs'!$AQ$3&lt;=6),5,6)),0))</f>
        <v xml:space="preserve"> </v>
      </c>
      <c r="L312" s="255" t="str">
        <f>IF(A312="N/A"," ",IF(OR('Pricing Inputs'!$AQ$3=2,'Pricing Inputs'!$AQ$3=3,'Pricing Inputs'!$AQ$3=5,'Pricing Inputs'!$AQ$3=6,'Pricing Inputs'!$AQ$3=8,'Pricing Inputs'!$AQ$3=9),IF(AND('Pricing Inputs'!$AQ$3&gt;=2,'Pricing Inputs'!$AQ$3&lt;=6),K312,(VLOOKUP(A312,ScaledPrice,5))*(2-(VLOOKUP(A312,ScaledPrice,3)))),0))</f>
        <v xml:space="preserve"> </v>
      </c>
      <c r="M312" s="255" t="str">
        <f>IF(A312="N/A"," ",IF(OR('Pricing Inputs'!$AQ$3=3,'Pricing Inputs'!$AQ$3=6,'Pricing Inputs'!$AQ$3=9),(VLOOKUP(A312,ScaledPrice,IF(AND('Pricing Inputs'!$AQ$3&gt;=3,'Pricing Inputs'!$AQ$3&lt;=6),7,8))),0))</f>
        <v xml:space="preserve"> </v>
      </c>
      <c r="N312" s="255" t="str">
        <f>IF(A312="N/A"," ",IF(OR('Pricing Inputs'!$AQ$3=3,'Pricing Inputs'!$AQ$3=6,'Pricing Inputs'!$AQ$3=9),IF(AND('Pricing Inputs'!$AQ$3&gt;=3,'Pricing Inputs'!$AQ$3&lt;=6),M312,(VLOOKUP(A312,ScaledPrice,7))*(2-(VLOOKUP(A312,ScaledPrice,3)))),0))</f>
        <v xml:space="preserve"> </v>
      </c>
      <c r="O312" s="255" t="str">
        <f>IF(A312="N/A"," ",IF(AND('Pricing Inputs'!$AQ$3&gt;=1,'Pricing Inputs'!$AQ$3&lt;=3),VLOOKUP(A312,ScaledPrice,9),0))</f>
        <v xml:space="preserve"> </v>
      </c>
      <c r="P312" s="320" t="str">
        <f>IF($A312="N/A"," ",IF('Pricing Inputs'!$AN$8=2,(I312-H312),IF('Pricing Inputs'!$AN$3=2,IF((I312-$H312)&gt;0,I312-$H312,0),(_xll.xSPRDOPT(I312,$E312,$BU312,0,$BP312,$BS312,$BT312,($A312-Inputs!$D$1)+15,1,0)))))</f>
        <v xml:space="preserve"> </v>
      </c>
      <c r="Q312" s="320" t="str">
        <f>IF($A312="N/A"," ",IF('Pricing Inputs'!$AN$8=2,(J312-$H312),IF('Pricing Inputs'!$AN$3=2,IF((J312-$H312)&gt;0,J312-$H312,0),(_xll.xSPRDOPT(J312,$E312,$BU312,0,$BP312,$BS312,$BT312,($A312-Inputs!$D$1)+15,1,0)))))</f>
        <v xml:space="preserve"> </v>
      </c>
      <c r="R312" s="320" t="str">
        <f>IF($A312="N/A"," ",IF('Pricing Inputs'!$AN$8=2,(K312-$H312),IF('Pricing Inputs'!$AN$3=2,IF((K312-$H312)&gt;0,K312-$H312,0),(_xll.xSPRDOPT(K312,$E312,$BU312,0,$BP312,$BS312,$BT312,($A312-Inputs!$D$1)+15,1,0)))))</f>
        <v xml:space="preserve"> </v>
      </c>
      <c r="S312" s="320" t="str">
        <f>IF($A312="N/A"," ",IF('Pricing Inputs'!$AN$8=2,(L312-$H312),IF('Pricing Inputs'!$AN$3=2,IF((L312-$H312)&gt;0,L312-$H312,0),(_xll.xSPRDOPT(L312,$E312,$BU312,0,$BP312,$BS312,$BT312,($A312-Inputs!$D$1)+15,1,0)))))</f>
        <v xml:space="preserve"> </v>
      </c>
      <c r="T312" s="320" t="str">
        <f>IF($A312="N/A"," ",IF('Pricing Inputs'!$AN$8=2,(M312-$H312),IF('Pricing Inputs'!$AN$3=2,IF((M312-$H312)&gt;0,M312-$H312,0),(_xll.xSPRDOPT(M312,$E312,$BU312,0,$BP312,$BS312,$BT312,($A312-Inputs!$D$1)+15,1,0)))))</f>
        <v xml:space="preserve"> </v>
      </c>
      <c r="U312" s="320" t="str">
        <f>IF($A312="N/A"," ",IF('Pricing Inputs'!$AN$8=2,(N312-$H312),IF('Pricing Inputs'!$AN$3=2,IF((N312-$H312)&gt;0,N312-$H312,0),(_xll.xSPRDOPT(N312,$E312,$BU312,0,$BP312,$BS312,$BT312,($A312-Inputs!$D$1)+15,1,0)))))</f>
        <v xml:space="preserve"> </v>
      </c>
      <c r="V312" s="259" t="str">
        <f>IF($A312="N/A"," ",(IF('Pricing Inputs'!$AN$8=2,(O312-$H312),IF((O312-$H312)&lt;=0,0,(O312-$H312)))))</f>
        <v xml:space="preserve"> </v>
      </c>
      <c r="AK312" s="229"/>
      <c r="AL312" s="229"/>
      <c r="AM312" s="229"/>
      <c r="AN312" s="229"/>
      <c r="AO312" s="229"/>
      <c r="AP312" s="229"/>
      <c r="AQ312" s="229"/>
      <c r="AR312" s="229"/>
      <c r="BA312" s="267" t="str">
        <f>IF($A312="N/A"," ",(IF(MONTH(A312)&gt;=4,IF(MONTH(A312)&lt;=10,Inputs!$F$13,Inputs!$F$14),Inputs!$F$14))*$BW312)</f>
        <v xml:space="preserve"> </v>
      </c>
      <c r="BN312" s="405" t="str">
        <f>IF(A312="N/A"," ",(VLOOKUP(A312,PowerVolTable,(IF('Pricing Inputs'!$AT$3=2,7,IF('Pricing Inputs'!$AT$3=1,6,8))),FALSE)))</f>
        <v xml:space="preserve"> </v>
      </c>
      <c r="BO312" s="405" t="str">
        <f>IF(A312="N/A"," ",(VLOOKUP(A312,IntraPowerVol,(IF('Pricing Inputs'!$AT$3=2,3,IF('Pricing Inputs'!$AT$3=1,2,4))),FALSE)*VLOOKUP(MONTH($A312),Inputs!$A$28:$B$39,2)))</f>
        <v xml:space="preserve"> </v>
      </c>
      <c r="BP312" s="406" t="str">
        <f t="shared" si="430"/>
        <v xml:space="preserve"> </v>
      </c>
      <c r="BQ312" s="405" t="str">
        <f>IF($A312="N/A"," ",(VLOOKUP($A312,GasVolTable,(IF('Pricing Inputs'!$AT$3=2,6,IF('Pricing Inputs'!$AT$3=1,7,5))),FALSE)))</f>
        <v xml:space="preserve"> </v>
      </c>
      <c r="BR312" s="405" t="str">
        <f>IF($A312="N/A"," ",(VLOOKUP($A312,OmicronVol,(IF('Pricing Inputs'!$AT$3=2,3,IF('Pricing Inputs'!$AT$3=1,4,2))),FALSE)))</f>
        <v xml:space="preserve"> </v>
      </c>
      <c r="BS312" s="406" t="str">
        <f>IF($A312="N/A"," ",IF('Pricing Inputs'!$AN$3=1,(IF(DateToday&gt;$A312,$BR312,((($BQ312^2)*((($A312-1)-DateToday)/((EOMONTH($A312,0)+1)-DateToday-15)))+((($BR312)^2)*((15)/((EOMONTH($A312,0)+1)-DateToday-15))))^0.5)),0.0001))</f>
        <v xml:space="preserve"> </v>
      </c>
      <c r="BT312" s="405" t="str">
        <f>IF($A312="N/A"," ",IF('Pricing Inputs'!$AN$3=1,(VLOOKUP($A312,CorrelationTable,2,FALSE)),0))</f>
        <v xml:space="preserve"> </v>
      </c>
      <c r="BU312" s="407" t="str">
        <f>IF($A312="N/A"," ",F312+G312+(D312*(VLOOKUP($A312,'Gas Curves'!$B$17:$P$310,14,FALSE))))</f>
        <v xml:space="preserve"> </v>
      </c>
      <c r="BV312" s="405" t="str">
        <f>IF($A312="N/A"," ",IF('Pricing Inputs'!$AW$3=1,0,(VLOOKUP($A312,InterestRatesTable,2))))</f>
        <v xml:space="preserve"> </v>
      </c>
      <c r="BW312" s="408" t="str">
        <f t="shared" si="431"/>
        <v xml:space="preserve"> </v>
      </c>
    </row>
    <row r="313" spans="1:75">
      <c r="A313" s="248" t="str">
        <f>IF(A312="N/A","N/A",IF(EDATE(A312,1)&gt;Inputs!$K$3,"N/A",EDATE(A312,1)))</f>
        <v>N/A</v>
      </c>
      <c r="B313" s="262" t="str">
        <f t="shared" si="432"/>
        <v xml:space="preserve"> </v>
      </c>
      <c r="C313" s="249" t="str">
        <f t="shared" si="433"/>
        <v xml:space="preserve"> </v>
      </c>
      <c r="D313" s="250" t="str">
        <f>IF(A313="N/A"," ",(VLOOKUP(MONTH($A313),Inputs!$A$14:$B$25,2))/1000)</f>
        <v xml:space="preserve"> </v>
      </c>
      <c r="E313" s="304" t="str">
        <f t="shared" si="434"/>
        <v xml:space="preserve"> </v>
      </c>
      <c r="F313" s="251" t="str">
        <f>IF(A313="N/A"," ",Inputs!$F$6)</f>
        <v xml:space="preserve"> </v>
      </c>
      <c r="G313" s="251" t="str">
        <f>IF(A313="N/A"," ",Inputs!$F$9/IF(AND('Pricing Inputs'!$AQ$3&gt;=4,'Pricing Inputs'!$AQ$3&lt;=6),16,IF(AND('Pricing Inputs'!$AQ$3&gt;=7,'Pricing Inputs'!$AQ$3&lt;=9),8,24))/(BA313/BW313))</f>
        <v xml:space="preserve"> </v>
      </c>
      <c r="H313" s="252" t="str">
        <f t="shared" si="435"/>
        <v xml:space="preserve"> </v>
      </c>
      <c r="I313" s="255" t="str">
        <f>VLOOKUP(A313,ScaledPrice,(IF(AND('Pricing Inputs'!$AQ$3&gt;=1,'Pricing Inputs'!$AQ$3&lt;=6),2,4)))</f>
        <v xml:space="preserve"> </v>
      </c>
      <c r="J313" s="255" t="str">
        <f>IF(A313="N/A"," ",IF(AND('Pricing Inputs'!$AQ$3&gt;=1,'Pricing Inputs'!$AQ$3&lt;=6),I313,(VLOOKUP(A313,ScaledPrice,2))*(2-(VLOOKUP(A313,ScaledPrice,3)))))</f>
        <v xml:space="preserve"> </v>
      </c>
      <c r="K313" s="255" t="str">
        <f>IF(A313="N/A"," ",IF(OR('Pricing Inputs'!$AQ$3=2,'Pricing Inputs'!$AQ$3=3,'Pricing Inputs'!$AQ$3=5,'Pricing Inputs'!$AQ$3=6,'Pricing Inputs'!$AQ$3=8,'Pricing Inputs'!$AQ$3=9),VLOOKUP(A313,ScaledPrice,IF(AND('Pricing Inputs'!$AQ$3&gt;=2,'Pricing Inputs'!$AQ$3&lt;=6),5,6)),0))</f>
        <v xml:space="preserve"> </v>
      </c>
      <c r="L313" s="255" t="str">
        <f>IF(A313="N/A"," ",IF(OR('Pricing Inputs'!$AQ$3=2,'Pricing Inputs'!$AQ$3=3,'Pricing Inputs'!$AQ$3=5,'Pricing Inputs'!$AQ$3=6,'Pricing Inputs'!$AQ$3=8,'Pricing Inputs'!$AQ$3=9),IF(AND('Pricing Inputs'!$AQ$3&gt;=2,'Pricing Inputs'!$AQ$3&lt;=6),K313,(VLOOKUP(A313,ScaledPrice,5))*(2-(VLOOKUP(A313,ScaledPrice,3)))),0))</f>
        <v xml:space="preserve"> </v>
      </c>
      <c r="M313" s="255" t="str">
        <f>IF(A313="N/A"," ",IF(OR('Pricing Inputs'!$AQ$3=3,'Pricing Inputs'!$AQ$3=6,'Pricing Inputs'!$AQ$3=9),(VLOOKUP(A313,ScaledPrice,IF(AND('Pricing Inputs'!$AQ$3&gt;=3,'Pricing Inputs'!$AQ$3&lt;=6),7,8))),0))</f>
        <v xml:space="preserve"> </v>
      </c>
      <c r="N313" s="255" t="str">
        <f>IF(A313="N/A"," ",IF(OR('Pricing Inputs'!$AQ$3=3,'Pricing Inputs'!$AQ$3=6,'Pricing Inputs'!$AQ$3=9),IF(AND('Pricing Inputs'!$AQ$3&gt;=3,'Pricing Inputs'!$AQ$3&lt;=6),M313,(VLOOKUP(A313,ScaledPrice,7))*(2-(VLOOKUP(A313,ScaledPrice,3)))),0))</f>
        <v xml:space="preserve"> </v>
      </c>
      <c r="O313" s="255" t="str">
        <f>IF(A313="N/A"," ",IF(AND('Pricing Inputs'!$AQ$3&gt;=1,'Pricing Inputs'!$AQ$3&lt;=3),VLOOKUP(A313,ScaledPrice,9),0))</f>
        <v xml:space="preserve"> </v>
      </c>
      <c r="P313" s="320" t="str">
        <f>IF($A313="N/A"," ",IF('Pricing Inputs'!$AN$8=2,(I313-H313),IF('Pricing Inputs'!$AN$3=2,IF((I313-$H313)&gt;0,I313-$H313,0),(_xll.xSPRDOPT(I313,$E313,$BU313,0,$BP313,$BS313,$BT313,($A313-Inputs!$D$1)+15,1,0)))))</f>
        <v xml:space="preserve"> </v>
      </c>
      <c r="Q313" s="320" t="str">
        <f>IF($A313="N/A"," ",IF('Pricing Inputs'!$AN$8=2,(J313-$H313),IF('Pricing Inputs'!$AN$3=2,IF((J313-$H313)&gt;0,J313-$H313,0),(_xll.xSPRDOPT(J313,$E313,$BU313,0,$BP313,$BS313,$BT313,($A313-Inputs!$D$1)+15,1,0)))))</f>
        <v xml:space="preserve"> </v>
      </c>
      <c r="R313" s="320" t="str">
        <f>IF($A313="N/A"," ",IF('Pricing Inputs'!$AN$8=2,(K313-$H313),IF('Pricing Inputs'!$AN$3=2,IF((K313-$H313)&gt;0,K313-$H313,0),(_xll.xSPRDOPT(K313,$E313,$BU313,0,$BP313,$BS313,$BT313,($A313-Inputs!$D$1)+15,1,0)))))</f>
        <v xml:space="preserve"> </v>
      </c>
      <c r="S313" s="320" t="str">
        <f>IF($A313="N/A"," ",IF('Pricing Inputs'!$AN$8=2,(L313-$H313),IF('Pricing Inputs'!$AN$3=2,IF((L313-$H313)&gt;0,L313-$H313,0),(_xll.xSPRDOPT(L313,$E313,$BU313,0,$BP313,$BS313,$BT313,($A313-Inputs!$D$1)+15,1,0)))))</f>
        <v xml:space="preserve"> </v>
      </c>
      <c r="T313" s="320" t="str">
        <f>IF($A313="N/A"," ",IF('Pricing Inputs'!$AN$8=2,(M313-$H313),IF('Pricing Inputs'!$AN$3=2,IF((M313-$H313)&gt;0,M313-$H313,0),(_xll.xSPRDOPT(M313,$E313,$BU313,0,$BP313,$BS313,$BT313,($A313-Inputs!$D$1)+15,1,0)))))</f>
        <v xml:space="preserve"> </v>
      </c>
      <c r="U313" s="320" t="str">
        <f>IF($A313="N/A"," ",IF('Pricing Inputs'!$AN$8=2,(N313-$H313),IF('Pricing Inputs'!$AN$3=2,IF((N313-$H313)&gt;0,N313-$H313,0),(_xll.xSPRDOPT(N313,$E313,$BU313,0,$BP313,$BS313,$BT313,($A313-Inputs!$D$1)+15,1,0)))))</f>
        <v xml:space="preserve"> </v>
      </c>
      <c r="V313" s="259" t="str">
        <f>IF($A313="N/A"," ",(IF('Pricing Inputs'!$AN$8=2,(O313-$H313),IF((O313-$H313)&lt;=0,0,(O313-$H313)))))</f>
        <v xml:space="preserve"> </v>
      </c>
      <c r="AK313" s="229"/>
      <c r="AL313" s="229"/>
      <c r="AM313" s="229"/>
      <c r="AN313" s="229"/>
      <c r="AO313" s="229"/>
      <c r="AP313" s="229"/>
      <c r="AQ313" s="229"/>
      <c r="AR313" s="229"/>
      <c r="BA313" s="267" t="str">
        <f>IF($A313="N/A"," ",(IF(MONTH(A313)&gt;=4,IF(MONTH(A313)&lt;=10,Inputs!$F$13,Inputs!$F$14),Inputs!$F$14))*$BW313)</f>
        <v xml:space="preserve"> </v>
      </c>
      <c r="BN313" s="405" t="str">
        <f>IF(A313="N/A"," ",(VLOOKUP(A313,PowerVolTable,(IF('Pricing Inputs'!$AT$3=2,7,IF('Pricing Inputs'!$AT$3=1,6,8))),FALSE)))</f>
        <v xml:space="preserve"> </v>
      </c>
      <c r="BO313" s="405" t="str">
        <f>IF(A313="N/A"," ",(VLOOKUP(A313,IntraPowerVol,(IF('Pricing Inputs'!$AT$3=2,3,IF('Pricing Inputs'!$AT$3=1,2,4))),FALSE)*VLOOKUP(MONTH($A313),Inputs!$A$28:$B$39,2)))</f>
        <v xml:space="preserve"> </v>
      </c>
      <c r="BP313" s="406" t="str">
        <f t="shared" si="430"/>
        <v xml:space="preserve"> </v>
      </c>
      <c r="BQ313" s="405" t="str">
        <f>IF($A313="N/A"," ",(VLOOKUP($A313,GasVolTable,(IF('Pricing Inputs'!$AT$3=2,6,IF('Pricing Inputs'!$AT$3=1,7,5))),FALSE)))</f>
        <v xml:space="preserve"> </v>
      </c>
      <c r="BR313" s="405" t="str">
        <f>IF($A313="N/A"," ",(VLOOKUP($A313,OmicronVol,(IF('Pricing Inputs'!$AT$3=2,3,IF('Pricing Inputs'!$AT$3=1,4,2))),FALSE)))</f>
        <v xml:space="preserve"> </v>
      </c>
      <c r="BS313" s="406" t="str">
        <f>IF($A313="N/A"," ",IF('Pricing Inputs'!$AN$3=1,(IF(DateToday&gt;$A313,$BR313,((($BQ313^2)*((($A313-1)-DateToday)/((EOMONTH($A313,0)+1)-DateToday-15)))+((($BR313)^2)*((15)/((EOMONTH($A313,0)+1)-DateToday-15))))^0.5)),0.0001))</f>
        <v xml:space="preserve"> </v>
      </c>
      <c r="BT313" s="405" t="str">
        <f>IF($A313="N/A"," ",IF('Pricing Inputs'!$AN$3=1,(VLOOKUP($A313,CorrelationTable,2,FALSE)),0))</f>
        <v xml:space="preserve"> </v>
      </c>
      <c r="BU313" s="407" t="str">
        <f>IF($A313="N/A"," ",F313+G313+(D313*(VLOOKUP($A313,'Gas Curves'!$B$17:$P$310,14,FALSE))))</f>
        <v xml:space="preserve"> </v>
      </c>
      <c r="BV313" s="405" t="str">
        <f>IF($A313="N/A"," ",IF('Pricing Inputs'!$AW$3=1,0,(VLOOKUP($A313,InterestRatesTable,2))))</f>
        <v xml:space="preserve"> </v>
      </c>
      <c r="BW313" s="408" t="str">
        <f t="shared" si="431"/>
        <v xml:space="preserve"> </v>
      </c>
    </row>
    <row r="314" spans="1:75">
      <c r="A314" s="248" t="str">
        <f>IF(A313="N/A","N/A",IF(EDATE(A313,1)&gt;Inputs!$K$3,"N/A",EDATE(A313,1)))</f>
        <v>N/A</v>
      </c>
      <c r="B314" s="262" t="str">
        <f t="shared" si="432"/>
        <v xml:space="preserve"> </v>
      </c>
      <c r="C314" s="249" t="str">
        <f t="shared" si="433"/>
        <v xml:space="preserve"> </v>
      </c>
      <c r="D314" s="250" t="str">
        <f>IF(A314="N/A"," ",(VLOOKUP(MONTH($A314),Inputs!$A$14:$B$25,2))/1000)</f>
        <v xml:space="preserve"> </v>
      </c>
      <c r="E314" s="304" t="str">
        <f t="shared" si="434"/>
        <v xml:space="preserve"> </v>
      </c>
      <c r="F314" s="251" t="str">
        <f>IF(A314="N/A"," ",Inputs!$F$6)</f>
        <v xml:space="preserve"> </v>
      </c>
      <c r="G314" s="251" t="str">
        <f>IF(A314="N/A"," ",Inputs!$F$9/IF(AND('Pricing Inputs'!$AQ$3&gt;=4,'Pricing Inputs'!$AQ$3&lt;=6),16,IF(AND('Pricing Inputs'!$AQ$3&gt;=7,'Pricing Inputs'!$AQ$3&lt;=9),8,24))/(BA314/BW314))</f>
        <v xml:space="preserve"> </v>
      </c>
      <c r="H314" s="252" t="str">
        <f t="shared" si="435"/>
        <v xml:space="preserve"> </v>
      </c>
      <c r="I314" s="255" t="str">
        <f>VLOOKUP(A314,ScaledPrice,(IF(AND('Pricing Inputs'!$AQ$3&gt;=1,'Pricing Inputs'!$AQ$3&lt;=6),2,4)))</f>
        <v xml:space="preserve"> </v>
      </c>
      <c r="J314" s="255" t="str">
        <f>IF(A314="N/A"," ",IF(AND('Pricing Inputs'!$AQ$3&gt;=1,'Pricing Inputs'!$AQ$3&lt;=6),I314,(VLOOKUP(A314,ScaledPrice,2))*(2-(VLOOKUP(A314,ScaledPrice,3)))))</f>
        <v xml:space="preserve"> </v>
      </c>
      <c r="K314" s="255" t="str">
        <f>IF(A314="N/A"," ",IF(OR('Pricing Inputs'!$AQ$3=2,'Pricing Inputs'!$AQ$3=3,'Pricing Inputs'!$AQ$3=5,'Pricing Inputs'!$AQ$3=6,'Pricing Inputs'!$AQ$3=8,'Pricing Inputs'!$AQ$3=9),VLOOKUP(A314,ScaledPrice,IF(AND('Pricing Inputs'!$AQ$3&gt;=2,'Pricing Inputs'!$AQ$3&lt;=6),5,6)),0))</f>
        <v xml:space="preserve"> </v>
      </c>
      <c r="L314" s="255" t="str">
        <f>IF(A314="N/A"," ",IF(OR('Pricing Inputs'!$AQ$3=2,'Pricing Inputs'!$AQ$3=3,'Pricing Inputs'!$AQ$3=5,'Pricing Inputs'!$AQ$3=6,'Pricing Inputs'!$AQ$3=8,'Pricing Inputs'!$AQ$3=9),IF(AND('Pricing Inputs'!$AQ$3&gt;=2,'Pricing Inputs'!$AQ$3&lt;=6),K314,(VLOOKUP(A314,ScaledPrice,5))*(2-(VLOOKUP(A314,ScaledPrice,3)))),0))</f>
        <v xml:space="preserve"> </v>
      </c>
      <c r="M314" s="255" t="str">
        <f>IF(A314="N/A"," ",IF(OR('Pricing Inputs'!$AQ$3=3,'Pricing Inputs'!$AQ$3=6,'Pricing Inputs'!$AQ$3=9),(VLOOKUP(A314,ScaledPrice,IF(AND('Pricing Inputs'!$AQ$3&gt;=3,'Pricing Inputs'!$AQ$3&lt;=6),7,8))),0))</f>
        <v xml:space="preserve"> </v>
      </c>
      <c r="N314" s="255" t="str">
        <f>IF(A314="N/A"," ",IF(OR('Pricing Inputs'!$AQ$3=3,'Pricing Inputs'!$AQ$3=6,'Pricing Inputs'!$AQ$3=9),IF(AND('Pricing Inputs'!$AQ$3&gt;=3,'Pricing Inputs'!$AQ$3&lt;=6),M314,(VLOOKUP(A314,ScaledPrice,7))*(2-(VLOOKUP(A314,ScaledPrice,3)))),0))</f>
        <v xml:space="preserve"> </v>
      </c>
      <c r="O314" s="255" t="str">
        <f>IF(A314="N/A"," ",IF(AND('Pricing Inputs'!$AQ$3&gt;=1,'Pricing Inputs'!$AQ$3&lt;=3),VLOOKUP(A314,ScaledPrice,9),0))</f>
        <v xml:space="preserve"> </v>
      </c>
      <c r="P314" s="320" t="str">
        <f>IF($A314="N/A"," ",IF('Pricing Inputs'!$AN$8=2,(I314-H314),IF('Pricing Inputs'!$AN$3=2,IF((I314-$H314)&gt;0,I314-$H314,0),(_xll.xSPRDOPT(I314,$E314,$BU314,0,$BP314,$BS314,$BT314,($A314-Inputs!$D$1)+15,1,0)))))</f>
        <v xml:space="preserve"> </v>
      </c>
      <c r="Q314" s="320" t="str">
        <f>IF($A314="N/A"," ",IF('Pricing Inputs'!$AN$8=2,(J314-$H314),IF('Pricing Inputs'!$AN$3=2,IF((J314-$H314)&gt;0,J314-$H314,0),(_xll.xSPRDOPT(J314,$E314,$BU314,0,$BP314,$BS314,$BT314,($A314-Inputs!$D$1)+15,1,0)))))</f>
        <v xml:space="preserve"> </v>
      </c>
      <c r="R314" s="320" t="str">
        <f>IF($A314="N/A"," ",IF('Pricing Inputs'!$AN$8=2,(K314-$H314),IF('Pricing Inputs'!$AN$3=2,IF((K314-$H314)&gt;0,K314-$H314,0),(_xll.xSPRDOPT(K314,$E314,$BU314,0,$BP314,$BS314,$BT314,($A314-Inputs!$D$1)+15,1,0)))))</f>
        <v xml:space="preserve"> </v>
      </c>
      <c r="S314" s="320" t="str">
        <f>IF($A314="N/A"," ",IF('Pricing Inputs'!$AN$8=2,(L314-$H314),IF('Pricing Inputs'!$AN$3=2,IF((L314-$H314)&gt;0,L314-$H314,0),(_xll.xSPRDOPT(L314,$E314,$BU314,0,$BP314,$BS314,$BT314,($A314-Inputs!$D$1)+15,1,0)))))</f>
        <v xml:space="preserve"> </v>
      </c>
      <c r="T314" s="320" t="str">
        <f>IF($A314="N/A"," ",IF('Pricing Inputs'!$AN$8=2,(M314-$H314),IF('Pricing Inputs'!$AN$3=2,IF((M314-$H314)&gt;0,M314-$H314,0),(_xll.xSPRDOPT(M314,$E314,$BU314,0,$BP314,$BS314,$BT314,($A314-Inputs!$D$1)+15,1,0)))))</f>
        <v xml:space="preserve"> </v>
      </c>
      <c r="U314" s="320" t="str">
        <f>IF($A314="N/A"," ",IF('Pricing Inputs'!$AN$8=2,(N314-$H314),IF('Pricing Inputs'!$AN$3=2,IF((N314-$H314)&gt;0,N314-$H314,0),(_xll.xSPRDOPT(N314,$E314,$BU314,0,$BP314,$BS314,$BT314,($A314-Inputs!$D$1)+15,1,0)))))</f>
        <v xml:space="preserve"> </v>
      </c>
      <c r="V314" s="259" t="str">
        <f>IF($A314="N/A"," ",(IF('Pricing Inputs'!$AN$8=2,(O314-$H314),IF((O314-$H314)&lt;=0,0,(O314-$H314)))))</f>
        <v xml:space="preserve"> </v>
      </c>
      <c r="AK314" s="229"/>
      <c r="AL314" s="229"/>
      <c r="AM314" s="229"/>
      <c r="AN314" s="229"/>
      <c r="AO314" s="229"/>
      <c r="AP314" s="229"/>
      <c r="AQ314" s="229"/>
      <c r="AR314" s="229"/>
      <c r="BA314" s="267" t="str">
        <f>IF($A314="N/A"," ",(IF(MONTH(A314)&gt;=4,IF(MONTH(A314)&lt;=10,Inputs!$F$13,Inputs!$F$14),Inputs!$F$14))*$BW314)</f>
        <v xml:space="preserve"> </v>
      </c>
      <c r="BN314" s="405" t="str">
        <f>IF(A314="N/A"," ",(VLOOKUP(A314,PowerVolTable,(IF('Pricing Inputs'!$AT$3=2,7,IF('Pricing Inputs'!$AT$3=1,6,8))),FALSE)))</f>
        <v xml:space="preserve"> </v>
      </c>
      <c r="BO314" s="405" t="str">
        <f>IF(A314="N/A"," ",(VLOOKUP(A314,IntraPowerVol,(IF('Pricing Inputs'!$AT$3=2,3,IF('Pricing Inputs'!$AT$3=1,2,4))),FALSE)*VLOOKUP(MONTH($A314),Inputs!$A$28:$B$39,2)))</f>
        <v xml:space="preserve"> </v>
      </c>
      <c r="BP314" s="406" t="str">
        <f t="shared" si="430"/>
        <v xml:space="preserve"> </v>
      </c>
      <c r="BQ314" s="405" t="str">
        <f>IF($A314="N/A"," ",(VLOOKUP($A314,GasVolTable,(IF('Pricing Inputs'!$AT$3=2,6,IF('Pricing Inputs'!$AT$3=1,7,5))),FALSE)))</f>
        <v xml:space="preserve"> </v>
      </c>
      <c r="BR314" s="405" t="str">
        <f>IF($A314="N/A"," ",(VLOOKUP($A314,OmicronVol,(IF('Pricing Inputs'!$AT$3=2,3,IF('Pricing Inputs'!$AT$3=1,4,2))),FALSE)))</f>
        <v xml:space="preserve"> </v>
      </c>
      <c r="BS314" s="406" t="str">
        <f>IF($A314="N/A"," ",IF('Pricing Inputs'!$AN$3=1,(IF(DateToday&gt;$A314,$BR314,((($BQ314^2)*((($A314-1)-DateToday)/((EOMONTH($A314,0)+1)-DateToday-15)))+((($BR314)^2)*((15)/((EOMONTH($A314,0)+1)-DateToday-15))))^0.5)),0.0001))</f>
        <v xml:space="preserve"> </v>
      </c>
      <c r="BT314" s="405" t="str">
        <f>IF($A314="N/A"," ",IF('Pricing Inputs'!$AN$3=1,(VLOOKUP($A314,CorrelationTable,2,FALSE)),0))</f>
        <v xml:space="preserve"> </v>
      </c>
      <c r="BU314" s="407" t="str">
        <f>IF($A314="N/A"," ",F314+G314+(D314*(VLOOKUP($A314,'Gas Curves'!$B$17:$P$310,14,FALSE))))</f>
        <v xml:space="preserve"> </v>
      </c>
      <c r="BV314" s="405" t="str">
        <f>IF($A314="N/A"," ",IF('Pricing Inputs'!$AW$3=1,0,(VLOOKUP($A314,InterestRatesTable,2))))</f>
        <v xml:space="preserve"> </v>
      </c>
      <c r="BW314" s="408" t="str">
        <f t="shared" si="431"/>
        <v xml:space="preserve"> </v>
      </c>
    </row>
    <row r="315" spans="1:75">
      <c r="A315" s="248" t="str">
        <f>IF(A314="N/A","N/A",IF(EDATE(A314,1)&gt;Inputs!$K$3,"N/A",EDATE(A314,1)))</f>
        <v>N/A</v>
      </c>
      <c r="B315" s="262" t="str">
        <f t="shared" si="432"/>
        <v xml:space="preserve"> </v>
      </c>
      <c r="C315" s="249" t="str">
        <f t="shared" si="433"/>
        <v xml:space="preserve"> </v>
      </c>
      <c r="D315" s="250" t="str">
        <f>IF(A315="N/A"," ",(VLOOKUP(MONTH($A315),Inputs!$A$14:$B$25,2))/1000)</f>
        <v xml:space="preserve"> </v>
      </c>
      <c r="E315" s="304" t="str">
        <f t="shared" si="434"/>
        <v xml:space="preserve"> </v>
      </c>
      <c r="F315" s="251" t="str">
        <f>IF(A315="N/A"," ",Inputs!$F$6)</f>
        <v xml:space="preserve"> </v>
      </c>
      <c r="G315" s="251" t="str">
        <f>IF(A315="N/A"," ",Inputs!$F$9/IF(AND('Pricing Inputs'!$AQ$3&gt;=4,'Pricing Inputs'!$AQ$3&lt;=6),16,IF(AND('Pricing Inputs'!$AQ$3&gt;=7,'Pricing Inputs'!$AQ$3&lt;=9),8,24))/(BA315/BW315))</f>
        <v xml:space="preserve"> </v>
      </c>
      <c r="H315" s="252" t="str">
        <f t="shared" si="435"/>
        <v xml:space="preserve"> </v>
      </c>
      <c r="I315" s="255" t="str">
        <f>VLOOKUP(A315,ScaledPrice,(IF(AND('Pricing Inputs'!$AQ$3&gt;=1,'Pricing Inputs'!$AQ$3&lt;=6),2,4)))</f>
        <v xml:space="preserve"> </v>
      </c>
      <c r="J315" s="255" t="str">
        <f>IF(A315="N/A"," ",IF(AND('Pricing Inputs'!$AQ$3&gt;=1,'Pricing Inputs'!$AQ$3&lt;=6),I315,(VLOOKUP(A315,ScaledPrice,2))*(2-(VLOOKUP(A315,ScaledPrice,3)))))</f>
        <v xml:space="preserve"> </v>
      </c>
      <c r="K315" s="255" t="str">
        <f>IF(A315="N/A"," ",IF(OR('Pricing Inputs'!$AQ$3=2,'Pricing Inputs'!$AQ$3=3,'Pricing Inputs'!$AQ$3=5,'Pricing Inputs'!$AQ$3=6,'Pricing Inputs'!$AQ$3=8,'Pricing Inputs'!$AQ$3=9),VLOOKUP(A315,ScaledPrice,IF(AND('Pricing Inputs'!$AQ$3&gt;=2,'Pricing Inputs'!$AQ$3&lt;=6),5,6)),0))</f>
        <v xml:space="preserve"> </v>
      </c>
      <c r="L315" s="255" t="str">
        <f>IF(A315="N/A"," ",IF(OR('Pricing Inputs'!$AQ$3=2,'Pricing Inputs'!$AQ$3=3,'Pricing Inputs'!$AQ$3=5,'Pricing Inputs'!$AQ$3=6,'Pricing Inputs'!$AQ$3=8,'Pricing Inputs'!$AQ$3=9),IF(AND('Pricing Inputs'!$AQ$3&gt;=2,'Pricing Inputs'!$AQ$3&lt;=6),K315,(VLOOKUP(A315,ScaledPrice,5))*(2-(VLOOKUP(A315,ScaledPrice,3)))),0))</f>
        <v xml:space="preserve"> </v>
      </c>
      <c r="M315" s="255" t="str">
        <f>IF(A315="N/A"," ",IF(OR('Pricing Inputs'!$AQ$3=3,'Pricing Inputs'!$AQ$3=6,'Pricing Inputs'!$AQ$3=9),(VLOOKUP(A315,ScaledPrice,IF(AND('Pricing Inputs'!$AQ$3&gt;=3,'Pricing Inputs'!$AQ$3&lt;=6),7,8))),0))</f>
        <v xml:space="preserve"> </v>
      </c>
      <c r="N315" s="255" t="str">
        <f>IF(A315="N/A"," ",IF(OR('Pricing Inputs'!$AQ$3=3,'Pricing Inputs'!$AQ$3=6,'Pricing Inputs'!$AQ$3=9),IF(AND('Pricing Inputs'!$AQ$3&gt;=3,'Pricing Inputs'!$AQ$3&lt;=6),M315,(VLOOKUP(A315,ScaledPrice,7))*(2-(VLOOKUP(A315,ScaledPrice,3)))),0))</f>
        <v xml:space="preserve"> </v>
      </c>
      <c r="O315" s="255" t="str">
        <f>IF(A315="N/A"," ",IF(AND('Pricing Inputs'!$AQ$3&gt;=1,'Pricing Inputs'!$AQ$3&lt;=3),VLOOKUP(A315,ScaledPrice,9),0))</f>
        <v xml:space="preserve"> </v>
      </c>
      <c r="P315" s="320" t="str">
        <f>IF($A315="N/A"," ",IF('Pricing Inputs'!$AN$8=2,(I315-H315),IF('Pricing Inputs'!$AN$3=2,IF((I315-$H315)&gt;0,I315-$H315,0),(_xll.xSPRDOPT(I315,$E315,$BU315,0,$BP315,$BS315,$BT315,($A315-Inputs!$D$1)+15,1,0)))))</f>
        <v xml:space="preserve"> </v>
      </c>
      <c r="Q315" s="320" t="str">
        <f>IF($A315="N/A"," ",IF('Pricing Inputs'!$AN$8=2,(J315-$H315),IF('Pricing Inputs'!$AN$3=2,IF((J315-$H315)&gt;0,J315-$H315,0),(_xll.xSPRDOPT(J315,$E315,$BU315,0,$BP315,$BS315,$BT315,($A315-Inputs!$D$1)+15,1,0)))))</f>
        <v xml:space="preserve"> </v>
      </c>
      <c r="R315" s="320" t="str">
        <f>IF($A315="N/A"," ",IF('Pricing Inputs'!$AN$8=2,(K315-$H315),IF('Pricing Inputs'!$AN$3=2,IF((K315-$H315)&gt;0,K315-$H315,0),(_xll.xSPRDOPT(K315,$E315,$BU315,0,$BP315,$BS315,$BT315,($A315-Inputs!$D$1)+15,1,0)))))</f>
        <v xml:space="preserve"> </v>
      </c>
      <c r="S315" s="320" t="str">
        <f>IF($A315="N/A"," ",IF('Pricing Inputs'!$AN$8=2,(L315-$H315),IF('Pricing Inputs'!$AN$3=2,IF((L315-$H315)&gt;0,L315-$H315,0),(_xll.xSPRDOPT(L315,$E315,$BU315,0,$BP315,$BS315,$BT315,($A315-Inputs!$D$1)+15,1,0)))))</f>
        <v xml:space="preserve"> </v>
      </c>
      <c r="T315" s="320" t="str">
        <f>IF($A315="N/A"," ",IF('Pricing Inputs'!$AN$8=2,(M315-$H315),IF('Pricing Inputs'!$AN$3=2,IF((M315-$H315)&gt;0,M315-$H315,0),(_xll.xSPRDOPT(M315,$E315,$BU315,0,$BP315,$BS315,$BT315,($A315-Inputs!$D$1)+15,1,0)))))</f>
        <v xml:space="preserve"> </v>
      </c>
      <c r="U315" s="320" t="str">
        <f>IF($A315="N/A"," ",IF('Pricing Inputs'!$AN$8=2,(N315-$H315),IF('Pricing Inputs'!$AN$3=2,IF((N315-$H315)&gt;0,N315-$H315,0),(_xll.xSPRDOPT(N315,$E315,$BU315,0,$BP315,$BS315,$BT315,($A315-Inputs!$D$1)+15,1,0)))))</f>
        <v xml:space="preserve"> </v>
      </c>
      <c r="V315" s="259" t="str">
        <f>IF($A315="N/A"," ",(IF('Pricing Inputs'!$AN$8=2,(O315-$H315),IF((O315-$H315)&lt;=0,0,(O315-$H315)))))</f>
        <v xml:space="preserve"> </v>
      </c>
      <c r="AK315" s="229"/>
      <c r="AL315" s="229"/>
      <c r="AM315" s="229"/>
      <c r="AN315" s="229"/>
      <c r="AO315" s="229"/>
      <c r="AP315" s="229"/>
      <c r="AQ315" s="229"/>
      <c r="AR315" s="229"/>
      <c r="BA315" s="267" t="str">
        <f>IF($A315="N/A"," ",(IF(MONTH(A315)&gt;=4,IF(MONTH(A315)&lt;=10,Inputs!$F$13,Inputs!$F$14),Inputs!$F$14))*$BW315)</f>
        <v xml:space="preserve"> </v>
      </c>
      <c r="BN315" s="405" t="str">
        <f>IF(A315="N/A"," ",(VLOOKUP(A315,PowerVolTable,(IF('Pricing Inputs'!$AT$3=2,7,IF('Pricing Inputs'!$AT$3=1,6,8))),FALSE)))</f>
        <v xml:space="preserve"> </v>
      </c>
      <c r="BO315" s="405" t="str">
        <f>IF(A315="N/A"," ",(VLOOKUP(A315,IntraPowerVol,(IF('Pricing Inputs'!$AT$3=2,3,IF('Pricing Inputs'!$AT$3=1,2,4))),FALSE)*VLOOKUP(MONTH($A315),Inputs!$A$28:$B$39,2)))</f>
        <v xml:space="preserve"> </v>
      </c>
      <c r="BP315" s="406" t="str">
        <f t="shared" si="430"/>
        <v xml:space="preserve"> </v>
      </c>
      <c r="BQ315" s="405" t="str">
        <f>IF($A315="N/A"," ",(VLOOKUP($A315,GasVolTable,(IF('Pricing Inputs'!$AT$3=2,6,IF('Pricing Inputs'!$AT$3=1,7,5))),FALSE)))</f>
        <v xml:space="preserve"> </v>
      </c>
      <c r="BR315" s="405" t="str">
        <f>IF($A315="N/A"," ",(VLOOKUP($A315,OmicronVol,(IF('Pricing Inputs'!$AT$3=2,3,IF('Pricing Inputs'!$AT$3=1,4,2))),FALSE)))</f>
        <v xml:space="preserve"> </v>
      </c>
      <c r="BS315" s="406" t="str">
        <f>IF($A315="N/A"," ",IF('Pricing Inputs'!$AN$3=1,(IF(DateToday&gt;$A315,$BR315,((($BQ315^2)*((($A315-1)-DateToday)/((EOMONTH($A315,0)+1)-DateToday-15)))+((($BR315)^2)*((15)/((EOMONTH($A315,0)+1)-DateToday-15))))^0.5)),0.0001))</f>
        <v xml:space="preserve"> </v>
      </c>
      <c r="BT315" s="405" t="str">
        <f>IF($A315="N/A"," ",IF('Pricing Inputs'!$AN$3=1,(VLOOKUP($A315,CorrelationTable,2,FALSE)),0))</f>
        <v xml:space="preserve"> </v>
      </c>
      <c r="BU315" s="407" t="str">
        <f>IF($A315="N/A"," ",F315+G315+(D315*(VLOOKUP($A315,'Gas Curves'!$B$17:$P$310,14,FALSE))))</f>
        <v xml:space="preserve"> </v>
      </c>
      <c r="BV315" s="405" t="str">
        <f>IF($A315="N/A"," ",IF('Pricing Inputs'!$AW$3=1,0,(VLOOKUP($A315,InterestRatesTable,2))))</f>
        <v xml:space="preserve"> </v>
      </c>
      <c r="BW315" s="408" t="str">
        <f t="shared" si="431"/>
        <v xml:space="preserve"> </v>
      </c>
    </row>
    <row r="316" spans="1:75">
      <c r="A316" s="248" t="str">
        <f>IF(A315="N/A","N/A",IF(EDATE(A315,1)&gt;Inputs!$K$3,"N/A",EDATE(A315,1)))</f>
        <v>N/A</v>
      </c>
      <c r="B316" s="262" t="str">
        <f t="shared" si="432"/>
        <v xml:space="preserve"> </v>
      </c>
      <c r="C316" s="249" t="str">
        <f t="shared" si="433"/>
        <v xml:space="preserve"> </v>
      </c>
      <c r="D316" s="250" t="str">
        <f>IF(A316="N/A"," ",(VLOOKUP(MONTH($A316),Inputs!$A$14:$B$25,2))/1000)</f>
        <v xml:space="preserve"> </v>
      </c>
      <c r="E316" s="304" t="str">
        <f t="shared" si="434"/>
        <v xml:space="preserve"> </v>
      </c>
      <c r="F316" s="251" t="str">
        <f>IF(A316="N/A"," ",Inputs!$F$6)</f>
        <v xml:space="preserve"> </v>
      </c>
      <c r="G316" s="251" t="str">
        <f>IF(A316="N/A"," ",Inputs!$F$9/IF(AND('Pricing Inputs'!$AQ$3&gt;=4,'Pricing Inputs'!$AQ$3&lt;=6),16,IF(AND('Pricing Inputs'!$AQ$3&gt;=7,'Pricing Inputs'!$AQ$3&lt;=9),8,24))/(BA316/BW316))</f>
        <v xml:space="preserve"> </v>
      </c>
      <c r="H316" s="252" t="str">
        <f t="shared" si="435"/>
        <v xml:space="preserve"> </v>
      </c>
      <c r="I316" s="255" t="str">
        <f>VLOOKUP(A316,ScaledPrice,(IF(AND('Pricing Inputs'!$AQ$3&gt;=1,'Pricing Inputs'!$AQ$3&lt;=6),2,4)))</f>
        <v xml:space="preserve"> </v>
      </c>
      <c r="J316" s="255" t="str">
        <f>IF(A316="N/A"," ",IF(AND('Pricing Inputs'!$AQ$3&gt;=1,'Pricing Inputs'!$AQ$3&lt;=6),I316,(VLOOKUP(A316,ScaledPrice,2))*(2-(VLOOKUP(A316,ScaledPrice,3)))))</f>
        <v xml:space="preserve"> </v>
      </c>
      <c r="K316" s="255" t="str">
        <f>IF(A316="N/A"," ",IF(OR('Pricing Inputs'!$AQ$3=2,'Pricing Inputs'!$AQ$3=3,'Pricing Inputs'!$AQ$3=5,'Pricing Inputs'!$AQ$3=6,'Pricing Inputs'!$AQ$3=8,'Pricing Inputs'!$AQ$3=9),VLOOKUP(A316,ScaledPrice,IF(AND('Pricing Inputs'!$AQ$3&gt;=2,'Pricing Inputs'!$AQ$3&lt;=6),5,6)),0))</f>
        <v xml:space="preserve"> </v>
      </c>
      <c r="L316" s="255" t="str">
        <f>IF(A316="N/A"," ",IF(OR('Pricing Inputs'!$AQ$3=2,'Pricing Inputs'!$AQ$3=3,'Pricing Inputs'!$AQ$3=5,'Pricing Inputs'!$AQ$3=6,'Pricing Inputs'!$AQ$3=8,'Pricing Inputs'!$AQ$3=9),IF(AND('Pricing Inputs'!$AQ$3&gt;=2,'Pricing Inputs'!$AQ$3&lt;=6),K316,(VLOOKUP(A316,ScaledPrice,5))*(2-(VLOOKUP(A316,ScaledPrice,3)))),0))</f>
        <v xml:space="preserve"> </v>
      </c>
      <c r="M316" s="255" t="str">
        <f>IF(A316="N/A"," ",IF(OR('Pricing Inputs'!$AQ$3=3,'Pricing Inputs'!$AQ$3=6,'Pricing Inputs'!$AQ$3=9),(VLOOKUP(A316,ScaledPrice,IF(AND('Pricing Inputs'!$AQ$3&gt;=3,'Pricing Inputs'!$AQ$3&lt;=6),7,8))),0))</f>
        <v xml:space="preserve"> </v>
      </c>
      <c r="N316" s="255" t="str">
        <f>IF(A316="N/A"," ",IF(OR('Pricing Inputs'!$AQ$3=3,'Pricing Inputs'!$AQ$3=6,'Pricing Inputs'!$AQ$3=9),IF(AND('Pricing Inputs'!$AQ$3&gt;=3,'Pricing Inputs'!$AQ$3&lt;=6),M316,(VLOOKUP(A316,ScaledPrice,7))*(2-(VLOOKUP(A316,ScaledPrice,3)))),0))</f>
        <v xml:space="preserve"> </v>
      </c>
      <c r="O316" s="255" t="str">
        <f>IF(A316="N/A"," ",IF(AND('Pricing Inputs'!$AQ$3&gt;=1,'Pricing Inputs'!$AQ$3&lt;=3),VLOOKUP(A316,ScaledPrice,9),0))</f>
        <v xml:space="preserve"> </v>
      </c>
      <c r="P316" s="320" t="str">
        <f>IF($A316="N/A"," ",IF('Pricing Inputs'!$AN$8=2,(I316-H316),IF('Pricing Inputs'!$AN$3=2,IF((I316-$H316)&gt;0,I316-$H316,0),(_xll.xSPRDOPT(I316,$E316,$BU316,0,$BP316,$BS316,$BT316,($A316-Inputs!$D$1)+15,1,0)))))</f>
        <v xml:space="preserve"> </v>
      </c>
      <c r="Q316" s="320" t="str">
        <f>IF($A316="N/A"," ",IF('Pricing Inputs'!$AN$8=2,(J316-$H316),IF('Pricing Inputs'!$AN$3=2,IF((J316-$H316)&gt;0,J316-$H316,0),(_xll.xSPRDOPT(J316,$E316,$BU316,0,$BP316,$BS316,$BT316,($A316-Inputs!$D$1)+15,1,0)))))</f>
        <v xml:space="preserve"> </v>
      </c>
      <c r="R316" s="320" t="str">
        <f>IF($A316="N/A"," ",IF('Pricing Inputs'!$AN$8=2,(K316-$H316),IF('Pricing Inputs'!$AN$3=2,IF((K316-$H316)&gt;0,K316-$H316,0),(_xll.xSPRDOPT(K316,$E316,$BU316,0,$BP316,$BS316,$BT316,($A316-Inputs!$D$1)+15,1,0)))))</f>
        <v xml:space="preserve"> </v>
      </c>
      <c r="S316" s="320" t="str">
        <f>IF($A316="N/A"," ",IF('Pricing Inputs'!$AN$8=2,(L316-$H316),IF('Pricing Inputs'!$AN$3=2,IF((L316-$H316)&gt;0,L316-$H316,0),(_xll.xSPRDOPT(L316,$E316,$BU316,0,$BP316,$BS316,$BT316,($A316-Inputs!$D$1)+15,1,0)))))</f>
        <v xml:space="preserve"> </v>
      </c>
      <c r="T316" s="320" t="str">
        <f>IF($A316="N/A"," ",IF('Pricing Inputs'!$AN$8=2,(M316-$H316),IF('Pricing Inputs'!$AN$3=2,IF((M316-$H316)&gt;0,M316-$H316,0),(_xll.xSPRDOPT(M316,$E316,$BU316,0,$BP316,$BS316,$BT316,($A316-Inputs!$D$1)+15,1,0)))))</f>
        <v xml:space="preserve"> </v>
      </c>
      <c r="U316" s="320" t="str">
        <f>IF($A316="N/A"," ",IF('Pricing Inputs'!$AN$8=2,(N316-$H316),IF('Pricing Inputs'!$AN$3=2,IF((N316-$H316)&gt;0,N316-$H316,0),(_xll.xSPRDOPT(N316,$E316,$BU316,0,$BP316,$BS316,$BT316,($A316-Inputs!$D$1)+15,1,0)))))</f>
        <v xml:space="preserve"> </v>
      </c>
      <c r="V316" s="259" t="str">
        <f>IF($A316="N/A"," ",(IF('Pricing Inputs'!$AN$8=2,(O316-$H316),IF((O316-$H316)&lt;=0,0,(O316-$H316)))))</f>
        <v xml:space="preserve"> </v>
      </c>
      <c r="AK316" s="229"/>
      <c r="AL316" s="229"/>
      <c r="AM316" s="229"/>
      <c r="AN316" s="229"/>
      <c r="AO316" s="229"/>
      <c r="AP316" s="229"/>
      <c r="AQ316" s="229"/>
      <c r="AR316" s="229"/>
      <c r="BA316" s="267" t="str">
        <f>IF($A316="N/A"," ",(IF(MONTH(A316)&gt;=4,IF(MONTH(A316)&lt;=10,Inputs!$F$13,Inputs!$F$14),Inputs!$F$14))*$BW316)</f>
        <v xml:space="preserve"> </v>
      </c>
      <c r="BN316" s="405" t="str">
        <f>IF(A316="N/A"," ",(VLOOKUP(A316,PowerVolTable,(IF('Pricing Inputs'!$AT$3=2,7,IF('Pricing Inputs'!$AT$3=1,6,8))),FALSE)))</f>
        <v xml:space="preserve"> </v>
      </c>
      <c r="BO316" s="405" t="str">
        <f>IF(A316="N/A"," ",(VLOOKUP(A316,IntraPowerVol,(IF('Pricing Inputs'!$AT$3=2,3,IF('Pricing Inputs'!$AT$3=1,2,4))),FALSE)*VLOOKUP(MONTH($A316),Inputs!$A$28:$B$39,2)))</f>
        <v xml:space="preserve"> </v>
      </c>
      <c r="BP316" s="406" t="str">
        <f t="shared" si="430"/>
        <v xml:space="preserve"> </v>
      </c>
      <c r="BQ316" s="405" t="str">
        <f>IF($A316="N/A"," ",(VLOOKUP($A316,GasVolTable,(IF('Pricing Inputs'!$AT$3=2,6,IF('Pricing Inputs'!$AT$3=1,7,5))),FALSE)))</f>
        <v xml:space="preserve"> </v>
      </c>
      <c r="BR316" s="405" t="str">
        <f>IF($A316="N/A"," ",(VLOOKUP($A316,OmicronVol,(IF('Pricing Inputs'!$AT$3=2,3,IF('Pricing Inputs'!$AT$3=1,4,2))),FALSE)))</f>
        <v xml:space="preserve"> </v>
      </c>
      <c r="BS316" s="406" t="str">
        <f>IF($A316="N/A"," ",IF('Pricing Inputs'!$AN$3=1,(IF(DateToday&gt;$A316,$BR316,((($BQ316^2)*((($A316-1)-DateToday)/((EOMONTH($A316,0)+1)-DateToday-15)))+((($BR316)^2)*((15)/((EOMONTH($A316,0)+1)-DateToday-15))))^0.5)),0.0001))</f>
        <v xml:space="preserve"> </v>
      </c>
      <c r="BT316" s="405" t="str">
        <f>IF($A316="N/A"," ",IF('Pricing Inputs'!$AN$3=1,(VLOOKUP($A316,CorrelationTable,2,FALSE)),0))</f>
        <v xml:space="preserve"> </v>
      </c>
      <c r="BU316" s="407" t="str">
        <f>IF($A316="N/A"," ",F316+G316+(D316*(VLOOKUP($A316,'Gas Curves'!$B$17:$P$310,14,FALSE))))</f>
        <v xml:space="preserve"> </v>
      </c>
      <c r="BV316" s="405" t="str">
        <f>IF($A316="N/A"," ",IF('Pricing Inputs'!$AW$3=1,0,(VLOOKUP($A316,InterestRatesTable,2))))</f>
        <v xml:space="preserve"> </v>
      </c>
      <c r="BW316" s="408" t="str">
        <f t="shared" si="431"/>
        <v xml:space="preserve"> </v>
      </c>
    </row>
    <row r="317" spans="1:75">
      <c r="A317" s="248" t="str">
        <f>IF(A316="N/A","N/A",IF(EDATE(A316,1)&gt;Inputs!$K$3,"N/A",EDATE(A316,1)))</f>
        <v>N/A</v>
      </c>
      <c r="B317" s="262" t="str">
        <f t="shared" si="432"/>
        <v xml:space="preserve"> </v>
      </c>
      <c r="C317" s="249" t="str">
        <f t="shared" si="433"/>
        <v xml:space="preserve"> </v>
      </c>
      <c r="D317" s="250" t="str">
        <f>IF(A317="N/A"," ",(VLOOKUP(MONTH($A317),Inputs!$A$14:$B$25,2))/1000)</f>
        <v xml:space="preserve"> </v>
      </c>
      <c r="E317" s="304" t="str">
        <f t="shared" si="434"/>
        <v xml:space="preserve"> </v>
      </c>
      <c r="F317" s="251" t="str">
        <f>IF(A317="N/A"," ",Inputs!$F$6)</f>
        <v xml:space="preserve"> </v>
      </c>
      <c r="G317" s="251" t="str">
        <f>IF(A317="N/A"," ",Inputs!$F$9/IF(AND('Pricing Inputs'!$AQ$3&gt;=4,'Pricing Inputs'!$AQ$3&lt;=6),16,IF(AND('Pricing Inputs'!$AQ$3&gt;=7,'Pricing Inputs'!$AQ$3&lt;=9),8,24))/(BA317/BW317))</f>
        <v xml:space="preserve"> </v>
      </c>
      <c r="H317" s="252" t="str">
        <f t="shared" si="435"/>
        <v xml:space="preserve"> </v>
      </c>
      <c r="I317" s="255" t="str">
        <f>VLOOKUP(A317,ScaledPrice,(IF(AND('Pricing Inputs'!$AQ$3&gt;=1,'Pricing Inputs'!$AQ$3&lt;=6),2,4)))</f>
        <v xml:space="preserve"> </v>
      </c>
      <c r="J317" s="255" t="str">
        <f>IF(A317="N/A"," ",IF(AND('Pricing Inputs'!$AQ$3&gt;=1,'Pricing Inputs'!$AQ$3&lt;=6),I317,(VLOOKUP(A317,ScaledPrice,2))*(2-(VLOOKUP(A317,ScaledPrice,3)))))</f>
        <v xml:space="preserve"> </v>
      </c>
      <c r="K317" s="255" t="str">
        <f>IF(A317="N/A"," ",IF(OR('Pricing Inputs'!$AQ$3=2,'Pricing Inputs'!$AQ$3=3,'Pricing Inputs'!$AQ$3=5,'Pricing Inputs'!$AQ$3=6,'Pricing Inputs'!$AQ$3=8,'Pricing Inputs'!$AQ$3=9),VLOOKUP(A317,ScaledPrice,IF(AND('Pricing Inputs'!$AQ$3&gt;=2,'Pricing Inputs'!$AQ$3&lt;=6),5,6)),0))</f>
        <v xml:space="preserve"> </v>
      </c>
      <c r="L317" s="255" t="str">
        <f>IF(A317="N/A"," ",IF(OR('Pricing Inputs'!$AQ$3=2,'Pricing Inputs'!$AQ$3=3,'Pricing Inputs'!$AQ$3=5,'Pricing Inputs'!$AQ$3=6,'Pricing Inputs'!$AQ$3=8,'Pricing Inputs'!$AQ$3=9),IF(AND('Pricing Inputs'!$AQ$3&gt;=2,'Pricing Inputs'!$AQ$3&lt;=6),K317,(VLOOKUP(A317,ScaledPrice,5))*(2-(VLOOKUP(A317,ScaledPrice,3)))),0))</f>
        <v xml:space="preserve"> </v>
      </c>
      <c r="M317" s="255" t="str">
        <f>IF(A317="N/A"," ",IF(OR('Pricing Inputs'!$AQ$3=3,'Pricing Inputs'!$AQ$3=6,'Pricing Inputs'!$AQ$3=9),(VLOOKUP(A317,ScaledPrice,IF(AND('Pricing Inputs'!$AQ$3&gt;=3,'Pricing Inputs'!$AQ$3&lt;=6),7,8))),0))</f>
        <v xml:space="preserve"> </v>
      </c>
      <c r="N317" s="255" t="str">
        <f>IF(A317="N/A"," ",IF(OR('Pricing Inputs'!$AQ$3=3,'Pricing Inputs'!$AQ$3=6,'Pricing Inputs'!$AQ$3=9),IF(AND('Pricing Inputs'!$AQ$3&gt;=3,'Pricing Inputs'!$AQ$3&lt;=6),M317,(VLOOKUP(A317,ScaledPrice,7))*(2-(VLOOKUP(A317,ScaledPrice,3)))),0))</f>
        <v xml:space="preserve"> </v>
      </c>
      <c r="O317" s="255" t="str">
        <f>IF(A317="N/A"," ",IF(AND('Pricing Inputs'!$AQ$3&gt;=1,'Pricing Inputs'!$AQ$3&lt;=3),VLOOKUP(A317,ScaledPrice,9),0))</f>
        <v xml:space="preserve"> </v>
      </c>
      <c r="P317" s="320" t="str">
        <f>IF($A317="N/A"," ",IF('Pricing Inputs'!$AN$8=2,(I317-H317),IF('Pricing Inputs'!$AN$3=2,IF((I317-$H317)&gt;0,I317-$H317,0),(_xll.xSPRDOPT(I317,$E317,$BU317,0,$BP317,$BS317,$BT317,($A317-Inputs!$D$1)+15,1,0)))))</f>
        <v xml:space="preserve"> </v>
      </c>
      <c r="Q317" s="320" t="str">
        <f>IF($A317="N/A"," ",IF('Pricing Inputs'!$AN$8=2,(J317-$H317),IF('Pricing Inputs'!$AN$3=2,IF((J317-$H317)&gt;0,J317-$H317,0),(_xll.xSPRDOPT(J317,$E317,$BU317,0,$BP317,$BS317,$BT317,($A317-Inputs!$D$1)+15,1,0)))))</f>
        <v xml:space="preserve"> </v>
      </c>
      <c r="R317" s="320" t="str">
        <f>IF($A317="N/A"," ",IF('Pricing Inputs'!$AN$8=2,(K317-$H317),IF('Pricing Inputs'!$AN$3=2,IF((K317-$H317)&gt;0,K317-$H317,0),(_xll.xSPRDOPT(K317,$E317,$BU317,0,$BP317,$BS317,$BT317,($A317-Inputs!$D$1)+15,1,0)))))</f>
        <v xml:space="preserve"> </v>
      </c>
      <c r="S317" s="320" t="str">
        <f>IF($A317="N/A"," ",IF('Pricing Inputs'!$AN$8=2,(L317-$H317),IF('Pricing Inputs'!$AN$3=2,IF((L317-$H317)&gt;0,L317-$H317,0),(_xll.xSPRDOPT(L317,$E317,$BU317,0,$BP317,$BS317,$BT317,($A317-Inputs!$D$1)+15,1,0)))))</f>
        <v xml:space="preserve"> </v>
      </c>
      <c r="T317" s="320" t="str">
        <f>IF($A317="N/A"," ",IF('Pricing Inputs'!$AN$8=2,(M317-$H317),IF('Pricing Inputs'!$AN$3=2,IF((M317-$H317)&gt;0,M317-$H317,0),(_xll.xSPRDOPT(M317,$E317,$BU317,0,$BP317,$BS317,$BT317,($A317-Inputs!$D$1)+15,1,0)))))</f>
        <v xml:space="preserve"> </v>
      </c>
      <c r="U317" s="320" t="str">
        <f>IF($A317="N/A"," ",IF('Pricing Inputs'!$AN$8=2,(N317-$H317),IF('Pricing Inputs'!$AN$3=2,IF((N317-$H317)&gt;0,N317-$H317,0),(_xll.xSPRDOPT(N317,$E317,$BU317,0,$BP317,$BS317,$BT317,($A317-Inputs!$D$1)+15,1,0)))))</f>
        <v xml:space="preserve"> </v>
      </c>
      <c r="V317" s="259" t="str">
        <f>IF($A317="N/A"," ",(IF('Pricing Inputs'!$AN$8=2,(O317-$H317),IF((O317-$H317)&lt;=0,0,(O317-$H317)))))</f>
        <v xml:space="preserve"> </v>
      </c>
      <c r="AK317" s="229"/>
      <c r="AL317" s="229"/>
      <c r="AM317" s="229"/>
      <c r="AN317" s="229"/>
      <c r="AO317" s="229"/>
      <c r="AP317" s="229"/>
      <c r="AQ317" s="229"/>
      <c r="AR317" s="229"/>
      <c r="BA317" s="267" t="str">
        <f>IF($A317="N/A"," ",(IF(MONTH(A317)&gt;=4,IF(MONTH(A317)&lt;=10,Inputs!$F$13,Inputs!$F$14),Inputs!$F$14))*$BW317)</f>
        <v xml:space="preserve"> </v>
      </c>
      <c r="BN317" s="405" t="str">
        <f>IF(A317="N/A"," ",(VLOOKUP(A317,PowerVolTable,(IF('Pricing Inputs'!$AT$3=2,7,IF('Pricing Inputs'!$AT$3=1,6,8))),FALSE)))</f>
        <v xml:space="preserve"> </v>
      </c>
      <c r="BO317" s="405" t="str">
        <f>IF(A317="N/A"," ",(VLOOKUP(A317,IntraPowerVol,(IF('Pricing Inputs'!$AT$3=2,3,IF('Pricing Inputs'!$AT$3=1,2,4))),FALSE)*VLOOKUP(MONTH($A317),Inputs!$A$28:$B$39,2)))</f>
        <v xml:space="preserve"> </v>
      </c>
      <c r="BP317" s="406" t="str">
        <f t="shared" si="430"/>
        <v xml:space="preserve"> </v>
      </c>
      <c r="BQ317" s="405" t="str">
        <f>IF($A317="N/A"," ",(VLOOKUP($A317,GasVolTable,(IF('Pricing Inputs'!$AT$3=2,6,IF('Pricing Inputs'!$AT$3=1,7,5))),FALSE)))</f>
        <v xml:space="preserve"> </v>
      </c>
      <c r="BR317" s="405" t="str">
        <f>IF($A317="N/A"," ",(VLOOKUP($A317,OmicronVol,(IF('Pricing Inputs'!$AT$3=2,3,IF('Pricing Inputs'!$AT$3=1,4,2))),FALSE)))</f>
        <v xml:space="preserve"> </v>
      </c>
      <c r="BS317" s="406" t="str">
        <f>IF($A317="N/A"," ",IF('Pricing Inputs'!$AN$3=1,(IF(DateToday&gt;$A317,$BR317,((($BQ317^2)*((($A317-1)-DateToday)/((EOMONTH($A317,0)+1)-DateToday-15)))+((($BR317)^2)*((15)/((EOMONTH($A317,0)+1)-DateToday-15))))^0.5)),0.0001))</f>
        <v xml:space="preserve"> </v>
      </c>
      <c r="BT317" s="405" t="str">
        <f>IF($A317="N/A"," ",IF('Pricing Inputs'!$AN$3=1,(VLOOKUP($A317,CorrelationTable,2,FALSE)),0))</f>
        <v xml:space="preserve"> </v>
      </c>
      <c r="BU317" s="407" t="str">
        <f>IF($A317="N/A"," ",F317+G317+(D317*(VLOOKUP($A317,'Gas Curves'!$B$17:$P$310,14,FALSE))))</f>
        <v xml:space="preserve"> </v>
      </c>
      <c r="BV317" s="405" t="str">
        <f>IF($A317="N/A"," ",IF('Pricing Inputs'!$AW$3=1,0,(VLOOKUP($A317,InterestRatesTable,2))))</f>
        <v xml:space="preserve"> </v>
      </c>
      <c r="BW317" s="408" t="str">
        <f t="shared" si="431"/>
        <v xml:space="preserve"> </v>
      </c>
    </row>
    <row r="318" spans="1:75">
      <c r="A318" s="248" t="str">
        <f>IF(A317="N/A","N/A",IF(EDATE(A317,1)&gt;Inputs!$K$3,"N/A",EDATE(A317,1)))</f>
        <v>N/A</v>
      </c>
      <c r="B318" s="262" t="str">
        <f t="shared" si="432"/>
        <v xml:space="preserve"> </v>
      </c>
      <c r="C318" s="249" t="str">
        <f t="shared" si="433"/>
        <v xml:space="preserve"> </v>
      </c>
      <c r="D318" s="250" t="str">
        <f>IF(A318="N/A"," ",(VLOOKUP(MONTH($A318),Inputs!$A$14:$B$25,2))/1000)</f>
        <v xml:space="preserve"> </v>
      </c>
      <c r="E318" s="304" t="str">
        <f t="shared" si="434"/>
        <v xml:space="preserve"> </v>
      </c>
      <c r="F318" s="251" t="str">
        <f>IF(A318="N/A"," ",Inputs!$F$6)</f>
        <v xml:space="preserve"> </v>
      </c>
      <c r="G318" s="251" t="str">
        <f>IF(A318="N/A"," ",Inputs!$F$9/IF(AND('Pricing Inputs'!$AQ$3&gt;=4,'Pricing Inputs'!$AQ$3&lt;=6),16,IF(AND('Pricing Inputs'!$AQ$3&gt;=7,'Pricing Inputs'!$AQ$3&lt;=9),8,24))/(BA318/BW318))</f>
        <v xml:space="preserve"> </v>
      </c>
      <c r="H318" s="252" t="str">
        <f t="shared" si="435"/>
        <v xml:space="preserve"> </v>
      </c>
      <c r="I318" s="255" t="str">
        <f>VLOOKUP(A318,ScaledPrice,(IF(AND('Pricing Inputs'!$AQ$3&gt;=1,'Pricing Inputs'!$AQ$3&lt;=6),2,4)))</f>
        <v xml:space="preserve"> </v>
      </c>
      <c r="J318" s="255" t="str">
        <f>IF(A318="N/A"," ",IF(AND('Pricing Inputs'!$AQ$3&gt;=1,'Pricing Inputs'!$AQ$3&lt;=6),I318,(VLOOKUP(A318,ScaledPrice,2))*(2-(VLOOKUP(A318,ScaledPrice,3)))))</f>
        <v xml:space="preserve"> </v>
      </c>
      <c r="K318" s="255" t="str">
        <f>IF(A318="N/A"," ",IF(OR('Pricing Inputs'!$AQ$3=2,'Pricing Inputs'!$AQ$3=3,'Pricing Inputs'!$AQ$3=5,'Pricing Inputs'!$AQ$3=6,'Pricing Inputs'!$AQ$3=8,'Pricing Inputs'!$AQ$3=9),VLOOKUP(A318,ScaledPrice,IF(AND('Pricing Inputs'!$AQ$3&gt;=2,'Pricing Inputs'!$AQ$3&lt;=6),5,6)),0))</f>
        <v xml:space="preserve"> </v>
      </c>
      <c r="L318" s="255" t="str">
        <f>IF(A318="N/A"," ",IF(OR('Pricing Inputs'!$AQ$3=2,'Pricing Inputs'!$AQ$3=3,'Pricing Inputs'!$AQ$3=5,'Pricing Inputs'!$AQ$3=6,'Pricing Inputs'!$AQ$3=8,'Pricing Inputs'!$AQ$3=9),IF(AND('Pricing Inputs'!$AQ$3&gt;=2,'Pricing Inputs'!$AQ$3&lt;=6),K318,(VLOOKUP(A318,ScaledPrice,5))*(2-(VLOOKUP(A318,ScaledPrice,3)))),0))</f>
        <v xml:space="preserve"> </v>
      </c>
      <c r="M318" s="255" t="str">
        <f>IF(A318="N/A"," ",IF(OR('Pricing Inputs'!$AQ$3=3,'Pricing Inputs'!$AQ$3=6,'Pricing Inputs'!$AQ$3=9),(VLOOKUP(A318,ScaledPrice,IF(AND('Pricing Inputs'!$AQ$3&gt;=3,'Pricing Inputs'!$AQ$3&lt;=6),7,8))),0))</f>
        <v xml:space="preserve"> </v>
      </c>
      <c r="N318" s="255" t="str">
        <f>IF(A318="N/A"," ",IF(OR('Pricing Inputs'!$AQ$3=3,'Pricing Inputs'!$AQ$3=6,'Pricing Inputs'!$AQ$3=9),IF(AND('Pricing Inputs'!$AQ$3&gt;=3,'Pricing Inputs'!$AQ$3&lt;=6),M318,(VLOOKUP(A318,ScaledPrice,7))*(2-(VLOOKUP(A318,ScaledPrice,3)))),0))</f>
        <v xml:space="preserve"> </v>
      </c>
      <c r="O318" s="255" t="str">
        <f>IF(A318="N/A"," ",IF(AND('Pricing Inputs'!$AQ$3&gt;=1,'Pricing Inputs'!$AQ$3&lt;=3),VLOOKUP(A318,ScaledPrice,9),0))</f>
        <v xml:space="preserve"> </v>
      </c>
      <c r="P318" s="320" t="str">
        <f>IF($A318="N/A"," ",IF('Pricing Inputs'!$AN$8=2,(I318-H318),IF('Pricing Inputs'!$AN$3=2,IF((I318-$H318)&gt;0,I318-$H318,0),(_xll.xSPRDOPT(I318,$E318,$BU318,0,$BP318,$BS318,$BT318,($A318-Inputs!$D$1)+15,1,0)))))</f>
        <v xml:space="preserve"> </v>
      </c>
      <c r="Q318" s="320" t="str">
        <f>IF($A318="N/A"," ",IF('Pricing Inputs'!$AN$8=2,(J318-$H318),IF('Pricing Inputs'!$AN$3=2,IF((J318-$H318)&gt;0,J318-$H318,0),(_xll.xSPRDOPT(J318,$E318,$BU318,0,$BP318,$BS318,$BT318,($A318-Inputs!$D$1)+15,1,0)))))</f>
        <v xml:space="preserve"> </v>
      </c>
      <c r="R318" s="320" t="str">
        <f>IF($A318="N/A"," ",IF('Pricing Inputs'!$AN$8=2,(K318-$H318),IF('Pricing Inputs'!$AN$3=2,IF((K318-$H318)&gt;0,K318-$H318,0),(_xll.xSPRDOPT(K318,$E318,$BU318,0,$BP318,$BS318,$BT318,($A318-Inputs!$D$1)+15,1,0)))))</f>
        <v xml:space="preserve"> </v>
      </c>
      <c r="S318" s="320" t="str">
        <f>IF($A318="N/A"," ",IF('Pricing Inputs'!$AN$8=2,(L318-$H318),IF('Pricing Inputs'!$AN$3=2,IF((L318-$H318)&gt;0,L318-$H318,0),(_xll.xSPRDOPT(L318,$E318,$BU318,0,$BP318,$BS318,$BT318,($A318-Inputs!$D$1)+15,1,0)))))</f>
        <v xml:space="preserve"> </v>
      </c>
      <c r="T318" s="320" t="str">
        <f>IF($A318="N/A"," ",IF('Pricing Inputs'!$AN$8=2,(M318-$H318),IF('Pricing Inputs'!$AN$3=2,IF((M318-$H318)&gt;0,M318-$H318,0),(_xll.xSPRDOPT(M318,$E318,$BU318,0,$BP318,$BS318,$BT318,($A318-Inputs!$D$1)+15,1,0)))))</f>
        <v xml:space="preserve"> </v>
      </c>
      <c r="U318" s="320" t="str">
        <f>IF($A318="N/A"," ",IF('Pricing Inputs'!$AN$8=2,(N318-$H318),IF('Pricing Inputs'!$AN$3=2,IF((N318-$H318)&gt;0,N318-$H318,0),(_xll.xSPRDOPT(N318,$E318,$BU318,0,$BP318,$BS318,$BT318,($A318-Inputs!$D$1)+15,1,0)))))</f>
        <v xml:space="preserve"> </v>
      </c>
      <c r="V318" s="259" t="str">
        <f>IF($A318="N/A"," ",(IF('Pricing Inputs'!$AN$8=2,(O318-$H318),IF((O318-$H318)&lt;=0,0,(O318-$H318)))))</f>
        <v xml:space="preserve"> </v>
      </c>
      <c r="AK318" s="229"/>
      <c r="AL318" s="229"/>
      <c r="AM318" s="229"/>
      <c r="AN318" s="229"/>
      <c r="AO318" s="229"/>
      <c r="AP318" s="229"/>
      <c r="AQ318" s="229"/>
      <c r="AR318" s="229"/>
      <c r="BA318" s="267" t="str">
        <f>IF($A318="N/A"," ",(IF(MONTH(A318)&gt;=4,IF(MONTH(A318)&lt;=10,Inputs!$F$13,Inputs!$F$14),Inputs!$F$14))*$BW318)</f>
        <v xml:space="preserve"> </v>
      </c>
      <c r="BN318" s="405" t="str">
        <f>IF(A318="N/A"," ",(VLOOKUP(A318,PowerVolTable,(IF('Pricing Inputs'!$AT$3=2,7,IF('Pricing Inputs'!$AT$3=1,6,8))),FALSE)))</f>
        <v xml:space="preserve"> </v>
      </c>
      <c r="BO318" s="405" t="str">
        <f>IF(A318="N/A"," ",(VLOOKUP(A318,IntraPowerVol,(IF('Pricing Inputs'!$AT$3=2,3,IF('Pricing Inputs'!$AT$3=1,2,4))),FALSE)*VLOOKUP(MONTH($A318),Inputs!$A$28:$B$39,2)))</f>
        <v xml:space="preserve"> </v>
      </c>
      <c r="BP318" s="406" t="str">
        <f t="shared" si="430"/>
        <v xml:space="preserve"> </v>
      </c>
      <c r="BQ318" s="405" t="str">
        <f>IF($A318="N/A"," ",(VLOOKUP($A318,GasVolTable,(IF('Pricing Inputs'!$AT$3=2,6,IF('Pricing Inputs'!$AT$3=1,7,5))),FALSE)))</f>
        <v xml:space="preserve"> </v>
      </c>
      <c r="BR318" s="405" t="str">
        <f>IF($A318="N/A"," ",(VLOOKUP($A318,OmicronVol,(IF('Pricing Inputs'!$AT$3=2,3,IF('Pricing Inputs'!$AT$3=1,4,2))),FALSE)))</f>
        <v xml:space="preserve"> </v>
      </c>
      <c r="BS318" s="406" t="str">
        <f>IF($A318="N/A"," ",IF('Pricing Inputs'!$AN$3=1,(IF(DateToday&gt;$A318,$BR318,((($BQ318^2)*((($A318-1)-DateToday)/((EOMONTH($A318,0)+1)-DateToday-15)))+((($BR318)^2)*((15)/((EOMONTH($A318,0)+1)-DateToday-15))))^0.5)),0.0001))</f>
        <v xml:space="preserve"> </v>
      </c>
      <c r="BT318" s="405" t="str">
        <f>IF($A318="N/A"," ",IF('Pricing Inputs'!$AN$3=1,(VLOOKUP($A318,CorrelationTable,2,FALSE)),0))</f>
        <v xml:space="preserve"> </v>
      </c>
      <c r="BU318" s="407" t="str">
        <f>IF($A318="N/A"," ",F318+G318+(D318*(VLOOKUP($A318,'Gas Curves'!$B$17:$P$310,14,FALSE))))</f>
        <v xml:space="preserve"> </v>
      </c>
      <c r="BV318" s="405" t="str">
        <f>IF($A318="N/A"," ",IF('Pricing Inputs'!$AW$3=1,0,(VLOOKUP($A318,InterestRatesTable,2))))</f>
        <v xml:space="preserve"> </v>
      </c>
      <c r="BW318" s="408" t="str">
        <f t="shared" si="431"/>
        <v xml:space="preserve"> </v>
      </c>
    </row>
    <row r="319" spans="1:75">
      <c r="A319" s="248" t="str">
        <f>IF(A318="N/A","N/A",IF(EDATE(A318,1)&gt;Inputs!$K$3,"N/A",EDATE(A318,1)))</f>
        <v>N/A</v>
      </c>
      <c r="B319" s="262" t="str">
        <f t="shared" si="432"/>
        <v xml:space="preserve"> </v>
      </c>
      <c r="C319" s="249" t="str">
        <f t="shared" si="433"/>
        <v xml:space="preserve"> </v>
      </c>
      <c r="D319" s="250" t="str">
        <f>IF(A319="N/A"," ",(VLOOKUP(MONTH($A319),Inputs!$A$14:$B$25,2))/1000)</f>
        <v xml:space="preserve"> </v>
      </c>
      <c r="E319" s="304" t="str">
        <f t="shared" si="434"/>
        <v xml:space="preserve"> </v>
      </c>
      <c r="F319" s="251" t="str">
        <f>IF(A319="N/A"," ",Inputs!$F$6)</f>
        <v xml:space="preserve"> </v>
      </c>
      <c r="G319" s="251" t="str">
        <f>IF(A319="N/A"," ",Inputs!$F$9/IF(AND('Pricing Inputs'!$AQ$3&gt;=4,'Pricing Inputs'!$AQ$3&lt;=6),16,IF(AND('Pricing Inputs'!$AQ$3&gt;=7,'Pricing Inputs'!$AQ$3&lt;=9),8,24))/(BA319/BW319))</f>
        <v xml:space="preserve"> </v>
      </c>
      <c r="H319" s="252" t="str">
        <f t="shared" si="435"/>
        <v xml:space="preserve"> </v>
      </c>
      <c r="I319" s="255" t="str">
        <f>VLOOKUP(A319,ScaledPrice,(IF(AND('Pricing Inputs'!$AQ$3&gt;=1,'Pricing Inputs'!$AQ$3&lt;=6),2,4)))</f>
        <v xml:space="preserve"> </v>
      </c>
      <c r="J319" s="255" t="str">
        <f>IF(A319="N/A"," ",IF(AND('Pricing Inputs'!$AQ$3&gt;=1,'Pricing Inputs'!$AQ$3&lt;=6),I319,(VLOOKUP(A319,ScaledPrice,2))*(2-(VLOOKUP(A319,ScaledPrice,3)))))</f>
        <v xml:space="preserve"> </v>
      </c>
      <c r="K319" s="255" t="str">
        <f>IF(A319="N/A"," ",IF(OR('Pricing Inputs'!$AQ$3=2,'Pricing Inputs'!$AQ$3=3,'Pricing Inputs'!$AQ$3=5,'Pricing Inputs'!$AQ$3=6,'Pricing Inputs'!$AQ$3=8,'Pricing Inputs'!$AQ$3=9),VLOOKUP(A319,ScaledPrice,IF(AND('Pricing Inputs'!$AQ$3&gt;=2,'Pricing Inputs'!$AQ$3&lt;=6),5,6)),0))</f>
        <v xml:space="preserve"> </v>
      </c>
      <c r="L319" s="255" t="str">
        <f>IF(A319="N/A"," ",IF(OR('Pricing Inputs'!$AQ$3=2,'Pricing Inputs'!$AQ$3=3,'Pricing Inputs'!$AQ$3=5,'Pricing Inputs'!$AQ$3=6,'Pricing Inputs'!$AQ$3=8,'Pricing Inputs'!$AQ$3=9),IF(AND('Pricing Inputs'!$AQ$3&gt;=2,'Pricing Inputs'!$AQ$3&lt;=6),K319,(VLOOKUP(A319,ScaledPrice,5))*(2-(VLOOKUP(A319,ScaledPrice,3)))),0))</f>
        <v xml:space="preserve"> </v>
      </c>
      <c r="M319" s="255" t="str">
        <f>IF(A319="N/A"," ",IF(OR('Pricing Inputs'!$AQ$3=3,'Pricing Inputs'!$AQ$3=6,'Pricing Inputs'!$AQ$3=9),(VLOOKUP(A319,ScaledPrice,IF(AND('Pricing Inputs'!$AQ$3&gt;=3,'Pricing Inputs'!$AQ$3&lt;=6),7,8))),0))</f>
        <v xml:space="preserve"> </v>
      </c>
      <c r="N319" s="255" t="str">
        <f>IF(A319="N/A"," ",IF(OR('Pricing Inputs'!$AQ$3=3,'Pricing Inputs'!$AQ$3=6,'Pricing Inputs'!$AQ$3=9),IF(AND('Pricing Inputs'!$AQ$3&gt;=3,'Pricing Inputs'!$AQ$3&lt;=6),M319,(VLOOKUP(A319,ScaledPrice,7))*(2-(VLOOKUP(A319,ScaledPrice,3)))),0))</f>
        <v xml:space="preserve"> </v>
      </c>
      <c r="O319" s="255" t="str">
        <f>IF(A319="N/A"," ",IF(AND('Pricing Inputs'!$AQ$3&gt;=1,'Pricing Inputs'!$AQ$3&lt;=3),VLOOKUP(A319,ScaledPrice,9),0))</f>
        <v xml:space="preserve"> </v>
      </c>
      <c r="P319" s="320" t="str">
        <f>IF($A319="N/A"," ",IF('Pricing Inputs'!$AN$8=2,(I319-H319),IF('Pricing Inputs'!$AN$3=2,IF((I319-$H319)&gt;0,I319-$H319,0),(_xll.xSPRDOPT(I319,$E319,$BU319,0,$BP319,$BS319,$BT319,($A319-Inputs!$D$1)+15,1,0)))))</f>
        <v xml:space="preserve"> </v>
      </c>
      <c r="Q319" s="320" t="str">
        <f>IF($A319="N/A"," ",IF('Pricing Inputs'!$AN$8=2,(J319-$H319),IF('Pricing Inputs'!$AN$3=2,IF((J319-$H319)&gt;0,J319-$H319,0),(_xll.xSPRDOPT(J319,$E319,$BU319,0,$BP319,$BS319,$BT319,($A319-Inputs!$D$1)+15,1,0)))))</f>
        <v xml:space="preserve"> </v>
      </c>
      <c r="R319" s="320" t="str">
        <f>IF($A319="N/A"," ",IF('Pricing Inputs'!$AN$8=2,(K319-$H319),IF('Pricing Inputs'!$AN$3=2,IF((K319-$H319)&gt;0,K319-$H319,0),(_xll.xSPRDOPT(K319,$E319,$BU319,0,$BP319,$BS319,$BT319,($A319-Inputs!$D$1)+15,1,0)))))</f>
        <v xml:space="preserve"> </v>
      </c>
      <c r="S319" s="320" t="str">
        <f>IF($A319="N/A"," ",IF('Pricing Inputs'!$AN$8=2,(L319-$H319),IF('Pricing Inputs'!$AN$3=2,IF((L319-$H319)&gt;0,L319-$H319,0),(_xll.xSPRDOPT(L319,$E319,$BU319,0,$BP319,$BS319,$BT319,($A319-Inputs!$D$1)+15,1,0)))))</f>
        <v xml:space="preserve"> </v>
      </c>
      <c r="T319" s="320" t="str">
        <f>IF($A319="N/A"," ",IF('Pricing Inputs'!$AN$8=2,(M319-$H319),IF('Pricing Inputs'!$AN$3=2,IF((M319-$H319)&gt;0,M319-$H319,0),(_xll.xSPRDOPT(M319,$E319,$BU319,0,$BP319,$BS319,$BT319,($A319-Inputs!$D$1)+15,1,0)))))</f>
        <v xml:space="preserve"> </v>
      </c>
      <c r="U319" s="320" t="str">
        <f>IF($A319="N/A"," ",IF('Pricing Inputs'!$AN$8=2,(N319-$H319),IF('Pricing Inputs'!$AN$3=2,IF((N319-$H319)&gt;0,N319-$H319,0),(_xll.xSPRDOPT(N319,$E319,$BU319,0,$BP319,$BS319,$BT319,($A319-Inputs!$D$1)+15,1,0)))))</f>
        <v xml:space="preserve"> </v>
      </c>
      <c r="V319" s="259" t="str">
        <f>IF($A319="N/A"," ",(IF('Pricing Inputs'!$AN$8=2,(O319-$H319),IF((O319-$H319)&lt;=0,0,(O319-$H319)))))</f>
        <v xml:space="preserve"> </v>
      </c>
      <c r="AK319" s="229"/>
      <c r="AL319" s="229"/>
      <c r="AM319" s="229"/>
      <c r="AN319" s="229"/>
      <c r="AO319" s="229"/>
      <c r="AP319" s="229"/>
      <c r="AQ319" s="229"/>
      <c r="AR319" s="229"/>
      <c r="BA319" s="267" t="str">
        <f>IF($A319="N/A"," ",(IF(MONTH(A319)&gt;=4,IF(MONTH(A319)&lt;=10,Inputs!$F$13,Inputs!$F$14),Inputs!$F$14))*$BW319)</f>
        <v xml:space="preserve"> </v>
      </c>
      <c r="BN319" s="405" t="str">
        <f>IF(A319="N/A"," ",(VLOOKUP(A319,PowerVolTable,(IF('Pricing Inputs'!$AT$3=2,7,IF('Pricing Inputs'!$AT$3=1,6,8))),FALSE)))</f>
        <v xml:space="preserve"> </v>
      </c>
      <c r="BO319" s="405" t="str">
        <f>IF(A319="N/A"," ",(VLOOKUP(A319,IntraPowerVol,(IF('Pricing Inputs'!$AT$3=2,3,IF('Pricing Inputs'!$AT$3=1,2,4))),FALSE)*VLOOKUP(MONTH($A319),Inputs!$A$28:$B$39,2)))</f>
        <v xml:space="preserve"> </v>
      </c>
      <c r="BP319" s="406" t="str">
        <f t="shared" si="430"/>
        <v xml:space="preserve"> </v>
      </c>
      <c r="BQ319" s="405" t="str">
        <f>IF($A319="N/A"," ",(VLOOKUP($A319,GasVolTable,(IF('Pricing Inputs'!$AT$3=2,6,IF('Pricing Inputs'!$AT$3=1,7,5))),FALSE)))</f>
        <v xml:space="preserve"> </v>
      </c>
      <c r="BR319" s="405" t="str">
        <f>IF($A319="N/A"," ",(VLOOKUP($A319,OmicronVol,(IF('Pricing Inputs'!$AT$3=2,3,IF('Pricing Inputs'!$AT$3=1,4,2))),FALSE)))</f>
        <v xml:space="preserve"> </v>
      </c>
      <c r="BS319" s="406" t="str">
        <f>IF($A319="N/A"," ",IF('Pricing Inputs'!$AN$3=1,(IF(DateToday&gt;$A319,$BR319,((($BQ319^2)*((($A319-1)-DateToday)/((EOMONTH($A319,0)+1)-DateToday-15)))+((($BR319)^2)*((15)/((EOMONTH($A319,0)+1)-DateToday-15))))^0.5)),0.0001))</f>
        <v xml:space="preserve"> </v>
      </c>
      <c r="BT319" s="405" t="str">
        <f>IF($A319="N/A"," ",IF('Pricing Inputs'!$AN$3=1,(VLOOKUP($A319,CorrelationTable,2,FALSE)),0))</f>
        <v xml:space="preserve"> </v>
      </c>
      <c r="BU319" s="407" t="str">
        <f>IF($A319="N/A"," ",F319+G319+(D319*(VLOOKUP($A319,'Gas Curves'!$B$17:$P$310,14,FALSE))))</f>
        <v xml:space="preserve"> </v>
      </c>
      <c r="BV319" s="405" t="str">
        <f>IF($A319="N/A"," ",IF('Pricing Inputs'!$AW$3=1,0,(VLOOKUP($A319,InterestRatesTable,2))))</f>
        <v xml:space="preserve"> </v>
      </c>
      <c r="BW319" s="408" t="str">
        <f t="shared" si="431"/>
        <v xml:space="preserve"> </v>
      </c>
    </row>
    <row r="320" spans="1:75">
      <c r="A320" s="248" t="str">
        <f>IF(A319="N/A","N/A",IF(EDATE(A319,1)&gt;Inputs!$K$3,"N/A",EDATE(A319,1)))</f>
        <v>N/A</v>
      </c>
      <c r="B320" s="262" t="str">
        <f t="shared" si="432"/>
        <v xml:space="preserve"> </v>
      </c>
      <c r="C320" s="249" t="str">
        <f t="shared" si="433"/>
        <v xml:space="preserve"> </v>
      </c>
      <c r="D320" s="250" t="str">
        <f>IF(A320="N/A"," ",(VLOOKUP(MONTH($A320),Inputs!$A$14:$B$25,2))/1000)</f>
        <v xml:space="preserve"> </v>
      </c>
      <c r="E320" s="304" t="str">
        <f t="shared" si="434"/>
        <v xml:space="preserve"> </v>
      </c>
      <c r="F320" s="251" t="str">
        <f>IF(A320="N/A"," ",Inputs!$F$6)</f>
        <v xml:space="preserve"> </v>
      </c>
      <c r="G320" s="251" t="str">
        <f>IF(A320="N/A"," ",Inputs!$F$9/IF(AND('Pricing Inputs'!$AQ$3&gt;=4,'Pricing Inputs'!$AQ$3&lt;=6),16,IF(AND('Pricing Inputs'!$AQ$3&gt;=7,'Pricing Inputs'!$AQ$3&lt;=9),8,24))/(BA320/BW320))</f>
        <v xml:space="preserve"> </v>
      </c>
      <c r="H320" s="252" t="str">
        <f t="shared" si="435"/>
        <v xml:space="preserve"> </v>
      </c>
      <c r="I320" s="255" t="str">
        <f>VLOOKUP(A320,ScaledPrice,(IF(AND('Pricing Inputs'!$AQ$3&gt;=1,'Pricing Inputs'!$AQ$3&lt;=6),2,4)))</f>
        <v xml:space="preserve"> </v>
      </c>
      <c r="J320" s="255" t="str">
        <f>IF(A320="N/A"," ",IF(AND('Pricing Inputs'!$AQ$3&gt;=1,'Pricing Inputs'!$AQ$3&lt;=6),I320,(VLOOKUP(A320,ScaledPrice,2))*(2-(VLOOKUP(A320,ScaledPrice,3)))))</f>
        <v xml:space="preserve"> </v>
      </c>
      <c r="K320" s="255" t="str">
        <f>IF(A320="N/A"," ",IF(OR('Pricing Inputs'!$AQ$3=2,'Pricing Inputs'!$AQ$3=3,'Pricing Inputs'!$AQ$3=5,'Pricing Inputs'!$AQ$3=6,'Pricing Inputs'!$AQ$3=8,'Pricing Inputs'!$AQ$3=9),VLOOKUP(A320,ScaledPrice,IF(AND('Pricing Inputs'!$AQ$3&gt;=2,'Pricing Inputs'!$AQ$3&lt;=6),5,6)),0))</f>
        <v xml:space="preserve"> </v>
      </c>
      <c r="L320" s="255" t="str">
        <f>IF(A320="N/A"," ",IF(OR('Pricing Inputs'!$AQ$3=2,'Pricing Inputs'!$AQ$3=3,'Pricing Inputs'!$AQ$3=5,'Pricing Inputs'!$AQ$3=6,'Pricing Inputs'!$AQ$3=8,'Pricing Inputs'!$AQ$3=9),IF(AND('Pricing Inputs'!$AQ$3&gt;=2,'Pricing Inputs'!$AQ$3&lt;=6),K320,(VLOOKUP(A320,ScaledPrice,5))*(2-(VLOOKUP(A320,ScaledPrice,3)))),0))</f>
        <v xml:space="preserve"> </v>
      </c>
      <c r="M320" s="255" t="str">
        <f>IF(A320="N/A"," ",IF(OR('Pricing Inputs'!$AQ$3=3,'Pricing Inputs'!$AQ$3=6,'Pricing Inputs'!$AQ$3=9),(VLOOKUP(A320,ScaledPrice,IF(AND('Pricing Inputs'!$AQ$3&gt;=3,'Pricing Inputs'!$AQ$3&lt;=6),7,8))),0))</f>
        <v xml:space="preserve"> </v>
      </c>
      <c r="N320" s="255" t="str">
        <f>IF(A320="N/A"," ",IF(OR('Pricing Inputs'!$AQ$3=3,'Pricing Inputs'!$AQ$3=6,'Pricing Inputs'!$AQ$3=9),IF(AND('Pricing Inputs'!$AQ$3&gt;=3,'Pricing Inputs'!$AQ$3&lt;=6),M320,(VLOOKUP(A320,ScaledPrice,7))*(2-(VLOOKUP(A320,ScaledPrice,3)))),0))</f>
        <v xml:space="preserve"> </v>
      </c>
      <c r="O320" s="255" t="str">
        <f>IF(A320="N/A"," ",IF(AND('Pricing Inputs'!$AQ$3&gt;=1,'Pricing Inputs'!$AQ$3&lt;=3),VLOOKUP(A320,ScaledPrice,9),0))</f>
        <v xml:space="preserve"> </v>
      </c>
      <c r="P320" s="320" t="str">
        <f>IF($A320="N/A"," ",IF('Pricing Inputs'!$AN$8=2,(I320-H320),IF('Pricing Inputs'!$AN$3=2,IF((I320-$H320)&gt;0,I320-$H320,0),(_xll.xSPRDOPT(I320,$E320,$BU320,0,$BP320,$BS320,$BT320,($A320-Inputs!$D$1)+15,1,0)))))</f>
        <v xml:space="preserve"> </v>
      </c>
      <c r="Q320" s="320" t="str">
        <f>IF($A320="N/A"," ",IF('Pricing Inputs'!$AN$8=2,(J320-$H320),IF('Pricing Inputs'!$AN$3=2,IF((J320-$H320)&gt;0,J320-$H320,0),(_xll.xSPRDOPT(J320,$E320,$BU320,0,$BP320,$BS320,$BT320,($A320-Inputs!$D$1)+15,1,0)))))</f>
        <v xml:space="preserve"> </v>
      </c>
      <c r="R320" s="320" t="str">
        <f>IF($A320="N/A"," ",IF('Pricing Inputs'!$AN$8=2,(K320-$H320),IF('Pricing Inputs'!$AN$3=2,IF((K320-$H320)&gt;0,K320-$H320,0),(_xll.xSPRDOPT(K320,$E320,$BU320,0,$BP320,$BS320,$BT320,($A320-Inputs!$D$1)+15,1,0)))))</f>
        <v xml:space="preserve"> </v>
      </c>
      <c r="S320" s="320" t="str">
        <f>IF($A320="N/A"," ",IF('Pricing Inputs'!$AN$8=2,(L320-$H320),IF('Pricing Inputs'!$AN$3=2,IF((L320-$H320)&gt;0,L320-$H320,0),(_xll.xSPRDOPT(L320,$E320,$BU320,0,$BP320,$BS320,$BT320,($A320-Inputs!$D$1)+15,1,0)))))</f>
        <v xml:space="preserve"> </v>
      </c>
      <c r="T320" s="320" t="str">
        <f>IF($A320="N/A"," ",IF('Pricing Inputs'!$AN$8=2,(M320-$H320),IF('Pricing Inputs'!$AN$3=2,IF((M320-$H320)&gt;0,M320-$H320,0),(_xll.xSPRDOPT(M320,$E320,$BU320,0,$BP320,$BS320,$BT320,($A320-Inputs!$D$1)+15,1,0)))))</f>
        <v xml:space="preserve"> </v>
      </c>
      <c r="U320" s="320" t="str">
        <f>IF($A320="N/A"," ",IF('Pricing Inputs'!$AN$8=2,(N320-$H320),IF('Pricing Inputs'!$AN$3=2,IF((N320-$H320)&gt;0,N320-$H320,0),(_xll.xSPRDOPT(N320,$E320,$BU320,0,$BP320,$BS320,$BT320,($A320-Inputs!$D$1)+15,1,0)))))</f>
        <v xml:space="preserve"> </v>
      </c>
      <c r="V320" s="259" t="str">
        <f>IF($A320="N/A"," ",(IF('Pricing Inputs'!$AN$8=2,(O320-$H320),IF((O320-$H320)&lt;=0,0,(O320-$H320)))))</f>
        <v xml:space="preserve"> </v>
      </c>
      <c r="AK320" s="229"/>
      <c r="AL320" s="229"/>
      <c r="AM320" s="229"/>
      <c r="AN320" s="229"/>
      <c r="AO320" s="229"/>
      <c r="AP320" s="229"/>
      <c r="AQ320" s="229"/>
      <c r="AR320" s="229"/>
      <c r="BA320" s="267" t="str">
        <f>IF($A320="N/A"," ",(IF(MONTH(A320)&gt;=4,IF(MONTH(A320)&lt;=10,Inputs!$F$13,Inputs!$F$14),Inputs!$F$14))*$BW320)</f>
        <v xml:space="preserve"> </v>
      </c>
      <c r="BN320" s="405" t="str">
        <f>IF(A320="N/A"," ",(VLOOKUP(A320,PowerVolTable,(IF('Pricing Inputs'!$AT$3=2,7,IF('Pricing Inputs'!$AT$3=1,6,8))),FALSE)))</f>
        <v xml:space="preserve"> </v>
      </c>
      <c r="BO320" s="405" t="str">
        <f>IF(A320="N/A"," ",(VLOOKUP(A320,IntraPowerVol,(IF('Pricing Inputs'!$AT$3=2,3,IF('Pricing Inputs'!$AT$3=1,2,4))),FALSE)*VLOOKUP(MONTH($A320),Inputs!$A$28:$B$39,2)))</f>
        <v xml:space="preserve"> </v>
      </c>
      <c r="BP320" s="406" t="str">
        <f t="shared" si="430"/>
        <v xml:space="preserve"> </v>
      </c>
      <c r="BQ320" s="405" t="str">
        <f>IF($A320="N/A"," ",(VLOOKUP($A320,GasVolTable,(IF('Pricing Inputs'!$AT$3=2,6,IF('Pricing Inputs'!$AT$3=1,7,5))),FALSE)))</f>
        <v xml:space="preserve"> </v>
      </c>
      <c r="BR320" s="405" t="str">
        <f>IF($A320="N/A"," ",(VLOOKUP($A320,OmicronVol,(IF('Pricing Inputs'!$AT$3=2,3,IF('Pricing Inputs'!$AT$3=1,4,2))),FALSE)))</f>
        <v xml:space="preserve"> </v>
      </c>
      <c r="BS320" s="406" t="str">
        <f>IF($A320="N/A"," ",IF('Pricing Inputs'!$AN$3=1,(IF(DateToday&gt;$A320,$BR320,((($BQ320^2)*((($A320-1)-DateToday)/((EOMONTH($A320,0)+1)-DateToday-15)))+((($BR320)^2)*((15)/((EOMONTH($A320,0)+1)-DateToday-15))))^0.5)),0.0001))</f>
        <v xml:space="preserve"> </v>
      </c>
      <c r="BT320" s="405" t="str">
        <f>IF($A320="N/A"," ",IF('Pricing Inputs'!$AN$3=1,(VLOOKUP($A320,CorrelationTable,2,FALSE)),0))</f>
        <v xml:space="preserve"> </v>
      </c>
      <c r="BU320" s="407" t="str">
        <f>IF($A320="N/A"," ",F320+G320+(D320*(VLOOKUP($A320,'Gas Curves'!$B$17:$P$310,14,FALSE))))</f>
        <v xml:space="preserve"> </v>
      </c>
      <c r="BV320" s="405" t="str">
        <f>IF($A320="N/A"," ",IF('Pricing Inputs'!$AW$3=1,0,(VLOOKUP($A320,InterestRatesTable,2))))</f>
        <v xml:space="preserve"> </v>
      </c>
      <c r="BW320" s="408" t="str">
        <f t="shared" si="431"/>
        <v xml:space="preserve"> </v>
      </c>
    </row>
    <row r="321" spans="1:75">
      <c r="A321" s="248" t="str">
        <f>IF(A320="N/A","N/A",IF(EDATE(A320,1)&gt;Inputs!$K$3,"N/A",EDATE(A320,1)))</f>
        <v>N/A</v>
      </c>
      <c r="B321" s="262" t="str">
        <f t="shared" si="432"/>
        <v xml:space="preserve"> </v>
      </c>
      <c r="C321" s="249" t="str">
        <f t="shared" si="433"/>
        <v xml:space="preserve"> </v>
      </c>
      <c r="D321" s="250" t="str">
        <f>IF(A321="N/A"," ",(VLOOKUP(MONTH($A321),Inputs!$A$14:$B$25,2))/1000)</f>
        <v xml:space="preserve"> </v>
      </c>
      <c r="E321" s="304" t="str">
        <f t="shared" si="434"/>
        <v xml:space="preserve"> </v>
      </c>
      <c r="F321" s="251" t="str">
        <f>IF(A321="N/A"," ",Inputs!$F$6)</f>
        <v xml:space="preserve"> </v>
      </c>
      <c r="G321" s="251" t="str">
        <f>IF(A321="N/A"," ",Inputs!$F$9/IF(AND('Pricing Inputs'!$AQ$3&gt;=4,'Pricing Inputs'!$AQ$3&lt;=6),16,IF(AND('Pricing Inputs'!$AQ$3&gt;=7,'Pricing Inputs'!$AQ$3&lt;=9),8,24))/(BA321/BW321))</f>
        <v xml:space="preserve"> </v>
      </c>
      <c r="H321" s="252" t="str">
        <f t="shared" si="435"/>
        <v xml:space="preserve"> </v>
      </c>
      <c r="I321" s="255" t="str">
        <f>VLOOKUP(A321,ScaledPrice,(IF(AND('Pricing Inputs'!$AQ$3&gt;=1,'Pricing Inputs'!$AQ$3&lt;=6),2,4)))</f>
        <v xml:space="preserve"> </v>
      </c>
      <c r="J321" s="255" t="str">
        <f>IF(A321="N/A"," ",IF(AND('Pricing Inputs'!$AQ$3&gt;=1,'Pricing Inputs'!$AQ$3&lt;=6),I321,(VLOOKUP(A321,ScaledPrice,2))*(2-(VLOOKUP(A321,ScaledPrice,3)))))</f>
        <v xml:space="preserve"> </v>
      </c>
      <c r="K321" s="255" t="str">
        <f>IF(A321="N/A"," ",IF(OR('Pricing Inputs'!$AQ$3=2,'Pricing Inputs'!$AQ$3=3,'Pricing Inputs'!$AQ$3=5,'Pricing Inputs'!$AQ$3=6,'Pricing Inputs'!$AQ$3=8,'Pricing Inputs'!$AQ$3=9),VLOOKUP(A321,ScaledPrice,IF(AND('Pricing Inputs'!$AQ$3&gt;=2,'Pricing Inputs'!$AQ$3&lt;=6),5,6)),0))</f>
        <v xml:space="preserve"> </v>
      </c>
      <c r="L321" s="255" t="str">
        <f>IF(A321="N/A"," ",IF(OR('Pricing Inputs'!$AQ$3=2,'Pricing Inputs'!$AQ$3=3,'Pricing Inputs'!$AQ$3=5,'Pricing Inputs'!$AQ$3=6,'Pricing Inputs'!$AQ$3=8,'Pricing Inputs'!$AQ$3=9),IF(AND('Pricing Inputs'!$AQ$3&gt;=2,'Pricing Inputs'!$AQ$3&lt;=6),K321,(VLOOKUP(A321,ScaledPrice,5))*(2-(VLOOKUP(A321,ScaledPrice,3)))),0))</f>
        <v xml:space="preserve"> </v>
      </c>
      <c r="M321" s="255" t="str">
        <f>IF(A321="N/A"," ",IF(OR('Pricing Inputs'!$AQ$3=3,'Pricing Inputs'!$AQ$3=6,'Pricing Inputs'!$AQ$3=9),(VLOOKUP(A321,ScaledPrice,IF(AND('Pricing Inputs'!$AQ$3&gt;=3,'Pricing Inputs'!$AQ$3&lt;=6),7,8))),0))</f>
        <v xml:space="preserve"> </v>
      </c>
      <c r="N321" s="255" t="str">
        <f>IF(A321="N/A"," ",IF(OR('Pricing Inputs'!$AQ$3=3,'Pricing Inputs'!$AQ$3=6,'Pricing Inputs'!$AQ$3=9),IF(AND('Pricing Inputs'!$AQ$3&gt;=3,'Pricing Inputs'!$AQ$3&lt;=6),M321,(VLOOKUP(A321,ScaledPrice,7))*(2-(VLOOKUP(A321,ScaledPrice,3)))),0))</f>
        <v xml:space="preserve"> </v>
      </c>
      <c r="O321" s="255" t="str">
        <f>IF(A321="N/A"," ",IF(AND('Pricing Inputs'!$AQ$3&gt;=1,'Pricing Inputs'!$AQ$3&lt;=3),VLOOKUP(A321,ScaledPrice,9),0))</f>
        <v xml:space="preserve"> </v>
      </c>
      <c r="P321" s="320" t="str">
        <f>IF($A321="N/A"," ",IF('Pricing Inputs'!$AN$8=2,(I321-H321),IF('Pricing Inputs'!$AN$3=2,IF((I321-$H321)&gt;0,I321-$H321,0),(_xll.xSPRDOPT(I321,$E321,$BU321,0,$BP321,$BS321,$BT321,($A321-Inputs!$D$1)+15,1,0)))))</f>
        <v xml:space="preserve"> </v>
      </c>
      <c r="Q321" s="320" t="str">
        <f>IF($A321="N/A"," ",IF('Pricing Inputs'!$AN$8=2,(J321-$H321),IF('Pricing Inputs'!$AN$3=2,IF((J321-$H321)&gt;0,J321-$H321,0),(_xll.xSPRDOPT(J321,$E321,$BU321,0,$BP321,$BS321,$BT321,($A321-Inputs!$D$1)+15,1,0)))))</f>
        <v xml:space="preserve"> </v>
      </c>
      <c r="R321" s="320" t="str">
        <f>IF($A321="N/A"," ",IF('Pricing Inputs'!$AN$8=2,(K321-$H321),IF('Pricing Inputs'!$AN$3=2,IF((K321-$H321)&gt;0,K321-$H321,0),(_xll.xSPRDOPT(K321,$E321,$BU321,0,$BP321,$BS321,$BT321,($A321-Inputs!$D$1)+15,1,0)))))</f>
        <v xml:space="preserve"> </v>
      </c>
      <c r="S321" s="320" t="str">
        <f>IF($A321="N/A"," ",IF('Pricing Inputs'!$AN$8=2,(L321-$H321),IF('Pricing Inputs'!$AN$3=2,IF((L321-$H321)&gt;0,L321-$H321,0),(_xll.xSPRDOPT(L321,$E321,$BU321,0,$BP321,$BS321,$BT321,($A321-Inputs!$D$1)+15,1,0)))))</f>
        <v xml:space="preserve"> </v>
      </c>
      <c r="T321" s="320" t="str">
        <f>IF($A321="N/A"," ",IF('Pricing Inputs'!$AN$8=2,(M321-$H321),IF('Pricing Inputs'!$AN$3=2,IF((M321-$H321)&gt;0,M321-$H321,0),(_xll.xSPRDOPT(M321,$E321,$BU321,0,$BP321,$BS321,$BT321,($A321-Inputs!$D$1)+15,1,0)))))</f>
        <v xml:space="preserve"> </v>
      </c>
      <c r="U321" s="320" t="str">
        <f>IF($A321="N/A"," ",IF('Pricing Inputs'!$AN$8=2,(N321-$H321),IF('Pricing Inputs'!$AN$3=2,IF((N321-$H321)&gt;0,N321-$H321,0),(_xll.xSPRDOPT(N321,$E321,$BU321,0,$BP321,$BS321,$BT321,($A321-Inputs!$D$1)+15,1,0)))))</f>
        <v xml:space="preserve"> </v>
      </c>
      <c r="V321" s="259" t="str">
        <f>IF($A321="N/A"," ",(IF('Pricing Inputs'!$AN$8=2,(O321-$H321),IF((O321-$H321)&lt;=0,0,(O321-$H321)))))</f>
        <v xml:space="preserve"> </v>
      </c>
      <c r="AK321" s="229"/>
      <c r="AL321" s="229"/>
      <c r="AM321" s="229"/>
      <c r="AN321" s="229"/>
      <c r="AO321" s="229"/>
      <c r="AP321" s="229"/>
      <c r="AQ321" s="229"/>
      <c r="AR321" s="229"/>
      <c r="BA321" s="267" t="str">
        <f>IF($A321="N/A"," ",(IF(MONTH(A321)&gt;=4,IF(MONTH(A321)&lt;=10,Inputs!$F$13,Inputs!$F$14),Inputs!$F$14))*$BW321)</f>
        <v xml:space="preserve"> </v>
      </c>
      <c r="BN321" s="405" t="str">
        <f>IF(A321="N/A"," ",(VLOOKUP(A321,PowerVolTable,(IF('Pricing Inputs'!$AT$3=2,7,IF('Pricing Inputs'!$AT$3=1,6,8))),FALSE)))</f>
        <v xml:space="preserve"> </v>
      </c>
      <c r="BO321" s="405" t="str">
        <f>IF(A321="N/A"," ",(VLOOKUP(A321,IntraPowerVol,(IF('Pricing Inputs'!$AT$3=2,3,IF('Pricing Inputs'!$AT$3=1,2,4))),FALSE)*VLOOKUP(MONTH($A321),Inputs!$A$28:$B$39,2)))</f>
        <v xml:space="preserve"> </v>
      </c>
      <c r="BP321" s="406" t="str">
        <f t="shared" si="430"/>
        <v xml:space="preserve"> </v>
      </c>
      <c r="BQ321" s="405" t="str">
        <f>IF($A321="N/A"," ",(VLOOKUP($A321,GasVolTable,(IF('Pricing Inputs'!$AT$3=2,6,IF('Pricing Inputs'!$AT$3=1,7,5))),FALSE)))</f>
        <v xml:space="preserve"> </v>
      </c>
      <c r="BR321" s="405" t="str">
        <f>IF($A321="N/A"," ",(VLOOKUP($A321,OmicronVol,(IF('Pricing Inputs'!$AT$3=2,3,IF('Pricing Inputs'!$AT$3=1,4,2))),FALSE)))</f>
        <v xml:space="preserve"> </v>
      </c>
      <c r="BS321" s="406" t="str">
        <f>IF($A321="N/A"," ",IF('Pricing Inputs'!$AN$3=1,(IF(DateToday&gt;$A321,$BR321,((($BQ321^2)*((($A321-1)-DateToday)/((EOMONTH($A321,0)+1)-DateToday-15)))+((($BR321)^2)*((15)/((EOMONTH($A321,0)+1)-DateToday-15))))^0.5)),0.0001))</f>
        <v xml:space="preserve"> </v>
      </c>
      <c r="BT321" s="405" t="str">
        <f>IF($A321="N/A"," ",IF('Pricing Inputs'!$AN$3=1,(VLOOKUP($A321,CorrelationTable,2,FALSE)),0))</f>
        <v xml:space="preserve"> </v>
      </c>
      <c r="BU321" s="407" t="str">
        <f>IF($A321="N/A"," ",F321+G321+(D321*(VLOOKUP($A321,'Gas Curves'!$B$17:$P$310,14,FALSE))))</f>
        <v xml:space="preserve"> </v>
      </c>
      <c r="BV321" s="405" t="str">
        <f>IF($A321="N/A"," ",IF('Pricing Inputs'!$AW$3=1,0,(VLOOKUP($A321,InterestRatesTable,2))))</f>
        <v xml:space="preserve"> </v>
      </c>
      <c r="BW321" s="408" t="str">
        <f t="shared" si="431"/>
        <v xml:space="preserve"> </v>
      </c>
    </row>
    <row r="322" spans="1:75">
      <c r="A322" s="248" t="str">
        <f>IF(A321="N/A","N/A",IF(EDATE(A321,1)&gt;Inputs!$K$3,"N/A",EDATE(A321,1)))</f>
        <v>N/A</v>
      </c>
      <c r="B322" s="262" t="str">
        <f t="shared" si="432"/>
        <v xml:space="preserve"> </v>
      </c>
      <c r="C322" s="249" t="str">
        <f t="shared" si="433"/>
        <v xml:space="preserve"> </v>
      </c>
      <c r="D322" s="250" t="str">
        <f>IF(A322="N/A"," ",(VLOOKUP(MONTH($A322),Inputs!$A$14:$B$25,2))/1000)</f>
        <v xml:space="preserve"> </v>
      </c>
      <c r="E322" s="304" t="str">
        <f t="shared" si="434"/>
        <v xml:space="preserve"> </v>
      </c>
      <c r="F322" s="251" t="str">
        <f>IF(A322="N/A"," ",Inputs!$F$6)</f>
        <v xml:space="preserve"> </v>
      </c>
      <c r="G322" s="251" t="str">
        <f>IF(A322="N/A"," ",Inputs!$F$9/IF(AND('Pricing Inputs'!$AQ$3&gt;=4,'Pricing Inputs'!$AQ$3&lt;=6),16,IF(AND('Pricing Inputs'!$AQ$3&gt;=7,'Pricing Inputs'!$AQ$3&lt;=9),8,24))/(BA322/BW322))</f>
        <v xml:space="preserve"> </v>
      </c>
      <c r="H322" s="252" t="str">
        <f t="shared" si="435"/>
        <v xml:space="preserve"> </v>
      </c>
      <c r="I322" s="255" t="str">
        <f>VLOOKUP(A322,ScaledPrice,(IF(AND('Pricing Inputs'!$AQ$3&gt;=1,'Pricing Inputs'!$AQ$3&lt;=6),2,4)))</f>
        <v xml:space="preserve"> </v>
      </c>
      <c r="J322" s="255" t="str">
        <f>IF(A322="N/A"," ",IF(AND('Pricing Inputs'!$AQ$3&gt;=1,'Pricing Inputs'!$AQ$3&lt;=6),I322,(VLOOKUP(A322,ScaledPrice,2))*(2-(VLOOKUP(A322,ScaledPrice,3)))))</f>
        <v xml:space="preserve"> </v>
      </c>
      <c r="K322" s="255" t="str">
        <f>IF(A322="N/A"," ",IF(OR('Pricing Inputs'!$AQ$3=2,'Pricing Inputs'!$AQ$3=3,'Pricing Inputs'!$AQ$3=5,'Pricing Inputs'!$AQ$3=6,'Pricing Inputs'!$AQ$3=8,'Pricing Inputs'!$AQ$3=9),VLOOKUP(A322,ScaledPrice,IF(AND('Pricing Inputs'!$AQ$3&gt;=2,'Pricing Inputs'!$AQ$3&lt;=6),5,6)),0))</f>
        <v xml:space="preserve"> </v>
      </c>
      <c r="L322" s="255" t="str">
        <f>IF(A322="N/A"," ",IF(OR('Pricing Inputs'!$AQ$3=2,'Pricing Inputs'!$AQ$3=3,'Pricing Inputs'!$AQ$3=5,'Pricing Inputs'!$AQ$3=6,'Pricing Inputs'!$AQ$3=8,'Pricing Inputs'!$AQ$3=9),IF(AND('Pricing Inputs'!$AQ$3&gt;=2,'Pricing Inputs'!$AQ$3&lt;=6),K322,(VLOOKUP(A322,ScaledPrice,5))*(2-(VLOOKUP(A322,ScaledPrice,3)))),0))</f>
        <v xml:space="preserve"> </v>
      </c>
      <c r="M322" s="255" t="str">
        <f>IF(A322="N/A"," ",IF(OR('Pricing Inputs'!$AQ$3=3,'Pricing Inputs'!$AQ$3=6,'Pricing Inputs'!$AQ$3=9),(VLOOKUP(A322,ScaledPrice,IF(AND('Pricing Inputs'!$AQ$3&gt;=3,'Pricing Inputs'!$AQ$3&lt;=6),7,8))),0))</f>
        <v xml:space="preserve"> </v>
      </c>
      <c r="N322" s="255" t="str">
        <f>IF(A322="N/A"," ",IF(OR('Pricing Inputs'!$AQ$3=3,'Pricing Inputs'!$AQ$3=6,'Pricing Inputs'!$AQ$3=9),IF(AND('Pricing Inputs'!$AQ$3&gt;=3,'Pricing Inputs'!$AQ$3&lt;=6),M322,(VLOOKUP(A322,ScaledPrice,7))*(2-(VLOOKUP(A322,ScaledPrice,3)))),0))</f>
        <v xml:space="preserve"> </v>
      </c>
      <c r="O322" s="255" t="str">
        <f>IF(A322="N/A"," ",IF(AND('Pricing Inputs'!$AQ$3&gt;=1,'Pricing Inputs'!$AQ$3&lt;=3),VLOOKUP(A322,ScaledPrice,9),0))</f>
        <v xml:space="preserve"> </v>
      </c>
      <c r="P322" s="320" t="str">
        <f>IF($A322="N/A"," ",IF('Pricing Inputs'!$AN$8=2,(I322-H322),IF('Pricing Inputs'!$AN$3=2,IF((I322-$H322)&gt;0,I322-$H322,0),(_xll.xSPRDOPT(I322,$E322,$BU322,0,$BP322,$BS322,$BT322,($A322-Inputs!$D$1)+15,1,0)))))</f>
        <v xml:space="preserve"> </v>
      </c>
      <c r="Q322" s="320" t="str">
        <f>IF($A322="N/A"," ",IF('Pricing Inputs'!$AN$8=2,(J322-$H322),IF('Pricing Inputs'!$AN$3=2,IF((J322-$H322)&gt;0,J322-$H322,0),(_xll.xSPRDOPT(J322,$E322,$BU322,0,$BP322,$BS322,$BT322,($A322-Inputs!$D$1)+15,1,0)))))</f>
        <v xml:space="preserve"> </v>
      </c>
      <c r="R322" s="320" t="str">
        <f>IF($A322="N/A"," ",IF('Pricing Inputs'!$AN$8=2,(K322-$H322),IF('Pricing Inputs'!$AN$3=2,IF((K322-$H322)&gt;0,K322-$H322,0),(_xll.xSPRDOPT(K322,$E322,$BU322,0,$BP322,$BS322,$BT322,($A322-Inputs!$D$1)+15,1,0)))))</f>
        <v xml:space="preserve"> </v>
      </c>
      <c r="S322" s="320" t="str">
        <f>IF($A322="N/A"," ",IF('Pricing Inputs'!$AN$8=2,(L322-$H322),IF('Pricing Inputs'!$AN$3=2,IF((L322-$H322)&gt;0,L322-$H322,0),(_xll.xSPRDOPT(L322,$E322,$BU322,0,$BP322,$BS322,$BT322,($A322-Inputs!$D$1)+15,1,0)))))</f>
        <v xml:space="preserve"> </v>
      </c>
      <c r="T322" s="320" t="str">
        <f>IF($A322="N/A"," ",IF('Pricing Inputs'!$AN$8=2,(M322-$H322),IF('Pricing Inputs'!$AN$3=2,IF((M322-$H322)&gt;0,M322-$H322,0),(_xll.xSPRDOPT(M322,$E322,$BU322,0,$BP322,$BS322,$BT322,($A322-Inputs!$D$1)+15,1,0)))))</f>
        <v xml:space="preserve"> </v>
      </c>
      <c r="U322" s="320" t="str">
        <f>IF($A322="N/A"," ",IF('Pricing Inputs'!$AN$8=2,(N322-$H322),IF('Pricing Inputs'!$AN$3=2,IF((N322-$H322)&gt;0,N322-$H322,0),(_xll.xSPRDOPT(N322,$E322,$BU322,0,$BP322,$BS322,$BT322,($A322-Inputs!$D$1)+15,1,0)))))</f>
        <v xml:space="preserve"> </v>
      </c>
      <c r="V322" s="259" t="str">
        <f>IF($A322="N/A"," ",(IF('Pricing Inputs'!$AN$8=2,(O322-$H322),IF((O322-$H322)&lt;=0,0,(O322-$H322)))))</f>
        <v xml:space="preserve"> </v>
      </c>
      <c r="AK322" s="229"/>
      <c r="AL322" s="229"/>
      <c r="AM322" s="229"/>
      <c r="AN322" s="229"/>
      <c r="AO322" s="229"/>
      <c r="AP322" s="229"/>
      <c r="AQ322" s="229"/>
      <c r="AR322" s="229"/>
      <c r="BA322" s="267" t="str">
        <f>IF($A322="N/A"," ",(IF(MONTH(A322)&gt;=4,IF(MONTH(A322)&lt;=10,Inputs!$F$13,Inputs!$F$14),Inputs!$F$14))*$BW322)</f>
        <v xml:space="preserve"> </v>
      </c>
      <c r="BN322" s="405" t="str">
        <f>IF(A322="N/A"," ",(VLOOKUP(A322,PowerVolTable,(IF('Pricing Inputs'!$AT$3=2,7,IF('Pricing Inputs'!$AT$3=1,6,8))),FALSE)))</f>
        <v xml:space="preserve"> </v>
      </c>
      <c r="BO322" s="405" t="str">
        <f>IF(A322="N/A"," ",(VLOOKUP(A322,IntraPowerVol,(IF('Pricing Inputs'!$AT$3=2,3,IF('Pricing Inputs'!$AT$3=1,2,4))),FALSE)*VLOOKUP(MONTH($A322),Inputs!$A$28:$B$39,2)))</f>
        <v xml:space="preserve"> </v>
      </c>
      <c r="BP322" s="406" t="str">
        <f t="shared" si="430"/>
        <v xml:space="preserve"> </v>
      </c>
      <c r="BQ322" s="405" t="str">
        <f>IF($A322="N/A"," ",(VLOOKUP($A322,GasVolTable,(IF('Pricing Inputs'!$AT$3=2,6,IF('Pricing Inputs'!$AT$3=1,7,5))),FALSE)))</f>
        <v xml:space="preserve"> </v>
      </c>
      <c r="BR322" s="405" t="str">
        <f>IF($A322="N/A"," ",(VLOOKUP($A322,OmicronVol,(IF('Pricing Inputs'!$AT$3=2,3,IF('Pricing Inputs'!$AT$3=1,4,2))),FALSE)))</f>
        <v xml:space="preserve"> </v>
      </c>
      <c r="BS322" s="406" t="str">
        <f>IF($A322="N/A"," ",IF('Pricing Inputs'!$AN$3=1,(IF(DateToday&gt;$A322,$BR322,((($BQ322^2)*((($A322-1)-DateToday)/((EOMONTH($A322,0)+1)-DateToday-15)))+((($BR322)^2)*((15)/((EOMONTH($A322,0)+1)-DateToday-15))))^0.5)),0.0001))</f>
        <v xml:space="preserve"> </v>
      </c>
      <c r="BT322" s="405" t="str">
        <f>IF($A322="N/A"," ",IF('Pricing Inputs'!$AN$3=1,(VLOOKUP($A322,CorrelationTable,2,FALSE)),0))</f>
        <v xml:space="preserve"> </v>
      </c>
      <c r="BU322" s="407" t="str">
        <f>IF($A322="N/A"," ",F322+G322+(D322*(VLOOKUP($A322,'Gas Curves'!$B$17:$P$310,14,FALSE))))</f>
        <v xml:space="preserve"> </v>
      </c>
      <c r="BV322" s="405" t="str">
        <f>IF($A322="N/A"," ",IF('Pricing Inputs'!$AW$3=1,0,(VLOOKUP($A322,InterestRatesTable,2))))</f>
        <v xml:space="preserve"> </v>
      </c>
      <c r="BW322" s="408" t="str">
        <f t="shared" si="431"/>
        <v xml:space="preserve"> </v>
      </c>
    </row>
    <row r="323" spans="1:75">
      <c r="A323" s="248" t="str">
        <f>IF(A322="N/A","N/A",IF(EDATE(A322,1)&gt;Inputs!$K$3,"N/A",EDATE(A322,1)))</f>
        <v>N/A</v>
      </c>
      <c r="B323" s="262" t="str">
        <f t="shared" si="432"/>
        <v xml:space="preserve"> </v>
      </c>
      <c r="C323" s="249" t="str">
        <f t="shared" si="433"/>
        <v xml:space="preserve"> </v>
      </c>
      <c r="D323" s="250" t="str">
        <f>IF(A323="N/A"," ",(VLOOKUP(MONTH($A323),Inputs!$A$14:$B$25,2))/1000)</f>
        <v xml:space="preserve"> </v>
      </c>
      <c r="E323" s="304" t="str">
        <f t="shared" si="434"/>
        <v xml:space="preserve"> </v>
      </c>
      <c r="F323" s="251" t="str">
        <f>IF(A323="N/A"," ",Inputs!$F$6)</f>
        <v xml:space="preserve"> </v>
      </c>
      <c r="G323" s="251" t="str">
        <f>IF(A323="N/A"," ",Inputs!$F$9/IF(AND('Pricing Inputs'!$AQ$3&gt;=4,'Pricing Inputs'!$AQ$3&lt;=6),16,IF(AND('Pricing Inputs'!$AQ$3&gt;=7,'Pricing Inputs'!$AQ$3&lt;=9),8,24))/(BA323/BW323))</f>
        <v xml:space="preserve"> </v>
      </c>
      <c r="H323" s="252" t="str">
        <f t="shared" si="435"/>
        <v xml:space="preserve"> </v>
      </c>
      <c r="I323" s="255" t="str">
        <f>VLOOKUP(A323,ScaledPrice,(IF(AND('Pricing Inputs'!$AQ$3&gt;=1,'Pricing Inputs'!$AQ$3&lt;=6),2,4)))</f>
        <v xml:space="preserve"> </v>
      </c>
      <c r="J323" s="255" t="str">
        <f>IF(A323="N/A"," ",IF(AND('Pricing Inputs'!$AQ$3&gt;=1,'Pricing Inputs'!$AQ$3&lt;=6),I323,(VLOOKUP(A323,ScaledPrice,2))*(2-(VLOOKUP(A323,ScaledPrice,3)))))</f>
        <v xml:space="preserve"> </v>
      </c>
      <c r="K323" s="255" t="str">
        <f>IF(A323="N/A"," ",IF(OR('Pricing Inputs'!$AQ$3=2,'Pricing Inputs'!$AQ$3=3,'Pricing Inputs'!$AQ$3=5,'Pricing Inputs'!$AQ$3=6,'Pricing Inputs'!$AQ$3=8,'Pricing Inputs'!$AQ$3=9),VLOOKUP(A323,ScaledPrice,IF(AND('Pricing Inputs'!$AQ$3&gt;=2,'Pricing Inputs'!$AQ$3&lt;=6),5,6)),0))</f>
        <v xml:space="preserve"> </v>
      </c>
      <c r="L323" s="255" t="str">
        <f>IF(A323="N/A"," ",IF(OR('Pricing Inputs'!$AQ$3=2,'Pricing Inputs'!$AQ$3=3,'Pricing Inputs'!$AQ$3=5,'Pricing Inputs'!$AQ$3=6,'Pricing Inputs'!$AQ$3=8,'Pricing Inputs'!$AQ$3=9),IF(AND('Pricing Inputs'!$AQ$3&gt;=2,'Pricing Inputs'!$AQ$3&lt;=6),K323,(VLOOKUP(A323,ScaledPrice,5))*(2-(VLOOKUP(A323,ScaledPrice,3)))),0))</f>
        <v xml:space="preserve"> </v>
      </c>
      <c r="M323" s="255" t="str">
        <f>IF(A323="N/A"," ",IF(OR('Pricing Inputs'!$AQ$3=3,'Pricing Inputs'!$AQ$3=6,'Pricing Inputs'!$AQ$3=9),(VLOOKUP(A323,ScaledPrice,IF(AND('Pricing Inputs'!$AQ$3&gt;=3,'Pricing Inputs'!$AQ$3&lt;=6),7,8))),0))</f>
        <v xml:space="preserve"> </v>
      </c>
      <c r="N323" s="255" t="str">
        <f>IF(A323="N/A"," ",IF(OR('Pricing Inputs'!$AQ$3=3,'Pricing Inputs'!$AQ$3=6,'Pricing Inputs'!$AQ$3=9),IF(AND('Pricing Inputs'!$AQ$3&gt;=3,'Pricing Inputs'!$AQ$3&lt;=6),M323,(VLOOKUP(A323,ScaledPrice,7))*(2-(VLOOKUP(A323,ScaledPrice,3)))),0))</f>
        <v xml:space="preserve"> </v>
      </c>
      <c r="O323" s="255" t="str">
        <f>IF(A323="N/A"," ",IF(AND('Pricing Inputs'!$AQ$3&gt;=1,'Pricing Inputs'!$AQ$3&lt;=3),VLOOKUP(A323,ScaledPrice,9),0))</f>
        <v xml:space="preserve"> </v>
      </c>
      <c r="P323" s="320" t="str">
        <f>IF($A323="N/A"," ",IF('Pricing Inputs'!$AN$8=2,(I323-H323),IF('Pricing Inputs'!$AN$3=2,IF((I323-$H323)&gt;0,I323-$H323,0),(_xll.xSPRDOPT(I323,$E323,$BU323,0,$BP323,$BS323,$BT323,($A323-Inputs!$D$1)+15,1,0)))))</f>
        <v xml:space="preserve"> </v>
      </c>
      <c r="Q323" s="320" t="str">
        <f>IF($A323="N/A"," ",IF('Pricing Inputs'!$AN$8=2,(J323-$H323),IF('Pricing Inputs'!$AN$3=2,IF((J323-$H323)&gt;0,J323-$H323,0),(_xll.xSPRDOPT(J323,$E323,$BU323,0,$BP323,$BS323,$BT323,($A323-Inputs!$D$1)+15,1,0)))))</f>
        <v xml:space="preserve"> </v>
      </c>
      <c r="R323" s="320" t="str">
        <f>IF($A323="N/A"," ",IF('Pricing Inputs'!$AN$8=2,(K323-$H323),IF('Pricing Inputs'!$AN$3=2,IF((K323-$H323)&gt;0,K323-$H323,0),(_xll.xSPRDOPT(K323,$E323,$BU323,0,$BP323,$BS323,$BT323,($A323-Inputs!$D$1)+15,1,0)))))</f>
        <v xml:space="preserve"> </v>
      </c>
      <c r="S323" s="320" t="str">
        <f>IF($A323="N/A"," ",IF('Pricing Inputs'!$AN$8=2,(L323-$H323),IF('Pricing Inputs'!$AN$3=2,IF((L323-$H323)&gt;0,L323-$H323,0),(_xll.xSPRDOPT(L323,$E323,$BU323,0,$BP323,$BS323,$BT323,($A323-Inputs!$D$1)+15,1,0)))))</f>
        <v xml:space="preserve"> </v>
      </c>
      <c r="T323" s="320" t="str">
        <f>IF($A323="N/A"," ",IF('Pricing Inputs'!$AN$8=2,(M323-$H323),IF('Pricing Inputs'!$AN$3=2,IF((M323-$H323)&gt;0,M323-$H323,0),(_xll.xSPRDOPT(M323,$E323,$BU323,0,$BP323,$BS323,$BT323,($A323-Inputs!$D$1)+15,1,0)))))</f>
        <v xml:space="preserve"> </v>
      </c>
      <c r="U323" s="320" t="str">
        <f>IF($A323="N/A"," ",IF('Pricing Inputs'!$AN$8=2,(N323-$H323),IF('Pricing Inputs'!$AN$3=2,IF((N323-$H323)&gt;0,N323-$H323,0),(_xll.xSPRDOPT(N323,$E323,$BU323,0,$BP323,$BS323,$BT323,($A323-Inputs!$D$1)+15,1,0)))))</f>
        <v xml:space="preserve"> </v>
      </c>
      <c r="V323" s="259" t="str">
        <f>IF($A323="N/A"," ",(IF('Pricing Inputs'!$AN$8=2,(O323-$H323),IF((O323-$H323)&lt;=0,0,(O323-$H323)))))</f>
        <v xml:space="preserve"> </v>
      </c>
      <c r="AK323" s="229"/>
      <c r="AL323" s="229"/>
      <c r="AM323" s="229"/>
      <c r="AN323" s="229"/>
      <c r="AO323" s="229"/>
      <c r="AP323" s="229"/>
      <c r="AQ323" s="229"/>
      <c r="AR323" s="229"/>
      <c r="BA323" s="267" t="str">
        <f>IF($A323="N/A"," ",(IF(MONTH(A323)&gt;=4,IF(MONTH(A323)&lt;=10,Inputs!$F$13,Inputs!$F$14),Inputs!$F$14))*$BW323)</f>
        <v xml:space="preserve"> </v>
      </c>
      <c r="BN323" s="405" t="str">
        <f>IF(A323="N/A"," ",(VLOOKUP(A323,PowerVolTable,(IF('Pricing Inputs'!$AT$3=2,7,IF('Pricing Inputs'!$AT$3=1,6,8))),FALSE)))</f>
        <v xml:space="preserve"> </v>
      </c>
      <c r="BO323" s="405" t="str">
        <f>IF(A323="N/A"," ",(VLOOKUP(A323,IntraPowerVol,(IF('Pricing Inputs'!$AT$3=2,3,IF('Pricing Inputs'!$AT$3=1,2,4))),FALSE)*VLOOKUP(MONTH($A323),Inputs!$A$28:$B$39,2)))</f>
        <v xml:space="preserve"> </v>
      </c>
      <c r="BP323" s="406" t="str">
        <f t="shared" si="430"/>
        <v xml:space="preserve"> </v>
      </c>
      <c r="BQ323" s="405" t="str">
        <f>IF($A323="N/A"," ",(VLOOKUP($A323,GasVolTable,(IF('Pricing Inputs'!$AT$3=2,6,IF('Pricing Inputs'!$AT$3=1,7,5))),FALSE)))</f>
        <v xml:space="preserve"> </v>
      </c>
      <c r="BR323" s="405" t="str">
        <f>IF($A323="N/A"," ",(VLOOKUP($A323,OmicronVol,(IF('Pricing Inputs'!$AT$3=2,3,IF('Pricing Inputs'!$AT$3=1,4,2))),FALSE)))</f>
        <v xml:space="preserve"> </v>
      </c>
      <c r="BS323" s="406" t="str">
        <f>IF($A323="N/A"," ",IF('Pricing Inputs'!$AN$3=1,(IF(DateToday&gt;$A323,$BR323,((($BQ323^2)*((($A323-1)-DateToday)/((EOMONTH($A323,0)+1)-DateToday-15)))+((($BR323)^2)*((15)/((EOMONTH($A323,0)+1)-DateToday-15))))^0.5)),0.0001))</f>
        <v xml:space="preserve"> </v>
      </c>
      <c r="BT323" s="405" t="str">
        <f>IF($A323="N/A"," ",IF('Pricing Inputs'!$AN$3=1,(VLOOKUP($A323,CorrelationTable,2,FALSE)),0))</f>
        <v xml:space="preserve"> </v>
      </c>
      <c r="BU323" s="407" t="str">
        <f>IF($A323="N/A"," ",F323+G323+(D323*(VLOOKUP($A323,'Gas Curves'!$B$17:$P$310,14,FALSE))))</f>
        <v xml:space="preserve"> </v>
      </c>
      <c r="BV323" s="405" t="str">
        <f>IF($A323="N/A"," ",IF('Pricing Inputs'!$AW$3=1,0,(VLOOKUP($A323,InterestRatesTable,2))))</f>
        <v xml:space="preserve"> </v>
      </c>
      <c r="BW323" s="408" t="str">
        <f t="shared" si="431"/>
        <v xml:space="preserve"> </v>
      </c>
    </row>
    <row r="324" spans="1:75">
      <c r="A324" s="248" t="str">
        <f>IF(A323="N/A","N/A",IF(EDATE(A323,1)&gt;Inputs!$K$3,"N/A",EDATE(A323,1)))</f>
        <v>N/A</v>
      </c>
      <c r="B324" s="262" t="str">
        <f t="shared" si="432"/>
        <v xml:space="preserve"> </v>
      </c>
      <c r="C324" s="249" t="str">
        <f t="shared" si="433"/>
        <v xml:space="preserve"> </v>
      </c>
      <c r="D324" s="250" t="str">
        <f>IF(A324="N/A"," ",(VLOOKUP(MONTH($A324),Inputs!$A$14:$B$25,2))/1000)</f>
        <v xml:space="preserve"> </v>
      </c>
      <c r="E324" s="304" t="str">
        <f t="shared" si="434"/>
        <v xml:space="preserve"> </v>
      </c>
      <c r="F324" s="251" t="str">
        <f>IF(A324="N/A"," ",Inputs!$F$6)</f>
        <v xml:space="preserve"> </v>
      </c>
      <c r="G324" s="251" t="str">
        <f>IF(A324="N/A"," ",Inputs!$F$9/IF(AND('Pricing Inputs'!$AQ$3&gt;=4,'Pricing Inputs'!$AQ$3&lt;=6),16,IF(AND('Pricing Inputs'!$AQ$3&gt;=7,'Pricing Inputs'!$AQ$3&lt;=9),8,24))/(BA324/BW324))</f>
        <v xml:space="preserve"> </v>
      </c>
      <c r="H324" s="252" t="str">
        <f t="shared" si="435"/>
        <v xml:space="preserve"> </v>
      </c>
      <c r="I324" s="255" t="str">
        <f>VLOOKUP(A324,ScaledPrice,(IF(AND('Pricing Inputs'!$AQ$3&gt;=1,'Pricing Inputs'!$AQ$3&lt;=6),2,4)))</f>
        <v xml:space="preserve"> </v>
      </c>
      <c r="J324" s="255" t="str">
        <f>IF(A324="N/A"," ",IF(AND('Pricing Inputs'!$AQ$3&gt;=1,'Pricing Inputs'!$AQ$3&lt;=6),I324,(VLOOKUP(A324,ScaledPrice,2))*(2-(VLOOKUP(A324,ScaledPrice,3)))))</f>
        <v xml:space="preserve"> </v>
      </c>
      <c r="K324" s="255" t="str">
        <f>IF(A324="N/A"," ",IF(OR('Pricing Inputs'!$AQ$3=2,'Pricing Inputs'!$AQ$3=3,'Pricing Inputs'!$AQ$3=5,'Pricing Inputs'!$AQ$3=6,'Pricing Inputs'!$AQ$3=8,'Pricing Inputs'!$AQ$3=9),VLOOKUP(A324,ScaledPrice,IF(AND('Pricing Inputs'!$AQ$3&gt;=2,'Pricing Inputs'!$AQ$3&lt;=6),5,6)),0))</f>
        <v xml:space="preserve"> </v>
      </c>
      <c r="L324" s="255" t="str">
        <f>IF(A324="N/A"," ",IF(OR('Pricing Inputs'!$AQ$3=2,'Pricing Inputs'!$AQ$3=3,'Pricing Inputs'!$AQ$3=5,'Pricing Inputs'!$AQ$3=6,'Pricing Inputs'!$AQ$3=8,'Pricing Inputs'!$AQ$3=9),IF(AND('Pricing Inputs'!$AQ$3&gt;=2,'Pricing Inputs'!$AQ$3&lt;=6),K324,(VLOOKUP(A324,ScaledPrice,5))*(2-(VLOOKUP(A324,ScaledPrice,3)))),0))</f>
        <v xml:space="preserve"> </v>
      </c>
      <c r="M324" s="255" t="str">
        <f>IF(A324="N/A"," ",IF(OR('Pricing Inputs'!$AQ$3=3,'Pricing Inputs'!$AQ$3=6,'Pricing Inputs'!$AQ$3=9),(VLOOKUP(A324,ScaledPrice,IF(AND('Pricing Inputs'!$AQ$3&gt;=3,'Pricing Inputs'!$AQ$3&lt;=6),7,8))),0))</f>
        <v xml:space="preserve"> </v>
      </c>
      <c r="N324" s="255" t="str">
        <f>IF(A324="N/A"," ",IF(OR('Pricing Inputs'!$AQ$3=3,'Pricing Inputs'!$AQ$3=6,'Pricing Inputs'!$AQ$3=9),IF(AND('Pricing Inputs'!$AQ$3&gt;=3,'Pricing Inputs'!$AQ$3&lt;=6),M324,(VLOOKUP(A324,ScaledPrice,7))*(2-(VLOOKUP(A324,ScaledPrice,3)))),0))</f>
        <v xml:space="preserve"> </v>
      </c>
      <c r="O324" s="255" t="str">
        <f>IF(A324="N/A"," ",IF(AND('Pricing Inputs'!$AQ$3&gt;=1,'Pricing Inputs'!$AQ$3&lt;=3),VLOOKUP(A324,ScaledPrice,9),0))</f>
        <v xml:space="preserve"> </v>
      </c>
      <c r="P324" s="320" t="str">
        <f>IF($A324="N/A"," ",IF('Pricing Inputs'!$AN$8=2,(I324-H324),IF('Pricing Inputs'!$AN$3=2,IF((I324-$H324)&gt;0,I324-$H324,0),(_xll.xSPRDOPT(I324,$E324,$BU324,0,$BP324,$BS324,$BT324,($A324-Inputs!$D$1)+15,1,0)))))</f>
        <v xml:space="preserve"> </v>
      </c>
      <c r="Q324" s="320" t="str">
        <f>IF($A324="N/A"," ",IF('Pricing Inputs'!$AN$8=2,(J324-$H324),IF('Pricing Inputs'!$AN$3=2,IF((J324-$H324)&gt;0,J324-$H324,0),(_xll.xSPRDOPT(J324,$E324,$BU324,0,$BP324,$BS324,$BT324,($A324-Inputs!$D$1)+15,1,0)))))</f>
        <v xml:space="preserve"> </v>
      </c>
      <c r="R324" s="320" t="str">
        <f>IF($A324="N/A"," ",IF('Pricing Inputs'!$AN$8=2,(K324-$H324),IF('Pricing Inputs'!$AN$3=2,IF((K324-$H324)&gt;0,K324-$H324,0),(_xll.xSPRDOPT(K324,$E324,$BU324,0,$BP324,$BS324,$BT324,($A324-Inputs!$D$1)+15,1,0)))))</f>
        <v xml:space="preserve"> </v>
      </c>
      <c r="S324" s="320" t="str">
        <f>IF($A324="N/A"," ",IF('Pricing Inputs'!$AN$8=2,(L324-$H324),IF('Pricing Inputs'!$AN$3=2,IF((L324-$H324)&gt;0,L324-$H324,0),(_xll.xSPRDOPT(L324,$E324,$BU324,0,$BP324,$BS324,$BT324,($A324-Inputs!$D$1)+15,1,0)))))</f>
        <v xml:space="preserve"> </v>
      </c>
      <c r="T324" s="320" t="str">
        <f>IF($A324="N/A"," ",IF('Pricing Inputs'!$AN$8=2,(M324-$H324),IF('Pricing Inputs'!$AN$3=2,IF((M324-$H324)&gt;0,M324-$H324,0),(_xll.xSPRDOPT(M324,$E324,$BU324,0,$BP324,$BS324,$BT324,($A324-Inputs!$D$1)+15,1,0)))))</f>
        <v xml:space="preserve"> </v>
      </c>
      <c r="U324" s="320" t="str">
        <f>IF($A324="N/A"," ",IF('Pricing Inputs'!$AN$8=2,(N324-$H324),IF('Pricing Inputs'!$AN$3=2,IF((N324-$H324)&gt;0,N324-$H324,0),(_xll.xSPRDOPT(N324,$E324,$BU324,0,$BP324,$BS324,$BT324,($A324-Inputs!$D$1)+15,1,0)))))</f>
        <v xml:space="preserve"> </v>
      </c>
      <c r="V324" s="259" t="str">
        <f>IF($A324="N/A"," ",(IF('Pricing Inputs'!$AN$8=2,(O324-$H324),IF((O324-$H324)&lt;=0,0,(O324-$H324)))))</f>
        <v xml:space="preserve"> </v>
      </c>
      <c r="AK324" s="229"/>
      <c r="AL324" s="229"/>
      <c r="AM324" s="229"/>
      <c r="AN324" s="229"/>
      <c r="AO324" s="229"/>
      <c r="AP324" s="229"/>
      <c r="AQ324" s="229"/>
      <c r="AR324" s="229"/>
      <c r="BA324" s="267" t="str">
        <f>IF($A324="N/A"," ",(IF(MONTH(A324)&gt;=4,IF(MONTH(A324)&lt;=10,Inputs!$F$13,Inputs!$F$14),Inputs!$F$14))*$BW324)</f>
        <v xml:space="preserve"> </v>
      </c>
      <c r="BN324" s="405" t="str">
        <f>IF(A324="N/A"," ",(VLOOKUP(A324,PowerVolTable,(IF('Pricing Inputs'!$AT$3=2,7,IF('Pricing Inputs'!$AT$3=1,6,8))),FALSE)))</f>
        <v xml:space="preserve"> </v>
      </c>
      <c r="BO324" s="405" t="str">
        <f>IF(A324="N/A"," ",(VLOOKUP(A324,IntraPowerVol,(IF('Pricing Inputs'!$AT$3=2,3,IF('Pricing Inputs'!$AT$3=1,2,4))),FALSE)*VLOOKUP(MONTH($A324),Inputs!$A$28:$B$39,2)))</f>
        <v xml:space="preserve"> </v>
      </c>
      <c r="BP324" s="406" t="str">
        <f t="shared" ref="BP324:BP387" si="436">IF($A324="N/A"," ",(IF(DateToday&gt;$A324,$BO324,((($BN324^2)*((($A324-1)-DateToday)/((EOMONTH($A324,0)+1)-DateToday-15)))+((($BO324)^2)*((15)/((EOMONTH($A324,0)+1)-DateToday-15))))^0.5)))</f>
        <v xml:space="preserve"> </v>
      </c>
      <c r="BQ324" s="405" t="str">
        <f>IF($A324="N/A"," ",(VLOOKUP($A324,GasVolTable,(IF('Pricing Inputs'!$AT$3=2,6,IF('Pricing Inputs'!$AT$3=1,7,5))),FALSE)))</f>
        <v xml:space="preserve"> </v>
      </c>
      <c r="BR324" s="405" t="str">
        <f>IF($A324="N/A"," ",(VLOOKUP($A324,OmicronVol,(IF('Pricing Inputs'!$AT$3=2,3,IF('Pricing Inputs'!$AT$3=1,4,2))),FALSE)))</f>
        <v xml:space="preserve"> </v>
      </c>
      <c r="BS324" s="406" t="str">
        <f>IF($A324="N/A"," ",IF('Pricing Inputs'!$AN$3=1,(IF(DateToday&gt;$A324,$BR324,((($BQ324^2)*((($A324-1)-DateToday)/((EOMONTH($A324,0)+1)-DateToday-15)))+((($BR324)^2)*((15)/((EOMONTH($A324,0)+1)-DateToday-15))))^0.5)),0.0001))</f>
        <v xml:space="preserve"> </v>
      </c>
      <c r="BT324" s="405" t="str">
        <f>IF($A324="N/A"," ",IF('Pricing Inputs'!$AN$3=1,(VLOOKUP($A324,CorrelationTable,2,FALSE)),0))</f>
        <v xml:space="preserve"> </v>
      </c>
      <c r="BU324" s="407" t="str">
        <f>IF($A324="N/A"," ",F324+G324+(D324*(VLOOKUP($A324,'Gas Curves'!$B$17:$P$310,14,FALSE))))</f>
        <v xml:space="preserve"> </v>
      </c>
      <c r="BV324" s="405" t="str">
        <f>IF($A324="N/A"," ",IF('Pricing Inputs'!$AW$3=1,0,(VLOOKUP($A324,InterestRatesTable,2))))</f>
        <v xml:space="preserve"> </v>
      </c>
      <c r="BW324" s="408" t="str">
        <f t="shared" ref="BW324:BW387" si="437">IF($A324="N/A"," ",(1+BV324/2)^(-2*((EOMONTH(A324,0)+20)-DateToday)/365.25))</f>
        <v xml:space="preserve"> </v>
      </c>
    </row>
    <row r="325" spans="1:75">
      <c r="A325" s="248" t="str">
        <f>IF(A324="N/A","N/A",IF(EDATE(A324,1)&gt;Inputs!$K$3,"N/A",EDATE(A324,1)))</f>
        <v>N/A</v>
      </c>
      <c r="B325" s="262" t="str">
        <f t="shared" ref="B325:B387" si="438">IF(A325="N/A"," ",YEAR(A325))</f>
        <v xml:space="preserve"> </v>
      </c>
      <c r="C325" s="249" t="str">
        <f t="shared" ref="C325:C387" si="439">IF(A325="N/A"," ",VLOOKUP(A325,ScaledPrice,10))</f>
        <v xml:space="preserve"> </v>
      </c>
      <c r="D325" s="250" t="str">
        <f>IF(A325="N/A"," ",(VLOOKUP(MONTH($A325),Inputs!$A$14:$B$25,2))/1000)</f>
        <v xml:space="preserve"> </v>
      </c>
      <c r="E325" s="304" t="str">
        <f t="shared" ref="E325:E387" si="440">IF($A325="N/A"," ",C325*D325)</f>
        <v xml:space="preserve"> </v>
      </c>
      <c r="F325" s="251" t="str">
        <f>IF(A325="N/A"," ",Inputs!$F$6)</f>
        <v xml:space="preserve"> </v>
      </c>
      <c r="G325" s="251" t="str">
        <f>IF(A325="N/A"," ",Inputs!$F$9/IF(AND('Pricing Inputs'!$AQ$3&gt;=4,'Pricing Inputs'!$AQ$3&lt;=6),16,IF(AND('Pricing Inputs'!$AQ$3&gt;=7,'Pricing Inputs'!$AQ$3&lt;=9),8,24))/(BA325/BW325))</f>
        <v xml:space="preserve"> </v>
      </c>
      <c r="H325" s="252" t="str">
        <f t="shared" ref="H325:H387" si="441">IF(A325="N/A"," ",(C325*D325)+F325+G325)</f>
        <v xml:space="preserve"> </v>
      </c>
      <c r="I325" s="255" t="str">
        <f>VLOOKUP(A325,ScaledPrice,(IF(AND('Pricing Inputs'!$AQ$3&gt;=1,'Pricing Inputs'!$AQ$3&lt;=6),2,4)))</f>
        <v xml:space="preserve"> </v>
      </c>
      <c r="J325" s="255" t="str">
        <f>IF(A325="N/A"," ",IF(AND('Pricing Inputs'!$AQ$3&gt;=1,'Pricing Inputs'!$AQ$3&lt;=6),I325,(VLOOKUP(A325,ScaledPrice,2))*(2-(VLOOKUP(A325,ScaledPrice,3)))))</f>
        <v xml:space="preserve"> </v>
      </c>
      <c r="K325" s="255" t="str">
        <f>IF(A325="N/A"," ",IF(OR('Pricing Inputs'!$AQ$3=2,'Pricing Inputs'!$AQ$3=3,'Pricing Inputs'!$AQ$3=5,'Pricing Inputs'!$AQ$3=6,'Pricing Inputs'!$AQ$3=8,'Pricing Inputs'!$AQ$3=9),VLOOKUP(A325,ScaledPrice,IF(AND('Pricing Inputs'!$AQ$3&gt;=2,'Pricing Inputs'!$AQ$3&lt;=6),5,6)),0))</f>
        <v xml:space="preserve"> </v>
      </c>
      <c r="L325" s="255" t="str">
        <f>IF(A325="N/A"," ",IF(OR('Pricing Inputs'!$AQ$3=2,'Pricing Inputs'!$AQ$3=3,'Pricing Inputs'!$AQ$3=5,'Pricing Inputs'!$AQ$3=6,'Pricing Inputs'!$AQ$3=8,'Pricing Inputs'!$AQ$3=9),IF(AND('Pricing Inputs'!$AQ$3&gt;=2,'Pricing Inputs'!$AQ$3&lt;=6),K325,(VLOOKUP(A325,ScaledPrice,5))*(2-(VLOOKUP(A325,ScaledPrice,3)))),0))</f>
        <v xml:space="preserve"> </v>
      </c>
      <c r="M325" s="255" t="str">
        <f>IF(A325="N/A"," ",IF(OR('Pricing Inputs'!$AQ$3=3,'Pricing Inputs'!$AQ$3=6,'Pricing Inputs'!$AQ$3=9),(VLOOKUP(A325,ScaledPrice,IF(AND('Pricing Inputs'!$AQ$3&gt;=3,'Pricing Inputs'!$AQ$3&lt;=6),7,8))),0))</f>
        <v xml:space="preserve"> </v>
      </c>
      <c r="N325" s="255" t="str">
        <f>IF(A325="N/A"," ",IF(OR('Pricing Inputs'!$AQ$3=3,'Pricing Inputs'!$AQ$3=6,'Pricing Inputs'!$AQ$3=9),IF(AND('Pricing Inputs'!$AQ$3&gt;=3,'Pricing Inputs'!$AQ$3&lt;=6),M325,(VLOOKUP(A325,ScaledPrice,7))*(2-(VLOOKUP(A325,ScaledPrice,3)))),0))</f>
        <v xml:space="preserve"> </v>
      </c>
      <c r="O325" s="255" t="str">
        <f>IF(A325="N/A"," ",IF(AND('Pricing Inputs'!$AQ$3&gt;=1,'Pricing Inputs'!$AQ$3&lt;=3),VLOOKUP(A325,ScaledPrice,9),0))</f>
        <v xml:space="preserve"> </v>
      </c>
      <c r="P325" s="320" t="str">
        <f>IF($A325="N/A"," ",IF('Pricing Inputs'!$AN$8=2,(I325-H325),IF('Pricing Inputs'!$AN$3=2,IF((I325-$H325)&gt;0,I325-$H325,0),(_xll.xSPRDOPT(I325,$E325,$BU325,0,$BP325,$BS325,$BT325,($A325-Inputs!$D$1)+15,1,0)))))</f>
        <v xml:space="preserve"> </v>
      </c>
      <c r="Q325" s="320" t="str">
        <f>IF($A325="N/A"," ",IF('Pricing Inputs'!$AN$8=2,(J325-$H325),IF('Pricing Inputs'!$AN$3=2,IF((J325-$H325)&gt;0,J325-$H325,0),(_xll.xSPRDOPT(J325,$E325,$BU325,0,$BP325,$BS325,$BT325,($A325-Inputs!$D$1)+15,1,0)))))</f>
        <v xml:space="preserve"> </v>
      </c>
      <c r="R325" s="320" t="str">
        <f>IF($A325="N/A"," ",IF('Pricing Inputs'!$AN$8=2,(K325-$H325),IF('Pricing Inputs'!$AN$3=2,IF((K325-$H325)&gt;0,K325-$H325,0),(_xll.xSPRDOPT(K325,$E325,$BU325,0,$BP325,$BS325,$BT325,($A325-Inputs!$D$1)+15,1,0)))))</f>
        <v xml:space="preserve"> </v>
      </c>
      <c r="S325" s="320" t="str">
        <f>IF($A325="N/A"," ",IF('Pricing Inputs'!$AN$8=2,(L325-$H325),IF('Pricing Inputs'!$AN$3=2,IF((L325-$H325)&gt;0,L325-$H325,0),(_xll.xSPRDOPT(L325,$E325,$BU325,0,$BP325,$BS325,$BT325,($A325-Inputs!$D$1)+15,1,0)))))</f>
        <v xml:space="preserve"> </v>
      </c>
      <c r="T325" s="320" t="str">
        <f>IF($A325="N/A"," ",IF('Pricing Inputs'!$AN$8=2,(M325-$H325),IF('Pricing Inputs'!$AN$3=2,IF((M325-$H325)&gt;0,M325-$H325,0),(_xll.xSPRDOPT(M325,$E325,$BU325,0,$BP325,$BS325,$BT325,($A325-Inputs!$D$1)+15,1,0)))))</f>
        <v xml:space="preserve"> </v>
      </c>
      <c r="U325" s="320" t="str">
        <f>IF($A325="N/A"," ",IF('Pricing Inputs'!$AN$8=2,(N325-$H325),IF('Pricing Inputs'!$AN$3=2,IF((N325-$H325)&gt;0,N325-$H325,0),(_xll.xSPRDOPT(N325,$E325,$BU325,0,$BP325,$BS325,$BT325,($A325-Inputs!$D$1)+15,1,0)))))</f>
        <v xml:space="preserve"> </v>
      </c>
      <c r="V325" s="259" t="str">
        <f>IF($A325="N/A"," ",(IF('Pricing Inputs'!$AN$8=2,(O325-$H325),IF((O325-$H325)&lt;=0,0,(O325-$H325)))))</f>
        <v xml:space="preserve"> </v>
      </c>
      <c r="AK325" s="229"/>
      <c r="AL325" s="229"/>
      <c r="AM325" s="229"/>
      <c r="AN325" s="229"/>
      <c r="AO325" s="229"/>
      <c r="AP325" s="229"/>
      <c r="AQ325" s="229"/>
      <c r="AR325" s="229"/>
      <c r="BA325" s="267" t="str">
        <f>IF($A325="N/A"," ",(IF(MONTH(A325)&gt;=4,IF(MONTH(A325)&lt;=10,Inputs!$F$13,Inputs!$F$14),Inputs!$F$14))*$BW325)</f>
        <v xml:space="preserve"> </v>
      </c>
      <c r="BN325" s="405" t="str">
        <f>IF(A325="N/A"," ",(VLOOKUP(A325,PowerVolTable,(IF('Pricing Inputs'!$AT$3=2,7,IF('Pricing Inputs'!$AT$3=1,6,8))),FALSE)))</f>
        <v xml:space="preserve"> </v>
      </c>
      <c r="BO325" s="405" t="str">
        <f>IF(A325="N/A"," ",(VLOOKUP(A325,IntraPowerVol,(IF('Pricing Inputs'!$AT$3=2,3,IF('Pricing Inputs'!$AT$3=1,2,4))),FALSE)*VLOOKUP(MONTH($A325),Inputs!$A$28:$B$39,2)))</f>
        <v xml:space="preserve"> </v>
      </c>
      <c r="BP325" s="406" t="str">
        <f t="shared" si="436"/>
        <v xml:space="preserve"> </v>
      </c>
      <c r="BQ325" s="405" t="str">
        <f>IF($A325="N/A"," ",(VLOOKUP($A325,GasVolTable,(IF('Pricing Inputs'!$AT$3=2,6,IF('Pricing Inputs'!$AT$3=1,7,5))),FALSE)))</f>
        <v xml:space="preserve"> </v>
      </c>
      <c r="BR325" s="405" t="str">
        <f>IF($A325="N/A"," ",(VLOOKUP($A325,OmicronVol,(IF('Pricing Inputs'!$AT$3=2,3,IF('Pricing Inputs'!$AT$3=1,4,2))),FALSE)))</f>
        <v xml:space="preserve"> </v>
      </c>
      <c r="BS325" s="406" t="str">
        <f>IF($A325="N/A"," ",IF('Pricing Inputs'!$AN$3=1,(IF(DateToday&gt;$A325,$BR325,((($BQ325^2)*((($A325-1)-DateToday)/((EOMONTH($A325,0)+1)-DateToday-15)))+((($BR325)^2)*((15)/((EOMONTH($A325,0)+1)-DateToday-15))))^0.5)),0.0001))</f>
        <v xml:space="preserve"> </v>
      </c>
      <c r="BT325" s="405" t="str">
        <f>IF($A325="N/A"," ",IF('Pricing Inputs'!$AN$3=1,(VLOOKUP($A325,CorrelationTable,2,FALSE)),0))</f>
        <v xml:space="preserve"> </v>
      </c>
      <c r="BU325" s="407" t="str">
        <f>IF($A325="N/A"," ",F325+G325+(D325*(VLOOKUP($A325,'Gas Curves'!$B$17:$P$310,14,FALSE))))</f>
        <v xml:space="preserve"> </v>
      </c>
      <c r="BV325" s="405" t="str">
        <f>IF($A325="N/A"," ",IF('Pricing Inputs'!$AW$3=1,0,(VLOOKUP($A325,InterestRatesTable,2))))</f>
        <v xml:space="preserve"> </v>
      </c>
      <c r="BW325" s="408" t="str">
        <f t="shared" si="437"/>
        <v xml:space="preserve"> </v>
      </c>
    </row>
    <row r="326" spans="1:75">
      <c r="A326" s="248" t="str">
        <f>IF(A325="N/A","N/A",IF(EDATE(A325,1)&gt;Inputs!$K$3,"N/A",EDATE(A325,1)))</f>
        <v>N/A</v>
      </c>
      <c r="B326" s="262" t="str">
        <f t="shared" si="438"/>
        <v xml:space="preserve"> </v>
      </c>
      <c r="C326" s="249" t="str">
        <f t="shared" si="439"/>
        <v xml:space="preserve"> </v>
      </c>
      <c r="D326" s="250" t="str">
        <f>IF(A326="N/A"," ",(VLOOKUP(MONTH($A326),Inputs!$A$14:$B$25,2))/1000)</f>
        <v xml:space="preserve"> </v>
      </c>
      <c r="E326" s="304" t="str">
        <f t="shared" si="440"/>
        <v xml:space="preserve"> </v>
      </c>
      <c r="F326" s="251" t="str">
        <f>IF(A326="N/A"," ",Inputs!$F$6)</f>
        <v xml:space="preserve"> </v>
      </c>
      <c r="G326" s="251" t="str">
        <f>IF(A326="N/A"," ",Inputs!$F$9/IF(AND('Pricing Inputs'!$AQ$3&gt;=4,'Pricing Inputs'!$AQ$3&lt;=6),16,IF(AND('Pricing Inputs'!$AQ$3&gt;=7,'Pricing Inputs'!$AQ$3&lt;=9),8,24))/(BA326/BW326))</f>
        <v xml:space="preserve"> </v>
      </c>
      <c r="H326" s="252" t="str">
        <f t="shared" si="441"/>
        <v xml:space="preserve"> </v>
      </c>
      <c r="I326" s="255" t="str">
        <f>VLOOKUP(A326,ScaledPrice,(IF(AND('Pricing Inputs'!$AQ$3&gt;=1,'Pricing Inputs'!$AQ$3&lt;=6),2,4)))</f>
        <v xml:space="preserve"> </v>
      </c>
      <c r="J326" s="255" t="str">
        <f>IF(A326="N/A"," ",IF(AND('Pricing Inputs'!$AQ$3&gt;=1,'Pricing Inputs'!$AQ$3&lt;=6),I326,(VLOOKUP(A326,ScaledPrice,2))*(2-(VLOOKUP(A326,ScaledPrice,3)))))</f>
        <v xml:space="preserve"> </v>
      </c>
      <c r="K326" s="255" t="str">
        <f>IF(A326="N/A"," ",IF(OR('Pricing Inputs'!$AQ$3=2,'Pricing Inputs'!$AQ$3=3,'Pricing Inputs'!$AQ$3=5,'Pricing Inputs'!$AQ$3=6,'Pricing Inputs'!$AQ$3=8,'Pricing Inputs'!$AQ$3=9),VLOOKUP(A326,ScaledPrice,IF(AND('Pricing Inputs'!$AQ$3&gt;=2,'Pricing Inputs'!$AQ$3&lt;=6),5,6)),0))</f>
        <v xml:space="preserve"> </v>
      </c>
      <c r="L326" s="255" t="str">
        <f>IF(A326="N/A"," ",IF(OR('Pricing Inputs'!$AQ$3=2,'Pricing Inputs'!$AQ$3=3,'Pricing Inputs'!$AQ$3=5,'Pricing Inputs'!$AQ$3=6,'Pricing Inputs'!$AQ$3=8,'Pricing Inputs'!$AQ$3=9),IF(AND('Pricing Inputs'!$AQ$3&gt;=2,'Pricing Inputs'!$AQ$3&lt;=6),K326,(VLOOKUP(A326,ScaledPrice,5))*(2-(VLOOKUP(A326,ScaledPrice,3)))),0))</f>
        <v xml:space="preserve"> </v>
      </c>
      <c r="M326" s="255" t="str">
        <f>IF(A326="N/A"," ",IF(OR('Pricing Inputs'!$AQ$3=3,'Pricing Inputs'!$AQ$3=6,'Pricing Inputs'!$AQ$3=9),(VLOOKUP(A326,ScaledPrice,IF(AND('Pricing Inputs'!$AQ$3&gt;=3,'Pricing Inputs'!$AQ$3&lt;=6),7,8))),0))</f>
        <v xml:space="preserve"> </v>
      </c>
      <c r="N326" s="255" t="str">
        <f>IF(A326="N/A"," ",IF(OR('Pricing Inputs'!$AQ$3=3,'Pricing Inputs'!$AQ$3=6,'Pricing Inputs'!$AQ$3=9),IF(AND('Pricing Inputs'!$AQ$3&gt;=3,'Pricing Inputs'!$AQ$3&lt;=6),M326,(VLOOKUP(A326,ScaledPrice,7))*(2-(VLOOKUP(A326,ScaledPrice,3)))),0))</f>
        <v xml:space="preserve"> </v>
      </c>
      <c r="O326" s="255" t="str">
        <f>IF(A326="N/A"," ",IF(AND('Pricing Inputs'!$AQ$3&gt;=1,'Pricing Inputs'!$AQ$3&lt;=3),VLOOKUP(A326,ScaledPrice,9),0))</f>
        <v xml:space="preserve"> </v>
      </c>
      <c r="P326" s="320" t="str">
        <f>IF($A326="N/A"," ",IF('Pricing Inputs'!$AN$8=2,(I326-H326),IF('Pricing Inputs'!$AN$3=2,IF((I326-$H326)&gt;0,I326-$H326,0),(_xll.xSPRDOPT(I326,$E326,$BU326,0,$BP326,$BS326,$BT326,($A326-Inputs!$D$1)+15,1,0)))))</f>
        <v xml:space="preserve"> </v>
      </c>
      <c r="Q326" s="320" t="str">
        <f>IF($A326="N/A"," ",IF('Pricing Inputs'!$AN$8=2,(J326-$H326),IF('Pricing Inputs'!$AN$3=2,IF((J326-$H326)&gt;0,J326-$H326,0),(_xll.xSPRDOPT(J326,$E326,$BU326,0,$BP326,$BS326,$BT326,($A326-Inputs!$D$1)+15,1,0)))))</f>
        <v xml:space="preserve"> </v>
      </c>
      <c r="R326" s="320" t="str">
        <f>IF($A326="N/A"," ",IF('Pricing Inputs'!$AN$8=2,(K326-$H326),IF('Pricing Inputs'!$AN$3=2,IF((K326-$H326)&gt;0,K326-$H326,0),(_xll.xSPRDOPT(K326,$E326,$BU326,0,$BP326,$BS326,$BT326,($A326-Inputs!$D$1)+15,1,0)))))</f>
        <v xml:space="preserve"> </v>
      </c>
      <c r="S326" s="320" t="str">
        <f>IF($A326="N/A"," ",IF('Pricing Inputs'!$AN$8=2,(L326-$H326),IF('Pricing Inputs'!$AN$3=2,IF((L326-$H326)&gt;0,L326-$H326,0),(_xll.xSPRDOPT(L326,$E326,$BU326,0,$BP326,$BS326,$BT326,($A326-Inputs!$D$1)+15,1,0)))))</f>
        <v xml:space="preserve"> </v>
      </c>
      <c r="T326" s="320" t="str">
        <f>IF($A326="N/A"," ",IF('Pricing Inputs'!$AN$8=2,(M326-$H326),IF('Pricing Inputs'!$AN$3=2,IF((M326-$H326)&gt;0,M326-$H326,0),(_xll.xSPRDOPT(M326,$E326,$BU326,0,$BP326,$BS326,$BT326,($A326-Inputs!$D$1)+15,1,0)))))</f>
        <v xml:space="preserve"> </v>
      </c>
      <c r="U326" s="320" t="str">
        <f>IF($A326="N/A"," ",IF('Pricing Inputs'!$AN$8=2,(N326-$H326),IF('Pricing Inputs'!$AN$3=2,IF((N326-$H326)&gt;0,N326-$H326,0),(_xll.xSPRDOPT(N326,$E326,$BU326,0,$BP326,$BS326,$BT326,($A326-Inputs!$D$1)+15,1,0)))))</f>
        <v xml:space="preserve"> </v>
      </c>
      <c r="V326" s="259" t="str">
        <f>IF($A326="N/A"," ",(IF('Pricing Inputs'!$AN$8=2,(O326-$H326),IF((O326-$H326)&lt;=0,0,(O326-$H326)))))</f>
        <v xml:space="preserve"> </v>
      </c>
      <c r="BA326" s="267" t="str">
        <f>IF($A326="N/A"," ",(IF(MONTH(A326)&gt;=4,IF(MONTH(A326)&lt;=10,Inputs!$F$13,Inputs!$F$14),Inputs!$F$14))*$BW326)</f>
        <v xml:space="preserve"> </v>
      </c>
      <c r="BN326" s="405" t="str">
        <f>IF(A326="N/A"," ",(VLOOKUP(A326,PowerVolTable,(IF('Pricing Inputs'!$AT$3=2,7,IF('Pricing Inputs'!$AT$3=1,6,8))),FALSE)))</f>
        <v xml:space="preserve"> </v>
      </c>
      <c r="BO326" s="405" t="str">
        <f>IF(A326="N/A"," ",(VLOOKUP(A326,IntraPowerVol,(IF('Pricing Inputs'!$AT$3=2,3,IF('Pricing Inputs'!$AT$3=1,2,4))),FALSE)*VLOOKUP(MONTH($A326),Inputs!$A$28:$B$39,2)))</f>
        <v xml:space="preserve"> </v>
      </c>
      <c r="BP326" s="406" t="str">
        <f t="shared" si="436"/>
        <v xml:space="preserve"> </v>
      </c>
      <c r="BQ326" s="405" t="str">
        <f>IF($A326="N/A"," ",(VLOOKUP($A326,GasVolTable,(IF('Pricing Inputs'!$AT$3=2,6,IF('Pricing Inputs'!$AT$3=1,7,5))),FALSE)))</f>
        <v xml:space="preserve"> </v>
      </c>
      <c r="BR326" s="405" t="str">
        <f>IF($A326="N/A"," ",(VLOOKUP($A326,OmicronVol,(IF('Pricing Inputs'!$AT$3=2,3,IF('Pricing Inputs'!$AT$3=1,4,2))),FALSE)))</f>
        <v xml:space="preserve"> </v>
      </c>
      <c r="BS326" s="406" t="str">
        <f>IF($A326="N/A"," ",IF('Pricing Inputs'!$AN$3=1,(IF(DateToday&gt;$A326,$BR326,((($BQ326^2)*((($A326-1)-DateToday)/((EOMONTH($A326,0)+1)-DateToday-15)))+((($BR326)^2)*((15)/((EOMONTH($A326,0)+1)-DateToday-15))))^0.5)),0.0001))</f>
        <v xml:space="preserve"> </v>
      </c>
      <c r="BT326" s="405" t="str">
        <f>IF($A326="N/A"," ",IF('Pricing Inputs'!$AN$3=1,(VLOOKUP($A326,CorrelationTable,2,FALSE)),0))</f>
        <v xml:space="preserve"> </v>
      </c>
      <c r="BU326" s="407" t="str">
        <f>IF($A326="N/A"," ",F326+G326+(D326*(VLOOKUP($A326,'Gas Curves'!$B$17:$P$310,14,FALSE))))</f>
        <v xml:space="preserve"> </v>
      </c>
      <c r="BV326" s="405" t="str">
        <f>IF($A326="N/A"," ",IF('Pricing Inputs'!$AW$3=1,0,(VLOOKUP($A326,InterestRatesTable,2))))</f>
        <v xml:space="preserve"> </v>
      </c>
      <c r="BW326" s="408" t="str">
        <f t="shared" si="437"/>
        <v xml:space="preserve"> </v>
      </c>
    </row>
    <row r="327" spans="1:75">
      <c r="A327" s="248" t="str">
        <f>IF(A326="N/A","N/A",IF(EDATE(A326,1)&gt;Inputs!$K$3,"N/A",EDATE(A326,1)))</f>
        <v>N/A</v>
      </c>
      <c r="B327" s="262" t="str">
        <f t="shared" si="438"/>
        <v xml:space="preserve"> </v>
      </c>
      <c r="C327" s="249" t="str">
        <f t="shared" si="439"/>
        <v xml:space="preserve"> </v>
      </c>
      <c r="D327" s="250" t="str">
        <f>IF(A327="N/A"," ",(VLOOKUP(MONTH($A327),Inputs!$A$14:$B$25,2))/1000)</f>
        <v xml:space="preserve"> </v>
      </c>
      <c r="E327" s="304" t="str">
        <f t="shared" si="440"/>
        <v xml:space="preserve"> </v>
      </c>
      <c r="F327" s="251" t="str">
        <f>IF(A327="N/A"," ",Inputs!$F$6)</f>
        <v xml:space="preserve"> </v>
      </c>
      <c r="G327" s="251" t="str">
        <f>IF(A327="N/A"," ",Inputs!$F$9/IF(AND('Pricing Inputs'!$AQ$3&gt;=4,'Pricing Inputs'!$AQ$3&lt;=6),16,IF(AND('Pricing Inputs'!$AQ$3&gt;=7,'Pricing Inputs'!$AQ$3&lt;=9),8,24))/(BA327/BW327))</f>
        <v xml:space="preserve"> </v>
      </c>
      <c r="H327" s="252" t="str">
        <f t="shared" si="441"/>
        <v xml:space="preserve"> </v>
      </c>
      <c r="I327" s="255" t="str">
        <f>VLOOKUP(A327,ScaledPrice,(IF(AND('Pricing Inputs'!$AQ$3&gt;=1,'Pricing Inputs'!$AQ$3&lt;=6),2,4)))</f>
        <v xml:space="preserve"> </v>
      </c>
      <c r="J327" s="255" t="str">
        <f>IF(A327="N/A"," ",IF(AND('Pricing Inputs'!$AQ$3&gt;=1,'Pricing Inputs'!$AQ$3&lt;=6),I327,(VLOOKUP(A327,ScaledPrice,2))*(2-(VLOOKUP(A327,ScaledPrice,3)))))</f>
        <v xml:space="preserve"> </v>
      </c>
      <c r="K327" s="255" t="str">
        <f>IF(A327="N/A"," ",IF(OR('Pricing Inputs'!$AQ$3=2,'Pricing Inputs'!$AQ$3=3,'Pricing Inputs'!$AQ$3=5,'Pricing Inputs'!$AQ$3=6,'Pricing Inputs'!$AQ$3=8,'Pricing Inputs'!$AQ$3=9),VLOOKUP(A327,ScaledPrice,IF(AND('Pricing Inputs'!$AQ$3&gt;=2,'Pricing Inputs'!$AQ$3&lt;=6),5,6)),0))</f>
        <v xml:space="preserve"> </v>
      </c>
      <c r="L327" s="255" t="str">
        <f>IF(A327="N/A"," ",IF(OR('Pricing Inputs'!$AQ$3=2,'Pricing Inputs'!$AQ$3=3,'Pricing Inputs'!$AQ$3=5,'Pricing Inputs'!$AQ$3=6,'Pricing Inputs'!$AQ$3=8,'Pricing Inputs'!$AQ$3=9),IF(AND('Pricing Inputs'!$AQ$3&gt;=2,'Pricing Inputs'!$AQ$3&lt;=6),K327,(VLOOKUP(A327,ScaledPrice,5))*(2-(VLOOKUP(A327,ScaledPrice,3)))),0))</f>
        <v xml:space="preserve"> </v>
      </c>
      <c r="M327" s="255" t="str">
        <f>IF(A327="N/A"," ",IF(OR('Pricing Inputs'!$AQ$3=3,'Pricing Inputs'!$AQ$3=6,'Pricing Inputs'!$AQ$3=9),(VLOOKUP(A327,ScaledPrice,IF(AND('Pricing Inputs'!$AQ$3&gt;=3,'Pricing Inputs'!$AQ$3&lt;=6),7,8))),0))</f>
        <v xml:space="preserve"> </v>
      </c>
      <c r="N327" s="255" t="str">
        <f>IF(A327="N/A"," ",IF(OR('Pricing Inputs'!$AQ$3=3,'Pricing Inputs'!$AQ$3=6,'Pricing Inputs'!$AQ$3=9),IF(AND('Pricing Inputs'!$AQ$3&gt;=3,'Pricing Inputs'!$AQ$3&lt;=6),M327,(VLOOKUP(A327,ScaledPrice,7))*(2-(VLOOKUP(A327,ScaledPrice,3)))),0))</f>
        <v xml:space="preserve"> </v>
      </c>
      <c r="O327" s="255" t="str">
        <f>IF(A327="N/A"," ",IF(AND('Pricing Inputs'!$AQ$3&gt;=1,'Pricing Inputs'!$AQ$3&lt;=3),VLOOKUP(A327,ScaledPrice,9),0))</f>
        <v xml:space="preserve"> </v>
      </c>
      <c r="P327" s="320" t="str">
        <f>IF($A327="N/A"," ",IF('Pricing Inputs'!$AN$8=2,(I327-H327),IF('Pricing Inputs'!$AN$3=2,IF((I327-$H327)&gt;0,I327-$H327,0),(_xll.xSPRDOPT(I327,$E327,$BU327,0,$BP327,$BS327,$BT327,($A327-Inputs!$D$1)+15,1,0)))))</f>
        <v xml:space="preserve"> </v>
      </c>
      <c r="Q327" s="320" t="str">
        <f>IF($A327="N/A"," ",IF('Pricing Inputs'!$AN$8=2,(J327-$H327),IF('Pricing Inputs'!$AN$3=2,IF((J327-$H327)&gt;0,J327-$H327,0),(_xll.xSPRDOPT(J327,$E327,$BU327,0,$BP327,$BS327,$BT327,($A327-Inputs!$D$1)+15,1,0)))))</f>
        <v xml:space="preserve"> </v>
      </c>
      <c r="R327" s="320" t="str">
        <f>IF($A327="N/A"," ",IF('Pricing Inputs'!$AN$8=2,(K327-$H327),IF('Pricing Inputs'!$AN$3=2,IF((K327-$H327)&gt;0,K327-$H327,0),(_xll.xSPRDOPT(K327,$E327,$BU327,0,$BP327,$BS327,$BT327,($A327-Inputs!$D$1)+15,1,0)))))</f>
        <v xml:space="preserve"> </v>
      </c>
      <c r="S327" s="320" t="str">
        <f>IF($A327="N/A"," ",IF('Pricing Inputs'!$AN$8=2,(L327-$H327),IF('Pricing Inputs'!$AN$3=2,IF((L327-$H327)&gt;0,L327-$H327,0),(_xll.xSPRDOPT(L327,$E327,$BU327,0,$BP327,$BS327,$BT327,($A327-Inputs!$D$1)+15,1,0)))))</f>
        <v xml:space="preserve"> </v>
      </c>
      <c r="T327" s="320" t="str">
        <f>IF($A327="N/A"," ",IF('Pricing Inputs'!$AN$8=2,(M327-$H327),IF('Pricing Inputs'!$AN$3=2,IF((M327-$H327)&gt;0,M327-$H327,0),(_xll.xSPRDOPT(M327,$E327,$BU327,0,$BP327,$BS327,$BT327,($A327-Inputs!$D$1)+15,1,0)))))</f>
        <v xml:space="preserve"> </v>
      </c>
      <c r="U327" s="320" t="str">
        <f>IF($A327="N/A"," ",IF('Pricing Inputs'!$AN$8=2,(N327-$H327),IF('Pricing Inputs'!$AN$3=2,IF((N327-$H327)&gt;0,N327-$H327,0),(_xll.xSPRDOPT(N327,$E327,$BU327,0,$BP327,$BS327,$BT327,($A327-Inputs!$D$1)+15,1,0)))))</f>
        <v xml:space="preserve"> </v>
      </c>
      <c r="V327" s="259" t="str">
        <f>IF($A327="N/A"," ",(IF('Pricing Inputs'!$AN$8=2,(O327-$H327),IF((O327-$H327)&lt;=0,0,(O327-$H327)))))</f>
        <v xml:space="preserve"> </v>
      </c>
      <c r="BA327" s="267" t="str">
        <f>IF($A327="N/A"," ",(IF(MONTH(A327)&gt;=4,IF(MONTH(A327)&lt;=10,Inputs!$F$13,Inputs!$F$14),Inputs!$F$14))*$BW327)</f>
        <v xml:space="preserve"> </v>
      </c>
      <c r="BN327" s="405" t="str">
        <f>IF(A327="N/A"," ",(VLOOKUP(A327,PowerVolTable,(IF('Pricing Inputs'!$AT$3=2,7,IF('Pricing Inputs'!$AT$3=1,6,8))),FALSE)))</f>
        <v xml:space="preserve"> </v>
      </c>
      <c r="BO327" s="405" t="str">
        <f>IF(A327="N/A"," ",(VLOOKUP(A327,IntraPowerVol,(IF('Pricing Inputs'!$AT$3=2,3,IF('Pricing Inputs'!$AT$3=1,2,4))),FALSE)*VLOOKUP(MONTH($A327),Inputs!$A$28:$B$39,2)))</f>
        <v xml:space="preserve"> </v>
      </c>
      <c r="BP327" s="406" t="str">
        <f t="shared" si="436"/>
        <v xml:space="preserve"> </v>
      </c>
      <c r="BQ327" s="405" t="str">
        <f>IF($A327="N/A"," ",(VLOOKUP($A327,GasVolTable,(IF('Pricing Inputs'!$AT$3=2,6,IF('Pricing Inputs'!$AT$3=1,7,5))),FALSE)))</f>
        <v xml:space="preserve"> </v>
      </c>
      <c r="BR327" s="405" t="str">
        <f>IF($A327="N/A"," ",(VLOOKUP($A327,OmicronVol,(IF('Pricing Inputs'!$AT$3=2,3,IF('Pricing Inputs'!$AT$3=1,4,2))),FALSE)))</f>
        <v xml:space="preserve"> </v>
      </c>
      <c r="BS327" s="406" t="str">
        <f>IF($A327="N/A"," ",IF('Pricing Inputs'!$AN$3=1,(IF(DateToday&gt;$A327,$BR327,((($BQ327^2)*((($A327-1)-DateToday)/((EOMONTH($A327,0)+1)-DateToday-15)))+((($BR327)^2)*((15)/((EOMONTH($A327,0)+1)-DateToday-15))))^0.5)),0.0001))</f>
        <v xml:space="preserve"> </v>
      </c>
      <c r="BT327" s="405" t="str">
        <f>IF($A327="N/A"," ",IF('Pricing Inputs'!$AN$3=1,(VLOOKUP($A327,CorrelationTable,2,FALSE)),0))</f>
        <v xml:space="preserve"> </v>
      </c>
      <c r="BU327" s="407" t="str">
        <f>IF($A327="N/A"," ",F327+G327+(D327*(VLOOKUP($A327,'Gas Curves'!$B$17:$P$310,14,FALSE))))</f>
        <v xml:space="preserve"> </v>
      </c>
      <c r="BV327" s="405" t="str">
        <f>IF($A327="N/A"," ",IF('Pricing Inputs'!$AW$3=1,0,(VLOOKUP($A327,InterestRatesTable,2))))</f>
        <v xml:space="preserve"> </v>
      </c>
      <c r="BW327" s="408" t="str">
        <f t="shared" si="437"/>
        <v xml:space="preserve"> </v>
      </c>
    </row>
    <row r="328" spans="1:75">
      <c r="A328" s="248" t="str">
        <f>IF(A327="N/A","N/A",IF(EDATE(A327,1)&gt;Inputs!$K$3,"N/A",EDATE(A327,1)))</f>
        <v>N/A</v>
      </c>
      <c r="B328" s="262" t="str">
        <f t="shared" si="438"/>
        <v xml:space="preserve"> </v>
      </c>
      <c r="C328" s="249" t="str">
        <f t="shared" si="439"/>
        <v xml:space="preserve"> </v>
      </c>
      <c r="D328" s="250" t="str">
        <f>IF(A328="N/A"," ",(VLOOKUP(MONTH($A328),Inputs!$A$14:$B$25,2))/1000)</f>
        <v xml:space="preserve"> </v>
      </c>
      <c r="E328" s="304" t="str">
        <f t="shared" si="440"/>
        <v xml:space="preserve"> </v>
      </c>
      <c r="F328" s="251" t="str">
        <f>IF(A328="N/A"," ",Inputs!$F$6)</f>
        <v xml:space="preserve"> </v>
      </c>
      <c r="G328" s="251" t="str">
        <f>IF(A328="N/A"," ",Inputs!$F$9/IF(AND('Pricing Inputs'!$AQ$3&gt;=4,'Pricing Inputs'!$AQ$3&lt;=6),16,IF(AND('Pricing Inputs'!$AQ$3&gt;=7,'Pricing Inputs'!$AQ$3&lt;=9),8,24))/(BA328/BW328))</f>
        <v xml:space="preserve"> </v>
      </c>
      <c r="H328" s="252" t="str">
        <f t="shared" si="441"/>
        <v xml:space="preserve"> </v>
      </c>
      <c r="I328" s="255" t="str">
        <f>VLOOKUP(A328,ScaledPrice,(IF(AND('Pricing Inputs'!$AQ$3&gt;=1,'Pricing Inputs'!$AQ$3&lt;=6),2,4)))</f>
        <v xml:space="preserve"> </v>
      </c>
      <c r="J328" s="255" t="str">
        <f>IF(A328="N/A"," ",IF(AND('Pricing Inputs'!$AQ$3&gt;=1,'Pricing Inputs'!$AQ$3&lt;=6),I328,(VLOOKUP(A328,ScaledPrice,2))*(2-(VLOOKUP(A328,ScaledPrice,3)))))</f>
        <v xml:space="preserve"> </v>
      </c>
      <c r="K328" s="255" t="str">
        <f>IF(A328="N/A"," ",IF(OR('Pricing Inputs'!$AQ$3=2,'Pricing Inputs'!$AQ$3=3,'Pricing Inputs'!$AQ$3=5,'Pricing Inputs'!$AQ$3=6,'Pricing Inputs'!$AQ$3=8,'Pricing Inputs'!$AQ$3=9),VLOOKUP(A328,ScaledPrice,IF(AND('Pricing Inputs'!$AQ$3&gt;=2,'Pricing Inputs'!$AQ$3&lt;=6),5,6)),0))</f>
        <v xml:space="preserve"> </v>
      </c>
      <c r="L328" s="255" t="str">
        <f>IF(A328="N/A"," ",IF(OR('Pricing Inputs'!$AQ$3=2,'Pricing Inputs'!$AQ$3=3,'Pricing Inputs'!$AQ$3=5,'Pricing Inputs'!$AQ$3=6,'Pricing Inputs'!$AQ$3=8,'Pricing Inputs'!$AQ$3=9),IF(AND('Pricing Inputs'!$AQ$3&gt;=2,'Pricing Inputs'!$AQ$3&lt;=6),K328,(VLOOKUP(A328,ScaledPrice,5))*(2-(VLOOKUP(A328,ScaledPrice,3)))),0))</f>
        <v xml:space="preserve"> </v>
      </c>
      <c r="M328" s="255" t="str">
        <f>IF(A328="N/A"," ",IF(OR('Pricing Inputs'!$AQ$3=3,'Pricing Inputs'!$AQ$3=6,'Pricing Inputs'!$AQ$3=9),(VLOOKUP(A328,ScaledPrice,IF(AND('Pricing Inputs'!$AQ$3&gt;=3,'Pricing Inputs'!$AQ$3&lt;=6),7,8))),0))</f>
        <v xml:space="preserve"> </v>
      </c>
      <c r="N328" s="255" t="str">
        <f>IF(A328="N/A"," ",IF(OR('Pricing Inputs'!$AQ$3=3,'Pricing Inputs'!$AQ$3=6,'Pricing Inputs'!$AQ$3=9),IF(AND('Pricing Inputs'!$AQ$3&gt;=3,'Pricing Inputs'!$AQ$3&lt;=6),M328,(VLOOKUP(A328,ScaledPrice,7))*(2-(VLOOKUP(A328,ScaledPrice,3)))),0))</f>
        <v xml:space="preserve"> </v>
      </c>
      <c r="O328" s="255" t="str">
        <f>IF(A328="N/A"," ",IF(AND('Pricing Inputs'!$AQ$3&gt;=1,'Pricing Inputs'!$AQ$3&lt;=3),VLOOKUP(A328,ScaledPrice,9),0))</f>
        <v xml:space="preserve"> </v>
      </c>
      <c r="P328" s="320" t="str">
        <f>IF($A328="N/A"," ",IF('Pricing Inputs'!$AN$8=2,(I328-H328),IF('Pricing Inputs'!$AN$3=2,IF((I328-$H328)&gt;0,I328-$H328,0),(_xll.xSPRDOPT(I328,$E328,$BU328,0,$BP328,$BS328,$BT328,($A328-Inputs!$D$1)+15,1,0)))))</f>
        <v xml:space="preserve"> </v>
      </c>
      <c r="Q328" s="320" t="str">
        <f>IF($A328="N/A"," ",IF('Pricing Inputs'!$AN$8=2,(J328-$H328),IF('Pricing Inputs'!$AN$3=2,IF((J328-$H328)&gt;0,J328-$H328,0),(_xll.xSPRDOPT(J328,$E328,$BU328,0,$BP328,$BS328,$BT328,($A328-Inputs!$D$1)+15,1,0)))))</f>
        <v xml:space="preserve"> </v>
      </c>
      <c r="R328" s="320" t="str">
        <f>IF($A328="N/A"," ",IF('Pricing Inputs'!$AN$8=2,(K328-$H328),IF('Pricing Inputs'!$AN$3=2,IF((K328-$H328)&gt;0,K328-$H328,0),(_xll.xSPRDOPT(K328,$E328,$BU328,0,$BP328,$BS328,$BT328,($A328-Inputs!$D$1)+15,1,0)))))</f>
        <v xml:space="preserve"> </v>
      </c>
      <c r="S328" s="320" t="str">
        <f>IF($A328="N/A"," ",IF('Pricing Inputs'!$AN$8=2,(L328-$H328),IF('Pricing Inputs'!$AN$3=2,IF((L328-$H328)&gt;0,L328-$H328,0),(_xll.xSPRDOPT(L328,$E328,$BU328,0,$BP328,$BS328,$BT328,($A328-Inputs!$D$1)+15,1,0)))))</f>
        <v xml:space="preserve"> </v>
      </c>
      <c r="T328" s="320" t="str">
        <f>IF($A328="N/A"," ",IF('Pricing Inputs'!$AN$8=2,(M328-$H328),IF('Pricing Inputs'!$AN$3=2,IF((M328-$H328)&gt;0,M328-$H328,0),(_xll.xSPRDOPT(M328,$E328,$BU328,0,$BP328,$BS328,$BT328,($A328-Inputs!$D$1)+15,1,0)))))</f>
        <v xml:space="preserve"> </v>
      </c>
      <c r="U328" s="320" t="str">
        <f>IF($A328="N/A"," ",IF('Pricing Inputs'!$AN$8=2,(N328-$H328),IF('Pricing Inputs'!$AN$3=2,IF((N328-$H328)&gt;0,N328-$H328,0),(_xll.xSPRDOPT(N328,$E328,$BU328,0,$BP328,$BS328,$BT328,($A328-Inputs!$D$1)+15,1,0)))))</f>
        <v xml:space="preserve"> </v>
      </c>
      <c r="V328" s="259" t="str">
        <f>IF($A328="N/A"," ",(IF('Pricing Inputs'!$AN$8=2,(O328-$H328),IF((O328-$H328)&lt;=0,0,(O328-$H328)))))</f>
        <v xml:space="preserve"> </v>
      </c>
      <c r="BA328" s="267" t="str">
        <f>IF($A328="N/A"," ",(IF(MONTH(A328)&gt;=4,IF(MONTH(A328)&lt;=10,Inputs!$F$13,Inputs!$F$14),Inputs!$F$14))*$BW328)</f>
        <v xml:space="preserve"> </v>
      </c>
      <c r="BN328" s="405" t="str">
        <f>IF(A328="N/A"," ",(VLOOKUP(A328,PowerVolTable,(IF('Pricing Inputs'!$AT$3=2,7,IF('Pricing Inputs'!$AT$3=1,6,8))),FALSE)))</f>
        <v xml:space="preserve"> </v>
      </c>
      <c r="BO328" s="405" t="str">
        <f>IF(A328="N/A"," ",(VLOOKUP(A328,IntraPowerVol,(IF('Pricing Inputs'!$AT$3=2,3,IF('Pricing Inputs'!$AT$3=1,2,4))),FALSE)*VLOOKUP(MONTH($A328),Inputs!$A$28:$B$39,2)))</f>
        <v xml:space="preserve"> </v>
      </c>
      <c r="BP328" s="406" t="str">
        <f t="shared" si="436"/>
        <v xml:space="preserve"> </v>
      </c>
      <c r="BQ328" s="405" t="str">
        <f>IF($A328="N/A"," ",(VLOOKUP($A328,GasVolTable,(IF('Pricing Inputs'!$AT$3=2,6,IF('Pricing Inputs'!$AT$3=1,7,5))),FALSE)))</f>
        <v xml:space="preserve"> </v>
      </c>
      <c r="BR328" s="405" t="str">
        <f>IF($A328="N/A"," ",(VLOOKUP($A328,OmicronVol,(IF('Pricing Inputs'!$AT$3=2,3,IF('Pricing Inputs'!$AT$3=1,4,2))),FALSE)))</f>
        <v xml:space="preserve"> </v>
      </c>
      <c r="BS328" s="406" t="str">
        <f>IF($A328="N/A"," ",IF('Pricing Inputs'!$AN$3=1,(IF(DateToday&gt;$A328,$BR328,((($BQ328^2)*((($A328-1)-DateToday)/((EOMONTH($A328,0)+1)-DateToday-15)))+((($BR328)^2)*((15)/((EOMONTH($A328,0)+1)-DateToday-15))))^0.5)),0.0001))</f>
        <v xml:space="preserve"> </v>
      </c>
      <c r="BT328" s="405" t="str">
        <f>IF($A328="N/A"," ",IF('Pricing Inputs'!$AN$3=1,(VLOOKUP($A328,CorrelationTable,2,FALSE)),0))</f>
        <v xml:space="preserve"> </v>
      </c>
      <c r="BU328" s="407" t="str">
        <f>IF($A328="N/A"," ",F328+G328+(D328*(VLOOKUP($A328,'Gas Curves'!$B$17:$P$310,14,FALSE))))</f>
        <v xml:space="preserve"> </v>
      </c>
      <c r="BV328" s="405" t="str">
        <f>IF($A328="N/A"," ",IF('Pricing Inputs'!$AW$3=1,0,(VLOOKUP($A328,InterestRatesTable,2))))</f>
        <v xml:space="preserve"> </v>
      </c>
      <c r="BW328" s="408" t="str">
        <f t="shared" si="437"/>
        <v xml:space="preserve"> </v>
      </c>
    </row>
    <row r="329" spans="1:75">
      <c r="A329" s="248" t="str">
        <f>IF(A328="N/A","N/A",IF(EDATE(A328,1)&gt;Inputs!$K$3,"N/A",EDATE(A328,1)))</f>
        <v>N/A</v>
      </c>
      <c r="B329" s="262" t="str">
        <f t="shared" si="438"/>
        <v xml:space="preserve"> </v>
      </c>
      <c r="C329" s="249" t="str">
        <f t="shared" si="439"/>
        <v xml:space="preserve"> </v>
      </c>
      <c r="D329" s="250" t="str">
        <f>IF(A329="N/A"," ",(VLOOKUP(MONTH($A329),Inputs!$A$14:$B$25,2))/1000)</f>
        <v xml:space="preserve"> </v>
      </c>
      <c r="E329" s="304" t="str">
        <f t="shared" si="440"/>
        <v xml:space="preserve"> </v>
      </c>
      <c r="F329" s="251" t="str">
        <f>IF(A329="N/A"," ",Inputs!$F$6)</f>
        <v xml:space="preserve"> </v>
      </c>
      <c r="G329" s="251" t="str">
        <f>IF(A329="N/A"," ",Inputs!$F$9/IF(AND('Pricing Inputs'!$AQ$3&gt;=4,'Pricing Inputs'!$AQ$3&lt;=6),16,IF(AND('Pricing Inputs'!$AQ$3&gt;=7,'Pricing Inputs'!$AQ$3&lt;=9),8,24))/(BA329/BW329))</f>
        <v xml:space="preserve"> </v>
      </c>
      <c r="H329" s="252" t="str">
        <f t="shared" si="441"/>
        <v xml:space="preserve"> </v>
      </c>
      <c r="I329" s="255" t="str">
        <f>VLOOKUP(A329,ScaledPrice,(IF(AND('Pricing Inputs'!$AQ$3&gt;=1,'Pricing Inputs'!$AQ$3&lt;=6),2,4)))</f>
        <v xml:space="preserve"> </v>
      </c>
      <c r="J329" s="255" t="str">
        <f>IF(A329="N/A"," ",IF(AND('Pricing Inputs'!$AQ$3&gt;=1,'Pricing Inputs'!$AQ$3&lt;=6),I329,(VLOOKUP(A329,ScaledPrice,2))*(2-(VLOOKUP(A329,ScaledPrice,3)))))</f>
        <v xml:space="preserve"> </v>
      </c>
      <c r="K329" s="255" t="str">
        <f>IF(A329="N/A"," ",IF(OR('Pricing Inputs'!$AQ$3=2,'Pricing Inputs'!$AQ$3=3,'Pricing Inputs'!$AQ$3=5,'Pricing Inputs'!$AQ$3=6,'Pricing Inputs'!$AQ$3=8,'Pricing Inputs'!$AQ$3=9),VLOOKUP(A329,ScaledPrice,IF(AND('Pricing Inputs'!$AQ$3&gt;=2,'Pricing Inputs'!$AQ$3&lt;=6),5,6)),0))</f>
        <v xml:space="preserve"> </v>
      </c>
      <c r="L329" s="255" t="str">
        <f>IF(A329="N/A"," ",IF(OR('Pricing Inputs'!$AQ$3=2,'Pricing Inputs'!$AQ$3=3,'Pricing Inputs'!$AQ$3=5,'Pricing Inputs'!$AQ$3=6,'Pricing Inputs'!$AQ$3=8,'Pricing Inputs'!$AQ$3=9),IF(AND('Pricing Inputs'!$AQ$3&gt;=2,'Pricing Inputs'!$AQ$3&lt;=6),K329,(VLOOKUP(A329,ScaledPrice,5))*(2-(VLOOKUP(A329,ScaledPrice,3)))),0))</f>
        <v xml:space="preserve"> </v>
      </c>
      <c r="M329" s="255" t="str">
        <f>IF(A329="N/A"," ",IF(OR('Pricing Inputs'!$AQ$3=3,'Pricing Inputs'!$AQ$3=6,'Pricing Inputs'!$AQ$3=9),(VLOOKUP(A329,ScaledPrice,IF(AND('Pricing Inputs'!$AQ$3&gt;=3,'Pricing Inputs'!$AQ$3&lt;=6),7,8))),0))</f>
        <v xml:space="preserve"> </v>
      </c>
      <c r="N329" s="255" t="str">
        <f>IF(A329="N/A"," ",IF(OR('Pricing Inputs'!$AQ$3=3,'Pricing Inputs'!$AQ$3=6,'Pricing Inputs'!$AQ$3=9),IF(AND('Pricing Inputs'!$AQ$3&gt;=3,'Pricing Inputs'!$AQ$3&lt;=6),M329,(VLOOKUP(A329,ScaledPrice,7))*(2-(VLOOKUP(A329,ScaledPrice,3)))),0))</f>
        <v xml:space="preserve"> </v>
      </c>
      <c r="O329" s="255" t="str">
        <f>IF(A329="N/A"," ",IF(AND('Pricing Inputs'!$AQ$3&gt;=1,'Pricing Inputs'!$AQ$3&lt;=3),VLOOKUP(A329,ScaledPrice,9),0))</f>
        <v xml:space="preserve"> </v>
      </c>
      <c r="P329" s="320" t="str">
        <f>IF($A329="N/A"," ",IF('Pricing Inputs'!$AN$8=2,(I329-H329),IF('Pricing Inputs'!$AN$3=2,IF((I329-$H329)&gt;0,I329-$H329,0),(_xll.xSPRDOPT(I329,$E329,$BU329,0,$BP329,$BS329,$BT329,($A329-Inputs!$D$1)+15,1,0)))))</f>
        <v xml:space="preserve"> </v>
      </c>
      <c r="Q329" s="320" t="str">
        <f>IF($A329="N/A"," ",IF('Pricing Inputs'!$AN$8=2,(J329-$H329),IF('Pricing Inputs'!$AN$3=2,IF((J329-$H329)&gt;0,J329-$H329,0),(_xll.xSPRDOPT(J329,$E329,$BU329,0,$BP329,$BS329,$BT329,($A329-Inputs!$D$1)+15,1,0)))))</f>
        <v xml:space="preserve"> </v>
      </c>
      <c r="R329" s="320" t="str">
        <f>IF($A329="N/A"," ",IF('Pricing Inputs'!$AN$8=2,(K329-$H329),IF('Pricing Inputs'!$AN$3=2,IF((K329-$H329)&gt;0,K329-$H329,0),(_xll.xSPRDOPT(K329,$E329,$BU329,0,$BP329,$BS329,$BT329,($A329-Inputs!$D$1)+15,1,0)))))</f>
        <v xml:space="preserve"> </v>
      </c>
      <c r="S329" s="320" t="str">
        <f>IF($A329="N/A"," ",IF('Pricing Inputs'!$AN$8=2,(L329-$H329),IF('Pricing Inputs'!$AN$3=2,IF((L329-$H329)&gt;0,L329-$H329,0),(_xll.xSPRDOPT(L329,$E329,$BU329,0,$BP329,$BS329,$BT329,($A329-Inputs!$D$1)+15,1,0)))))</f>
        <v xml:space="preserve"> </v>
      </c>
      <c r="T329" s="320" t="str">
        <f>IF($A329="N/A"," ",IF('Pricing Inputs'!$AN$8=2,(M329-$H329),IF('Pricing Inputs'!$AN$3=2,IF((M329-$H329)&gt;0,M329-$H329,0),(_xll.xSPRDOPT(M329,$E329,$BU329,0,$BP329,$BS329,$BT329,($A329-Inputs!$D$1)+15,1,0)))))</f>
        <v xml:space="preserve"> </v>
      </c>
      <c r="U329" s="320" t="str">
        <f>IF($A329="N/A"," ",IF('Pricing Inputs'!$AN$8=2,(N329-$H329),IF('Pricing Inputs'!$AN$3=2,IF((N329-$H329)&gt;0,N329-$H329,0),(_xll.xSPRDOPT(N329,$E329,$BU329,0,$BP329,$BS329,$BT329,($A329-Inputs!$D$1)+15,1,0)))))</f>
        <v xml:space="preserve"> </v>
      </c>
      <c r="V329" s="259" t="str">
        <f>IF($A329="N/A"," ",(IF('Pricing Inputs'!$AN$8=2,(O329-$H329),IF((O329-$H329)&lt;=0,0,(O329-$H329)))))</f>
        <v xml:space="preserve"> </v>
      </c>
      <c r="BA329" s="267" t="str">
        <f>IF($A329="N/A"," ",(IF(MONTH(A329)&gt;=4,IF(MONTH(A329)&lt;=10,Inputs!$F$13,Inputs!$F$14),Inputs!$F$14))*$BW329)</f>
        <v xml:space="preserve"> </v>
      </c>
      <c r="BN329" s="405" t="str">
        <f>IF(A329="N/A"," ",(VLOOKUP(A329,PowerVolTable,(IF('Pricing Inputs'!$AT$3=2,7,IF('Pricing Inputs'!$AT$3=1,6,8))),FALSE)))</f>
        <v xml:space="preserve"> </v>
      </c>
      <c r="BO329" s="405" t="str">
        <f>IF(A329="N/A"," ",(VLOOKUP(A329,IntraPowerVol,(IF('Pricing Inputs'!$AT$3=2,3,IF('Pricing Inputs'!$AT$3=1,2,4))),FALSE)*VLOOKUP(MONTH($A329),Inputs!$A$28:$B$39,2)))</f>
        <v xml:space="preserve"> </v>
      </c>
      <c r="BP329" s="406" t="str">
        <f t="shared" si="436"/>
        <v xml:space="preserve"> </v>
      </c>
      <c r="BQ329" s="405" t="str">
        <f>IF($A329="N/A"," ",(VLOOKUP($A329,GasVolTable,(IF('Pricing Inputs'!$AT$3=2,6,IF('Pricing Inputs'!$AT$3=1,7,5))),FALSE)))</f>
        <v xml:space="preserve"> </v>
      </c>
      <c r="BR329" s="405" t="str">
        <f>IF($A329="N/A"," ",(VLOOKUP($A329,OmicronVol,(IF('Pricing Inputs'!$AT$3=2,3,IF('Pricing Inputs'!$AT$3=1,4,2))),FALSE)))</f>
        <v xml:space="preserve"> </v>
      </c>
      <c r="BS329" s="406" t="str">
        <f>IF($A329="N/A"," ",IF('Pricing Inputs'!$AN$3=1,(IF(DateToday&gt;$A329,$BR329,((($BQ329^2)*((($A329-1)-DateToday)/((EOMONTH($A329,0)+1)-DateToday-15)))+((($BR329)^2)*((15)/((EOMONTH($A329,0)+1)-DateToday-15))))^0.5)),0.0001))</f>
        <v xml:space="preserve"> </v>
      </c>
      <c r="BT329" s="405" t="str">
        <f>IF($A329="N/A"," ",IF('Pricing Inputs'!$AN$3=1,(VLOOKUP($A329,CorrelationTable,2,FALSE)),0))</f>
        <v xml:space="preserve"> </v>
      </c>
      <c r="BU329" s="407" t="str">
        <f>IF($A329="N/A"," ",F329+G329+(D329*(VLOOKUP($A329,'Gas Curves'!$B$17:$P$310,14,FALSE))))</f>
        <v xml:space="preserve"> </v>
      </c>
      <c r="BV329" s="405" t="str">
        <f>IF($A329="N/A"," ",IF('Pricing Inputs'!$AW$3=1,0,(VLOOKUP($A329,InterestRatesTable,2))))</f>
        <v xml:space="preserve"> </v>
      </c>
      <c r="BW329" s="408" t="str">
        <f t="shared" si="437"/>
        <v xml:space="preserve"> </v>
      </c>
    </row>
    <row r="330" spans="1:75">
      <c r="A330" s="248" t="str">
        <f>IF(A329="N/A","N/A",IF(EDATE(A329,1)&gt;Inputs!$K$3,"N/A",EDATE(A329,1)))</f>
        <v>N/A</v>
      </c>
      <c r="B330" s="262" t="str">
        <f t="shared" si="438"/>
        <v xml:space="preserve"> </v>
      </c>
      <c r="C330" s="249" t="str">
        <f t="shared" si="439"/>
        <v xml:space="preserve"> </v>
      </c>
      <c r="D330" s="250" t="str">
        <f>IF(A330="N/A"," ",(VLOOKUP(MONTH($A330),Inputs!$A$14:$B$25,2))/1000)</f>
        <v xml:space="preserve"> </v>
      </c>
      <c r="E330" s="304" t="str">
        <f t="shared" si="440"/>
        <v xml:space="preserve"> </v>
      </c>
      <c r="F330" s="251" t="str">
        <f>IF(A330="N/A"," ",Inputs!$F$6)</f>
        <v xml:space="preserve"> </v>
      </c>
      <c r="G330" s="251" t="str">
        <f>IF(A330="N/A"," ",Inputs!$F$9/IF(AND('Pricing Inputs'!$AQ$3&gt;=4,'Pricing Inputs'!$AQ$3&lt;=6),16,IF(AND('Pricing Inputs'!$AQ$3&gt;=7,'Pricing Inputs'!$AQ$3&lt;=9),8,24))/(BA330/BW330))</f>
        <v xml:space="preserve"> </v>
      </c>
      <c r="H330" s="252" t="str">
        <f t="shared" si="441"/>
        <v xml:space="preserve"> </v>
      </c>
      <c r="I330" s="255" t="str">
        <f>VLOOKUP(A330,ScaledPrice,(IF(AND('Pricing Inputs'!$AQ$3&gt;=1,'Pricing Inputs'!$AQ$3&lt;=6),2,4)))</f>
        <v xml:space="preserve"> </v>
      </c>
      <c r="J330" s="255" t="str">
        <f>IF(A330="N/A"," ",IF(AND('Pricing Inputs'!$AQ$3&gt;=1,'Pricing Inputs'!$AQ$3&lt;=6),I330,(VLOOKUP(A330,ScaledPrice,2))*(2-(VLOOKUP(A330,ScaledPrice,3)))))</f>
        <v xml:space="preserve"> </v>
      </c>
      <c r="K330" s="255" t="str">
        <f>IF(A330="N/A"," ",IF(OR('Pricing Inputs'!$AQ$3=2,'Pricing Inputs'!$AQ$3=3,'Pricing Inputs'!$AQ$3=5,'Pricing Inputs'!$AQ$3=6,'Pricing Inputs'!$AQ$3=8,'Pricing Inputs'!$AQ$3=9),VLOOKUP(A330,ScaledPrice,IF(AND('Pricing Inputs'!$AQ$3&gt;=2,'Pricing Inputs'!$AQ$3&lt;=6),5,6)),0))</f>
        <v xml:space="preserve"> </v>
      </c>
      <c r="L330" s="255" t="str">
        <f>IF(A330="N/A"," ",IF(OR('Pricing Inputs'!$AQ$3=2,'Pricing Inputs'!$AQ$3=3,'Pricing Inputs'!$AQ$3=5,'Pricing Inputs'!$AQ$3=6,'Pricing Inputs'!$AQ$3=8,'Pricing Inputs'!$AQ$3=9),IF(AND('Pricing Inputs'!$AQ$3&gt;=2,'Pricing Inputs'!$AQ$3&lt;=6),K330,(VLOOKUP(A330,ScaledPrice,5))*(2-(VLOOKUP(A330,ScaledPrice,3)))),0))</f>
        <v xml:space="preserve"> </v>
      </c>
      <c r="M330" s="255" t="str">
        <f>IF(A330="N/A"," ",IF(OR('Pricing Inputs'!$AQ$3=3,'Pricing Inputs'!$AQ$3=6,'Pricing Inputs'!$AQ$3=9),(VLOOKUP(A330,ScaledPrice,IF(AND('Pricing Inputs'!$AQ$3&gt;=3,'Pricing Inputs'!$AQ$3&lt;=6),7,8))),0))</f>
        <v xml:space="preserve"> </v>
      </c>
      <c r="N330" s="255" t="str">
        <f>IF(A330="N/A"," ",IF(OR('Pricing Inputs'!$AQ$3=3,'Pricing Inputs'!$AQ$3=6,'Pricing Inputs'!$AQ$3=9),IF(AND('Pricing Inputs'!$AQ$3&gt;=3,'Pricing Inputs'!$AQ$3&lt;=6),M330,(VLOOKUP(A330,ScaledPrice,7))*(2-(VLOOKUP(A330,ScaledPrice,3)))),0))</f>
        <v xml:space="preserve"> </v>
      </c>
      <c r="O330" s="255" t="str">
        <f>IF(A330="N/A"," ",IF(AND('Pricing Inputs'!$AQ$3&gt;=1,'Pricing Inputs'!$AQ$3&lt;=3),VLOOKUP(A330,ScaledPrice,9),0))</f>
        <v xml:space="preserve"> </v>
      </c>
      <c r="P330" s="320" t="str">
        <f>IF($A330="N/A"," ",IF('Pricing Inputs'!$AN$8=2,(I330-H330),IF('Pricing Inputs'!$AN$3=2,IF((I330-$H330)&gt;0,I330-$H330,0),(_xll.xSPRDOPT(I330,$E330,$BU330,0,$BP330,$BS330,$BT330,($A330-Inputs!$D$1)+15,1,0)))))</f>
        <v xml:space="preserve"> </v>
      </c>
      <c r="Q330" s="320" t="str">
        <f>IF($A330="N/A"," ",IF('Pricing Inputs'!$AN$8=2,(J330-$H330),IF('Pricing Inputs'!$AN$3=2,IF((J330-$H330)&gt;0,J330-$H330,0),(_xll.xSPRDOPT(J330,$E330,$BU330,0,$BP330,$BS330,$BT330,($A330-Inputs!$D$1)+15,1,0)))))</f>
        <v xml:space="preserve"> </v>
      </c>
      <c r="R330" s="320" t="str">
        <f>IF($A330="N/A"," ",IF('Pricing Inputs'!$AN$8=2,(K330-$H330),IF('Pricing Inputs'!$AN$3=2,IF((K330-$H330)&gt;0,K330-$H330,0),(_xll.xSPRDOPT(K330,$E330,$BU330,0,$BP330,$BS330,$BT330,($A330-Inputs!$D$1)+15,1,0)))))</f>
        <v xml:space="preserve"> </v>
      </c>
      <c r="S330" s="320" t="str">
        <f>IF($A330="N/A"," ",IF('Pricing Inputs'!$AN$8=2,(L330-$H330),IF('Pricing Inputs'!$AN$3=2,IF((L330-$H330)&gt;0,L330-$H330,0),(_xll.xSPRDOPT(L330,$E330,$BU330,0,$BP330,$BS330,$BT330,($A330-Inputs!$D$1)+15,1,0)))))</f>
        <v xml:space="preserve"> </v>
      </c>
      <c r="T330" s="320" t="str">
        <f>IF($A330="N/A"," ",IF('Pricing Inputs'!$AN$8=2,(M330-$H330),IF('Pricing Inputs'!$AN$3=2,IF((M330-$H330)&gt;0,M330-$H330,0),(_xll.xSPRDOPT(M330,$E330,$BU330,0,$BP330,$BS330,$BT330,($A330-Inputs!$D$1)+15,1,0)))))</f>
        <v xml:space="preserve"> </v>
      </c>
      <c r="U330" s="320" t="str">
        <f>IF($A330="N/A"," ",IF('Pricing Inputs'!$AN$8=2,(N330-$H330),IF('Pricing Inputs'!$AN$3=2,IF((N330-$H330)&gt;0,N330-$H330,0),(_xll.xSPRDOPT(N330,$E330,$BU330,0,$BP330,$BS330,$BT330,($A330-Inputs!$D$1)+15,1,0)))))</f>
        <v xml:space="preserve"> </v>
      </c>
      <c r="V330" s="259" t="str">
        <f>IF($A330="N/A"," ",(IF('Pricing Inputs'!$AN$8=2,(O330-$H330),IF((O330-$H330)&lt;=0,0,(O330-$H330)))))</f>
        <v xml:space="preserve"> </v>
      </c>
      <c r="BA330" s="267" t="str">
        <f>IF($A330="N/A"," ",(IF(MONTH(A330)&gt;=4,IF(MONTH(A330)&lt;=10,Inputs!$F$13,Inputs!$F$14),Inputs!$F$14))*$BW330)</f>
        <v xml:space="preserve"> </v>
      </c>
      <c r="BN330" s="405" t="str">
        <f>IF(A330="N/A"," ",(VLOOKUP(A330,PowerVolTable,(IF('Pricing Inputs'!$AT$3=2,7,IF('Pricing Inputs'!$AT$3=1,6,8))),FALSE)))</f>
        <v xml:space="preserve"> </v>
      </c>
      <c r="BO330" s="405" t="str">
        <f>IF(A330="N/A"," ",(VLOOKUP(A330,IntraPowerVol,(IF('Pricing Inputs'!$AT$3=2,3,IF('Pricing Inputs'!$AT$3=1,2,4))),FALSE)*VLOOKUP(MONTH($A330),Inputs!$A$28:$B$39,2)))</f>
        <v xml:space="preserve"> </v>
      </c>
      <c r="BP330" s="406" t="str">
        <f t="shared" si="436"/>
        <v xml:space="preserve"> </v>
      </c>
      <c r="BQ330" s="405" t="str">
        <f>IF($A330="N/A"," ",(VLOOKUP($A330,GasVolTable,(IF('Pricing Inputs'!$AT$3=2,6,IF('Pricing Inputs'!$AT$3=1,7,5))),FALSE)))</f>
        <v xml:space="preserve"> </v>
      </c>
      <c r="BR330" s="405" t="str">
        <f>IF($A330="N/A"," ",(VLOOKUP($A330,OmicronVol,(IF('Pricing Inputs'!$AT$3=2,3,IF('Pricing Inputs'!$AT$3=1,4,2))),FALSE)))</f>
        <v xml:space="preserve"> </v>
      </c>
      <c r="BS330" s="406" t="str">
        <f>IF($A330="N/A"," ",IF('Pricing Inputs'!$AN$3=1,(IF(DateToday&gt;$A330,$BR330,((($BQ330^2)*((($A330-1)-DateToday)/((EOMONTH($A330,0)+1)-DateToday-15)))+((($BR330)^2)*((15)/((EOMONTH($A330,0)+1)-DateToday-15))))^0.5)),0.0001))</f>
        <v xml:space="preserve"> </v>
      </c>
      <c r="BT330" s="405" t="str">
        <f>IF($A330="N/A"," ",IF('Pricing Inputs'!$AN$3=1,(VLOOKUP($A330,CorrelationTable,2,FALSE)),0))</f>
        <v xml:space="preserve"> </v>
      </c>
      <c r="BU330" s="407" t="str">
        <f>IF($A330="N/A"," ",F330+G330+(D330*(VLOOKUP($A330,'Gas Curves'!$B$17:$P$310,14,FALSE))))</f>
        <v xml:space="preserve"> </v>
      </c>
      <c r="BV330" s="405" t="str">
        <f>IF($A330="N/A"," ",IF('Pricing Inputs'!$AW$3=1,0,(VLOOKUP($A330,InterestRatesTable,2))))</f>
        <v xml:space="preserve"> </v>
      </c>
      <c r="BW330" s="408" t="str">
        <f t="shared" si="437"/>
        <v xml:space="preserve"> </v>
      </c>
    </row>
    <row r="331" spans="1:75">
      <c r="A331" s="248" t="str">
        <f>IF(A330="N/A","N/A",IF(EDATE(A330,1)&gt;Inputs!$K$3,"N/A",EDATE(A330,1)))</f>
        <v>N/A</v>
      </c>
      <c r="B331" s="262" t="str">
        <f t="shared" si="438"/>
        <v xml:space="preserve"> </v>
      </c>
      <c r="C331" s="249" t="str">
        <f t="shared" si="439"/>
        <v xml:space="preserve"> </v>
      </c>
      <c r="D331" s="250" t="str">
        <f>IF(A331="N/A"," ",(VLOOKUP(MONTH($A331),Inputs!$A$14:$B$25,2))/1000)</f>
        <v xml:space="preserve"> </v>
      </c>
      <c r="E331" s="304" t="str">
        <f t="shared" si="440"/>
        <v xml:space="preserve"> </v>
      </c>
      <c r="F331" s="251" t="str">
        <f>IF(A331="N/A"," ",Inputs!$F$6)</f>
        <v xml:space="preserve"> </v>
      </c>
      <c r="G331" s="251" t="str">
        <f>IF(A331="N/A"," ",Inputs!$F$9/IF(AND('Pricing Inputs'!$AQ$3&gt;=4,'Pricing Inputs'!$AQ$3&lt;=6),16,IF(AND('Pricing Inputs'!$AQ$3&gt;=7,'Pricing Inputs'!$AQ$3&lt;=9),8,24))/(BA331/BW331))</f>
        <v xml:space="preserve"> </v>
      </c>
      <c r="H331" s="252" t="str">
        <f t="shared" si="441"/>
        <v xml:space="preserve"> </v>
      </c>
      <c r="I331" s="255" t="str">
        <f>VLOOKUP(A331,ScaledPrice,(IF(AND('Pricing Inputs'!$AQ$3&gt;=1,'Pricing Inputs'!$AQ$3&lt;=6),2,4)))</f>
        <v xml:space="preserve"> </v>
      </c>
      <c r="J331" s="255" t="str">
        <f>IF(A331="N/A"," ",IF(AND('Pricing Inputs'!$AQ$3&gt;=1,'Pricing Inputs'!$AQ$3&lt;=6),I331,(VLOOKUP(A331,ScaledPrice,2))*(2-(VLOOKUP(A331,ScaledPrice,3)))))</f>
        <v xml:space="preserve"> </v>
      </c>
      <c r="K331" s="255" t="str">
        <f>IF(A331="N/A"," ",IF(OR('Pricing Inputs'!$AQ$3=2,'Pricing Inputs'!$AQ$3=3,'Pricing Inputs'!$AQ$3=5,'Pricing Inputs'!$AQ$3=6,'Pricing Inputs'!$AQ$3=8,'Pricing Inputs'!$AQ$3=9),VLOOKUP(A331,ScaledPrice,IF(AND('Pricing Inputs'!$AQ$3&gt;=2,'Pricing Inputs'!$AQ$3&lt;=6),5,6)),0))</f>
        <v xml:space="preserve"> </v>
      </c>
      <c r="L331" s="255" t="str">
        <f>IF(A331="N/A"," ",IF(OR('Pricing Inputs'!$AQ$3=2,'Pricing Inputs'!$AQ$3=3,'Pricing Inputs'!$AQ$3=5,'Pricing Inputs'!$AQ$3=6,'Pricing Inputs'!$AQ$3=8,'Pricing Inputs'!$AQ$3=9),IF(AND('Pricing Inputs'!$AQ$3&gt;=2,'Pricing Inputs'!$AQ$3&lt;=6),K331,(VLOOKUP(A331,ScaledPrice,5))*(2-(VLOOKUP(A331,ScaledPrice,3)))),0))</f>
        <v xml:space="preserve"> </v>
      </c>
      <c r="M331" s="255" t="str">
        <f>IF(A331="N/A"," ",IF(OR('Pricing Inputs'!$AQ$3=3,'Pricing Inputs'!$AQ$3=6,'Pricing Inputs'!$AQ$3=9),(VLOOKUP(A331,ScaledPrice,IF(AND('Pricing Inputs'!$AQ$3&gt;=3,'Pricing Inputs'!$AQ$3&lt;=6),7,8))),0))</f>
        <v xml:space="preserve"> </v>
      </c>
      <c r="N331" s="255" t="str">
        <f>IF(A331="N/A"," ",IF(OR('Pricing Inputs'!$AQ$3=3,'Pricing Inputs'!$AQ$3=6,'Pricing Inputs'!$AQ$3=9),IF(AND('Pricing Inputs'!$AQ$3&gt;=3,'Pricing Inputs'!$AQ$3&lt;=6),M331,(VLOOKUP(A331,ScaledPrice,7))*(2-(VLOOKUP(A331,ScaledPrice,3)))),0))</f>
        <v xml:space="preserve"> </v>
      </c>
      <c r="O331" s="255" t="str">
        <f>IF(A331="N/A"," ",IF(AND('Pricing Inputs'!$AQ$3&gt;=1,'Pricing Inputs'!$AQ$3&lt;=3),VLOOKUP(A331,ScaledPrice,9),0))</f>
        <v xml:space="preserve"> </v>
      </c>
      <c r="P331" s="320" t="str">
        <f>IF($A331="N/A"," ",IF('Pricing Inputs'!$AN$8=2,(I331-H331),IF('Pricing Inputs'!$AN$3=2,IF((I331-$H331)&gt;0,I331-$H331,0),(_xll.xSPRDOPT(I331,$E331,$BU331,0,$BP331,$BS331,$BT331,($A331-Inputs!$D$1)+15,1,0)))))</f>
        <v xml:space="preserve"> </v>
      </c>
      <c r="Q331" s="320" t="str">
        <f>IF($A331="N/A"," ",IF('Pricing Inputs'!$AN$8=2,(J331-$H331),IF('Pricing Inputs'!$AN$3=2,IF((J331-$H331)&gt;0,J331-$H331,0),(_xll.xSPRDOPT(J331,$E331,$BU331,0,$BP331,$BS331,$BT331,($A331-Inputs!$D$1)+15,1,0)))))</f>
        <v xml:space="preserve"> </v>
      </c>
      <c r="R331" s="320" t="str">
        <f>IF($A331="N/A"," ",IF('Pricing Inputs'!$AN$8=2,(K331-$H331),IF('Pricing Inputs'!$AN$3=2,IF((K331-$H331)&gt;0,K331-$H331,0),(_xll.xSPRDOPT(K331,$E331,$BU331,0,$BP331,$BS331,$BT331,($A331-Inputs!$D$1)+15,1,0)))))</f>
        <v xml:space="preserve"> </v>
      </c>
      <c r="S331" s="320" t="str">
        <f>IF($A331="N/A"," ",IF('Pricing Inputs'!$AN$8=2,(L331-$H331),IF('Pricing Inputs'!$AN$3=2,IF((L331-$H331)&gt;0,L331-$H331,0),(_xll.xSPRDOPT(L331,$E331,$BU331,0,$BP331,$BS331,$BT331,($A331-Inputs!$D$1)+15,1,0)))))</f>
        <v xml:space="preserve"> </v>
      </c>
      <c r="T331" s="320" t="str">
        <f>IF($A331="N/A"," ",IF('Pricing Inputs'!$AN$8=2,(M331-$H331),IF('Pricing Inputs'!$AN$3=2,IF((M331-$H331)&gt;0,M331-$H331,0),(_xll.xSPRDOPT(M331,$E331,$BU331,0,$BP331,$BS331,$BT331,($A331-Inputs!$D$1)+15,1,0)))))</f>
        <v xml:space="preserve"> </v>
      </c>
      <c r="U331" s="320" t="str">
        <f>IF($A331="N/A"," ",IF('Pricing Inputs'!$AN$8=2,(N331-$H331),IF('Pricing Inputs'!$AN$3=2,IF((N331-$H331)&gt;0,N331-$H331,0),(_xll.xSPRDOPT(N331,$E331,$BU331,0,$BP331,$BS331,$BT331,($A331-Inputs!$D$1)+15,1,0)))))</f>
        <v xml:space="preserve"> </v>
      </c>
      <c r="V331" s="259" t="str">
        <f>IF($A331="N/A"," ",(IF('Pricing Inputs'!$AN$8=2,(O331-$H331),IF((O331-$H331)&lt;=0,0,(O331-$H331)))))</f>
        <v xml:space="preserve"> </v>
      </c>
      <c r="BA331" s="267" t="str">
        <f>IF($A331="N/A"," ",(IF(MONTH(A331)&gt;=4,IF(MONTH(A331)&lt;=10,Inputs!$F$13,Inputs!$F$14),Inputs!$F$14))*$BW331)</f>
        <v xml:space="preserve"> </v>
      </c>
      <c r="BN331" s="405" t="str">
        <f>IF(A331="N/A"," ",(VLOOKUP(A331,PowerVolTable,(IF('Pricing Inputs'!$AT$3=2,7,IF('Pricing Inputs'!$AT$3=1,6,8))),FALSE)))</f>
        <v xml:space="preserve"> </v>
      </c>
      <c r="BO331" s="405" t="str">
        <f>IF(A331="N/A"," ",(VLOOKUP(A331,IntraPowerVol,(IF('Pricing Inputs'!$AT$3=2,3,IF('Pricing Inputs'!$AT$3=1,2,4))),FALSE)*VLOOKUP(MONTH($A331),Inputs!$A$28:$B$39,2)))</f>
        <v xml:space="preserve"> </v>
      </c>
      <c r="BP331" s="406" t="str">
        <f t="shared" si="436"/>
        <v xml:space="preserve"> </v>
      </c>
      <c r="BQ331" s="405" t="str">
        <f>IF($A331="N/A"," ",(VLOOKUP($A331,GasVolTable,(IF('Pricing Inputs'!$AT$3=2,6,IF('Pricing Inputs'!$AT$3=1,7,5))),FALSE)))</f>
        <v xml:space="preserve"> </v>
      </c>
      <c r="BR331" s="405" t="str">
        <f>IF($A331="N/A"," ",(VLOOKUP($A331,OmicronVol,(IF('Pricing Inputs'!$AT$3=2,3,IF('Pricing Inputs'!$AT$3=1,4,2))),FALSE)))</f>
        <v xml:space="preserve"> </v>
      </c>
      <c r="BS331" s="406" t="str">
        <f>IF($A331="N/A"," ",IF('Pricing Inputs'!$AN$3=1,(IF(DateToday&gt;$A331,$BR331,((($BQ331^2)*((($A331-1)-DateToday)/((EOMONTH($A331,0)+1)-DateToday-15)))+((($BR331)^2)*((15)/((EOMONTH($A331,0)+1)-DateToday-15))))^0.5)),0.0001))</f>
        <v xml:space="preserve"> </v>
      </c>
      <c r="BT331" s="405" t="str">
        <f>IF($A331="N/A"," ",IF('Pricing Inputs'!$AN$3=1,(VLOOKUP($A331,CorrelationTable,2,FALSE)),0))</f>
        <v xml:space="preserve"> </v>
      </c>
      <c r="BU331" s="407" t="str">
        <f>IF($A331="N/A"," ",F331+G331+(D331*(VLOOKUP($A331,'Gas Curves'!$B$17:$P$310,14,FALSE))))</f>
        <v xml:space="preserve"> </v>
      </c>
      <c r="BV331" s="405" t="str">
        <f>IF($A331="N/A"," ",IF('Pricing Inputs'!$AW$3=1,0,(VLOOKUP($A331,InterestRatesTable,2))))</f>
        <v xml:space="preserve"> </v>
      </c>
      <c r="BW331" s="408" t="str">
        <f t="shared" si="437"/>
        <v xml:space="preserve"> </v>
      </c>
    </row>
    <row r="332" spans="1:75">
      <c r="A332" s="248" t="str">
        <f>IF(A331="N/A","N/A",IF(EDATE(A331,1)&gt;Inputs!$K$3,"N/A",EDATE(A331,1)))</f>
        <v>N/A</v>
      </c>
      <c r="B332" s="262" t="str">
        <f t="shared" si="438"/>
        <v xml:space="preserve"> </v>
      </c>
      <c r="C332" s="249" t="str">
        <f t="shared" si="439"/>
        <v xml:space="preserve"> </v>
      </c>
      <c r="D332" s="250" t="str">
        <f>IF(A332="N/A"," ",(VLOOKUP(MONTH($A332),Inputs!$A$14:$B$25,2))/1000)</f>
        <v xml:space="preserve"> </v>
      </c>
      <c r="E332" s="304" t="str">
        <f t="shared" si="440"/>
        <v xml:space="preserve"> </v>
      </c>
      <c r="F332" s="251" t="str">
        <f>IF(A332="N/A"," ",Inputs!$F$6)</f>
        <v xml:space="preserve"> </v>
      </c>
      <c r="G332" s="251" t="str">
        <f>IF(A332="N/A"," ",Inputs!$F$9/IF(AND('Pricing Inputs'!$AQ$3&gt;=4,'Pricing Inputs'!$AQ$3&lt;=6),16,IF(AND('Pricing Inputs'!$AQ$3&gt;=7,'Pricing Inputs'!$AQ$3&lt;=9),8,24))/(BA332/BW332))</f>
        <v xml:space="preserve"> </v>
      </c>
      <c r="H332" s="252" t="str">
        <f t="shared" si="441"/>
        <v xml:space="preserve"> </v>
      </c>
      <c r="I332" s="255" t="str">
        <f>VLOOKUP(A332,ScaledPrice,(IF(AND('Pricing Inputs'!$AQ$3&gt;=1,'Pricing Inputs'!$AQ$3&lt;=6),2,4)))</f>
        <v xml:space="preserve"> </v>
      </c>
      <c r="J332" s="255" t="str">
        <f>IF(A332="N/A"," ",IF(AND('Pricing Inputs'!$AQ$3&gt;=1,'Pricing Inputs'!$AQ$3&lt;=6),I332,(VLOOKUP(A332,ScaledPrice,2))*(2-(VLOOKUP(A332,ScaledPrice,3)))))</f>
        <v xml:space="preserve"> </v>
      </c>
      <c r="K332" s="255" t="str">
        <f>IF(A332="N/A"," ",IF(OR('Pricing Inputs'!$AQ$3=2,'Pricing Inputs'!$AQ$3=3,'Pricing Inputs'!$AQ$3=5,'Pricing Inputs'!$AQ$3=6,'Pricing Inputs'!$AQ$3=8,'Pricing Inputs'!$AQ$3=9),VLOOKUP(A332,ScaledPrice,IF(AND('Pricing Inputs'!$AQ$3&gt;=2,'Pricing Inputs'!$AQ$3&lt;=6),5,6)),0))</f>
        <v xml:space="preserve"> </v>
      </c>
      <c r="L332" s="255" t="str">
        <f>IF(A332="N/A"," ",IF(OR('Pricing Inputs'!$AQ$3=2,'Pricing Inputs'!$AQ$3=3,'Pricing Inputs'!$AQ$3=5,'Pricing Inputs'!$AQ$3=6,'Pricing Inputs'!$AQ$3=8,'Pricing Inputs'!$AQ$3=9),IF(AND('Pricing Inputs'!$AQ$3&gt;=2,'Pricing Inputs'!$AQ$3&lt;=6),K332,(VLOOKUP(A332,ScaledPrice,5))*(2-(VLOOKUP(A332,ScaledPrice,3)))),0))</f>
        <v xml:space="preserve"> </v>
      </c>
      <c r="M332" s="255" t="str">
        <f>IF(A332="N/A"," ",IF(OR('Pricing Inputs'!$AQ$3=3,'Pricing Inputs'!$AQ$3=6,'Pricing Inputs'!$AQ$3=9),(VLOOKUP(A332,ScaledPrice,IF(AND('Pricing Inputs'!$AQ$3&gt;=3,'Pricing Inputs'!$AQ$3&lt;=6),7,8))),0))</f>
        <v xml:space="preserve"> </v>
      </c>
      <c r="N332" s="255" t="str">
        <f>IF(A332="N/A"," ",IF(OR('Pricing Inputs'!$AQ$3=3,'Pricing Inputs'!$AQ$3=6,'Pricing Inputs'!$AQ$3=9),IF(AND('Pricing Inputs'!$AQ$3&gt;=3,'Pricing Inputs'!$AQ$3&lt;=6),M332,(VLOOKUP(A332,ScaledPrice,7))*(2-(VLOOKUP(A332,ScaledPrice,3)))),0))</f>
        <v xml:space="preserve"> </v>
      </c>
      <c r="O332" s="255" t="str">
        <f>IF(A332="N/A"," ",IF(AND('Pricing Inputs'!$AQ$3&gt;=1,'Pricing Inputs'!$AQ$3&lt;=3),VLOOKUP(A332,ScaledPrice,9),0))</f>
        <v xml:space="preserve"> </v>
      </c>
      <c r="P332" s="320" t="str">
        <f>IF($A332="N/A"," ",IF('Pricing Inputs'!$AN$8=2,(I332-H332),IF('Pricing Inputs'!$AN$3=2,IF((I332-$H332)&gt;0,I332-$H332,0),(_xll.xSPRDOPT(I332,$E332,$BU332,0,$BP332,$BS332,$BT332,($A332-Inputs!$D$1)+15,1,0)))))</f>
        <v xml:space="preserve"> </v>
      </c>
      <c r="Q332" s="320" t="str">
        <f>IF($A332="N/A"," ",IF('Pricing Inputs'!$AN$8=2,(J332-$H332),IF('Pricing Inputs'!$AN$3=2,IF((J332-$H332)&gt;0,J332-$H332,0),(_xll.xSPRDOPT(J332,$E332,$BU332,0,$BP332,$BS332,$BT332,($A332-Inputs!$D$1)+15,1,0)))))</f>
        <v xml:space="preserve"> </v>
      </c>
      <c r="R332" s="320" t="str">
        <f>IF($A332="N/A"," ",IF('Pricing Inputs'!$AN$8=2,(K332-$H332),IF('Pricing Inputs'!$AN$3=2,IF((K332-$H332)&gt;0,K332-$H332,0),(_xll.xSPRDOPT(K332,$E332,$BU332,0,$BP332,$BS332,$BT332,($A332-Inputs!$D$1)+15,1,0)))))</f>
        <v xml:space="preserve"> </v>
      </c>
      <c r="S332" s="320" t="str">
        <f>IF($A332="N/A"," ",IF('Pricing Inputs'!$AN$8=2,(L332-$H332),IF('Pricing Inputs'!$AN$3=2,IF((L332-$H332)&gt;0,L332-$H332,0),(_xll.xSPRDOPT(L332,$E332,$BU332,0,$BP332,$BS332,$BT332,($A332-Inputs!$D$1)+15,1,0)))))</f>
        <v xml:space="preserve"> </v>
      </c>
      <c r="T332" s="320" t="str">
        <f>IF($A332="N/A"," ",IF('Pricing Inputs'!$AN$8=2,(M332-$H332),IF('Pricing Inputs'!$AN$3=2,IF((M332-$H332)&gt;0,M332-$H332,0),(_xll.xSPRDOPT(M332,$E332,$BU332,0,$BP332,$BS332,$BT332,($A332-Inputs!$D$1)+15,1,0)))))</f>
        <v xml:space="preserve"> </v>
      </c>
      <c r="U332" s="320" t="str">
        <f>IF($A332="N/A"," ",IF('Pricing Inputs'!$AN$8=2,(N332-$H332),IF('Pricing Inputs'!$AN$3=2,IF((N332-$H332)&gt;0,N332-$H332,0),(_xll.xSPRDOPT(N332,$E332,$BU332,0,$BP332,$BS332,$BT332,($A332-Inputs!$D$1)+15,1,0)))))</f>
        <v xml:space="preserve"> </v>
      </c>
      <c r="V332" s="259" t="str">
        <f>IF($A332="N/A"," ",(IF('Pricing Inputs'!$AN$8=2,(O332-$H332),IF((O332-$H332)&lt;=0,0,(O332-$H332)))))</f>
        <v xml:space="preserve"> </v>
      </c>
      <c r="BA332" s="267" t="str">
        <f>IF($A332="N/A"," ",(IF(MONTH(A332)&gt;=4,IF(MONTH(A332)&lt;=10,Inputs!$F$13,Inputs!$F$14),Inputs!$F$14))*$BW332)</f>
        <v xml:space="preserve"> </v>
      </c>
      <c r="BN332" s="405" t="str">
        <f>IF(A332="N/A"," ",(VLOOKUP(A332,PowerVolTable,(IF('Pricing Inputs'!$AT$3=2,7,IF('Pricing Inputs'!$AT$3=1,6,8))),FALSE)))</f>
        <v xml:space="preserve"> </v>
      </c>
      <c r="BO332" s="405" t="str">
        <f>IF(A332="N/A"," ",(VLOOKUP(A332,IntraPowerVol,(IF('Pricing Inputs'!$AT$3=2,3,IF('Pricing Inputs'!$AT$3=1,2,4))),FALSE)*VLOOKUP(MONTH($A332),Inputs!$A$28:$B$39,2)))</f>
        <v xml:space="preserve"> </v>
      </c>
      <c r="BP332" s="406" t="str">
        <f t="shared" si="436"/>
        <v xml:space="preserve"> </v>
      </c>
      <c r="BQ332" s="405" t="str">
        <f>IF($A332="N/A"," ",(VLOOKUP($A332,GasVolTable,(IF('Pricing Inputs'!$AT$3=2,6,IF('Pricing Inputs'!$AT$3=1,7,5))),FALSE)))</f>
        <v xml:space="preserve"> </v>
      </c>
      <c r="BR332" s="405" t="str">
        <f>IF($A332="N/A"," ",(VLOOKUP($A332,OmicronVol,(IF('Pricing Inputs'!$AT$3=2,3,IF('Pricing Inputs'!$AT$3=1,4,2))),FALSE)))</f>
        <v xml:space="preserve"> </v>
      </c>
      <c r="BS332" s="406" t="str">
        <f>IF($A332="N/A"," ",IF('Pricing Inputs'!$AN$3=1,(IF(DateToday&gt;$A332,$BR332,((($BQ332^2)*((($A332-1)-DateToday)/((EOMONTH($A332,0)+1)-DateToday-15)))+((($BR332)^2)*((15)/((EOMONTH($A332,0)+1)-DateToday-15))))^0.5)),0.0001))</f>
        <v xml:space="preserve"> </v>
      </c>
      <c r="BT332" s="405" t="str">
        <f>IF($A332="N/A"," ",IF('Pricing Inputs'!$AN$3=1,(VLOOKUP($A332,CorrelationTable,2,FALSE)),0))</f>
        <v xml:space="preserve"> </v>
      </c>
      <c r="BU332" s="407" t="str">
        <f>IF($A332="N/A"," ",F332+G332+(D332*(VLOOKUP($A332,'Gas Curves'!$B$17:$P$310,14,FALSE))))</f>
        <v xml:space="preserve"> </v>
      </c>
      <c r="BV332" s="405" t="str">
        <f>IF($A332="N/A"," ",IF('Pricing Inputs'!$AW$3=1,0,(VLOOKUP($A332,InterestRatesTable,2))))</f>
        <v xml:space="preserve"> </v>
      </c>
      <c r="BW332" s="408" t="str">
        <f t="shared" si="437"/>
        <v xml:space="preserve"> </v>
      </c>
    </row>
    <row r="333" spans="1:75">
      <c r="A333" s="248" t="str">
        <f>IF(A332="N/A","N/A",IF(EDATE(A332,1)&gt;Inputs!$K$3,"N/A",EDATE(A332,1)))</f>
        <v>N/A</v>
      </c>
      <c r="B333" s="262" t="str">
        <f t="shared" si="438"/>
        <v xml:space="preserve"> </v>
      </c>
      <c r="C333" s="249" t="str">
        <f t="shared" si="439"/>
        <v xml:space="preserve"> </v>
      </c>
      <c r="D333" s="250" t="str">
        <f>IF(A333="N/A"," ",(VLOOKUP(MONTH($A333),Inputs!$A$14:$B$25,2))/1000)</f>
        <v xml:space="preserve"> </v>
      </c>
      <c r="E333" s="304" t="str">
        <f t="shared" si="440"/>
        <v xml:space="preserve"> </v>
      </c>
      <c r="F333" s="251" t="str">
        <f>IF(A333="N/A"," ",Inputs!$F$6)</f>
        <v xml:space="preserve"> </v>
      </c>
      <c r="G333" s="251" t="str">
        <f>IF(A333="N/A"," ",Inputs!$F$9/IF(AND('Pricing Inputs'!$AQ$3&gt;=4,'Pricing Inputs'!$AQ$3&lt;=6),16,IF(AND('Pricing Inputs'!$AQ$3&gt;=7,'Pricing Inputs'!$AQ$3&lt;=9),8,24))/(BA333/BW333))</f>
        <v xml:space="preserve"> </v>
      </c>
      <c r="H333" s="252" t="str">
        <f t="shared" si="441"/>
        <v xml:space="preserve"> </v>
      </c>
      <c r="I333" s="255" t="str">
        <f>VLOOKUP(A333,ScaledPrice,(IF(AND('Pricing Inputs'!$AQ$3&gt;=1,'Pricing Inputs'!$AQ$3&lt;=6),2,4)))</f>
        <v xml:space="preserve"> </v>
      </c>
      <c r="J333" s="255" t="str">
        <f>IF(A333="N/A"," ",IF(AND('Pricing Inputs'!$AQ$3&gt;=1,'Pricing Inputs'!$AQ$3&lt;=6),I333,(VLOOKUP(A333,ScaledPrice,2))*(2-(VLOOKUP(A333,ScaledPrice,3)))))</f>
        <v xml:space="preserve"> </v>
      </c>
      <c r="K333" s="255" t="str">
        <f>IF(A333="N/A"," ",IF(OR('Pricing Inputs'!$AQ$3=2,'Pricing Inputs'!$AQ$3=3,'Pricing Inputs'!$AQ$3=5,'Pricing Inputs'!$AQ$3=6,'Pricing Inputs'!$AQ$3=8,'Pricing Inputs'!$AQ$3=9),VLOOKUP(A333,ScaledPrice,IF(AND('Pricing Inputs'!$AQ$3&gt;=2,'Pricing Inputs'!$AQ$3&lt;=6),5,6)),0))</f>
        <v xml:space="preserve"> </v>
      </c>
      <c r="L333" s="255" t="str">
        <f>IF(A333="N/A"," ",IF(OR('Pricing Inputs'!$AQ$3=2,'Pricing Inputs'!$AQ$3=3,'Pricing Inputs'!$AQ$3=5,'Pricing Inputs'!$AQ$3=6,'Pricing Inputs'!$AQ$3=8,'Pricing Inputs'!$AQ$3=9),IF(AND('Pricing Inputs'!$AQ$3&gt;=2,'Pricing Inputs'!$AQ$3&lt;=6),K333,(VLOOKUP(A333,ScaledPrice,5))*(2-(VLOOKUP(A333,ScaledPrice,3)))),0))</f>
        <v xml:space="preserve"> </v>
      </c>
      <c r="M333" s="255" t="str">
        <f>IF(A333="N/A"," ",IF(OR('Pricing Inputs'!$AQ$3=3,'Pricing Inputs'!$AQ$3=6,'Pricing Inputs'!$AQ$3=9),(VLOOKUP(A333,ScaledPrice,IF(AND('Pricing Inputs'!$AQ$3&gt;=3,'Pricing Inputs'!$AQ$3&lt;=6),7,8))),0))</f>
        <v xml:space="preserve"> </v>
      </c>
      <c r="N333" s="255" t="str">
        <f>IF(A333="N/A"," ",IF(OR('Pricing Inputs'!$AQ$3=3,'Pricing Inputs'!$AQ$3=6,'Pricing Inputs'!$AQ$3=9),IF(AND('Pricing Inputs'!$AQ$3&gt;=3,'Pricing Inputs'!$AQ$3&lt;=6),M333,(VLOOKUP(A333,ScaledPrice,7))*(2-(VLOOKUP(A333,ScaledPrice,3)))),0))</f>
        <v xml:space="preserve"> </v>
      </c>
      <c r="O333" s="255" t="str">
        <f>IF(A333="N/A"," ",IF(AND('Pricing Inputs'!$AQ$3&gt;=1,'Pricing Inputs'!$AQ$3&lt;=3),VLOOKUP(A333,ScaledPrice,9),0))</f>
        <v xml:space="preserve"> </v>
      </c>
      <c r="P333" s="320" t="str">
        <f>IF($A333="N/A"," ",IF('Pricing Inputs'!$AN$8=2,(I333-H333),IF('Pricing Inputs'!$AN$3=2,IF((I333-$H333)&gt;0,I333-$H333,0),(_xll.xSPRDOPT(I333,$E333,$BU333,0,$BP333,$BS333,$BT333,($A333-Inputs!$D$1)+15,1,0)))))</f>
        <v xml:space="preserve"> </v>
      </c>
      <c r="Q333" s="320" t="str">
        <f>IF($A333="N/A"," ",IF('Pricing Inputs'!$AN$8=2,(J333-$H333),IF('Pricing Inputs'!$AN$3=2,IF((J333-$H333)&gt;0,J333-$H333,0),(_xll.xSPRDOPT(J333,$E333,$BU333,0,$BP333,$BS333,$BT333,($A333-Inputs!$D$1)+15,1,0)))))</f>
        <v xml:space="preserve"> </v>
      </c>
      <c r="R333" s="320" t="str">
        <f>IF($A333="N/A"," ",IF('Pricing Inputs'!$AN$8=2,(K333-$H333),IF('Pricing Inputs'!$AN$3=2,IF((K333-$H333)&gt;0,K333-$H333,0),(_xll.xSPRDOPT(K333,$E333,$BU333,0,$BP333,$BS333,$BT333,($A333-Inputs!$D$1)+15,1,0)))))</f>
        <v xml:space="preserve"> </v>
      </c>
      <c r="S333" s="320" t="str">
        <f>IF($A333="N/A"," ",IF('Pricing Inputs'!$AN$8=2,(L333-$H333),IF('Pricing Inputs'!$AN$3=2,IF((L333-$H333)&gt;0,L333-$H333,0),(_xll.xSPRDOPT(L333,$E333,$BU333,0,$BP333,$BS333,$BT333,($A333-Inputs!$D$1)+15,1,0)))))</f>
        <v xml:space="preserve"> </v>
      </c>
      <c r="T333" s="320" t="str">
        <f>IF($A333="N/A"," ",IF('Pricing Inputs'!$AN$8=2,(M333-$H333),IF('Pricing Inputs'!$AN$3=2,IF((M333-$H333)&gt;0,M333-$H333,0),(_xll.xSPRDOPT(M333,$E333,$BU333,0,$BP333,$BS333,$BT333,($A333-Inputs!$D$1)+15,1,0)))))</f>
        <v xml:space="preserve"> </v>
      </c>
      <c r="U333" s="320" t="str">
        <f>IF($A333="N/A"," ",IF('Pricing Inputs'!$AN$8=2,(N333-$H333),IF('Pricing Inputs'!$AN$3=2,IF((N333-$H333)&gt;0,N333-$H333,0),(_xll.xSPRDOPT(N333,$E333,$BU333,0,$BP333,$BS333,$BT333,($A333-Inputs!$D$1)+15,1,0)))))</f>
        <v xml:space="preserve"> </v>
      </c>
      <c r="V333" s="259" t="str">
        <f>IF($A333="N/A"," ",(IF('Pricing Inputs'!$AN$8=2,(O333-$H333),IF((O333-$H333)&lt;=0,0,(O333-$H333)))))</f>
        <v xml:space="preserve"> </v>
      </c>
      <c r="BA333" s="267" t="str">
        <f>IF($A333="N/A"," ",(IF(MONTH(A333)&gt;=4,IF(MONTH(A333)&lt;=10,Inputs!$F$13,Inputs!$F$14),Inputs!$F$14))*$BW333)</f>
        <v xml:space="preserve"> </v>
      </c>
      <c r="BN333" s="405" t="str">
        <f>IF(A333="N/A"," ",(VLOOKUP(A333,PowerVolTable,(IF('Pricing Inputs'!$AT$3=2,7,IF('Pricing Inputs'!$AT$3=1,6,8))),FALSE)))</f>
        <v xml:space="preserve"> </v>
      </c>
      <c r="BO333" s="405" t="str">
        <f>IF(A333="N/A"," ",(VLOOKUP(A333,IntraPowerVol,(IF('Pricing Inputs'!$AT$3=2,3,IF('Pricing Inputs'!$AT$3=1,2,4))),FALSE)*VLOOKUP(MONTH($A333),Inputs!$A$28:$B$39,2)))</f>
        <v xml:space="preserve"> </v>
      </c>
      <c r="BP333" s="406" t="str">
        <f t="shared" si="436"/>
        <v xml:space="preserve"> </v>
      </c>
      <c r="BQ333" s="405" t="str">
        <f>IF($A333="N/A"," ",(VLOOKUP($A333,GasVolTable,(IF('Pricing Inputs'!$AT$3=2,6,IF('Pricing Inputs'!$AT$3=1,7,5))),FALSE)))</f>
        <v xml:space="preserve"> </v>
      </c>
      <c r="BR333" s="405" t="str">
        <f>IF($A333="N/A"," ",(VLOOKUP($A333,OmicronVol,(IF('Pricing Inputs'!$AT$3=2,3,IF('Pricing Inputs'!$AT$3=1,4,2))),FALSE)))</f>
        <v xml:space="preserve"> </v>
      </c>
      <c r="BS333" s="406" t="str">
        <f>IF($A333="N/A"," ",IF('Pricing Inputs'!$AN$3=1,(IF(DateToday&gt;$A333,$BR333,((($BQ333^2)*((($A333-1)-DateToday)/((EOMONTH($A333,0)+1)-DateToday-15)))+((($BR333)^2)*((15)/((EOMONTH($A333,0)+1)-DateToday-15))))^0.5)),0.0001))</f>
        <v xml:space="preserve"> </v>
      </c>
      <c r="BT333" s="405" t="str">
        <f>IF($A333="N/A"," ",IF('Pricing Inputs'!$AN$3=1,(VLOOKUP($A333,CorrelationTable,2,FALSE)),0))</f>
        <v xml:space="preserve"> </v>
      </c>
      <c r="BU333" s="407" t="str">
        <f>IF($A333="N/A"," ",F333+G333+(D333*(VLOOKUP($A333,'Gas Curves'!$B$17:$P$310,14,FALSE))))</f>
        <v xml:space="preserve"> </v>
      </c>
      <c r="BV333" s="405" t="str">
        <f>IF($A333="N/A"," ",IF('Pricing Inputs'!$AW$3=1,0,(VLOOKUP($A333,InterestRatesTable,2))))</f>
        <v xml:space="preserve"> </v>
      </c>
      <c r="BW333" s="408" t="str">
        <f t="shared" si="437"/>
        <v xml:space="preserve"> </v>
      </c>
    </row>
    <row r="334" spans="1:75">
      <c r="A334" s="248" t="str">
        <f>IF(A333="N/A","N/A",IF(EDATE(A333,1)&gt;Inputs!$K$3,"N/A",EDATE(A333,1)))</f>
        <v>N/A</v>
      </c>
      <c r="B334" s="262" t="str">
        <f t="shared" si="438"/>
        <v xml:space="preserve"> </v>
      </c>
      <c r="C334" s="249" t="str">
        <f t="shared" si="439"/>
        <v xml:space="preserve"> </v>
      </c>
      <c r="D334" s="250" t="str">
        <f>IF(A334="N/A"," ",(VLOOKUP(MONTH($A334),Inputs!$A$14:$B$25,2))/1000)</f>
        <v xml:space="preserve"> </v>
      </c>
      <c r="E334" s="304" t="str">
        <f t="shared" si="440"/>
        <v xml:space="preserve"> </v>
      </c>
      <c r="F334" s="251" t="str">
        <f>IF(A334="N/A"," ",Inputs!$F$6)</f>
        <v xml:space="preserve"> </v>
      </c>
      <c r="G334" s="251" t="str">
        <f>IF(A334="N/A"," ",Inputs!$F$9/IF(AND('Pricing Inputs'!$AQ$3&gt;=4,'Pricing Inputs'!$AQ$3&lt;=6),16,IF(AND('Pricing Inputs'!$AQ$3&gt;=7,'Pricing Inputs'!$AQ$3&lt;=9),8,24))/(BA334/BW334))</f>
        <v xml:space="preserve"> </v>
      </c>
      <c r="H334" s="252" t="str">
        <f t="shared" si="441"/>
        <v xml:space="preserve"> </v>
      </c>
      <c r="I334" s="255" t="str">
        <f>VLOOKUP(A334,ScaledPrice,(IF(AND('Pricing Inputs'!$AQ$3&gt;=1,'Pricing Inputs'!$AQ$3&lt;=6),2,4)))</f>
        <v xml:space="preserve"> </v>
      </c>
      <c r="J334" s="255" t="str">
        <f>IF(A334="N/A"," ",IF(AND('Pricing Inputs'!$AQ$3&gt;=1,'Pricing Inputs'!$AQ$3&lt;=6),I334,(VLOOKUP(A334,ScaledPrice,2))*(2-(VLOOKUP(A334,ScaledPrice,3)))))</f>
        <v xml:space="preserve"> </v>
      </c>
      <c r="K334" s="255" t="str">
        <f>IF(A334="N/A"," ",IF(OR('Pricing Inputs'!$AQ$3=2,'Pricing Inputs'!$AQ$3=3,'Pricing Inputs'!$AQ$3=5,'Pricing Inputs'!$AQ$3=6,'Pricing Inputs'!$AQ$3=8,'Pricing Inputs'!$AQ$3=9),VLOOKUP(A334,ScaledPrice,IF(AND('Pricing Inputs'!$AQ$3&gt;=2,'Pricing Inputs'!$AQ$3&lt;=6),5,6)),0))</f>
        <v xml:space="preserve"> </v>
      </c>
      <c r="L334" s="255" t="str">
        <f>IF(A334="N/A"," ",IF(OR('Pricing Inputs'!$AQ$3=2,'Pricing Inputs'!$AQ$3=3,'Pricing Inputs'!$AQ$3=5,'Pricing Inputs'!$AQ$3=6,'Pricing Inputs'!$AQ$3=8,'Pricing Inputs'!$AQ$3=9),IF(AND('Pricing Inputs'!$AQ$3&gt;=2,'Pricing Inputs'!$AQ$3&lt;=6),K334,(VLOOKUP(A334,ScaledPrice,5))*(2-(VLOOKUP(A334,ScaledPrice,3)))),0))</f>
        <v xml:space="preserve"> </v>
      </c>
      <c r="M334" s="255" t="str">
        <f>IF(A334="N/A"," ",IF(OR('Pricing Inputs'!$AQ$3=3,'Pricing Inputs'!$AQ$3=6,'Pricing Inputs'!$AQ$3=9),(VLOOKUP(A334,ScaledPrice,IF(AND('Pricing Inputs'!$AQ$3&gt;=3,'Pricing Inputs'!$AQ$3&lt;=6),7,8))),0))</f>
        <v xml:space="preserve"> </v>
      </c>
      <c r="N334" s="255" t="str">
        <f>IF(A334="N/A"," ",IF(OR('Pricing Inputs'!$AQ$3=3,'Pricing Inputs'!$AQ$3=6,'Pricing Inputs'!$AQ$3=9),IF(AND('Pricing Inputs'!$AQ$3&gt;=3,'Pricing Inputs'!$AQ$3&lt;=6),M334,(VLOOKUP(A334,ScaledPrice,7))*(2-(VLOOKUP(A334,ScaledPrice,3)))),0))</f>
        <v xml:space="preserve"> </v>
      </c>
      <c r="O334" s="255" t="str">
        <f>IF(A334="N/A"," ",IF(AND('Pricing Inputs'!$AQ$3&gt;=1,'Pricing Inputs'!$AQ$3&lt;=3),VLOOKUP(A334,ScaledPrice,9),0))</f>
        <v xml:space="preserve"> </v>
      </c>
      <c r="P334" s="320" t="str">
        <f>IF($A334="N/A"," ",IF('Pricing Inputs'!$AN$8=2,(I334-H334),IF('Pricing Inputs'!$AN$3=2,IF((I334-$H334)&gt;0,I334-$H334,0),(_xll.xSPRDOPT(I334,$E334,$BU334,0,$BP334,$BS334,$BT334,($A334-Inputs!$D$1)+15,1,0)))))</f>
        <v xml:space="preserve"> </v>
      </c>
      <c r="Q334" s="320" t="str">
        <f>IF($A334="N/A"," ",IF('Pricing Inputs'!$AN$8=2,(J334-$H334),IF('Pricing Inputs'!$AN$3=2,IF((J334-$H334)&gt;0,J334-$H334,0),(_xll.xSPRDOPT(J334,$E334,$BU334,0,$BP334,$BS334,$BT334,($A334-Inputs!$D$1)+15,1,0)))))</f>
        <v xml:space="preserve"> </v>
      </c>
      <c r="R334" s="320" t="str">
        <f>IF($A334="N/A"," ",IF('Pricing Inputs'!$AN$8=2,(K334-$H334),IF('Pricing Inputs'!$AN$3=2,IF((K334-$H334)&gt;0,K334-$H334,0),(_xll.xSPRDOPT(K334,$E334,$BU334,0,$BP334,$BS334,$BT334,($A334-Inputs!$D$1)+15,1,0)))))</f>
        <v xml:space="preserve"> </v>
      </c>
      <c r="S334" s="320" t="str">
        <f>IF($A334="N/A"," ",IF('Pricing Inputs'!$AN$8=2,(L334-$H334),IF('Pricing Inputs'!$AN$3=2,IF((L334-$H334)&gt;0,L334-$H334,0),(_xll.xSPRDOPT(L334,$E334,$BU334,0,$BP334,$BS334,$BT334,($A334-Inputs!$D$1)+15,1,0)))))</f>
        <v xml:space="preserve"> </v>
      </c>
      <c r="T334" s="320" t="str">
        <f>IF($A334="N/A"," ",IF('Pricing Inputs'!$AN$8=2,(M334-$H334),IF('Pricing Inputs'!$AN$3=2,IF((M334-$H334)&gt;0,M334-$H334,0),(_xll.xSPRDOPT(M334,$E334,$BU334,0,$BP334,$BS334,$BT334,($A334-Inputs!$D$1)+15,1,0)))))</f>
        <v xml:space="preserve"> </v>
      </c>
      <c r="U334" s="320" t="str">
        <f>IF($A334="N/A"," ",IF('Pricing Inputs'!$AN$8=2,(N334-$H334),IF('Pricing Inputs'!$AN$3=2,IF((N334-$H334)&gt;0,N334-$H334,0),(_xll.xSPRDOPT(N334,$E334,$BU334,0,$BP334,$BS334,$BT334,($A334-Inputs!$D$1)+15,1,0)))))</f>
        <v xml:space="preserve"> </v>
      </c>
      <c r="V334" s="259" t="str">
        <f>IF($A334="N/A"," ",(IF('Pricing Inputs'!$AN$8=2,(O334-$H334),IF((O334-$H334)&lt;=0,0,(O334-$H334)))))</f>
        <v xml:space="preserve"> </v>
      </c>
      <c r="BA334" s="267" t="str">
        <f>IF($A334="N/A"," ",(IF(MONTH(A334)&gt;=4,IF(MONTH(A334)&lt;=10,Inputs!$F$13,Inputs!$F$14),Inputs!$F$14))*$BW334)</f>
        <v xml:space="preserve"> </v>
      </c>
      <c r="BN334" s="405" t="str">
        <f>IF(A334="N/A"," ",(VLOOKUP(A334,PowerVolTable,(IF('Pricing Inputs'!$AT$3=2,7,IF('Pricing Inputs'!$AT$3=1,6,8))),FALSE)))</f>
        <v xml:space="preserve"> </v>
      </c>
      <c r="BO334" s="405" t="str">
        <f>IF(A334="N/A"," ",(VLOOKUP(A334,IntraPowerVol,(IF('Pricing Inputs'!$AT$3=2,3,IF('Pricing Inputs'!$AT$3=1,2,4))),FALSE)*VLOOKUP(MONTH($A334),Inputs!$A$28:$B$39,2)))</f>
        <v xml:space="preserve"> </v>
      </c>
      <c r="BP334" s="406" t="str">
        <f t="shared" si="436"/>
        <v xml:space="preserve"> </v>
      </c>
      <c r="BQ334" s="405" t="str">
        <f>IF($A334="N/A"," ",(VLOOKUP($A334,GasVolTable,(IF('Pricing Inputs'!$AT$3=2,6,IF('Pricing Inputs'!$AT$3=1,7,5))),FALSE)))</f>
        <v xml:space="preserve"> </v>
      </c>
      <c r="BR334" s="405" t="str">
        <f>IF($A334="N/A"," ",(VLOOKUP($A334,OmicronVol,(IF('Pricing Inputs'!$AT$3=2,3,IF('Pricing Inputs'!$AT$3=1,4,2))),FALSE)))</f>
        <v xml:space="preserve"> </v>
      </c>
      <c r="BS334" s="406" t="str">
        <f>IF($A334="N/A"," ",IF('Pricing Inputs'!$AN$3=1,(IF(DateToday&gt;$A334,$BR334,((($BQ334^2)*((($A334-1)-DateToday)/((EOMONTH($A334,0)+1)-DateToday-15)))+((($BR334)^2)*((15)/((EOMONTH($A334,0)+1)-DateToday-15))))^0.5)),0.0001))</f>
        <v xml:space="preserve"> </v>
      </c>
      <c r="BT334" s="405" t="str">
        <f>IF($A334="N/A"," ",IF('Pricing Inputs'!$AN$3=1,(VLOOKUP($A334,CorrelationTable,2,FALSE)),0))</f>
        <v xml:space="preserve"> </v>
      </c>
      <c r="BU334" s="407" t="str">
        <f>IF($A334="N/A"," ",F334+G334+(D334*(VLOOKUP($A334,'Gas Curves'!$B$17:$P$310,14,FALSE))))</f>
        <v xml:space="preserve"> </v>
      </c>
      <c r="BV334" s="405" t="str">
        <f>IF($A334="N/A"," ",IF('Pricing Inputs'!$AW$3=1,0,(VLOOKUP($A334,InterestRatesTable,2))))</f>
        <v xml:space="preserve"> </v>
      </c>
      <c r="BW334" s="408" t="str">
        <f t="shared" si="437"/>
        <v xml:space="preserve"> </v>
      </c>
    </row>
    <row r="335" spans="1:75">
      <c r="A335" s="248" t="str">
        <f>IF(A334="N/A","N/A",IF(EDATE(A334,1)&gt;Inputs!$K$3,"N/A",EDATE(A334,1)))</f>
        <v>N/A</v>
      </c>
      <c r="B335" s="262" t="str">
        <f t="shared" si="438"/>
        <v xml:space="preserve"> </v>
      </c>
      <c r="C335" s="249" t="str">
        <f t="shared" si="439"/>
        <v xml:space="preserve"> </v>
      </c>
      <c r="D335" s="250" t="str">
        <f>IF(A335="N/A"," ",(VLOOKUP(MONTH($A335),Inputs!$A$14:$B$25,2))/1000)</f>
        <v xml:space="preserve"> </v>
      </c>
      <c r="E335" s="304" t="str">
        <f t="shared" si="440"/>
        <v xml:space="preserve"> </v>
      </c>
      <c r="F335" s="251" t="str">
        <f>IF(A335="N/A"," ",Inputs!$F$6)</f>
        <v xml:space="preserve"> </v>
      </c>
      <c r="G335" s="251" t="str">
        <f>IF(A335="N/A"," ",Inputs!$F$9/IF(AND('Pricing Inputs'!$AQ$3&gt;=4,'Pricing Inputs'!$AQ$3&lt;=6),16,IF(AND('Pricing Inputs'!$AQ$3&gt;=7,'Pricing Inputs'!$AQ$3&lt;=9),8,24))/(BA335/BW335))</f>
        <v xml:space="preserve"> </v>
      </c>
      <c r="H335" s="252" t="str">
        <f t="shared" si="441"/>
        <v xml:space="preserve"> </v>
      </c>
      <c r="I335" s="255" t="str">
        <f>VLOOKUP(A335,ScaledPrice,(IF(AND('Pricing Inputs'!$AQ$3&gt;=1,'Pricing Inputs'!$AQ$3&lt;=6),2,4)))</f>
        <v xml:space="preserve"> </v>
      </c>
      <c r="J335" s="255" t="str">
        <f>IF(A335="N/A"," ",IF(AND('Pricing Inputs'!$AQ$3&gt;=1,'Pricing Inputs'!$AQ$3&lt;=6),I335,(VLOOKUP(A335,ScaledPrice,2))*(2-(VLOOKUP(A335,ScaledPrice,3)))))</f>
        <v xml:space="preserve"> </v>
      </c>
      <c r="K335" s="255" t="str">
        <f>IF(A335="N/A"," ",IF(OR('Pricing Inputs'!$AQ$3=2,'Pricing Inputs'!$AQ$3=3,'Pricing Inputs'!$AQ$3=5,'Pricing Inputs'!$AQ$3=6,'Pricing Inputs'!$AQ$3=8,'Pricing Inputs'!$AQ$3=9),VLOOKUP(A335,ScaledPrice,IF(AND('Pricing Inputs'!$AQ$3&gt;=2,'Pricing Inputs'!$AQ$3&lt;=6),5,6)),0))</f>
        <v xml:space="preserve"> </v>
      </c>
      <c r="L335" s="255" t="str">
        <f>IF(A335="N/A"," ",IF(OR('Pricing Inputs'!$AQ$3=2,'Pricing Inputs'!$AQ$3=3,'Pricing Inputs'!$AQ$3=5,'Pricing Inputs'!$AQ$3=6,'Pricing Inputs'!$AQ$3=8,'Pricing Inputs'!$AQ$3=9),IF(AND('Pricing Inputs'!$AQ$3&gt;=2,'Pricing Inputs'!$AQ$3&lt;=6),K335,(VLOOKUP(A335,ScaledPrice,5))*(2-(VLOOKUP(A335,ScaledPrice,3)))),0))</f>
        <v xml:space="preserve"> </v>
      </c>
      <c r="M335" s="255" t="str">
        <f>IF(A335="N/A"," ",IF(OR('Pricing Inputs'!$AQ$3=3,'Pricing Inputs'!$AQ$3=6,'Pricing Inputs'!$AQ$3=9),(VLOOKUP(A335,ScaledPrice,IF(AND('Pricing Inputs'!$AQ$3&gt;=3,'Pricing Inputs'!$AQ$3&lt;=6),7,8))),0))</f>
        <v xml:space="preserve"> </v>
      </c>
      <c r="N335" s="255" t="str">
        <f>IF(A335="N/A"," ",IF(OR('Pricing Inputs'!$AQ$3=3,'Pricing Inputs'!$AQ$3=6,'Pricing Inputs'!$AQ$3=9),IF(AND('Pricing Inputs'!$AQ$3&gt;=3,'Pricing Inputs'!$AQ$3&lt;=6),M335,(VLOOKUP(A335,ScaledPrice,7))*(2-(VLOOKUP(A335,ScaledPrice,3)))),0))</f>
        <v xml:space="preserve"> </v>
      </c>
      <c r="O335" s="255" t="str">
        <f>IF(A335="N/A"," ",IF(AND('Pricing Inputs'!$AQ$3&gt;=1,'Pricing Inputs'!$AQ$3&lt;=3),VLOOKUP(A335,ScaledPrice,9),0))</f>
        <v xml:space="preserve"> </v>
      </c>
      <c r="P335" s="320" t="str">
        <f>IF($A335="N/A"," ",IF('Pricing Inputs'!$AN$8=2,(I335-H335),IF('Pricing Inputs'!$AN$3=2,IF((I335-$H335)&gt;0,I335-$H335,0),(_xll.xSPRDOPT(I335,$E335,$BU335,0,$BP335,$BS335,$BT335,($A335-Inputs!$D$1)+15,1,0)))))</f>
        <v xml:space="preserve"> </v>
      </c>
      <c r="Q335" s="320" t="str">
        <f>IF($A335="N/A"," ",IF('Pricing Inputs'!$AN$8=2,(J335-$H335),IF('Pricing Inputs'!$AN$3=2,IF((J335-$H335)&gt;0,J335-$H335,0),(_xll.xSPRDOPT(J335,$E335,$BU335,0,$BP335,$BS335,$BT335,($A335-Inputs!$D$1)+15,1,0)))))</f>
        <v xml:space="preserve"> </v>
      </c>
      <c r="R335" s="320" t="str">
        <f>IF($A335="N/A"," ",IF('Pricing Inputs'!$AN$8=2,(K335-$H335),IF('Pricing Inputs'!$AN$3=2,IF((K335-$H335)&gt;0,K335-$H335,0),(_xll.xSPRDOPT(K335,$E335,$BU335,0,$BP335,$BS335,$BT335,($A335-Inputs!$D$1)+15,1,0)))))</f>
        <v xml:space="preserve"> </v>
      </c>
      <c r="S335" s="320" t="str">
        <f>IF($A335="N/A"," ",IF('Pricing Inputs'!$AN$8=2,(L335-$H335),IF('Pricing Inputs'!$AN$3=2,IF((L335-$H335)&gt;0,L335-$H335,0),(_xll.xSPRDOPT(L335,$E335,$BU335,0,$BP335,$BS335,$BT335,($A335-Inputs!$D$1)+15,1,0)))))</f>
        <v xml:space="preserve"> </v>
      </c>
      <c r="T335" s="320" t="str">
        <f>IF($A335="N/A"," ",IF('Pricing Inputs'!$AN$8=2,(M335-$H335),IF('Pricing Inputs'!$AN$3=2,IF((M335-$H335)&gt;0,M335-$H335,0),(_xll.xSPRDOPT(M335,$E335,$BU335,0,$BP335,$BS335,$BT335,($A335-Inputs!$D$1)+15,1,0)))))</f>
        <v xml:space="preserve"> </v>
      </c>
      <c r="U335" s="320" t="str">
        <f>IF($A335="N/A"," ",IF('Pricing Inputs'!$AN$8=2,(N335-$H335),IF('Pricing Inputs'!$AN$3=2,IF((N335-$H335)&gt;0,N335-$H335,0),(_xll.xSPRDOPT(N335,$E335,$BU335,0,$BP335,$BS335,$BT335,($A335-Inputs!$D$1)+15,1,0)))))</f>
        <v xml:space="preserve"> </v>
      </c>
      <c r="V335" s="259" t="str">
        <f>IF($A335="N/A"," ",(IF('Pricing Inputs'!$AN$8=2,(O335-$H335),IF((O335-$H335)&lt;=0,0,(O335-$H335)))))</f>
        <v xml:space="preserve"> </v>
      </c>
      <c r="BA335" s="267" t="str">
        <f>IF($A335="N/A"," ",(IF(MONTH(A335)&gt;=4,IF(MONTH(A335)&lt;=10,Inputs!$F$13,Inputs!$F$14),Inputs!$F$14))*$BW335)</f>
        <v xml:space="preserve"> </v>
      </c>
      <c r="BN335" s="405" t="str">
        <f>IF(A335="N/A"," ",(VLOOKUP(A335,PowerVolTable,(IF('Pricing Inputs'!$AT$3=2,7,IF('Pricing Inputs'!$AT$3=1,6,8))),FALSE)))</f>
        <v xml:space="preserve"> </v>
      </c>
      <c r="BO335" s="405" t="str">
        <f>IF(A335="N/A"," ",(VLOOKUP(A335,IntraPowerVol,(IF('Pricing Inputs'!$AT$3=2,3,IF('Pricing Inputs'!$AT$3=1,2,4))),FALSE)*VLOOKUP(MONTH($A335),Inputs!$A$28:$B$39,2)))</f>
        <v xml:space="preserve"> </v>
      </c>
      <c r="BP335" s="406" t="str">
        <f t="shared" si="436"/>
        <v xml:space="preserve"> </v>
      </c>
      <c r="BQ335" s="405" t="str">
        <f>IF($A335="N/A"," ",(VLOOKUP($A335,GasVolTable,(IF('Pricing Inputs'!$AT$3=2,6,IF('Pricing Inputs'!$AT$3=1,7,5))),FALSE)))</f>
        <v xml:space="preserve"> </v>
      </c>
      <c r="BR335" s="405" t="str">
        <f>IF($A335="N/A"," ",(VLOOKUP($A335,OmicronVol,(IF('Pricing Inputs'!$AT$3=2,3,IF('Pricing Inputs'!$AT$3=1,4,2))),FALSE)))</f>
        <v xml:space="preserve"> </v>
      </c>
      <c r="BS335" s="406" t="str">
        <f>IF($A335="N/A"," ",IF('Pricing Inputs'!$AN$3=1,(IF(DateToday&gt;$A335,$BR335,((($BQ335^2)*((($A335-1)-DateToday)/((EOMONTH($A335,0)+1)-DateToday-15)))+((($BR335)^2)*((15)/((EOMONTH($A335,0)+1)-DateToday-15))))^0.5)),0.0001))</f>
        <v xml:space="preserve"> </v>
      </c>
      <c r="BT335" s="405" t="str">
        <f>IF($A335="N/A"," ",IF('Pricing Inputs'!$AN$3=1,(VLOOKUP($A335,CorrelationTable,2,FALSE)),0))</f>
        <v xml:space="preserve"> </v>
      </c>
      <c r="BU335" s="407" t="str">
        <f>IF($A335="N/A"," ",F335+G335+(D335*(VLOOKUP($A335,'Gas Curves'!$B$17:$P$310,14,FALSE))))</f>
        <v xml:space="preserve"> </v>
      </c>
      <c r="BV335" s="405" t="str">
        <f>IF($A335="N/A"," ",IF('Pricing Inputs'!$AW$3=1,0,(VLOOKUP($A335,InterestRatesTable,2))))</f>
        <v xml:space="preserve"> </v>
      </c>
      <c r="BW335" s="408" t="str">
        <f t="shared" si="437"/>
        <v xml:space="preserve"> </v>
      </c>
    </row>
    <row r="336" spans="1:75">
      <c r="A336" s="248" t="str">
        <f>IF(A335="N/A","N/A",IF(EDATE(A335,1)&gt;Inputs!$K$3,"N/A",EDATE(A335,1)))</f>
        <v>N/A</v>
      </c>
      <c r="B336" s="262" t="str">
        <f t="shared" si="438"/>
        <v xml:space="preserve"> </v>
      </c>
      <c r="C336" s="249" t="str">
        <f t="shared" si="439"/>
        <v xml:space="preserve"> </v>
      </c>
      <c r="D336" s="250" t="str">
        <f>IF(A336="N/A"," ",(VLOOKUP(MONTH($A336),Inputs!$A$14:$B$25,2))/1000)</f>
        <v xml:space="preserve"> </v>
      </c>
      <c r="E336" s="304" t="str">
        <f t="shared" si="440"/>
        <v xml:space="preserve"> </v>
      </c>
      <c r="F336" s="251" t="str">
        <f>IF(A336="N/A"," ",Inputs!$F$6)</f>
        <v xml:space="preserve"> </v>
      </c>
      <c r="G336" s="251" t="str">
        <f>IF(A336="N/A"," ",Inputs!$F$9/IF(AND('Pricing Inputs'!$AQ$3&gt;=4,'Pricing Inputs'!$AQ$3&lt;=6),16,IF(AND('Pricing Inputs'!$AQ$3&gt;=7,'Pricing Inputs'!$AQ$3&lt;=9),8,24))/(BA336/BW336))</f>
        <v xml:space="preserve"> </v>
      </c>
      <c r="H336" s="252" t="str">
        <f t="shared" si="441"/>
        <v xml:space="preserve"> </v>
      </c>
      <c r="I336" s="255" t="str">
        <f>VLOOKUP(A336,ScaledPrice,(IF(AND('Pricing Inputs'!$AQ$3&gt;=1,'Pricing Inputs'!$AQ$3&lt;=6),2,4)))</f>
        <v xml:space="preserve"> </v>
      </c>
      <c r="J336" s="255" t="str">
        <f>IF(A336="N/A"," ",IF(AND('Pricing Inputs'!$AQ$3&gt;=1,'Pricing Inputs'!$AQ$3&lt;=6),I336,(VLOOKUP(A336,ScaledPrice,2))*(2-(VLOOKUP(A336,ScaledPrice,3)))))</f>
        <v xml:space="preserve"> </v>
      </c>
      <c r="K336" s="255" t="str">
        <f>IF(A336="N/A"," ",IF(OR('Pricing Inputs'!$AQ$3=2,'Pricing Inputs'!$AQ$3=3,'Pricing Inputs'!$AQ$3=5,'Pricing Inputs'!$AQ$3=6,'Pricing Inputs'!$AQ$3=8,'Pricing Inputs'!$AQ$3=9),VLOOKUP(A336,ScaledPrice,IF(AND('Pricing Inputs'!$AQ$3&gt;=2,'Pricing Inputs'!$AQ$3&lt;=6),5,6)),0))</f>
        <v xml:space="preserve"> </v>
      </c>
      <c r="L336" s="255" t="str">
        <f>IF(A336="N/A"," ",IF(OR('Pricing Inputs'!$AQ$3=2,'Pricing Inputs'!$AQ$3=3,'Pricing Inputs'!$AQ$3=5,'Pricing Inputs'!$AQ$3=6,'Pricing Inputs'!$AQ$3=8,'Pricing Inputs'!$AQ$3=9),IF(AND('Pricing Inputs'!$AQ$3&gt;=2,'Pricing Inputs'!$AQ$3&lt;=6),K336,(VLOOKUP(A336,ScaledPrice,5))*(2-(VLOOKUP(A336,ScaledPrice,3)))),0))</f>
        <v xml:space="preserve"> </v>
      </c>
      <c r="M336" s="255" t="str">
        <f>IF(A336="N/A"," ",IF(OR('Pricing Inputs'!$AQ$3=3,'Pricing Inputs'!$AQ$3=6,'Pricing Inputs'!$AQ$3=9),(VLOOKUP(A336,ScaledPrice,IF(AND('Pricing Inputs'!$AQ$3&gt;=3,'Pricing Inputs'!$AQ$3&lt;=6),7,8))),0))</f>
        <v xml:space="preserve"> </v>
      </c>
      <c r="N336" s="255" t="str">
        <f>IF(A336="N/A"," ",IF(OR('Pricing Inputs'!$AQ$3=3,'Pricing Inputs'!$AQ$3=6,'Pricing Inputs'!$AQ$3=9),IF(AND('Pricing Inputs'!$AQ$3&gt;=3,'Pricing Inputs'!$AQ$3&lt;=6),M336,(VLOOKUP(A336,ScaledPrice,7))*(2-(VLOOKUP(A336,ScaledPrice,3)))),0))</f>
        <v xml:space="preserve"> </v>
      </c>
      <c r="O336" s="255" t="str">
        <f>IF(A336="N/A"," ",IF(AND('Pricing Inputs'!$AQ$3&gt;=1,'Pricing Inputs'!$AQ$3&lt;=3),VLOOKUP(A336,ScaledPrice,9),0))</f>
        <v xml:space="preserve"> </v>
      </c>
      <c r="P336" s="320" t="str">
        <f>IF($A336="N/A"," ",IF('Pricing Inputs'!$AN$8=2,(I336-H336),IF('Pricing Inputs'!$AN$3=2,IF((I336-$H336)&gt;0,I336-$H336,0),(_xll.xSPRDOPT(I336,$E336,$BU336,0,$BP336,$BS336,$BT336,($A336-Inputs!$D$1)+15,1,0)))))</f>
        <v xml:space="preserve"> </v>
      </c>
      <c r="Q336" s="320" t="str">
        <f>IF($A336="N/A"," ",IF('Pricing Inputs'!$AN$8=2,(J336-$H336),IF('Pricing Inputs'!$AN$3=2,IF((J336-$H336)&gt;0,J336-$H336,0),(_xll.xSPRDOPT(J336,$E336,$BU336,0,$BP336,$BS336,$BT336,($A336-Inputs!$D$1)+15,1,0)))))</f>
        <v xml:space="preserve"> </v>
      </c>
      <c r="R336" s="320" t="str">
        <f>IF($A336="N/A"," ",IF('Pricing Inputs'!$AN$8=2,(K336-$H336),IF('Pricing Inputs'!$AN$3=2,IF((K336-$H336)&gt;0,K336-$H336,0),(_xll.xSPRDOPT(K336,$E336,$BU336,0,$BP336,$BS336,$BT336,($A336-Inputs!$D$1)+15,1,0)))))</f>
        <v xml:space="preserve"> </v>
      </c>
      <c r="S336" s="320" t="str">
        <f>IF($A336="N/A"," ",IF('Pricing Inputs'!$AN$8=2,(L336-$H336),IF('Pricing Inputs'!$AN$3=2,IF((L336-$H336)&gt;0,L336-$H336,0),(_xll.xSPRDOPT(L336,$E336,$BU336,0,$BP336,$BS336,$BT336,($A336-Inputs!$D$1)+15,1,0)))))</f>
        <v xml:space="preserve"> </v>
      </c>
      <c r="T336" s="320" t="str">
        <f>IF($A336="N/A"," ",IF('Pricing Inputs'!$AN$8=2,(M336-$H336),IF('Pricing Inputs'!$AN$3=2,IF((M336-$H336)&gt;0,M336-$H336,0),(_xll.xSPRDOPT(M336,$E336,$BU336,0,$BP336,$BS336,$BT336,($A336-Inputs!$D$1)+15,1,0)))))</f>
        <v xml:space="preserve"> </v>
      </c>
      <c r="U336" s="320" t="str">
        <f>IF($A336="N/A"," ",IF('Pricing Inputs'!$AN$8=2,(N336-$H336),IF('Pricing Inputs'!$AN$3=2,IF((N336-$H336)&gt;0,N336-$H336,0),(_xll.xSPRDOPT(N336,$E336,$BU336,0,$BP336,$BS336,$BT336,($A336-Inputs!$D$1)+15,1,0)))))</f>
        <v xml:space="preserve"> </v>
      </c>
      <c r="V336" s="259" t="str">
        <f>IF($A336="N/A"," ",(IF('Pricing Inputs'!$AN$8=2,(O336-$H336),IF((O336-$H336)&lt;=0,0,(O336-$H336)))))</f>
        <v xml:space="preserve"> </v>
      </c>
      <c r="BA336" s="267" t="str">
        <f>IF($A336="N/A"," ",(IF(MONTH(A336)&gt;=4,IF(MONTH(A336)&lt;=10,Inputs!$F$13,Inputs!$F$14),Inputs!$F$14))*$BW336)</f>
        <v xml:space="preserve"> </v>
      </c>
      <c r="BN336" s="405" t="str">
        <f>IF(A336="N/A"," ",(VLOOKUP(A336,PowerVolTable,(IF('Pricing Inputs'!$AT$3=2,7,IF('Pricing Inputs'!$AT$3=1,6,8))),FALSE)))</f>
        <v xml:space="preserve"> </v>
      </c>
      <c r="BO336" s="405" t="str">
        <f>IF(A336="N/A"," ",(VLOOKUP(A336,IntraPowerVol,(IF('Pricing Inputs'!$AT$3=2,3,IF('Pricing Inputs'!$AT$3=1,2,4))),FALSE)*VLOOKUP(MONTH($A336),Inputs!$A$28:$B$39,2)))</f>
        <v xml:space="preserve"> </v>
      </c>
      <c r="BP336" s="406" t="str">
        <f t="shared" si="436"/>
        <v xml:space="preserve"> </v>
      </c>
      <c r="BQ336" s="405" t="str">
        <f>IF($A336="N/A"," ",(VLOOKUP($A336,GasVolTable,(IF('Pricing Inputs'!$AT$3=2,6,IF('Pricing Inputs'!$AT$3=1,7,5))),FALSE)))</f>
        <v xml:space="preserve"> </v>
      </c>
      <c r="BR336" s="405" t="str">
        <f>IF($A336="N/A"," ",(VLOOKUP($A336,OmicronVol,(IF('Pricing Inputs'!$AT$3=2,3,IF('Pricing Inputs'!$AT$3=1,4,2))),FALSE)))</f>
        <v xml:space="preserve"> </v>
      </c>
      <c r="BS336" s="406" t="str">
        <f>IF($A336="N/A"," ",IF('Pricing Inputs'!$AN$3=1,(IF(DateToday&gt;$A336,$BR336,((($BQ336^2)*((($A336-1)-DateToday)/((EOMONTH($A336,0)+1)-DateToday-15)))+((($BR336)^2)*((15)/((EOMONTH($A336,0)+1)-DateToday-15))))^0.5)),0.0001))</f>
        <v xml:space="preserve"> </v>
      </c>
      <c r="BT336" s="405" t="str">
        <f>IF($A336="N/A"," ",IF('Pricing Inputs'!$AN$3=1,(VLOOKUP($A336,CorrelationTable,2,FALSE)),0))</f>
        <v xml:space="preserve"> </v>
      </c>
      <c r="BU336" s="407" t="str">
        <f>IF($A336="N/A"," ",F336+G336+(D336*(VLOOKUP($A336,'Gas Curves'!$B$17:$P$310,14,FALSE))))</f>
        <v xml:space="preserve"> </v>
      </c>
      <c r="BV336" s="405" t="str">
        <f>IF($A336="N/A"," ",IF('Pricing Inputs'!$AW$3=1,0,(VLOOKUP($A336,InterestRatesTable,2))))</f>
        <v xml:space="preserve"> </v>
      </c>
      <c r="BW336" s="408" t="str">
        <f t="shared" si="437"/>
        <v xml:space="preserve"> </v>
      </c>
    </row>
    <row r="337" spans="1:75">
      <c r="A337" s="248" t="str">
        <f>IF(A336="N/A","N/A",IF(EDATE(A336,1)&gt;Inputs!$K$3,"N/A",EDATE(A336,1)))</f>
        <v>N/A</v>
      </c>
      <c r="B337" s="262" t="str">
        <f t="shared" si="438"/>
        <v xml:space="preserve"> </v>
      </c>
      <c r="C337" s="249" t="str">
        <f t="shared" si="439"/>
        <v xml:space="preserve"> </v>
      </c>
      <c r="D337" s="250" t="str">
        <f>IF(A337="N/A"," ",(VLOOKUP(MONTH($A337),Inputs!$A$14:$B$25,2))/1000)</f>
        <v xml:space="preserve"> </v>
      </c>
      <c r="E337" s="304" t="str">
        <f t="shared" si="440"/>
        <v xml:space="preserve"> </v>
      </c>
      <c r="F337" s="251" t="str">
        <f>IF(A337="N/A"," ",Inputs!$F$6)</f>
        <v xml:space="preserve"> </v>
      </c>
      <c r="G337" s="251" t="str">
        <f>IF(A337="N/A"," ",Inputs!$F$9/IF(AND('Pricing Inputs'!$AQ$3&gt;=4,'Pricing Inputs'!$AQ$3&lt;=6),16,IF(AND('Pricing Inputs'!$AQ$3&gt;=7,'Pricing Inputs'!$AQ$3&lt;=9),8,24))/(BA337/BW337))</f>
        <v xml:space="preserve"> </v>
      </c>
      <c r="H337" s="252" t="str">
        <f t="shared" si="441"/>
        <v xml:space="preserve"> </v>
      </c>
      <c r="I337" s="255" t="str">
        <f>VLOOKUP(A337,ScaledPrice,(IF(AND('Pricing Inputs'!$AQ$3&gt;=1,'Pricing Inputs'!$AQ$3&lt;=6),2,4)))</f>
        <v xml:space="preserve"> </v>
      </c>
      <c r="J337" s="255" t="str">
        <f>IF(A337="N/A"," ",IF(AND('Pricing Inputs'!$AQ$3&gt;=1,'Pricing Inputs'!$AQ$3&lt;=6),I337,(VLOOKUP(A337,ScaledPrice,2))*(2-(VLOOKUP(A337,ScaledPrice,3)))))</f>
        <v xml:space="preserve"> </v>
      </c>
      <c r="K337" s="255" t="str">
        <f>IF(A337="N/A"," ",IF(OR('Pricing Inputs'!$AQ$3=2,'Pricing Inputs'!$AQ$3=3,'Pricing Inputs'!$AQ$3=5,'Pricing Inputs'!$AQ$3=6,'Pricing Inputs'!$AQ$3=8,'Pricing Inputs'!$AQ$3=9),VLOOKUP(A337,ScaledPrice,IF(AND('Pricing Inputs'!$AQ$3&gt;=2,'Pricing Inputs'!$AQ$3&lt;=6),5,6)),0))</f>
        <v xml:space="preserve"> </v>
      </c>
      <c r="L337" s="255" t="str">
        <f>IF(A337="N/A"," ",IF(OR('Pricing Inputs'!$AQ$3=2,'Pricing Inputs'!$AQ$3=3,'Pricing Inputs'!$AQ$3=5,'Pricing Inputs'!$AQ$3=6,'Pricing Inputs'!$AQ$3=8,'Pricing Inputs'!$AQ$3=9),IF(AND('Pricing Inputs'!$AQ$3&gt;=2,'Pricing Inputs'!$AQ$3&lt;=6),K337,(VLOOKUP(A337,ScaledPrice,5))*(2-(VLOOKUP(A337,ScaledPrice,3)))),0))</f>
        <v xml:space="preserve"> </v>
      </c>
      <c r="M337" s="255" t="str">
        <f>IF(A337="N/A"," ",IF(OR('Pricing Inputs'!$AQ$3=3,'Pricing Inputs'!$AQ$3=6,'Pricing Inputs'!$AQ$3=9),(VLOOKUP(A337,ScaledPrice,IF(AND('Pricing Inputs'!$AQ$3&gt;=3,'Pricing Inputs'!$AQ$3&lt;=6),7,8))),0))</f>
        <v xml:space="preserve"> </v>
      </c>
      <c r="N337" s="255" t="str">
        <f>IF(A337="N/A"," ",IF(OR('Pricing Inputs'!$AQ$3=3,'Pricing Inputs'!$AQ$3=6,'Pricing Inputs'!$AQ$3=9),IF(AND('Pricing Inputs'!$AQ$3&gt;=3,'Pricing Inputs'!$AQ$3&lt;=6),M337,(VLOOKUP(A337,ScaledPrice,7))*(2-(VLOOKUP(A337,ScaledPrice,3)))),0))</f>
        <v xml:space="preserve"> </v>
      </c>
      <c r="O337" s="255" t="str">
        <f>IF(A337="N/A"," ",IF(AND('Pricing Inputs'!$AQ$3&gt;=1,'Pricing Inputs'!$AQ$3&lt;=3),VLOOKUP(A337,ScaledPrice,9),0))</f>
        <v xml:space="preserve"> </v>
      </c>
      <c r="P337" s="320" t="str">
        <f>IF($A337="N/A"," ",IF('Pricing Inputs'!$AN$8=2,(I337-H337),IF('Pricing Inputs'!$AN$3=2,IF((I337-$H337)&gt;0,I337-$H337,0),(_xll.xSPRDOPT(I337,$E337,$BU337,0,$BP337,$BS337,$BT337,($A337-Inputs!$D$1)+15,1,0)))))</f>
        <v xml:space="preserve"> </v>
      </c>
      <c r="Q337" s="320" t="str">
        <f>IF($A337="N/A"," ",IF('Pricing Inputs'!$AN$8=2,(J337-$H337),IF('Pricing Inputs'!$AN$3=2,IF((J337-$H337)&gt;0,J337-$H337,0),(_xll.xSPRDOPT(J337,$E337,$BU337,0,$BP337,$BS337,$BT337,($A337-Inputs!$D$1)+15,1,0)))))</f>
        <v xml:space="preserve"> </v>
      </c>
      <c r="R337" s="320" t="str">
        <f>IF($A337="N/A"," ",IF('Pricing Inputs'!$AN$8=2,(K337-$H337),IF('Pricing Inputs'!$AN$3=2,IF((K337-$H337)&gt;0,K337-$H337,0),(_xll.xSPRDOPT(K337,$E337,$BU337,0,$BP337,$BS337,$BT337,($A337-Inputs!$D$1)+15,1,0)))))</f>
        <v xml:space="preserve"> </v>
      </c>
      <c r="S337" s="320" t="str">
        <f>IF($A337="N/A"," ",IF('Pricing Inputs'!$AN$8=2,(L337-$H337),IF('Pricing Inputs'!$AN$3=2,IF((L337-$H337)&gt;0,L337-$H337,0),(_xll.xSPRDOPT(L337,$E337,$BU337,0,$BP337,$BS337,$BT337,($A337-Inputs!$D$1)+15,1,0)))))</f>
        <v xml:space="preserve"> </v>
      </c>
      <c r="T337" s="320" t="str">
        <f>IF($A337="N/A"," ",IF('Pricing Inputs'!$AN$8=2,(M337-$H337),IF('Pricing Inputs'!$AN$3=2,IF((M337-$H337)&gt;0,M337-$H337,0),(_xll.xSPRDOPT(M337,$E337,$BU337,0,$BP337,$BS337,$BT337,($A337-Inputs!$D$1)+15,1,0)))))</f>
        <v xml:space="preserve"> </v>
      </c>
      <c r="U337" s="320" t="str">
        <f>IF($A337="N/A"," ",IF('Pricing Inputs'!$AN$8=2,(N337-$H337),IF('Pricing Inputs'!$AN$3=2,IF((N337-$H337)&gt;0,N337-$H337,0),(_xll.xSPRDOPT(N337,$E337,$BU337,0,$BP337,$BS337,$BT337,($A337-Inputs!$D$1)+15,1,0)))))</f>
        <v xml:space="preserve"> </v>
      </c>
      <c r="V337" s="259" t="str">
        <f>IF($A337="N/A"," ",(IF('Pricing Inputs'!$AN$8=2,(O337-$H337),IF((O337-$H337)&lt;=0,0,(O337-$H337)))))</f>
        <v xml:space="preserve"> </v>
      </c>
      <c r="BA337" s="267" t="str">
        <f>IF($A337="N/A"," ",(IF(MONTH(A337)&gt;=4,IF(MONTH(A337)&lt;=10,Inputs!$F$13,Inputs!$F$14),Inputs!$F$14))*$BW337)</f>
        <v xml:space="preserve"> </v>
      </c>
      <c r="BN337" s="405" t="str">
        <f>IF(A337="N/A"," ",(VLOOKUP(A337,PowerVolTable,(IF('Pricing Inputs'!$AT$3=2,7,IF('Pricing Inputs'!$AT$3=1,6,8))),FALSE)))</f>
        <v xml:space="preserve"> </v>
      </c>
      <c r="BO337" s="405" t="str">
        <f>IF(A337="N/A"," ",(VLOOKUP(A337,IntraPowerVol,(IF('Pricing Inputs'!$AT$3=2,3,IF('Pricing Inputs'!$AT$3=1,2,4))),FALSE)*VLOOKUP(MONTH($A337),Inputs!$A$28:$B$39,2)))</f>
        <v xml:space="preserve"> </v>
      </c>
      <c r="BP337" s="406" t="str">
        <f t="shared" si="436"/>
        <v xml:space="preserve"> </v>
      </c>
      <c r="BQ337" s="405" t="str">
        <f>IF($A337="N/A"," ",(VLOOKUP($A337,GasVolTable,(IF('Pricing Inputs'!$AT$3=2,6,IF('Pricing Inputs'!$AT$3=1,7,5))),FALSE)))</f>
        <v xml:space="preserve"> </v>
      </c>
      <c r="BR337" s="405" t="str">
        <f>IF($A337="N/A"," ",(VLOOKUP($A337,OmicronVol,(IF('Pricing Inputs'!$AT$3=2,3,IF('Pricing Inputs'!$AT$3=1,4,2))),FALSE)))</f>
        <v xml:space="preserve"> </v>
      </c>
      <c r="BS337" s="406" t="str">
        <f>IF($A337="N/A"," ",IF('Pricing Inputs'!$AN$3=1,(IF(DateToday&gt;$A337,$BR337,((($BQ337^2)*((($A337-1)-DateToday)/((EOMONTH($A337,0)+1)-DateToday-15)))+((($BR337)^2)*((15)/((EOMONTH($A337,0)+1)-DateToday-15))))^0.5)),0.0001))</f>
        <v xml:space="preserve"> </v>
      </c>
      <c r="BT337" s="405" t="str">
        <f>IF($A337="N/A"," ",IF('Pricing Inputs'!$AN$3=1,(VLOOKUP($A337,CorrelationTable,2,FALSE)),0))</f>
        <v xml:space="preserve"> </v>
      </c>
      <c r="BU337" s="407" t="str">
        <f>IF($A337="N/A"," ",F337+G337+(D337*(VLOOKUP($A337,'Gas Curves'!$B$17:$P$310,14,FALSE))))</f>
        <v xml:space="preserve"> </v>
      </c>
      <c r="BV337" s="405" t="str">
        <f>IF($A337="N/A"," ",IF('Pricing Inputs'!$AW$3=1,0,(VLOOKUP($A337,InterestRatesTable,2))))</f>
        <v xml:space="preserve"> </v>
      </c>
      <c r="BW337" s="408" t="str">
        <f t="shared" si="437"/>
        <v xml:space="preserve"> </v>
      </c>
    </row>
    <row r="338" spans="1:75">
      <c r="A338" s="248" t="str">
        <f>IF(A337="N/A","N/A",IF(EDATE(A337,1)&gt;Inputs!$K$3,"N/A",EDATE(A337,1)))</f>
        <v>N/A</v>
      </c>
      <c r="B338" s="262" t="str">
        <f t="shared" si="438"/>
        <v xml:space="preserve"> </v>
      </c>
      <c r="C338" s="249" t="str">
        <f t="shared" si="439"/>
        <v xml:space="preserve"> </v>
      </c>
      <c r="D338" s="250" t="str">
        <f>IF(A338="N/A"," ",(VLOOKUP(MONTH($A338),Inputs!$A$14:$B$25,2))/1000)</f>
        <v xml:space="preserve"> </v>
      </c>
      <c r="E338" s="304" t="str">
        <f t="shared" si="440"/>
        <v xml:space="preserve"> </v>
      </c>
      <c r="F338" s="251" t="str">
        <f>IF(A338="N/A"," ",Inputs!$F$6)</f>
        <v xml:space="preserve"> </v>
      </c>
      <c r="G338" s="251" t="str">
        <f>IF(A338="N/A"," ",Inputs!$F$9/IF(AND('Pricing Inputs'!$AQ$3&gt;=4,'Pricing Inputs'!$AQ$3&lt;=6),16,IF(AND('Pricing Inputs'!$AQ$3&gt;=7,'Pricing Inputs'!$AQ$3&lt;=9),8,24))/(BA338/BW338))</f>
        <v xml:space="preserve"> </v>
      </c>
      <c r="H338" s="252" t="str">
        <f t="shared" si="441"/>
        <v xml:space="preserve"> </v>
      </c>
      <c r="I338" s="255" t="str">
        <f>VLOOKUP(A338,ScaledPrice,(IF(AND('Pricing Inputs'!$AQ$3&gt;=1,'Pricing Inputs'!$AQ$3&lt;=6),2,4)))</f>
        <v xml:space="preserve"> </v>
      </c>
      <c r="J338" s="255" t="str">
        <f>IF(A338="N/A"," ",IF(AND('Pricing Inputs'!$AQ$3&gt;=1,'Pricing Inputs'!$AQ$3&lt;=6),I338,(VLOOKUP(A338,ScaledPrice,2))*(2-(VLOOKUP(A338,ScaledPrice,3)))))</f>
        <v xml:space="preserve"> </v>
      </c>
      <c r="K338" s="255" t="str">
        <f>IF(A338="N/A"," ",IF(OR('Pricing Inputs'!$AQ$3=2,'Pricing Inputs'!$AQ$3=3,'Pricing Inputs'!$AQ$3=5,'Pricing Inputs'!$AQ$3=6,'Pricing Inputs'!$AQ$3=8,'Pricing Inputs'!$AQ$3=9),VLOOKUP(A338,ScaledPrice,IF(AND('Pricing Inputs'!$AQ$3&gt;=2,'Pricing Inputs'!$AQ$3&lt;=6),5,6)),0))</f>
        <v xml:space="preserve"> </v>
      </c>
      <c r="L338" s="255" t="str">
        <f>IF(A338="N/A"," ",IF(OR('Pricing Inputs'!$AQ$3=2,'Pricing Inputs'!$AQ$3=3,'Pricing Inputs'!$AQ$3=5,'Pricing Inputs'!$AQ$3=6,'Pricing Inputs'!$AQ$3=8,'Pricing Inputs'!$AQ$3=9),IF(AND('Pricing Inputs'!$AQ$3&gt;=2,'Pricing Inputs'!$AQ$3&lt;=6),K338,(VLOOKUP(A338,ScaledPrice,5))*(2-(VLOOKUP(A338,ScaledPrice,3)))),0))</f>
        <v xml:space="preserve"> </v>
      </c>
      <c r="M338" s="255" t="str">
        <f>IF(A338="N/A"," ",IF(OR('Pricing Inputs'!$AQ$3=3,'Pricing Inputs'!$AQ$3=6,'Pricing Inputs'!$AQ$3=9),(VLOOKUP(A338,ScaledPrice,IF(AND('Pricing Inputs'!$AQ$3&gt;=3,'Pricing Inputs'!$AQ$3&lt;=6),7,8))),0))</f>
        <v xml:space="preserve"> </v>
      </c>
      <c r="N338" s="255" t="str">
        <f>IF(A338="N/A"," ",IF(OR('Pricing Inputs'!$AQ$3=3,'Pricing Inputs'!$AQ$3=6,'Pricing Inputs'!$AQ$3=9),IF(AND('Pricing Inputs'!$AQ$3&gt;=3,'Pricing Inputs'!$AQ$3&lt;=6),M338,(VLOOKUP(A338,ScaledPrice,7))*(2-(VLOOKUP(A338,ScaledPrice,3)))),0))</f>
        <v xml:space="preserve"> </v>
      </c>
      <c r="O338" s="255" t="str">
        <f>IF(A338="N/A"," ",IF(AND('Pricing Inputs'!$AQ$3&gt;=1,'Pricing Inputs'!$AQ$3&lt;=3),VLOOKUP(A338,ScaledPrice,9),0))</f>
        <v xml:space="preserve"> </v>
      </c>
      <c r="P338" s="320" t="str">
        <f>IF($A338="N/A"," ",IF('Pricing Inputs'!$AN$8=2,(I338-H338),IF('Pricing Inputs'!$AN$3=2,IF((I338-$H338)&gt;0,I338-$H338,0),(_xll.xSPRDOPT(I338,$E338,$BU338,0,$BP338,$BS338,$BT338,($A338-Inputs!$D$1)+15,1,0)))))</f>
        <v xml:space="preserve"> </v>
      </c>
      <c r="Q338" s="320" t="str">
        <f>IF($A338="N/A"," ",IF('Pricing Inputs'!$AN$8=2,(J338-$H338),IF('Pricing Inputs'!$AN$3=2,IF((J338-$H338)&gt;0,J338-$H338,0),(_xll.xSPRDOPT(J338,$E338,$BU338,0,$BP338,$BS338,$BT338,($A338-Inputs!$D$1)+15,1,0)))))</f>
        <v xml:space="preserve"> </v>
      </c>
      <c r="R338" s="320" t="str">
        <f>IF($A338="N/A"," ",IF('Pricing Inputs'!$AN$8=2,(K338-$H338),IF('Pricing Inputs'!$AN$3=2,IF((K338-$H338)&gt;0,K338-$H338,0),(_xll.xSPRDOPT(K338,$E338,$BU338,0,$BP338,$BS338,$BT338,($A338-Inputs!$D$1)+15,1,0)))))</f>
        <v xml:space="preserve"> </v>
      </c>
      <c r="S338" s="320" t="str">
        <f>IF($A338="N/A"," ",IF('Pricing Inputs'!$AN$8=2,(L338-$H338),IF('Pricing Inputs'!$AN$3=2,IF((L338-$H338)&gt;0,L338-$H338,0),(_xll.xSPRDOPT(L338,$E338,$BU338,0,$BP338,$BS338,$BT338,($A338-Inputs!$D$1)+15,1,0)))))</f>
        <v xml:space="preserve"> </v>
      </c>
      <c r="T338" s="320" t="str">
        <f>IF($A338="N/A"," ",IF('Pricing Inputs'!$AN$8=2,(M338-$H338),IF('Pricing Inputs'!$AN$3=2,IF((M338-$H338)&gt;0,M338-$H338,0),(_xll.xSPRDOPT(M338,$E338,$BU338,0,$BP338,$BS338,$BT338,($A338-Inputs!$D$1)+15,1,0)))))</f>
        <v xml:space="preserve"> </v>
      </c>
      <c r="U338" s="320" t="str">
        <f>IF($A338="N/A"," ",IF('Pricing Inputs'!$AN$8=2,(N338-$H338),IF('Pricing Inputs'!$AN$3=2,IF((N338-$H338)&gt;0,N338-$H338,0),(_xll.xSPRDOPT(N338,$E338,$BU338,0,$BP338,$BS338,$BT338,($A338-Inputs!$D$1)+15,1,0)))))</f>
        <v xml:space="preserve"> </v>
      </c>
      <c r="V338" s="259" t="str">
        <f>IF($A338="N/A"," ",(IF('Pricing Inputs'!$AN$8=2,(O338-$H338),IF((O338-$H338)&lt;=0,0,(O338-$H338)))))</f>
        <v xml:space="preserve"> </v>
      </c>
      <c r="BA338" s="267" t="str">
        <f>IF($A338="N/A"," ",(IF(MONTH(A338)&gt;=4,IF(MONTH(A338)&lt;=10,Inputs!$F$13,Inputs!$F$14),Inputs!$F$14))*$BW338)</f>
        <v xml:space="preserve"> </v>
      </c>
      <c r="BN338" s="405" t="str">
        <f>IF(A338="N/A"," ",(VLOOKUP(A338,PowerVolTable,(IF('Pricing Inputs'!$AT$3=2,7,IF('Pricing Inputs'!$AT$3=1,6,8))),FALSE)))</f>
        <v xml:space="preserve"> </v>
      </c>
      <c r="BO338" s="405" t="str">
        <f>IF(A338="N/A"," ",(VLOOKUP(A338,IntraPowerVol,(IF('Pricing Inputs'!$AT$3=2,3,IF('Pricing Inputs'!$AT$3=1,2,4))),FALSE)*VLOOKUP(MONTH($A338),Inputs!$A$28:$B$39,2)))</f>
        <v xml:space="preserve"> </v>
      </c>
      <c r="BP338" s="406" t="str">
        <f t="shared" si="436"/>
        <v xml:space="preserve"> </v>
      </c>
      <c r="BQ338" s="405" t="str">
        <f>IF($A338="N/A"," ",(VLOOKUP($A338,GasVolTable,(IF('Pricing Inputs'!$AT$3=2,6,IF('Pricing Inputs'!$AT$3=1,7,5))),FALSE)))</f>
        <v xml:space="preserve"> </v>
      </c>
      <c r="BR338" s="405" t="str">
        <f>IF($A338="N/A"," ",(VLOOKUP($A338,OmicronVol,(IF('Pricing Inputs'!$AT$3=2,3,IF('Pricing Inputs'!$AT$3=1,4,2))),FALSE)))</f>
        <v xml:space="preserve"> </v>
      </c>
      <c r="BS338" s="406" t="str">
        <f>IF($A338="N/A"," ",IF('Pricing Inputs'!$AN$3=1,(IF(DateToday&gt;$A338,$BR338,((($BQ338^2)*((($A338-1)-DateToday)/((EOMONTH($A338,0)+1)-DateToday-15)))+((($BR338)^2)*((15)/((EOMONTH($A338,0)+1)-DateToday-15))))^0.5)),0.0001))</f>
        <v xml:space="preserve"> </v>
      </c>
      <c r="BT338" s="405" t="str">
        <f>IF($A338="N/A"," ",IF('Pricing Inputs'!$AN$3=1,(VLOOKUP($A338,CorrelationTable,2,FALSE)),0))</f>
        <v xml:space="preserve"> </v>
      </c>
      <c r="BU338" s="407" t="str">
        <f>IF($A338="N/A"," ",F338+G338+(D338*(VLOOKUP($A338,'Gas Curves'!$B$17:$P$310,14,FALSE))))</f>
        <v xml:space="preserve"> </v>
      </c>
      <c r="BV338" s="405" t="str">
        <f>IF($A338="N/A"," ",IF('Pricing Inputs'!$AW$3=1,0,(VLOOKUP($A338,InterestRatesTable,2))))</f>
        <v xml:space="preserve"> </v>
      </c>
      <c r="BW338" s="408" t="str">
        <f t="shared" si="437"/>
        <v xml:space="preserve"> </v>
      </c>
    </row>
    <row r="339" spans="1:75">
      <c r="A339" s="248" t="str">
        <f>IF(A338="N/A","N/A",IF(EDATE(A338,1)&gt;Inputs!$K$3,"N/A",EDATE(A338,1)))</f>
        <v>N/A</v>
      </c>
      <c r="B339" s="262" t="str">
        <f t="shared" si="438"/>
        <v xml:space="preserve"> </v>
      </c>
      <c r="C339" s="249" t="str">
        <f t="shared" si="439"/>
        <v xml:space="preserve"> </v>
      </c>
      <c r="D339" s="250" t="str">
        <f>IF(A339="N/A"," ",(VLOOKUP(MONTH($A339),Inputs!$A$14:$B$25,2))/1000)</f>
        <v xml:space="preserve"> </v>
      </c>
      <c r="E339" s="304" t="str">
        <f t="shared" si="440"/>
        <v xml:space="preserve"> </v>
      </c>
      <c r="F339" s="251" t="str">
        <f>IF(A339="N/A"," ",Inputs!$F$6)</f>
        <v xml:space="preserve"> </v>
      </c>
      <c r="G339" s="251" t="str">
        <f>IF(A339="N/A"," ",Inputs!$F$9/IF(AND('Pricing Inputs'!$AQ$3&gt;=4,'Pricing Inputs'!$AQ$3&lt;=6),16,IF(AND('Pricing Inputs'!$AQ$3&gt;=7,'Pricing Inputs'!$AQ$3&lt;=9),8,24))/(BA339/BW339))</f>
        <v xml:space="preserve"> </v>
      </c>
      <c r="H339" s="252" t="str">
        <f t="shared" si="441"/>
        <v xml:space="preserve"> </v>
      </c>
      <c r="I339" s="255" t="str">
        <f>VLOOKUP(A339,ScaledPrice,(IF(AND('Pricing Inputs'!$AQ$3&gt;=1,'Pricing Inputs'!$AQ$3&lt;=6),2,4)))</f>
        <v xml:space="preserve"> </v>
      </c>
      <c r="J339" s="255" t="str">
        <f>IF(A339="N/A"," ",IF(AND('Pricing Inputs'!$AQ$3&gt;=1,'Pricing Inputs'!$AQ$3&lt;=6),I339,(VLOOKUP(A339,ScaledPrice,2))*(2-(VLOOKUP(A339,ScaledPrice,3)))))</f>
        <v xml:space="preserve"> </v>
      </c>
      <c r="K339" s="255" t="str">
        <f>IF(A339="N/A"," ",IF(OR('Pricing Inputs'!$AQ$3=2,'Pricing Inputs'!$AQ$3=3,'Pricing Inputs'!$AQ$3=5,'Pricing Inputs'!$AQ$3=6,'Pricing Inputs'!$AQ$3=8,'Pricing Inputs'!$AQ$3=9),VLOOKUP(A339,ScaledPrice,IF(AND('Pricing Inputs'!$AQ$3&gt;=2,'Pricing Inputs'!$AQ$3&lt;=6),5,6)),0))</f>
        <v xml:space="preserve"> </v>
      </c>
      <c r="L339" s="255" t="str">
        <f>IF(A339="N/A"," ",IF(OR('Pricing Inputs'!$AQ$3=2,'Pricing Inputs'!$AQ$3=3,'Pricing Inputs'!$AQ$3=5,'Pricing Inputs'!$AQ$3=6,'Pricing Inputs'!$AQ$3=8,'Pricing Inputs'!$AQ$3=9),IF(AND('Pricing Inputs'!$AQ$3&gt;=2,'Pricing Inputs'!$AQ$3&lt;=6),K339,(VLOOKUP(A339,ScaledPrice,5))*(2-(VLOOKUP(A339,ScaledPrice,3)))),0))</f>
        <v xml:space="preserve"> </v>
      </c>
      <c r="M339" s="255" t="str">
        <f>IF(A339="N/A"," ",IF(OR('Pricing Inputs'!$AQ$3=3,'Pricing Inputs'!$AQ$3=6,'Pricing Inputs'!$AQ$3=9),(VLOOKUP(A339,ScaledPrice,IF(AND('Pricing Inputs'!$AQ$3&gt;=3,'Pricing Inputs'!$AQ$3&lt;=6),7,8))),0))</f>
        <v xml:space="preserve"> </v>
      </c>
      <c r="N339" s="255" t="str">
        <f>IF(A339="N/A"," ",IF(OR('Pricing Inputs'!$AQ$3=3,'Pricing Inputs'!$AQ$3=6,'Pricing Inputs'!$AQ$3=9),IF(AND('Pricing Inputs'!$AQ$3&gt;=3,'Pricing Inputs'!$AQ$3&lt;=6),M339,(VLOOKUP(A339,ScaledPrice,7))*(2-(VLOOKUP(A339,ScaledPrice,3)))),0))</f>
        <v xml:space="preserve"> </v>
      </c>
      <c r="O339" s="255" t="str">
        <f>IF(A339="N/A"," ",IF(AND('Pricing Inputs'!$AQ$3&gt;=1,'Pricing Inputs'!$AQ$3&lt;=3),VLOOKUP(A339,ScaledPrice,9),0))</f>
        <v xml:space="preserve"> </v>
      </c>
      <c r="P339" s="320" t="str">
        <f>IF($A339="N/A"," ",IF('Pricing Inputs'!$AN$8=2,(I339-H339),IF('Pricing Inputs'!$AN$3=2,IF((I339-$H339)&gt;0,I339-$H339,0),(_xll.xSPRDOPT(I339,$E339,$BU339,0,$BP339,$BS339,$BT339,($A339-Inputs!$D$1)+15,1,0)))))</f>
        <v xml:space="preserve"> </v>
      </c>
      <c r="Q339" s="320" t="str">
        <f>IF($A339="N/A"," ",IF('Pricing Inputs'!$AN$8=2,(J339-$H339),IF('Pricing Inputs'!$AN$3=2,IF((J339-$H339)&gt;0,J339-$H339,0),(_xll.xSPRDOPT(J339,$E339,$BU339,0,$BP339,$BS339,$BT339,($A339-Inputs!$D$1)+15,1,0)))))</f>
        <v xml:space="preserve"> </v>
      </c>
      <c r="R339" s="320" t="str">
        <f>IF($A339="N/A"," ",IF('Pricing Inputs'!$AN$8=2,(K339-$H339),IF('Pricing Inputs'!$AN$3=2,IF((K339-$H339)&gt;0,K339-$H339,0),(_xll.xSPRDOPT(K339,$E339,$BU339,0,$BP339,$BS339,$BT339,($A339-Inputs!$D$1)+15,1,0)))))</f>
        <v xml:space="preserve"> </v>
      </c>
      <c r="S339" s="320" t="str">
        <f>IF($A339="N/A"," ",IF('Pricing Inputs'!$AN$8=2,(L339-$H339),IF('Pricing Inputs'!$AN$3=2,IF((L339-$H339)&gt;0,L339-$H339,0),(_xll.xSPRDOPT(L339,$E339,$BU339,0,$BP339,$BS339,$BT339,($A339-Inputs!$D$1)+15,1,0)))))</f>
        <v xml:space="preserve"> </v>
      </c>
      <c r="T339" s="320" t="str">
        <f>IF($A339="N/A"," ",IF('Pricing Inputs'!$AN$8=2,(M339-$H339),IF('Pricing Inputs'!$AN$3=2,IF((M339-$H339)&gt;0,M339-$H339,0),(_xll.xSPRDOPT(M339,$E339,$BU339,0,$BP339,$BS339,$BT339,($A339-Inputs!$D$1)+15,1,0)))))</f>
        <v xml:space="preserve"> </v>
      </c>
      <c r="U339" s="320" t="str">
        <f>IF($A339="N/A"," ",IF('Pricing Inputs'!$AN$8=2,(N339-$H339),IF('Pricing Inputs'!$AN$3=2,IF((N339-$H339)&gt;0,N339-$H339,0),(_xll.xSPRDOPT(N339,$E339,$BU339,0,$BP339,$BS339,$BT339,($A339-Inputs!$D$1)+15,1,0)))))</f>
        <v xml:space="preserve"> </v>
      </c>
      <c r="V339" s="259" t="str">
        <f>IF($A339="N/A"," ",(IF('Pricing Inputs'!$AN$8=2,(O339-$H339),IF((O339-$H339)&lt;=0,0,(O339-$H339)))))</f>
        <v xml:space="preserve"> </v>
      </c>
      <c r="BA339" s="267" t="str">
        <f>IF($A339="N/A"," ",(IF(MONTH(A339)&gt;=4,IF(MONTH(A339)&lt;=10,Inputs!$F$13,Inputs!$F$14),Inputs!$F$14))*$BW339)</f>
        <v xml:space="preserve"> </v>
      </c>
      <c r="BN339" s="405" t="str">
        <f>IF(A339="N/A"," ",(VLOOKUP(A339,PowerVolTable,(IF('Pricing Inputs'!$AT$3=2,7,IF('Pricing Inputs'!$AT$3=1,6,8))),FALSE)))</f>
        <v xml:space="preserve"> </v>
      </c>
      <c r="BO339" s="405" t="str">
        <f>IF(A339="N/A"," ",(VLOOKUP(A339,IntraPowerVol,(IF('Pricing Inputs'!$AT$3=2,3,IF('Pricing Inputs'!$AT$3=1,2,4))),FALSE)*VLOOKUP(MONTH($A339),Inputs!$A$28:$B$39,2)))</f>
        <v xml:space="preserve"> </v>
      </c>
      <c r="BP339" s="406" t="str">
        <f t="shared" si="436"/>
        <v xml:space="preserve"> </v>
      </c>
      <c r="BQ339" s="405" t="str">
        <f>IF($A339="N/A"," ",(VLOOKUP($A339,GasVolTable,(IF('Pricing Inputs'!$AT$3=2,6,IF('Pricing Inputs'!$AT$3=1,7,5))),FALSE)))</f>
        <v xml:space="preserve"> </v>
      </c>
      <c r="BR339" s="405" t="str">
        <f>IF($A339="N/A"," ",(VLOOKUP($A339,OmicronVol,(IF('Pricing Inputs'!$AT$3=2,3,IF('Pricing Inputs'!$AT$3=1,4,2))),FALSE)))</f>
        <v xml:space="preserve"> </v>
      </c>
      <c r="BS339" s="406" t="str">
        <f>IF($A339="N/A"," ",IF('Pricing Inputs'!$AN$3=1,(IF(DateToday&gt;$A339,$BR339,((($BQ339^2)*((($A339-1)-DateToday)/((EOMONTH($A339,0)+1)-DateToday-15)))+((($BR339)^2)*((15)/((EOMONTH($A339,0)+1)-DateToday-15))))^0.5)),0.0001))</f>
        <v xml:space="preserve"> </v>
      </c>
      <c r="BT339" s="405" t="str">
        <f>IF($A339="N/A"," ",IF('Pricing Inputs'!$AN$3=1,(VLOOKUP($A339,CorrelationTable,2,FALSE)),0))</f>
        <v xml:space="preserve"> </v>
      </c>
      <c r="BU339" s="407" t="str">
        <f>IF($A339="N/A"," ",F339+G339+(D339*(VLOOKUP($A339,'Gas Curves'!$B$17:$P$310,14,FALSE))))</f>
        <v xml:space="preserve"> </v>
      </c>
      <c r="BV339" s="405" t="str">
        <f>IF($A339="N/A"," ",IF('Pricing Inputs'!$AW$3=1,0,(VLOOKUP($A339,InterestRatesTable,2))))</f>
        <v xml:space="preserve"> </v>
      </c>
      <c r="BW339" s="408" t="str">
        <f t="shared" si="437"/>
        <v xml:space="preserve"> </v>
      </c>
    </row>
    <row r="340" spans="1:75">
      <c r="A340" s="248" t="str">
        <f>IF(A339="N/A","N/A",IF(EDATE(A339,1)&gt;Inputs!$K$3,"N/A",EDATE(A339,1)))</f>
        <v>N/A</v>
      </c>
      <c r="B340" s="262" t="str">
        <f t="shared" si="438"/>
        <v xml:space="preserve"> </v>
      </c>
      <c r="C340" s="249" t="str">
        <f t="shared" si="439"/>
        <v xml:space="preserve"> </v>
      </c>
      <c r="D340" s="250" t="str">
        <f>IF(A340="N/A"," ",(VLOOKUP(MONTH($A340),Inputs!$A$14:$B$25,2))/1000)</f>
        <v xml:space="preserve"> </v>
      </c>
      <c r="E340" s="304" t="str">
        <f t="shared" si="440"/>
        <v xml:space="preserve"> </v>
      </c>
      <c r="F340" s="251" t="str">
        <f>IF(A340="N/A"," ",Inputs!$F$6)</f>
        <v xml:space="preserve"> </v>
      </c>
      <c r="G340" s="251" t="str">
        <f>IF(A340="N/A"," ",Inputs!$F$9/IF(AND('Pricing Inputs'!$AQ$3&gt;=4,'Pricing Inputs'!$AQ$3&lt;=6),16,IF(AND('Pricing Inputs'!$AQ$3&gt;=7,'Pricing Inputs'!$AQ$3&lt;=9),8,24))/(BA340/BW340))</f>
        <v xml:space="preserve"> </v>
      </c>
      <c r="H340" s="252" t="str">
        <f t="shared" si="441"/>
        <v xml:space="preserve"> </v>
      </c>
      <c r="I340" s="255" t="str">
        <f>VLOOKUP(A340,ScaledPrice,(IF(AND('Pricing Inputs'!$AQ$3&gt;=1,'Pricing Inputs'!$AQ$3&lt;=6),2,4)))</f>
        <v xml:space="preserve"> </v>
      </c>
      <c r="J340" s="255" t="str">
        <f>IF(A340="N/A"," ",IF(AND('Pricing Inputs'!$AQ$3&gt;=1,'Pricing Inputs'!$AQ$3&lt;=6),I340,(VLOOKUP(A340,ScaledPrice,2))*(2-(VLOOKUP(A340,ScaledPrice,3)))))</f>
        <v xml:space="preserve"> </v>
      </c>
      <c r="K340" s="255" t="str">
        <f>IF(A340="N/A"," ",IF(OR('Pricing Inputs'!$AQ$3=2,'Pricing Inputs'!$AQ$3=3,'Pricing Inputs'!$AQ$3=5,'Pricing Inputs'!$AQ$3=6,'Pricing Inputs'!$AQ$3=8,'Pricing Inputs'!$AQ$3=9),VLOOKUP(A340,ScaledPrice,IF(AND('Pricing Inputs'!$AQ$3&gt;=2,'Pricing Inputs'!$AQ$3&lt;=6),5,6)),0))</f>
        <v xml:space="preserve"> </v>
      </c>
      <c r="L340" s="255" t="str">
        <f>IF(A340="N/A"," ",IF(OR('Pricing Inputs'!$AQ$3=2,'Pricing Inputs'!$AQ$3=3,'Pricing Inputs'!$AQ$3=5,'Pricing Inputs'!$AQ$3=6,'Pricing Inputs'!$AQ$3=8,'Pricing Inputs'!$AQ$3=9),IF(AND('Pricing Inputs'!$AQ$3&gt;=2,'Pricing Inputs'!$AQ$3&lt;=6),K340,(VLOOKUP(A340,ScaledPrice,5))*(2-(VLOOKUP(A340,ScaledPrice,3)))),0))</f>
        <v xml:space="preserve"> </v>
      </c>
      <c r="M340" s="255" t="str">
        <f>IF(A340="N/A"," ",IF(OR('Pricing Inputs'!$AQ$3=3,'Pricing Inputs'!$AQ$3=6,'Pricing Inputs'!$AQ$3=9),(VLOOKUP(A340,ScaledPrice,IF(AND('Pricing Inputs'!$AQ$3&gt;=3,'Pricing Inputs'!$AQ$3&lt;=6),7,8))),0))</f>
        <v xml:space="preserve"> </v>
      </c>
      <c r="N340" s="255" t="str">
        <f>IF(A340="N/A"," ",IF(OR('Pricing Inputs'!$AQ$3=3,'Pricing Inputs'!$AQ$3=6,'Pricing Inputs'!$AQ$3=9),IF(AND('Pricing Inputs'!$AQ$3&gt;=3,'Pricing Inputs'!$AQ$3&lt;=6),M340,(VLOOKUP(A340,ScaledPrice,7))*(2-(VLOOKUP(A340,ScaledPrice,3)))),0))</f>
        <v xml:space="preserve"> </v>
      </c>
      <c r="O340" s="255" t="str">
        <f>IF(A340="N/A"," ",IF(AND('Pricing Inputs'!$AQ$3&gt;=1,'Pricing Inputs'!$AQ$3&lt;=3),VLOOKUP(A340,ScaledPrice,9),0))</f>
        <v xml:space="preserve"> </v>
      </c>
      <c r="P340" s="320" t="str">
        <f>IF($A340="N/A"," ",IF('Pricing Inputs'!$AN$8=2,(I340-H340),IF('Pricing Inputs'!$AN$3=2,IF((I340-$H340)&gt;0,I340-$H340,0),(_xll.xSPRDOPT(I340,$E340,$BU340,0,$BP340,$BS340,$BT340,($A340-Inputs!$D$1)+15,1,0)))))</f>
        <v xml:space="preserve"> </v>
      </c>
      <c r="Q340" s="320" t="str">
        <f>IF($A340="N/A"," ",IF('Pricing Inputs'!$AN$8=2,(J340-$H340),IF('Pricing Inputs'!$AN$3=2,IF((J340-$H340)&gt;0,J340-$H340,0),(_xll.xSPRDOPT(J340,$E340,$BU340,0,$BP340,$BS340,$BT340,($A340-Inputs!$D$1)+15,1,0)))))</f>
        <v xml:space="preserve"> </v>
      </c>
      <c r="R340" s="320" t="str">
        <f>IF($A340="N/A"," ",IF('Pricing Inputs'!$AN$8=2,(K340-$H340),IF('Pricing Inputs'!$AN$3=2,IF((K340-$H340)&gt;0,K340-$H340,0),(_xll.xSPRDOPT(K340,$E340,$BU340,0,$BP340,$BS340,$BT340,($A340-Inputs!$D$1)+15,1,0)))))</f>
        <v xml:space="preserve"> </v>
      </c>
      <c r="S340" s="320" t="str">
        <f>IF($A340="N/A"," ",IF('Pricing Inputs'!$AN$8=2,(L340-$H340),IF('Pricing Inputs'!$AN$3=2,IF((L340-$H340)&gt;0,L340-$H340,0),(_xll.xSPRDOPT(L340,$E340,$BU340,0,$BP340,$BS340,$BT340,($A340-Inputs!$D$1)+15,1,0)))))</f>
        <v xml:space="preserve"> </v>
      </c>
      <c r="T340" s="320" t="str">
        <f>IF($A340="N/A"," ",IF('Pricing Inputs'!$AN$8=2,(M340-$H340),IF('Pricing Inputs'!$AN$3=2,IF((M340-$H340)&gt;0,M340-$H340,0),(_xll.xSPRDOPT(M340,$E340,$BU340,0,$BP340,$BS340,$BT340,($A340-Inputs!$D$1)+15,1,0)))))</f>
        <v xml:space="preserve"> </v>
      </c>
      <c r="U340" s="320" t="str">
        <f>IF($A340="N/A"," ",IF('Pricing Inputs'!$AN$8=2,(N340-$H340),IF('Pricing Inputs'!$AN$3=2,IF((N340-$H340)&gt;0,N340-$H340,0),(_xll.xSPRDOPT(N340,$E340,$BU340,0,$BP340,$BS340,$BT340,($A340-Inputs!$D$1)+15,1,0)))))</f>
        <v xml:space="preserve"> </v>
      </c>
      <c r="V340" s="259" t="str">
        <f>IF($A340="N/A"," ",(IF('Pricing Inputs'!$AN$8=2,(O340-$H340),IF((O340-$H340)&lt;=0,0,(O340-$H340)))))</f>
        <v xml:space="preserve"> </v>
      </c>
      <c r="BA340" s="267" t="str">
        <f>IF($A340="N/A"," ",(IF(MONTH(A340)&gt;=4,IF(MONTH(A340)&lt;=10,Inputs!$F$13,Inputs!$F$14),Inputs!$F$14))*$BW340)</f>
        <v xml:space="preserve"> </v>
      </c>
      <c r="BN340" s="405" t="str">
        <f>IF(A340="N/A"," ",(VLOOKUP(A340,PowerVolTable,(IF('Pricing Inputs'!$AT$3=2,7,IF('Pricing Inputs'!$AT$3=1,6,8))),FALSE)))</f>
        <v xml:space="preserve"> </v>
      </c>
      <c r="BO340" s="405" t="str">
        <f>IF(A340="N/A"," ",(VLOOKUP(A340,IntraPowerVol,(IF('Pricing Inputs'!$AT$3=2,3,IF('Pricing Inputs'!$AT$3=1,2,4))),FALSE)*VLOOKUP(MONTH($A340),Inputs!$A$28:$B$39,2)))</f>
        <v xml:space="preserve"> </v>
      </c>
      <c r="BP340" s="406" t="str">
        <f t="shared" si="436"/>
        <v xml:space="preserve"> </v>
      </c>
      <c r="BQ340" s="405" t="str">
        <f>IF($A340="N/A"," ",(VLOOKUP($A340,GasVolTable,(IF('Pricing Inputs'!$AT$3=2,6,IF('Pricing Inputs'!$AT$3=1,7,5))),FALSE)))</f>
        <v xml:space="preserve"> </v>
      </c>
      <c r="BR340" s="405" t="str">
        <f>IF($A340="N/A"," ",(VLOOKUP($A340,OmicronVol,(IF('Pricing Inputs'!$AT$3=2,3,IF('Pricing Inputs'!$AT$3=1,4,2))),FALSE)))</f>
        <v xml:space="preserve"> </v>
      </c>
      <c r="BS340" s="406" t="str">
        <f>IF($A340="N/A"," ",IF('Pricing Inputs'!$AN$3=1,(IF(DateToday&gt;$A340,$BR340,((($BQ340^2)*((($A340-1)-DateToday)/((EOMONTH($A340,0)+1)-DateToday-15)))+((($BR340)^2)*((15)/((EOMONTH($A340,0)+1)-DateToday-15))))^0.5)),0.0001))</f>
        <v xml:space="preserve"> </v>
      </c>
      <c r="BT340" s="405" t="str">
        <f>IF($A340="N/A"," ",IF('Pricing Inputs'!$AN$3=1,(VLOOKUP($A340,CorrelationTable,2,FALSE)),0))</f>
        <v xml:space="preserve"> </v>
      </c>
      <c r="BU340" s="407" t="str">
        <f>IF($A340="N/A"," ",F340+G340+(D340*(VLOOKUP($A340,'Gas Curves'!$B$17:$P$310,14,FALSE))))</f>
        <v xml:space="preserve"> </v>
      </c>
      <c r="BV340" s="405" t="str">
        <f>IF($A340="N/A"," ",IF('Pricing Inputs'!$AW$3=1,0,(VLOOKUP($A340,InterestRatesTable,2))))</f>
        <v xml:space="preserve"> </v>
      </c>
      <c r="BW340" s="408" t="str">
        <f t="shared" si="437"/>
        <v xml:space="preserve"> </v>
      </c>
    </row>
    <row r="341" spans="1:75">
      <c r="A341" s="248" t="str">
        <f>IF(A340="N/A","N/A",IF(EDATE(A340,1)&gt;Inputs!$K$3,"N/A",EDATE(A340,1)))</f>
        <v>N/A</v>
      </c>
      <c r="B341" s="262" t="str">
        <f t="shared" si="438"/>
        <v xml:space="preserve"> </v>
      </c>
      <c r="C341" s="249" t="str">
        <f t="shared" si="439"/>
        <v xml:space="preserve"> </v>
      </c>
      <c r="D341" s="250" t="str">
        <f>IF(A341="N/A"," ",(VLOOKUP(MONTH($A341),Inputs!$A$14:$B$25,2))/1000)</f>
        <v xml:space="preserve"> </v>
      </c>
      <c r="E341" s="304" t="str">
        <f t="shared" si="440"/>
        <v xml:space="preserve"> </v>
      </c>
      <c r="F341" s="251" t="str">
        <f>IF(A341="N/A"," ",Inputs!$F$6)</f>
        <v xml:space="preserve"> </v>
      </c>
      <c r="G341" s="251" t="str">
        <f>IF(A341="N/A"," ",Inputs!$F$9/IF(AND('Pricing Inputs'!$AQ$3&gt;=4,'Pricing Inputs'!$AQ$3&lt;=6),16,IF(AND('Pricing Inputs'!$AQ$3&gt;=7,'Pricing Inputs'!$AQ$3&lt;=9),8,24))/(BA341/BW341))</f>
        <v xml:space="preserve"> </v>
      </c>
      <c r="H341" s="252" t="str">
        <f t="shared" si="441"/>
        <v xml:space="preserve"> </v>
      </c>
      <c r="I341" s="255" t="str">
        <f>VLOOKUP(A341,ScaledPrice,(IF(AND('Pricing Inputs'!$AQ$3&gt;=1,'Pricing Inputs'!$AQ$3&lt;=6),2,4)))</f>
        <v xml:space="preserve"> </v>
      </c>
      <c r="J341" s="255" t="str">
        <f>IF(A341="N/A"," ",IF(AND('Pricing Inputs'!$AQ$3&gt;=1,'Pricing Inputs'!$AQ$3&lt;=6),I341,(VLOOKUP(A341,ScaledPrice,2))*(2-(VLOOKUP(A341,ScaledPrice,3)))))</f>
        <v xml:space="preserve"> </v>
      </c>
      <c r="K341" s="255" t="str">
        <f>IF(A341="N/A"," ",IF(OR('Pricing Inputs'!$AQ$3=2,'Pricing Inputs'!$AQ$3=3,'Pricing Inputs'!$AQ$3=5,'Pricing Inputs'!$AQ$3=6,'Pricing Inputs'!$AQ$3=8,'Pricing Inputs'!$AQ$3=9),VLOOKUP(A341,ScaledPrice,IF(AND('Pricing Inputs'!$AQ$3&gt;=2,'Pricing Inputs'!$AQ$3&lt;=6),5,6)),0))</f>
        <v xml:space="preserve"> </v>
      </c>
      <c r="L341" s="255" t="str">
        <f>IF(A341="N/A"," ",IF(OR('Pricing Inputs'!$AQ$3=2,'Pricing Inputs'!$AQ$3=3,'Pricing Inputs'!$AQ$3=5,'Pricing Inputs'!$AQ$3=6,'Pricing Inputs'!$AQ$3=8,'Pricing Inputs'!$AQ$3=9),IF(AND('Pricing Inputs'!$AQ$3&gt;=2,'Pricing Inputs'!$AQ$3&lt;=6),K341,(VLOOKUP(A341,ScaledPrice,5))*(2-(VLOOKUP(A341,ScaledPrice,3)))),0))</f>
        <v xml:space="preserve"> </v>
      </c>
      <c r="M341" s="255" t="str">
        <f>IF(A341="N/A"," ",IF(OR('Pricing Inputs'!$AQ$3=3,'Pricing Inputs'!$AQ$3=6,'Pricing Inputs'!$AQ$3=9),(VLOOKUP(A341,ScaledPrice,IF(AND('Pricing Inputs'!$AQ$3&gt;=3,'Pricing Inputs'!$AQ$3&lt;=6),7,8))),0))</f>
        <v xml:space="preserve"> </v>
      </c>
      <c r="N341" s="255" t="str">
        <f>IF(A341="N/A"," ",IF(OR('Pricing Inputs'!$AQ$3=3,'Pricing Inputs'!$AQ$3=6,'Pricing Inputs'!$AQ$3=9),IF(AND('Pricing Inputs'!$AQ$3&gt;=3,'Pricing Inputs'!$AQ$3&lt;=6),M341,(VLOOKUP(A341,ScaledPrice,7))*(2-(VLOOKUP(A341,ScaledPrice,3)))),0))</f>
        <v xml:space="preserve"> </v>
      </c>
      <c r="O341" s="255" t="str">
        <f>IF(A341="N/A"," ",IF(AND('Pricing Inputs'!$AQ$3&gt;=1,'Pricing Inputs'!$AQ$3&lt;=3),VLOOKUP(A341,ScaledPrice,9),0))</f>
        <v xml:space="preserve"> </v>
      </c>
      <c r="P341" s="320" t="str">
        <f>IF($A341="N/A"," ",IF('Pricing Inputs'!$AN$8=2,(I341-H341),IF('Pricing Inputs'!$AN$3=2,IF((I341-$H341)&gt;0,I341-$H341,0),(_xll.xSPRDOPT(I341,$E341,$BU341,0,$BP341,$BS341,$BT341,($A341-Inputs!$D$1)+15,1,0)))))</f>
        <v xml:space="preserve"> </v>
      </c>
      <c r="Q341" s="320" t="str">
        <f>IF($A341="N/A"," ",IF('Pricing Inputs'!$AN$8=2,(J341-$H341),IF('Pricing Inputs'!$AN$3=2,IF((J341-$H341)&gt;0,J341-$H341,0),(_xll.xSPRDOPT(J341,$E341,$BU341,0,$BP341,$BS341,$BT341,($A341-Inputs!$D$1)+15,1,0)))))</f>
        <v xml:space="preserve"> </v>
      </c>
      <c r="R341" s="320" t="str">
        <f>IF($A341="N/A"," ",IF('Pricing Inputs'!$AN$8=2,(K341-$H341),IF('Pricing Inputs'!$AN$3=2,IF((K341-$H341)&gt;0,K341-$H341,0),(_xll.xSPRDOPT(K341,$E341,$BU341,0,$BP341,$BS341,$BT341,($A341-Inputs!$D$1)+15,1,0)))))</f>
        <v xml:space="preserve"> </v>
      </c>
      <c r="S341" s="320" t="str">
        <f>IF($A341="N/A"," ",IF('Pricing Inputs'!$AN$8=2,(L341-$H341),IF('Pricing Inputs'!$AN$3=2,IF((L341-$H341)&gt;0,L341-$H341,0),(_xll.xSPRDOPT(L341,$E341,$BU341,0,$BP341,$BS341,$BT341,($A341-Inputs!$D$1)+15,1,0)))))</f>
        <v xml:space="preserve"> </v>
      </c>
      <c r="T341" s="320" t="str">
        <f>IF($A341="N/A"," ",IF('Pricing Inputs'!$AN$8=2,(M341-$H341),IF('Pricing Inputs'!$AN$3=2,IF((M341-$H341)&gt;0,M341-$H341,0),(_xll.xSPRDOPT(M341,$E341,$BU341,0,$BP341,$BS341,$BT341,($A341-Inputs!$D$1)+15,1,0)))))</f>
        <v xml:space="preserve"> </v>
      </c>
      <c r="U341" s="320" t="str">
        <f>IF($A341="N/A"," ",IF('Pricing Inputs'!$AN$8=2,(N341-$H341),IF('Pricing Inputs'!$AN$3=2,IF((N341-$H341)&gt;0,N341-$H341,0),(_xll.xSPRDOPT(N341,$E341,$BU341,0,$BP341,$BS341,$BT341,($A341-Inputs!$D$1)+15,1,0)))))</f>
        <v xml:space="preserve"> </v>
      </c>
      <c r="V341" s="259" t="str">
        <f>IF($A341="N/A"," ",(IF('Pricing Inputs'!$AN$8=2,(O341-$H341),IF((O341-$H341)&lt;=0,0,(O341-$H341)))))</f>
        <v xml:space="preserve"> </v>
      </c>
      <c r="BA341" s="267" t="str">
        <f>IF($A341="N/A"," ",(IF(MONTH(A341)&gt;=4,IF(MONTH(A341)&lt;=10,Inputs!$F$13,Inputs!$F$14),Inputs!$F$14))*$BW341)</f>
        <v xml:space="preserve"> </v>
      </c>
      <c r="BN341" s="405" t="str">
        <f>IF(A341="N/A"," ",(VLOOKUP(A341,PowerVolTable,(IF('Pricing Inputs'!$AT$3=2,7,IF('Pricing Inputs'!$AT$3=1,6,8))),FALSE)))</f>
        <v xml:space="preserve"> </v>
      </c>
      <c r="BO341" s="405" t="str">
        <f>IF(A341="N/A"," ",(VLOOKUP(A341,IntraPowerVol,(IF('Pricing Inputs'!$AT$3=2,3,IF('Pricing Inputs'!$AT$3=1,2,4))),FALSE)*VLOOKUP(MONTH($A341),Inputs!$A$28:$B$39,2)))</f>
        <v xml:space="preserve"> </v>
      </c>
      <c r="BP341" s="406" t="str">
        <f t="shared" si="436"/>
        <v xml:space="preserve"> </v>
      </c>
      <c r="BQ341" s="405" t="str">
        <f>IF($A341="N/A"," ",(VLOOKUP($A341,GasVolTable,(IF('Pricing Inputs'!$AT$3=2,6,IF('Pricing Inputs'!$AT$3=1,7,5))),FALSE)))</f>
        <v xml:space="preserve"> </v>
      </c>
      <c r="BR341" s="405" t="str">
        <f>IF($A341="N/A"," ",(VLOOKUP($A341,OmicronVol,(IF('Pricing Inputs'!$AT$3=2,3,IF('Pricing Inputs'!$AT$3=1,4,2))),FALSE)))</f>
        <v xml:space="preserve"> </v>
      </c>
      <c r="BS341" s="406" t="str">
        <f>IF($A341="N/A"," ",IF('Pricing Inputs'!$AN$3=1,(IF(DateToday&gt;$A341,$BR341,((($BQ341^2)*((($A341-1)-DateToday)/((EOMONTH($A341,0)+1)-DateToday-15)))+((($BR341)^2)*((15)/((EOMONTH($A341,0)+1)-DateToday-15))))^0.5)),0.0001))</f>
        <v xml:space="preserve"> </v>
      </c>
      <c r="BT341" s="405" t="str">
        <f>IF($A341="N/A"," ",IF('Pricing Inputs'!$AN$3=1,(VLOOKUP($A341,CorrelationTable,2,FALSE)),0))</f>
        <v xml:space="preserve"> </v>
      </c>
      <c r="BU341" s="407" t="str">
        <f>IF($A341="N/A"," ",F341+G341+(D341*(VLOOKUP($A341,'Gas Curves'!$B$17:$P$310,14,FALSE))))</f>
        <v xml:space="preserve"> </v>
      </c>
      <c r="BV341" s="405" t="str">
        <f>IF($A341="N/A"," ",IF('Pricing Inputs'!$AW$3=1,0,(VLOOKUP($A341,InterestRatesTable,2))))</f>
        <v xml:space="preserve"> </v>
      </c>
      <c r="BW341" s="408" t="str">
        <f t="shared" si="437"/>
        <v xml:space="preserve"> </v>
      </c>
    </row>
    <row r="342" spans="1:75">
      <c r="A342" s="248" t="str">
        <f>IF(A341="N/A","N/A",IF(EDATE(A341,1)&gt;Inputs!$K$3,"N/A",EDATE(A341,1)))</f>
        <v>N/A</v>
      </c>
      <c r="B342" s="262" t="str">
        <f t="shared" si="438"/>
        <v xml:space="preserve"> </v>
      </c>
      <c r="C342" s="249" t="str">
        <f t="shared" si="439"/>
        <v xml:space="preserve"> </v>
      </c>
      <c r="D342" s="250" t="str">
        <f>IF(A342="N/A"," ",(VLOOKUP(MONTH($A342),Inputs!$A$14:$B$25,2))/1000)</f>
        <v xml:space="preserve"> </v>
      </c>
      <c r="E342" s="304" t="str">
        <f t="shared" si="440"/>
        <v xml:space="preserve"> </v>
      </c>
      <c r="F342" s="251" t="str">
        <f>IF(A342="N/A"," ",Inputs!$F$6)</f>
        <v xml:space="preserve"> </v>
      </c>
      <c r="G342" s="251" t="str">
        <f>IF(A342="N/A"," ",Inputs!$F$9/IF(AND('Pricing Inputs'!$AQ$3&gt;=4,'Pricing Inputs'!$AQ$3&lt;=6),16,IF(AND('Pricing Inputs'!$AQ$3&gt;=7,'Pricing Inputs'!$AQ$3&lt;=9),8,24))/(BA342/BW342))</f>
        <v xml:space="preserve"> </v>
      </c>
      <c r="H342" s="252" t="str">
        <f t="shared" si="441"/>
        <v xml:space="preserve"> </v>
      </c>
      <c r="I342" s="255" t="str">
        <f>VLOOKUP(A342,ScaledPrice,(IF(AND('Pricing Inputs'!$AQ$3&gt;=1,'Pricing Inputs'!$AQ$3&lt;=6),2,4)))</f>
        <v xml:space="preserve"> </v>
      </c>
      <c r="J342" s="255" t="str">
        <f>IF(A342="N/A"," ",IF(AND('Pricing Inputs'!$AQ$3&gt;=1,'Pricing Inputs'!$AQ$3&lt;=6),I342,(VLOOKUP(A342,ScaledPrice,2))*(2-(VLOOKUP(A342,ScaledPrice,3)))))</f>
        <v xml:space="preserve"> </v>
      </c>
      <c r="K342" s="255" t="str">
        <f>IF(A342="N/A"," ",IF(OR('Pricing Inputs'!$AQ$3=2,'Pricing Inputs'!$AQ$3=3,'Pricing Inputs'!$AQ$3=5,'Pricing Inputs'!$AQ$3=6,'Pricing Inputs'!$AQ$3=8,'Pricing Inputs'!$AQ$3=9),VLOOKUP(A342,ScaledPrice,IF(AND('Pricing Inputs'!$AQ$3&gt;=2,'Pricing Inputs'!$AQ$3&lt;=6),5,6)),0))</f>
        <v xml:space="preserve"> </v>
      </c>
      <c r="L342" s="255" t="str">
        <f>IF(A342="N/A"," ",IF(OR('Pricing Inputs'!$AQ$3=2,'Pricing Inputs'!$AQ$3=3,'Pricing Inputs'!$AQ$3=5,'Pricing Inputs'!$AQ$3=6,'Pricing Inputs'!$AQ$3=8,'Pricing Inputs'!$AQ$3=9),IF(AND('Pricing Inputs'!$AQ$3&gt;=2,'Pricing Inputs'!$AQ$3&lt;=6),K342,(VLOOKUP(A342,ScaledPrice,5))*(2-(VLOOKUP(A342,ScaledPrice,3)))),0))</f>
        <v xml:space="preserve"> </v>
      </c>
      <c r="M342" s="255" t="str">
        <f>IF(A342="N/A"," ",IF(OR('Pricing Inputs'!$AQ$3=3,'Pricing Inputs'!$AQ$3=6,'Pricing Inputs'!$AQ$3=9),(VLOOKUP(A342,ScaledPrice,IF(AND('Pricing Inputs'!$AQ$3&gt;=3,'Pricing Inputs'!$AQ$3&lt;=6),7,8))),0))</f>
        <v xml:space="preserve"> </v>
      </c>
      <c r="N342" s="255" t="str">
        <f>IF(A342="N/A"," ",IF(OR('Pricing Inputs'!$AQ$3=3,'Pricing Inputs'!$AQ$3=6,'Pricing Inputs'!$AQ$3=9),IF(AND('Pricing Inputs'!$AQ$3&gt;=3,'Pricing Inputs'!$AQ$3&lt;=6),M342,(VLOOKUP(A342,ScaledPrice,7))*(2-(VLOOKUP(A342,ScaledPrice,3)))),0))</f>
        <v xml:space="preserve"> </v>
      </c>
      <c r="O342" s="255" t="str">
        <f>IF(A342="N/A"," ",IF(AND('Pricing Inputs'!$AQ$3&gt;=1,'Pricing Inputs'!$AQ$3&lt;=3),VLOOKUP(A342,ScaledPrice,9),0))</f>
        <v xml:space="preserve"> </v>
      </c>
      <c r="P342" s="320" t="str">
        <f>IF($A342="N/A"," ",IF('Pricing Inputs'!$AN$8=2,(I342-H342),IF('Pricing Inputs'!$AN$3=2,IF((I342-$H342)&gt;0,I342-$H342,0),(_xll.xSPRDOPT(I342,$E342,$BU342,0,$BP342,$BS342,$BT342,($A342-Inputs!$D$1)+15,1,0)))))</f>
        <v xml:space="preserve"> </v>
      </c>
      <c r="Q342" s="320" t="str">
        <f>IF($A342="N/A"," ",IF('Pricing Inputs'!$AN$8=2,(J342-$H342),IF('Pricing Inputs'!$AN$3=2,IF((J342-$H342)&gt;0,J342-$H342,0),(_xll.xSPRDOPT(J342,$E342,$BU342,0,$BP342,$BS342,$BT342,($A342-Inputs!$D$1)+15,1,0)))))</f>
        <v xml:space="preserve"> </v>
      </c>
      <c r="R342" s="320" t="str">
        <f>IF($A342="N/A"," ",IF('Pricing Inputs'!$AN$8=2,(K342-$H342),IF('Pricing Inputs'!$AN$3=2,IF((K342-$H342)&gt;0,K342-$H342,0),(_xll.xSPRDOPT(K342,$E342,$BU342,0,$BP342,$BS342,$BT342,($A342-Inputs!$D$1)+15,1,0)))))</f>
        <v xml:space="preserve"> </v>
      </c>
      <c r="S342" s="320" t="str">
        <f>IF($A342="N/A"," ",IF('Pricing Inputs'!$AN$8=2,(L342-$H342),IF('Pricing Inputs'!$AN$3=2,IF((L342-$H342)&gt;0,L342-$H342,0),(_xll.xSPRDOPT(L342,$E342,$BU342,0,$BP342,$BS342,$BT342,($A342-Inputs!$D$1)+15,1,0)))))</f>
        <v xml:space="preserve"> </v>
      </c>
      <c r="T342" s="320" t="str">
        <f>IF($A342="N/A"," ",IF('Pricing Inputs'!$AN$8=2,(M342-$H342),IF('Pricing Inputs'!$AN$3=2,IF((M342-$H342)&gt;0,M342-$H342,0),(_xll.xSPRDOPT(M342,$E342,$BU342,0,$BP342,$BS342,$BT342,($A342-Inputs!$D$1)+15,1,0)))))</f>
        <v xml:space="preserve"> </v>
      </c>
      <c r="U342" s="320" t="str">
        <f>IF($A342="N/A"," ",IF('Pricing Inputs'!$AN$8=2,(N342-$H342),IF('Pricing Inputs'!$AN$3=2,IF((N342-$H342)&gt;0,N342-$H342,0),(_xll.xSPRDOPT(N342,$E342,$BU342,0,$BP342,$BS342,$BT342,($A342-Inputs!$D$1)+15,1,0)))))</f>
        <v xml:space="preserve"> </v>
      </c>
      <c r="V342" s="259" t="str">
        <f>IF($A342="N/A"," ",(IF('Pricing Inputs'!$AN$8=2,(O342-$H342),IF((O342-$H342)&lt;=0,0,(O342-$H342)))))</f>
        <v xml:space="preserve"> </v>
      </c>
      <c r="BA342" s="267" t="str">
        <f>IF($A342="N/A"," ",(IF(MONTH(A342)&gt;=4,IF(MONTH(A342)&lt;=10,Inputs!$F$13,Inputs!$F$14),Inputs!$F$14))*$BW342)</f>
        <v xml:space="preserve"> </v>
      </c>
      <c r="BN342" s="405" t="str">
        <f>IF(A342="N/A"," ",(VLOOKUP(A342,PowerVolTable,(IF('Pricing Inputs'!$AT$3=2,7,IF('Pricing Inputs'!$AT$3=1,6,8))),FALSE)))</f>
        <v xml:space="preserve"> </v>
      </c>
      <c r="BO342" s="405" t="str">
        <f>IF(A342="N/A"," ",(VLOOKUP(A342,IntraPowerVol,(IF('Pricing Inputs'!$AT$3=2,3,IF('Pricing Inputs'!$AT$3=1,2,4))),FALSE)*VLOOKUP(MONTH($A342),Inputs!$A$28:$B$39,2)))</f>
        <v xml:space="preserve"> </v>
      </c>
      <c r="BP342" s="406" t="str">
        <f t="shared" si="436"/>
        <v xml:space="preserve"> </v>
      </c>
      <c r="BQ342" s="405" t="str">
        <f>IF($A342="N/A"," ",(VLOOKUP($A342,GasVolTable,(IF('Pricing Inputs'!$AT$3=2,6,IF('Pricing Inputs'!$AT$3=1,7,5))),FALSE)))</f>
        <v xml:space="preserve"> </v>
      </c>
      <c r="BR342" s="405" t="str">
        <f>IF($A342="N/A"," ",(VLOOKUP($A342,OmicronVol,(IF('Pricing Inputs'!$AT$3=2,3,IF('Pricing Inputs'!$AT$3=1,4,2))),FALSE)))</f>
        <v xml:space="preserve"> </v>
      </c>
      <c r="BS342" s="406" t="str">
        <f>IF($A342="N/A"," ",IF('Pricing Inputs'!$AN$3=1,(IF(DateToday&gt;$A342,$BR342,((($BQ342^2)*((($A342-1)-DateToday)/((EOMONTH($A342,0)+1)-DateToday-15)))+((($BR342)^2)*((15)/((EOMONTH($A342,0)+1)-DateToday-15))))^0.5)),0.0001))</f>
        <v xml:space="preserve"> </v>
      </c>
      <c r="BT342" s="405" t="str">
        <f>IF($A342="N/A"," ",IF('Pricing Inputs'!$AN$3=1,(VLOOKUP($A342,CorrelationTable,2,FALSE)),0))</f>
        <v xml:space="preserve"> </v>
      </c>
      <c r="BU342" s="407" t="str">
        <f>IF($A342="N/A"," ",F342+G342+(D342*(VLOOKUP($A342,'Gas Curves'!$B$17:$P$310,14,FALSE))))</f>
        <v xml:space="preserve"> </v>
      </c>
      <c r="BV342" s="405" t="str">
        <f>IF($A342="N/A"," ",IF('Pricing Inputs'!$AW$3=1,0,(VLOOKUP($A342,InterestRatesTable,2))))</f>
        <v xml:space="preserve"> </v>
      </c>
      <c r="BW342" s="408" t="str">
        <f t="shared" si="437"/>
        <v xml:space="preserve"> </v>
      </c>
    </row>
    <row r="343" spans="1:75">
      <c r="A343" s="248" t="str">
        <f>IF(A342="N/A","N/A",IF(EDATE(A342,1)&gt;Inputs!$K$3,"N/A",EDATE(A342,1)))</f>
        <v>N/A</v>
      </c>
      <c r="B343" s="262" t="str">
        <f t="shared" si="438"/>
        <v xml:space="preserve"> </v>
      </c>
      <c r="C343" s="249" t="str">
        <f t="shared" si="439"/>
        <v xml:space="preserve"> </v>
      </c>
      <c r="D343" s="250" t="str">
        <f>IF(A343="N/A"," ",(VLOOKUP(MONTH($A343),Inputs!$A$14:$B$25,2))/1000)</f>
        <v xml:space="preserve"> </v>
      </c>
      <c r="E343" s="304" t="str">
        <f t="shared" si="440"/>
        <v xml:space="preserve"> </v>
      </c>
      <c r="F343" s="251" t="str">
        <f>IF(A343="N/A"," ",Inputs!$F$6)</f>
        <v xml:space="preserve"> </v>
      </c>
      <c r="G343" s="251" t="str">
        <f>IF(A343="N/A"," ",Inputs!$F$9/IF(AND('Pricing Inputs'!$AQ$3&gt;=4,'Pricing Inputs'!$AQ$3&lt;=6),16,IF(AND('Pricing Inputs'!$AQ$3&gt;=7,'Pricing Inputs'!$AQ$3&lt;=9),8,24))/(BA343/BW343))</f>
        <v xml:space="preserve"> </v>
      </c>
      <c r="H343" s="252" t="str">
        <f t="shared" si="441"/>
        <v xml:space="preserve"> </v>
      </c>
      <c r="I343" s="255" t="str">
        <f>VLOOKUP(A343,ScaledPrice,(IF(AND('Pricing Inputs'!$AQ$3&gt;=1,'Pricing Inputs'!$AQ$3&lt;=6),2,4)))</f>
        <v xml:space="preserve"> </v>
      </c>
      <c r="J343" s="255" t="str">
        <f>IF(A343="N/A"," ",IF(AND('Pricing Inputs'!$AQ$3&gt;=1,'Pricing Inputs'!$AQ$3&lt;=6),I343,(VLOOKUP(A343,ScaledPrice,2))*(2-(VLOOKUP(A343,ScaledPrice,3)))))</f>
        <v xml:space="preserve"> </v>
      </c>
      <c r="K343" s="255" t="str">
        <f>IF(A343="N/A"," ",IF(OR('Pricing Inputs'!$AQ$3=2,'Pricing Inputs'!$AQ$3=3,'Pricing Inputs'!$AQ$3=5,'Pricing Inputs'!$AQ$3=6,'Pricing Inputs'!$AQ$3=8,'Pricing Inputs'!$AQ$3=9),VLOOKUP(A343,ScaledPrice,IF(AND('Pricing Inputs'!$AQ$3&gt;=2,'Pricing Inputs'!$AQ$3&lt;=6),5,6)),0))</f>
        <v xml:space="preserve"> </v>
      </c>
      <c r="L343" s="255" t="str">
        <f>IF(A343="N/A"," ",IF(OR('Pricing Inputs'!$AQ$3=2,'Pricing Inputs'!$AQ$3=3,'Pricing Inputs'!$AQ$3=5,'Pricing Inputs'!$AQ$3=6,'Pricing Inputs'!$AQ$3=8,'Pricing Inputs'!$AQ$3=9),IF(AND('Pricing Inputs'!$AQ$3&gt;=2,'Pricing Inputs'!$AQ$3&lt;=6),K343,(VLOOKUP(A343,ScaledPrice,5))*(2-(VLOOKUP(A343,ScaledPrice,3)))),0))</f>
        <v xml:space="preserve"> </v>
      </c>
      <c r="M343" s="255" t="str">
        <f>IF(A343="N/A"," ",IF(OR('Pricing Inputs'!$AQ$3=3,'Pricing Inputs'!$AQ$3=6,'Pricing Inputs'!$AQ$3=9),(VLOOKUP(A343,ScaledPrice,IF(AND('Pricing Inputs'!$AQ$3&gt;=3,'Pricing Inputs'!$AQ$3&lt;=6),7,8))),0))</f>
        <v xml:space="preserve"> </v>
      </c>
      <c r="N343" s="255" t="str">
        <f>IF(A343="N/A"," ",IF(OR('Pricing Inputs'!$AQ$3=3,'Pricing Inputs'!$AQ$3=6,'Pricing Inputs'!$AQ$3=9),IF(AND('Pricing Inputs'!$AQ$3&gt;=3,'Pricing Inputs'!$AQ$3&lt;=6),M343,(VLOOKUP(A343,ScaledPrice,7))*(2-(VLOOKUP(A343,ScaledPrice,3)))),0))</f>
        <v xml:space="preserve"> </v>
      </c>
      <c r="O343" s="255" t="str">
        <f>IF(A343="N/A"," ",IF(AND('Pricing Inputs'!$AQ$3&gt;=1,'Pricing Inputs'!$AQ$3&lt;=3),VLOOKUP(A343,ScaledPrice,9),0))</f>
        <v xml:space="preserve"> </v>
      </c>
      <c r="P343" s="320" t="str">
        <f>IF($A343="N/A"," ",IF('Pricing Inputs'!$AN$8=2,(I343-H343),IF('Pricing Inputs'!$AN$3=2,IF((I343-$H343)&gt;0,I343-$H343,0),(_xll.xSPRDOPT(I343,$E343,$BU343,0,$BP343,$BS343,$BT343,($A343-Inputs!$D$1)+15,1,0)))))</f>
        <v xml:space="preserve"> </v>
      </c>
      <c r="Q343" s="320" t="str">
        <f>IF($A343="N/A"," ",IF('Pricing Inputs'!$AN$8=2,(J343-$H343),IF('Pricing Inputs'!$AN$3=2,IF((J343-$H343)&gt;0,J343-$H343,0),(_xll.xSPRDOPT(J343,$E343,$BU343,0,$BP343,$BS343,$BT343,($A343-Inputs!$D$1)+15,1,0)))))</f>
        <v xml:space="preserve"> </v>
      </c>
      <c r="R343" s="320" t="str">
        <f>IF($A343="N/A"," ",IF('Pricing Inputs'!$AN$8=2,(K343-$H343),IF('Pricing Inputs'!$AN$3=2,IF((K343-$H343)&gt;0,K343-$H343,0),(_xll.xSPRDOPT(K343,$E343,$BU343,0,$BP343,$BS343,$BT343,($A343-Inputs!$D$1)+15,1,0)))))</f>
        <v xml:space="preserve"> </v>
      </c>
      <c r="S343" s="320" t="str">
        <f>IF($A343="N/A"," ",IF('Pricing Inputs'!$AN$8=2,(L343-$H343),IF('Pricing Inputs'!$AN$3=2,IF((L343-$H343)&gt;0,L343-$H343,0),(_xll.xSPRDOPT(L343,$E343,$BU343,0,$BP343,$BS343,$BT343,($A343-Inputs!$D$1)+15,1,0)))))</f>
        <v xml:space="preserve"> </v>
      </c>
      <c r="T343" s="320" t="str">
        <f>IF($A343="N/A"," ",IF('Pricing Inputs'!$AN$8=2,(M343-$H343),IF('Pricing Inputs'!$AN$3=2,IF((M343-$H343)&gt;0,M343-$H343,0),(_xll.xSPRDOPT(M343,$E343,$BU343,0,$BP343,$BS343,$BT343,($A343-Inputs!$D$1)+15,1,0)))))</f>
        <v xml:space="preserve"> </v>
      </c>
      <c r="U343" s="320" t="str">
        <f>IF($A343="N/A"," ",IF('Pricing Inputs'!$AN$8=2,(N343-$H343),IF('Pricing Inputs'!$AN$3=2,IF((N343-$H343)&gt;0,N343-$H343,0),(_xll.xSPRDOPT(N343,$E343,$BU343,0,$BP343,$BS343,$BT343,($A343-Inputs!$D$1)+15,1,0)))))</f>
        <v xml:space="preserve"> </v>
      </c>
      <c r="V343" s="259" t="str">
        <f>IF($A343="N/A"," ",(IF('Pricing Inputs'!$AN$8=2,(O343-$H343),IF((O343-$H343)&lt;=0,0,(O343-$H343)))))</f>
        <v xml:space="preserve"> </v>
      </c>
      <c r="BA343" s="267" t="str">
        <f>IF($A343="N/A"," ",(IF(MONTH(A343)&gt;=4,IF(MONTH(A343)&lt;=10,Inputs!$F$13,Inputs!$F$14),Inputs!$F$14))*$BW343)</f>
        <v xml:space="preserve"> </v>
      </c>
      <c r="BN343" s="405" t="str">
        <f>IF(A343="N/A"," ",(VLOOKUP(A343,PowerVolTable,(IF('Pricing Inputs'!$AT$3=2,7,IF('Pricing Inputs'!$AT$3=1,6,8))),FALSE)))</f>
        <v xml:space="preserve"> </v>
      </c>
      <c r="BO343" s="405" t="str">
        <f>IF(A343="N/A"," ",(VLOOKUP(A343,IntraPowerVol,(IF('Pricing Inputs'!$AT$3=2,3,IF('Pricing Inputs'!$AT$3=1,2,4))),FALSE)*VLOOKUP(MONTH($A343),Inputs!$A$28:$B$39,2)))</f>
        <v xml:space="preserve"> </v>
      </c>
      <c r="BP343" s="406" t="str">
        <f t="shared" si="436"/>
        <v xml:space="preserve"> </v>
      </c>
      <c r="BQ343" s="405" t="str">
        <f>IF($A343="N/A"," ",(VLOOKUP($A343,GasVolTable,(IF('Pricing Inputs'!$AT$3=2,6,IF('Pricing Inputs'!$AT$3=1,7,5))),FALSE)))</f>
        <v xml:space="preserve"> </v>
      </c>
      <c r="BR343" s="405" t="str">
        <f>IF($A343="N/A"," ",(VLOOKUP($A343,OmicronVol,(IF('Pricing Inputs'!$AT$3=2,3,IF('Pricing Inputs'!$AT$3=1,4,2))),FALSE)))</f>
        <v xml:space="preserve"> </v>
      </c>
      <c r="BS343" s="406" t="str">
        <f>IF($A343="N/A"," ",IF('Pricing Inputs'!$AN$3=1,(IF(DateToday&gt;$A343,$BR343,((($BQ343^2)*((($A343-1)-DateToday)/((EOMONTH($A343,0)+1)-DateToday-15)))+((($BR343)^2)*((15)/((EOMONTH($A343,0)+1)-DateToday-15))))^0.5)),0.0001))</f>
        <v xml:space="preserve"> </v>
      </c>
      <c r="BT343" s="405" t="str">
        <f>IF($A343="N/A"," ",IF('Pricing Inputs'!$AN$3=1,(VLOOKUP($A343,CorrelationTable,2,FALSE)),0))</f>
        <v xml:space="preserve"> </v>
      </c>
      <c r="BU343" s="407" t="str">
        <f>IF($A343="N/A"," ",F343+G343+(D343*(VLOOKUP($A343,'Gas Curves'!$B$17:$P$310,14,FALSE))))</f>
        <v xml:space="preserve"> </v>
      </c>
      <c r="BV343" s="405" t="str">
        <f>IF($A343="N/A"," ",IF('Pricing Inputs'!$AW$3=1,0,(VLOOKUP($A343,InterestRatesTable,2))))</f>
        <v xml:space="preserve"> </v>
      </c>
      <c r="BW343" s="408" t="str">
        <f t="shared" si="437"/>
        <v xml:space="preserve"> </v>
      </c>
    </row>
    <row r="344" spans="1:75">
      <c r="A344" s="248" t="str">
        <f>IF(A343="N/A","N/A",IF(EDATE(A343,1)&gt;Inputs!$K$3,"N/A",EDATE(A343,1)))</f>
        <v>N/A</v>
      </c>
      <c r="B344" s="262" t="str">
        <f t="shared" si="438"/>
        <v xml:space="preserve"> </v>
      </c>
      <c r="C344" s="249" t="str">
        <f t="shared" si="439"/>
        <v xml:space="preserve"> </v>
      </c>
      <c r="D344" s="250" t="str">
        <f>IF(A344="N/A"," ",(VLOOKUP(MONTH($A344),Inputs!$A$14:$B$25,2))/1000)</f>
        <v xml:space="preserve"> </v>
      </c>
      <c r="E344" s="304" t="str">
        <f t="shared" si="440"/>
        <v xml:space="preserve"> </v>
      </c>
      <c r="F344" s="251" t="str">
        <f>IF(A344="N/A"," ",Inputs!$F$6)</f>
        <v xml:space="preserve"> </v>
      </c>
      <c r="G344" s="251" t="str">
        <f>IF(A344="N/A"," ",Inputs!$F$9/IF(AND('Pricing Inputs'!$AQ$3&gt;=4,'Pricing Inputs'!$AQ$3&lt;=6),16,IF(AND('Pricing Inputs'!$AQ$3&gt;=7,'Pricing Inputs'!$AQ$3&lt;=9),8,24))/(BA344/BW344))</f>
        <v xml:space="preserve"> </v>
      </c>
      <c r="H344" s="252" t="str">
        <f t="shared" si="441"/>
        <v xml:space="preserve"> </v>
      </c>
      <c r="I344" s="255" t="str">
        <f>VLOOKUP(A344,ScaledPrice,(IF(AND('Pricing Inputs'!$AQ$3&gt;=1,'Pricing Inputs'!$AQ$3&lt;=6),2,4)))</f>
        <v xml:space="preserve"> </v>
      </c>
      <c r="J344" s="255" t="str">
        <f>IF(A344="N/A"," ",IF(AND('Pricing Inputs'!$AQ$3&gt;=1,'Pricing Inputs'!$AQ$3&lt;=6),I344,(VLOOKUP(A344,ScaledPrice,2))*(2-(VLOOKUP(A344,ScaledPrice,3)))))</f>
        <v xml:space="preserve"> </v>
      </c>
      <c r="K344" s="255" t="str">
        <f>IF(A344="N/A"," ",IF(OR('Pricing Inputs'!$AQ$3=2,'Pricing Inputs'!$AQ$3=3,'Pricing Inputs'!$AQ$3=5,'Pricing Inputs'!$AQ$3=6,'Pricing Inputs'!$AQ$3=8,'Pricing Inputs'!$AQ$3=9),VLOOKUP(A344,ScaledPrice,IF(AND('Pricing Inputs'!$AQ$3&gt;=2,'Pricing Inputs'!$AQ$3&lt;=6),5,6)),0))</f>
        <v xml:space="preserve"> </v>
      </c>
      <c r="L344" s="255" t="str">
        <f>IF(A344="N/A"," ",IF(OR('Pricing Inputs'!$AQ$3=2,'Pricing Inputs'!$AQ$3=3,'Pricing Inputs'!$AQ$3=5,'Pricing Inputs'!$AQ$3=6,'Pricing Inputs'!$AQ$3=8,'Pricing Inputs'!$AQ$3=9),IF(AND('Pricing Inputs'!$AQ$3&gt;=2,'Pricing Inputs'!$AQ$3&lt;=6),K344,(VLOOKUP(A344,ScaledPrice,5))*(2-(VLOOKUP(A344,ScaledPrice,3)))),0))</f>
        <v xml:space="preserve"> </v>
      </c>
      <c r="M344" s="255" t="str">
        <f>IF(A344="N/A"," ",IF(OR('Pricing Inputs'!$AQ$3=3,'Pricing Inputs'!$AQ$3=6,'Pricing Inputs'!$AQ$3=9),(VLOOKUP(A344,ScaledPrice,IF(AND('Pricing Inputs'!$AQ$3&gt;=3,'Pricing Inputs'!$AQ$3&lt;=6),7,8))),0))</f>
        <v xml:space="preserve"> </v>
      </c>
      <c r="N344" s="255" t="str">
        <f>IF(A344="N/A"," ",IF(OR('Pricing Inputs'!$AQ$3=3,'Pricing Inputs'!$AQ$3=6,'Pricing Inputs'!$AQ$3=9),IF(AND('Pricing Inputs'!$AQ$3&gt;=3,'Pricing Inputs'!$AQ$3&lt;=6),M344,(VLOOKUP(A344,ScaledPrice,7))*(2-(VLOOKUP(A344,ScaledPrice,3)))),0))</f>
        <v xml:space="preserve"> </v>
      </c>
      <c r="O344" s="255" t="str">
        <f>IF(A344="N/A"," ",IF(AND('Pricing Inputs'!$AQ$3&gt;=1,'Pricing Inputs'!$AQ$3&lt;=3),VLOOKUP(A344,ScaledPrice,9),0))</f>
        <v xml:space="preserve"> </v>
      </c>
      <c r="P344" s="320" t="str">
        <f>IF($A344="N/A"," ",IF('Pricing Inputs'!$AN$8=2,(I344-H344),IF('Pricing Inputs'!$AN$3=2,IF((I344-$H344)&gt;0,I344-$H344,0),(_xll.xSPRDOPT(I344,$E344,$BU344,0,$BP344,$BS344,$BT344,($A344-Inputs!$D$1)+15,1,0)))))</f>
        <v xml:space="preserve"> </v>
      </c>
      <c r="Q344" s="320" t="str">
        <f>IF($A344="N/A"," ",IF('Pricing Inputs'!$AN$8=2,(J344-$H344),IF('Pricing Inputs'!$AN$3=2,IF((J344-$H344)&gt;0,J344-$H344,0),(_xll.xSPRDOPT(J344,$E344,$BU344,0,$BP344,$BS344,$BT344,($A344-Inputs!$D$1)+15,1,0)))))</f>
        <v xml:space="preserve"> </v>
      </c>
      <c r="R344" s="320" t="str">
        <f>IF($A344="N/A"," ",IF('Pricing Inputs'!$AN$8=2,(K344-$H344),IF('Pricing Inputs'!$AN$3=2,IF((K344-$H344)&gt;0,K344-$H344,0),(_xll.xSPRDOPT(K344,$E344,$BU344,0,$BP344,$BS344,$BT344,($A344-Inputs!$D$1)+15,1,0)))))</f>
        <v xml:space="preserve"> </v>
      </c>
      <c r="S344" s="320" t="str">
        <f>IF($A344="N/A"," ",IF('Pricing Inputs'!$AN$8=2,(L344-$H344),IF('Pricing Inputs'!$AN$3=2,IF((L344-$H344)&gt;0,L344-$H344,0),(_xll.xSPRDOPT(L344,$E344,$BU344,0,$BP344,$BS344,$BT344,($A344-Inputs!$D$1)+15,1,0)))))</f>
        <v xml:space="preserve"> </v>
      </c>
      <c r="T344" s="320" t="str">
        <f>IF($A344="N/A"," ",IF('Pricing Inputs'!$AN$8=2,(M344-$H344),IF('Pricing Inputs'!$AN$3=2,IF((M344-$H344)&gt;0,M344-$H344,0),(_xll.xSPRDOPT(M344,$E344,$BU344,0,$BP344,$BS344,$BT344,($A344-Inputs!$D$1)+15,1,0)))))</f>
        <v xml:space="preserve"> </v>
      </c>
      <c r="U344" s="320" t="str">
        <f>IF($A344="N/A"," ",IF('Pricing Inputs'!$AN$8=2,(N344-$H344),IF('Pricing Inputs'!$AN$3=2,IF((N344-$H344)&gt;0,N344-$H344,0),(_xll.xSPRDOPT(N344,$E344,$BU344,0,$BP344,$BS344,$BT344,($A344-Inputs!$D$1)+15,1,0)))))</f>
        <v xml:space="preserve"> </v>
      </c>
      <c r="V344" s="259" t="str">
        <f>IF($A344="N/A"," ",(IF('Pricing Inputs'!$AN$8=2,(O344-$H344),IF((O344-$H344)&lt;=0,0,(O344-$H344)))))</f>
        <v xml:space="preserve"> </v>
      </c>
      <c r="BA344" s="267" t="str">
        <f>IF($A344="N/A"," ",(IF(MONTH(A344)&gt;=4,IF(MONTH(A344)&lt;=10,Inputs!$F$13,Inputs!$F$14),Inputs!$F$14))*$BW344)</f>
        <v xml:space="preserve"> </v>
      </c>
      <c r="BN344" s="405" t="str">
        <f>IF(A344="N/A"," ",(VLOOKUP(A344,PowerVolTable,(IF('Pricing Inputs'!$AT$3=2,7,IF('Pricing Inputs'!$AT$3=1,6,8))),FALSE)))</f>
        <v xml:space="preserve"> </v>
      </c>
      <c r="BO344" s="405" t="str">
        <f>IF(A344="N/A"," ",(VLOOKUP(A344,IntraPowerVol,(IF('Pricing Inputs'!$AT$3=2,3,IF('Pricing Inputs'!$AT$3=1,2,4))),FALSE)*VLOOKUP(MONTH($A344),Inputs!$A$28:$B$39,2)))</f>
        <v xml:space="preserve"> </v>
      </c>
      <c r="BP344" s="406" t="str">
        <f t="shared" si="436"/>
        <v xml:space="preserve"> </v>
      </c>
      <c r="BQ344" s="405" t="str">
        <f>IF($A344="N/A"," ",(VLOOKUP($A344,GasVolTable,(IF('Pricing Inputs'!$AT$3=2,6,IF('Pricing Inputs'!$AT$3=1,7,5))),FALSE)))</f>
        <v xml:space="preserve"> </v>
      </c>
      <c r="BR344" s="405" t="str">
        <f>IF($A344="N/A"," ",(VLOOKUP($A344,OmicronVol,(IF('Pricing Inputs'!$AT$3=2,3,IF('Pricing Inputs'!$AT$3=1,4,2))),FALSE)))</f>
        <v xml:space="preserve"> </v>
      </c>
      <c r="BS344" s="406" t="str">
        <f>IF($A344="N/A"," ",IF('Pricing Inputs'!$AN$3=1,(IF(DateToday&gt;$A344,$BR344,((($BQ344^2)*((($A344-1)-DateToday)/((EOMONTH($A344,0)+1)-DateToday-15)))+((($BR344)^2)*((15)/((EOMONTH($A344,0)+1)-DateToday-15))))^0.5)),0.0001))</f>
        <v xml:space="preserve"> </v>
      </c>
      <c r="BT344" s="405" t="str">
        <f>IF($A344="N/A"," ",IF('Pricing Inputs'!$AN$3=1,(VLOOKUP($A344,CorrelationTable,2,FALSE)),0))</f>
        <v xml:space="preserve"> </v>
      </c>
      <c r="BU344" s="407" t="str">
        <f>IF($A344="N/A"," ",F344+G344+(D344*(VLOOKUP($A344,'Gas Curves'!$B$17:$P$310,14,FALSE))))</f>
        <v xml:space="preserve"> </v>
      </c>
      <c r="BV344" s="405" t="str">
        <f>IF($A344="N/A"," ",IF('Pricing Inputs'!$AW$3=1,0,(VLOOKUP($A344,InterestRatesTable,2))))</f>
        <v xml:space="preserve"> </v>
      </c>
      <c r="BW344" s="408" t="str">
        <f t="shared" si="437"/>
        <v xml:space="preserve"> </v>
      </c>
    </row>
    <row r="345" spans="1:75">
      <c r="A345" s="248" t="str">
        <f>IF(A344="N/A","N/A",IF(EDATE(A344,1)&gt;Inputs!$K$3,"N/A",EDATE(A344,1)))</f>
        <v>N/A</v>
      </c>
      <c r="B345" s="262" t="str">
        <f t="shared" si="438"/>
        <v xml:space="preserve"> </v>
      </c>
      <c r="C345" s="249" t="str">
        <f t="shared" si="439"/>
        <v xml:space="preserve"> </v>
      </c>
      <c r="D345" s="250" t="str">
        <f>IF(A345="N/A"," ",(VLOOKUP(MONTH($A345),Inputs!$A$14:$B$25,2))/1000)</f>
        <v xml:space="preserve"> </v>
      </c>
      <c r="E345" s="304" t="str">
        <f t="shared" si="440"/>
        <v xml:space="preserve"> </v>
      </c>
      <c r="F345" s="251" t="str">
        <f>IF(A345="N/A"," ",Inputs!$F$6)</f>
        <v xml:space="preserve"> </v>
      </c>
      <c r="G345" s="251" t="str">
        <f>IF(A345="N/A"," ",Inputs!$F$9/IF(AND('Pricing Inputs'!$AQ$3&gt;=4,'Pricing Inputs'!$AQ$3&lt;=6),16,IF(AND('Pricing Inputs'!$AQ$3&gt;=7,'Pricing Inputs'!$AQ$3&lt;=9),8,24))/(BA345/BW345))</f>
        <v xml:space="preserve"> </v>
      </c>
      <c r="H345" s="252" t="str">
        <f t="shared" si="441"/>
        <v xml:space="preserve"> </v>
      </c>
      <c r="I345" s="255" t="str">
        <f>VLOOKUP(A345,ScaledPrice,(IF(AND('Pricing Inputs'!$AQ$3&gt;=1,'Pricing Inputs'!$AQ$3&lt;=6),2,4)))</f>
        <v xml:space="preserve"> </v>
      </c>
      <c r="J345" s="255" t="str">
        <f>IF(A345="N/A"," ",IF(AND('Pricing Inputs'!$AQ$3&gt;=1,'Pricing Inputs'!$AQ$3&lt;=6),I345,(VLOOKUP(A345,ScaledPrice,2))*(2-(VLOOKUP(A345,ScaledPrice,3)))))</f>
        <v xml:space="preserve"> </v>
      </c>
      <c r="K345" s="255" t="str">
        <f>IF(A345="N/A"," ",IF(OR('Pricing Inputs'!$AQ$3=2,'Pricing Inputs'!$AQ$3=3,'Pricing Inputs'!$AQ$3=5,'Pricing Inputs'!$AQ$3=6,'Pricing Inputs'!$AQ$3=8,'Pricing Inputs'!$AQ$3=9),VLOOKUP(A345,ScaledPrice,IF(AND('Pricing Inputs'!$AQ$3&gt;=2,'Pricing Inputs'!$AQ$3&lt;=6),5,6)),0))</f>
        <v xml:space="preserve"> </v>
      </c>
      <c r="L345" s="255" t="str">
        <f>IF(A345="N/A"," ",IF(OR('Pricing Inputs'!$AQ$3=2,'Pricing Inputs'!$AQ$3=3,'Pricing Inputs'!$AQ$3=5,'Pricing Inputs'!$AQ$3=6,'Pricing Inputs'!$AQ$3=8,'Pricing Inputs'!$AQ$3=9),IF(AND('Pricing Inputs'!$AQ$3&gt;=2,'Pricing Inputs'!$AQ$3&lt;=6),K345,(VLOOKUP(A345,ScaledPrice,5))*(2-(VLOOKUP(A345,ScaledPrice,3)))),0))</f>
        <v xml:space="preserve"> </v>
      </c>
      <c r="M345" s="255" t="str">
        <f>IF(A345="N/A"," ",IF(OR('Pricing Inputs'!$AQ$3=3,'Pricing Inputs'!$AQ$3=6,'Pricing Inputs'!$AQ$3=9),(VLOOKUP(A345,ScaledPrice,IF(AND('Pricing Inputs'!$AQ$3&gt;=3,'Pricing Inputs'!$AQ$3&lt;=6),7,8))),0))</f>
        <v xml:space="preserve"> </v>
      </c>
      <c r="N345" s="255" t="str">
        <f>IF(A345="N/A"," ",IF(OR('Pricing Inputs'!$AQ$3=3,'Pricing Inputs'!$AQ$3=6,'Pricing Inputs'!$AQ$3=9),IF(AND('Pricing Inputs'!$AQ$3&gt;=3,'Pricing Inputs'!$AQ$3&lt;=6),M345,(VLOOKUP(A345,ScaledPrice,7))*(2-(VLOOKUP(A345,ScaledPrice,3)))),0))</f>
        <v xml:space="preserve"> </v>
      </c>
      <c r="O345" s="255" t="str">
        <f>IF(A345="N/A"," ",IF(AND('Pricing Inputs'!$AQ$3&gt;=1,'Pricing Inputs'!$AQ$3&lt;=3),VLOOKUP(A345,ScaledPrice,9),0))</f>
        <v xml:space="preserve"> </v>
      </c>
      <c r="P345" s="320" t="str">
        <f>IF($A345="N/A"," ",IF('Pricing Inputs'!$AN$8=2,(I345-H345),IF('Pricing Inputs'!$AN$3=2,IF((I345-$H345)&gt;0,I345-$H345,0),(_xll.xSPRDOPT(I345,$E345,$BU345,0,$BP345,$BS345,$BT345,($A345-Inputs!$D$1)+15,1,0)))))</f>
        <v xml:space="preserve"> </v>
      </c>
      <c r="Q345" s="320" t="str">
        <f>IF($A345="N/A"," ",IF('Pricing Inputs'!$AN$8=2,(J345-$H345),IF('Pricing Inputs'!$AN$3=2,IF((J345-$H345)&gt;0,J345-$H345,0),(_xll.xSPRDOPT(J345,$E345,$BU345,0,$BP345,$BS345,$BT345,($A345-Inputs!$D$1)+15,1,0)))))</f>
        <v xml:space="preserve"> </v>
      </c>
      <c r="R345" s="320" t="str">
        <f>IF($A345="N/A"," ",IF('Pricing Inputs'!$AN$8=2,(K345-$H345),IF('Pricing Inputs'!$AN$3=2,IF((K345-$H345)&gt;0,K345-$H345,0),(_xll.xSPRDOPT(K345,$E345,$BU345,0,$BP345,$BS345,$BT345,($A345-Inputs!$D$1)+15,1,0)))))</f>
        <v xml:space="preserve"> </v>
      </c>
      <c r="S345" s="320" t="str">
        <f>IF($A345="N/A"," ",IF('Pricing Inputs'!$AN$8=2,(L345-$H345),IF('Pricing Inputs'!$AN$3=2,IF((L345-$H345)&gt;0,L345-$H345,0),(_xll.xSPRDOPT(L345,$E345,$BU345,0,$BP345,$BS345,$BT345,($A345-Inputs!$D$1)+15,1,0)))))</f>
        <v xml:space="preserve"> </v>
      </c>
      <c r="T345" s="320" t="str">
        <f>IF($A345="N/A"," ",IF('Pricing Inputs'!$AN$8=2,(M345-$H345),IF('Pricing Inputs'!$AN$3=2,IF((M345-$H345)&gt;0,M345-$H345,0),(_xll.xSPRDOPT(M345,$E345,$BU345,0,$BP345,$BS345,$BT345,($A345-Inputs!$D$1)+15,1,0)))))</f>
        <v xml:space="preserve"> </v>
      </c>
      <c r="U345" s="320" t="str">
        <f>IF($A345="N/A"," ",IF('Pricing Inputs'!$AN$8=2,(N345-$H345),IF('Pricing Inputs'!$AN$3=2,IF((N345-$H345)&gt;0,N345-$H345,0),(_xll.xSPRDOPT(N345,$E345,$BU345,0,$BP345,$BS345,$BT345,($A345-Inputs!$D$1)+15,1,0)))))</f>
        <v xml:space="preserve"> </v>
      </c>
      <c r="V345" s="259" t="str">
        <f>IF($A345="N/A"," ",(IF('Pricing Inputs'!$AN$8=2,(O345-$H345),IF((O345-$H345)&lt;=0,0,(O345-$H345)))))</f>
        <v xml:space="preserve"> </v>
      </c>
      <c r="BA345" s="267" t="str">
        <f>IF($A345="N/A"," ",(IF(MONTH(A345)&gt;=4,IF(MONTH(A345)&lt;=10,Inputs!$F$13,Inputs!$F$14),Inputs!$F$14))*$BW345)</f>
        <v xml:space="preserve"> </v>
      </c>
      <c r="BN345" s="405" t="str">
        <f>IF(A345="N/A"," ",(VLOOKUP(A345,PowerVolTable,(IF('Pricing Inputs'!$AT$3=2,7,IF('Pricing Inputs'!$AT$3=1,6,8))),FALSE)))</f>
        <v xml:space="preserve"> </v>
      </c>
      <c r="BO345" s="405" t="str">
        <f>IF(A345="N/A"," ",(VLOOKUP(A345,IntraPowerVol,(IF('Pricing Inputs'!$AT$3=2,3,IF('Pricing Inputs'!$AT$3=1,2,4))),FALSE)*VLOOKUP(MONTH($A345),Inputs!$A$28:$B$39,2)))</f>
        <v xml:space="preserve"> </v>
      </c>
      <c r="BP345" s="406" t="str">
        <f t="shared" si="436"/>
        <v xml:space="preserve"> </v>
      </c>
      <c r="BQ345" s="405" t="str">
        <f>IF($A345="N/A"," ",(VLOOKUP($A345,GasVolTable,(IF('Pricing Inputs'!$AT$3=2,6,IF('Pricing Inputs'!$AT$3=1,7,5))),FALSE)))</f>
        <v xml:space="preserve"> </v>
      </c>
      <c r="BR345" s="405" t="str">
        <f>IF($A345="N/A"," ",(VLOOKUP($A345,OmicronVol,(IF('Pricing Inputs'!$AT$3=2,3,IF('Pricing Inputs'!$AT$3=1,4,2))),FALSE)))</f>
        <v xml:space="preserve"> </v>
      </c>
      <c r="BS345" s="406" t="str">
        <f>IF($A345="N/A"," ",IF('Pricing Inputs'!$AN$3=1,(IF(DateToday&gt;$A345,$BR345,((($BQ345^2)*((($A345-1)-DateToday)/((EOMONTH($A345,0)+1)-DateToday-15)))+((($BR345)^2)*((15)/((EOMONTH($A345,0)+1)-DateToday-15))))^0.5)),0.0001))</f>
        <v xml:space="preserve"> </v>
      </c>
      <c r="BT345" s="405" t="str">
        <f>IF($A345="N/A"," ",IF('Pricing Inputs'!$AN$3=1,(VLOOKUP($A345,CorrelationTable,2,FALSE)),0))</f>
        <v xml:space="preserve"> </v>
      </c>
      <c r="BU345" s="407" t="str">
        <f>IF($A345="N/A"," ",F345+G345+(D345*(VLOOKUP($A345,'Gas Curves'!$B$17:$P$310,14,FALSE))))</f>
        <v xml:space="preserve"> </v>
      </c>
      <c r="BV345" s="405" t="str">
        <f>IF($A345="N/A"," ",IF('Pricing Inputs'!$AW$3=1,0,(VLOOKUP($A345,InterestRatesTable,2))))</f>
        <v xml:space="preserve"> </v>
      </c>
      <c r="BW345" s="408" t="str">
        <f t="shared" si="437"/>
        <v xml:space="preserve"> </v>
      </c>
    </row>
    <row r="346" spans="1:75">
      <c r="A346" s="248" t="str">
        <f>IF(A345="N/A","N/A",IF(EDATE(A345,1)&gt;Inputs!$K$3,"N/A",EDATE(A345,1)))</f>
        <v>N/A</v>
      </c>
      <c r="B346" s="262" t="str">
        <f t="shared" si="438"/>
        <v xml:space="preserve"> </v>
      </c>
      <c r="C346" s="249" t="str">
        <f t="shared" si="439"/>
        <v xml:space="preserve"> </v>
      </c>
      <c r="D346" s="250" t="str">
        <f>IF(A346="N/A"," ",(VLOOKUP(MONTH($A346),Inputs!$A$14:$B$25,2))/1000)</f>
        <v xml:space="preserve"> </v>
      </c>
      <c r="E346" s="304" t="str">
        <f t="shared" si="440"/>
        <v xml:space="preserve"> </v>
      </c>
      <c r="F346" s="251" t="str">
        <f>IF(A346="N/A"," ",Inputs!$F$6)</f>
        <v xml:space="preserve"> </v>
      </c>
      <c r="G346" s="251" t="str">
        <f>IF(A346="N/A"," ",Inputs!$F$9/IF(AND('Pricing Inputs'!$AQ$3&gt;=4,'Pricing Inputs'!$AQ$3&lt;=6),16,IF(AND('Pricing Inputs'!$AQ$3&gt;=7,'Pricing Inputs'!$AQ$3&lt;=9),8,24))/(BA346/BW346))</f>
        <v xml:space="preserve"> </v>
      </c>
      <c r="H346" s="252" t="str">
        <f t="shared" si="441"/>
        <v xml:space="preserve"> </v>
      </c>
      <c r="I346" s="255" t="str">
        <f>VLOOKUP(A346,ScaledPrice,(IF(AND('Pricing Inputs'!$AQ$3&gt;=1,'Pricing Inputs'!$AQ$3&lt;=6),2,4)))</f>
        <v xml:space="preserve"> </v>
      </c>
      <c r="J346" s="255" t="str">
        <f>IF(A346="N/A"," ",IF(AND('Pricing Inputs'!$AQ$3&gt;=1,'Pricing Inputs'!$AQ$3&lt;=6),I346,(VLOOKUP(A346,ScaledPrice,2))*(2-(VLOOKUP(A346,ScaledPrice,3)))))</f>
        <v xml:space="preserve"> </v>
      </c>
      <c r="K346" s="255" t="str">
        <f>IF(A346="N/A"," ",IF(OR('Pricing Inputs'!$AQ$3=2,'Pricing Inputs'!$AQ$3=3,'Pricing Inputs'!$AQ$3=5,'Pricing Inputs'!$AQ$3=6,'Pricing Inputs'!$AQ$3=8,'Pricing Inputs'!$AQ$3=9),VLOOKUP(A346,ScaledPrice,IF(AND('Pricing Inputs'!$AQ$3&gt;=2,'Pricing Inputs'!$AQ$3&lt;=6),5,6)),0))</f>
        <v xml:space="preserve"> </v>
      </c>
      <c r="L346" s="255" t="str">
        <f>IF(A346="N/A"," ",IF(OR('Pricing Inputs'!$AQ$3=2,'Pricing Inputs'!$AQ$3=3,'Pricing Inputs'!$AQ$3=5,'Pricing Inputs'!$AQ$3=6,'Pricing Inputs'!$AQ$3=8,'Pricing Inputs'!$AQ$3=9),IF(AND('Pricing Inputs'!$AQ$3&gt;=2,'Pricing Inputs'!$AQ$3&lt;=6),K346,(VLOOKUP(A346,ScaledPrice,5))*(2-(VLOOKUP(A346,ScaledPrice,3)))),0))</f>
        <v xml:space="preserve"> </v>
      </c>
      <c r="M346" s="255" t="str">
        <f>IF(A346="N/A"," ",IF(OR('Pricing Inputs'!$AQ$3=3,'Pricing Inputs'!$AQ$3=6,'Pricing Inputs'!$AQ$3=9),(VLOOKUP(A346,ScaledPrice,IF(AND('Pricing Inputs'!$AQ$3&gt;=3,'Pricing Inputs'!$AQ$3&lt;=6),7,8))),0))</f>
        <v xml:space="preserve"> </v>
      </c>
      <c r="N346" s="255" t="str">
        <f>IF(A346="N/A"," ",IF(OR('Pricing Inputs'!$AQ$3=3,'Pricing Inputs'!$AQ$3=6,'Pricing Inputs'!$AQ$3=9),IF(AND('Pricing Inputs'!$AQ$3&gt;=3,'Pricing Inputs'!$AQ$3&lt;=6),M346,(VLOOKUP(A346,ScaledPrice,7))*(2-(VLOOKUP(A346,ScaledPrice,3)))),0))</f>
        <v xml:space="preserve"> </v>
      </c>
      <c r="O346" s="255" t="str">
        <f>IF(A346="N/A"," ",IF(AND('Pricing Inputs'!$AQ$3&gt;=1,'Pricing Inputs'!$AQ$3&lt;=3),VLOOKUP(A346,ScaledPrice,9),0))</f>
        <v xml:space="preserve"> </v>
      </c>
      <c r="P346" s="320" t="str">
        <f>IF($A346="N/A"," ",IF('Pricing Inputs'!$AN$8=2,(I346-H346),IF('Pricing Inputs'!$AN$3=2,IF((I346-$H346)&gt;0,I346-$H346,0),(_xll.xSPRDOPT(I346,$E346,$BU346,0,$BP346,$BS346,$BT346,($A346-Inputs!$D$1)+15,1,0)))))</f>
        <v xml:space="preserve"> </v>
      </c>
      <c r="Q346" s="320" t="str">
        <f>IF($A346="N/A"," ",IF('Pricing Inputs'!$AN$8=2,(J346-$H346),IF('Pricing Inputs'!$AN$3=2,IF((J346-$H346)&gt;0,J346-$H346,0),(_xll.xSPRDOPT(J346,$E346,$BU346,0,$BP346,$BS346,$BT346,($A346-Inputs!$D$1)+15,1,0)))))</f>
        <v xml:space="preserve"> </v>
      </c>
      <c r="R346" s="320" t="str">
        <f>IF($A346="N/A"," ",IF('Pricing Inputs'!$AN$8=2,(K346-$H346),IF('Pricing Inputs'!$AN$3=2,IF((K346-$H346)&gt;0,K346-$H346,0),(_xll.xSPRDOPT(K346,$E346,$BU346,0,$BP346,$BS346,$BT346,($A346-Inputs!$D$1)+15,1,0)))))</f>
        <v xml:space="preserve"> </v>
      </c>
      <c r="S346" s="320" t="str">
        <f>IF($A346="N/A"," ",IF('Pricing Inputs'!$AN$8=2,(L346-$H346),IF('Pricing Inputs'!$AN$3=2,IF((L346-$H346)&gt;0,L346-$H346,0),(_xll.xSPRDOPT(L346,$E346,$BU346,0,$BP346,$BS346,$BT346,($A346-Inputs!$D$1)+15,1,0)))))</f>
        <v xml:space="preserve"> </v>
      </c>
      <c r="T346" s="320" t="str">
        <f>IF($A346="N/A"," ",IF('Pricing Inputs'!$AN$8=2,(M346-$H346),IF('Pricing Inputs'!$AN$3=2,IF((M346-$H346)&gt;0,M346-$H346,0),(_xll.xSPRDOPT(M346,$E346,$BU346,0,$BP346,$BS346,$BT346,($A346-Inputs!$D$1)+15,1,0)))))</f>
        <v xml:space="preserve"> </v>
      </c>
      <c r="U346" s="320" t="str">
        <f>IF($A346="N/A"," ",IF('Pricing Inputs'!$AN$8=2,(N346-$H346),IF('Pricing Inputs'!$AN$3=2,IF((N346-$H346)&gt;0,N346-$H346,0),(_xll.xSPRDOPT(N346,$E346,$BU346,0,$BP346,$BS346,$BT346,($A346-Inputs!$D$1)+15,1,0)))))</f>
        <v xml:space="preserve"> </v>
      </c>
      <c r="V346" s="259" t="str">
        <f>IF($A346="N/A"," ",(IF('Pricing Inputs'!$AN$8=2,(O346-$H346),IF((O346-$H346)&lt;=0,0,(O346-$H346)))))</f>
        <v xml:space="preserve"> </v>
      </c>
      <c r="BA346" s="267" t="str">
        <f>IF($A346="N/A"," ",(IF(MONTH(A346)&gt;=4,IF(MONTH(A346)&lt;=10,Inputs!$F$13,Inputs!$F$14),Inputs!$F$14))*$BW346)</f>
        <v xml:space="preserve"> </v>
      </c>
      <c r="BN346" s="405" t="str">
        <f>IF(A346="N/A"," ",(VLOOKUP(A346,PowerVolTable,(IF('Pricing Inputs'!$AT$3=2,7,IF('Pricing Inputs'!$AT$3=1,6,8))),FALSE)))</f>
        <v xml:space="preserve"> </v>
      </c>
      <c r="BO346" s="405" t="str">
        <f>IF(A346="N/A"," ",(VLOOKUP(A346,IntraPowerVol,(IF('Pricing Inputs'!$AT$3=2,3,IF('Pricing Inputs'!$AT$3=1,2,4))),FALSE)*VLOOKUP(MONTH($A346),Inputs!$A$28:$B$39,2)))</f>
        <v xml:space="preserve"> </v>
      </c>
      <c r="BP346" s="406" t="str">
        <f t="shared" si="436"/>
        <v xml:space="preserve"> </v>
      </c>
      <c r="BQ346" s="405" t="str">
        <f>IF($A346="N/A"," ",(VLOOKUP($A346,GasVolTable,(IF('Pricing Inputs'!$AT$3=2,6,IF('Pricing Inputs'!$AT$3=1,7,5))),FALSE)))</f>
        <v xml:space="preserve"> </v>
      </c>
      <c r="BR346" s="405" t="str">
        <f>IF($A346="N/A"," ",(VLOOKUP($A346,OmicronVol,(IF('Pricing Inputs'!$AT$3=2,3,IF('Pricing Inputs'!$AT$3=1,4,2))),FALSE)))</f>
        <v xml:space="preserve"> </v>
      </c>
      <c r="BS346" s="406" t="str">
        <f>IF($A346="N/A"," ",IF('Pricing Inputs'!$AN$3=1,(IF(DateToday&gt;$A346,$BR346,((($BQ346^2)*((($A346-1)-DateToday)/((EOMONTH($A346,0)+1)-DateToday-15)))+((($BR346)^2)*((15)/((EOMONTH($A346,0)+1)-DateToday-15))))^0.5)),0.0001))</f>
        <v xml:space="preserve"> </v>
      </c>
      <c r="BT346" s="405" t="str">
        <f>IF($A346="N/A"," ",IF('Pricing Inputs'!$AN$3=1,(VLOOKUP($A346,CorrelationTable,2,FALSE)),0))</f>
        <v xml:space="preserve"> </v>
      </c>
      <c r="BU346" s="407" t="str">
        <f>IF($A346="N/A"," ",F346+G346+(D346*(VLOOKUP($A346,'Gas Curves'!$B$17:$P$310,14,FALSE))))</f>
        <v xml:space="preserve"> </v>
      </c>
      <c r="BV346" s="405" t="str">
        <f>IF($A346="N/A"," ",IF('Pricing Inputs'!$AW$3=1,0,(VLOOKUP($A346,InterestRatesTable,2))))</f>
        <v xml:space="preserve"> </v>
      </c>
      <c r="BW346" s="408" t="str">
        <f t="shared" si="437"/>
        <v xml:space="preserve"> </v>
      </c>
    </row>
    <row r="347" spans="1:75">
      <c r="A347" s="248" t="str">
        <f>IF(A346="N/A","N/A",IF(EDATE(A346,1)&gt;Inputs!$K$3,"N/A",EDATE(A346,1)))</f>
        <v>N/A</v>
      </c>
      <c r="B347" s="262" t="str">
        <f t="shared" si="438"/>
        <v xml:space="preserve"> </v>
      </c>
      <c r="C347" s="249" t="str">
        <f t="shared" si="439"/>
        <v xml:space="preserve"> </v>
      </c>
      <c r="D347" s="250" t="str">
        <f>IF(A347="N/A"," ",(VLOOKUP(MONTH($A347),Inputs!$A$14:$B$25,2))/1000)</f>
        <v xml:space="preserve"> </v>
      </c>
      <c r="E347" s="304" t="str">
        <f t="shared" si="440"/>
        <v xml:space="preserve"> </v>
      </c>
      <c r="F347" s="251" t="str">
        <f>IF(A347="N/A"," ",Inputs!$F$6)</f>
        <v xml:space="preserve"> </v>
      </c>
      <c r="G347" s="251" t="str">
        <f>IF(A347="N/A"," ",Inputs!$F$9/IF(AND('Pricing Inputs'!$AQ$3&gt;=4,'Pricing Inputs'!$AQ$3&lt;=6),16,IF(AND('Pricing Inputs'!$AQ$3&gt;=7,'Pricing Inputs'!$AQ$3&lt;=9),8,24))/(BA347/BW347))</f>
        <v xml:space="preserve"> </v>
      </c>
      <c r="H347" s="252" t="str">
        <f t="shared" si="441"/>
        <v xml:space="preserve"> </v>
      </c>
      <c r="I347" s="255" t="str">
        <f>VLOOKUP(A347,ScaledPrice,(IF(AND('Pricing Inputs'!$AQ$3&gt;=1,'Pricing Inputs'!$AQ$3&lt;=6),2,4)))</f>
        <v xml:space="preserve"> </v>
      </c>
      <c r="J347" s="255" t="str">
        <f>IF(A347="N/A"," ",IF(AND('Pricing Inputs'!$AQ$3&gt;=1,'Pricing Inputs'!$AQ$3&lt;=6),I347,(VLOOKUP(A347,ScaledPrice,2))*(2-(VLOOKUP(A347,ScaledPrice,3)))))</f>
        <v xml:space="preserve"> </v>
      </c>
      <c r="K347" s="255" t="str">
        <f>IF(A347="N/A"," ",IF(OR('Pricing Inputs'!$AQ$3=2,'Pricing Inputs'!$AQ$3=3,'Pricing Inputs'!$AQ$3=5,'Pricing Inputs'!$AQ$3=6,'Pricing Inputs'!$AQ$3=8,'Pricing Inputs'!$AQ$3=9),VLOOKUP(A347,ScaledPrice,IF(AND('Pricing Inputs'!$AQ$3&gt;=2,'Pricing Inputs'!$AQ$3&lt;=6),5,6)),0))</f>
        <v xml:space="preserve"> </v>
      </c>
      <c r="L347" s="255" t="str">
        <f>IF(A347="N/A"," ",IF(OR('Pricing Inputs'!$AQ$3=2,'Pricing Inputs'!$AQ$3=3,'Pricing Inputs'!$AQ$3=5,'Pricing Inputs'!$AQ$3=6,'Pricing Inputs'!$AQ$3=8,'Pricing Inputs'!$AQ$3=9),IF(AND('Pricing Inputs'!$AQ$3&gt;=2,'Pricing Inputs'!$AQ$3&lt;=6),K347,(VLOOKUP(A347,ScaledPrice,5))*(2-(VLOOKUP(A347,ScaledPrice,3)))),0))</f>
        <v xml:space="preserve"> </v>
      </c>
      <c r="M347" s="255" t="str">
        <f>IF(A347="N/A"," ",IF(OR('Pricing Inputs'!$AQ$3=3,'Pricing Inputs'!$AQ$3=6,'Pricing Inputs'!$AQ$3=9),(VLOOKUP(A347,ScaledPrice,IF(AND('Pricing Inputs'!$AQ$3&gt;=3,'Pricing Inputs'!$AQ$3&lt;=6),7,8))),0))</f>
        <v xml:space="preserve"> </v>
      </c>
      <c r="N347" s="255" t="str">
        <f>IF(A347="N/A"," ",IF(OR('Pricing Inputs'!$AQ$3=3,'Pricing Inputs'!$AQ$3=6,'Pricing Inputs'!$AQ$3=9),IF(AND('Pricing Inputs'!$AQ$3&gt;=3,'Pricing Inputs'!$AQ$3&lt;=6),M347,(VLOOKUP(A347,ScaledPrice,7))*(2-(VLOOKUP(A347,ScaledPrice,3)))),0))</f>
        <v xml:space="preserve"> </v>
      </c>
      <c r="O347" s="255" t="str">
        <f>IF(A347="N/A"," ",IF(AND('Pricing Inputs'!$AQ$3&gt;=1,'Pricing Inputs'!$AQ$3&lt;=3),VLOOKUP(A347,ScaledPrice,9),0))</f>
        <v xml:space="preserve"> </v>
      </c>
      <c r="P347" s="320" t="str">
        <f>IF($A347="N/A"," ",IF('Pricing Inputs'!$AN$8=2,(I347-H347),IF('Pricing Inputs'!$AN$3=2,IF((I347-$H347)&gt;0,I347-$H347,0),(_xll.xSPRDOPT(I347,$E347,$BU347,0,$BP347,$BS347,$BT347,($A347-Inputs!$D$1)+15,1,0)))))</f>
        <v xml:space="preserve"> </v>
      </c>
      <c r="Q347" s="320" t="str">
        <f>IF($A347="N/A"," ",IF('Pricing Inputs'!$AN$8=2,(J347-$H347),IF('Pricing Inputs'!$AN$3=2,IF((J347-$H347)&gt;0,J347-$H347,0),(_xll.xSPRDOPT(J347,$E347,$BU347,0,$BP347,$BS347,$BT347,($A347-Inputs!$D$1)+15,1,0)))))</f>
        <v xml:space="preserve"> </v>
      </c>
      <c r="R347" s="320" t="str">
        <f>IF($A347="N/A"," ",IF('Pricing Inputs'!$AN$8=2,(K347-$H347),IF('Pricing Inputs'!$AN$3=2,IF((K347-$H347)&gt;0,K347-$H347,0),(_xll.xSPRDOPT(K347,$E347,$BU347,0,$BP347,$BS347,$BT347,($A347-Inputs!$D$1)+15,1,0)))))</f>
        <v xml:space="preserve"> </v>
      </c>
      <c r="S347" s="320" t="str">
        <f>IF($A347="N/A"," ",IF('Pricing Inputs'!$AN$8=2,(L347-$H347),IF('Pricing Inputs'!$AN$3=2,IF((L347-$H347)&gt;0,L347-$H347,0),(_xll.xSPRDOPT(L347,$E347,$BU347,0,$BP347,$BS347,$BT347,($A347-Inputs!$D$1)+15,1,0)))))</f>
        <v xml:space="preserve"> </v>
      </c>
      <c r="T347" s="320" t="str">
        <f>IF($A347="N/A"," ",IF('Pricing Inputs'!$AN$8=2,(M347-$H347),IF('Pricing Inputs'!$AN$3=2,IF((M347-$H347)&gt;0,M347-$H347,0),(_xll.xSPRDOPT(M347,$E347,$BU347,0,$BP347,$BS347,$BT347,($A347-Inputs!$D$1)+15,1,0)))))</f>
        <v xml:space="preserve"> </v>
      </c>
      <c r="U347" s="320" t="str">
        <f>IF($A347="N/A"," ",IF('Pricing Inputs'!$AN$8=2,(N347-$H347),IF('Pricing Inputs'!$AN$3=2,IF((N347-$H347)&gt;0,N347-$H347,0),(_xll.xSPRDOPT(N347,$E347,$BU347,0,$BP347,$BS347,$BT347,($A347-Inputs!$D$1)+15,1,0)))))</f>
        <v xml:space="preserve"> </v>
      </c>
      <c r="V347" s="259" t="str">
        <f>IF($A347="N/A"," ",(IF('Pricing Inputs'!$AN$8=2,(O347-$H347),IF((O347-$H347)&lt;=0,0,(O347-$H347)))))</f>
        <v xml:space="preserve"> </v>
      </c>
      <c r="BA347" s="267" t="str">
        <f>IF($A347="N/A"," ",(IF(MONTH(A347)&gt;=4,IF(MONTH(A347)&lt;=10,Inputs!$F$13,Inputs!$F$14),Inputs!$F$14))*$BW347)</f>
        <v xml:space="preserve"> </v>
      </c>
      <c r="BN347" s="405" t="str">
        <f>IF(A347="N/A"," ",(VLOOKUP(A347,PowerVolTable,(IF('Pricing Inputs'!$AT$3=2,7,IF('Pricing Inputs'!$AT$3=1,6,8))),FALSE)))</f>
        <v xml:space="preserve"> </v>
      </c>
      <c r="BO347" s="405" t="str">
        <f>IF(A347="N/A"," ",(VLOOKUP(A347,IntraPowerVol,(IF('Pricing Inputs'!$AT$3=2,3,IF('Pricing Inputs'!$AT$3=1,2,4))),FALSE)*VLOOKUP(MONTH($A347),Inputs!$A$28:$B$39,2)))</f>
        <v xml:space="preserve"> </v>
      </c>
      <c r="BP347" s="406" t="str">
        <f t="shared" si="436"/>
        <v xml:space="preserve"> </v>
      </c>
      <c r="BQ347" s="405" t="str">
        <f>IF($A347="N/A"," ",(VLOOKUP($A347,GasVolTable,(IF('Pricing Inputs'!$AT$3=2,6,IF('Pricing Inputs'!$AT$3=1,7,5))),FALSE)))</f>
        <v xml:space="preserve"> </v>
      </c>
      <c r="BR347" s="405" t="str">
        <f>IF($A347="N/A"," ",(VLOOKUP($A347,OmicronVol,(IF('Pricing Inputs'!$AT$3=2,3,IF('Pricing Inputs'!$AT$3=1,4,2))),FALSE)))</f>
        <v xml:space="preserve"> </v>
      </c>
      <c r="BS347" s="406" t="str">
        <f>IF($A347="N/A"," ",IF('Pricing Inputs'!$AN$3=1,(IF(DateToday&gt;$A347,$BR347,((($BQ347^2)*((($A347-1)-DateToday)/((EOMONTH($A347,0)+1)-DateToday-15)))+((($BR347)^2)*((15)/((EOMONTH($A347,0)+1)-DateToday-15))))^0.5)),0.0001))</f>
        <v xml:space="preserve"> </v>
      </c>
      <c r="BT347" s="405" t="str">
        <f>IF($A347="N/A"," ",IF('Pricing Inputs'!$AN$3=1,(VLOOKUP($A347,CorrelationTable,2,FALSE)),0))</f>
        <v xml:space="preserve"> </v>
      </c>
      <c r="BU347" s="407" t="str">
        <f>IF($A347="N/A"," ",F347+G347+(D347*(VLOOKUP($A347,'Gas Curves'!$B$17:$P$310,14,FALSE))))</f>
        <v xml:space="preserve"> </v>
      </c>
      <c r="BV347" s="405" t="str">
        <f>IF($A347="N/A"," ",IF('Pricing Inputs'!$AW$3=1,0,(VLOOKUP($A347,InterestRatesTable,2))))</f>
        <v xml:space="preserve"> </v>
      </c>
      <c r="BW347" s="408" t="str">
        <f t="shared" si="437"/>
        <v xml:space="preserve"> </v>
      </c>
    </row>
    <row r="348" spans="1:75">
      <c r="A348" s="248" t="str">
        <f>IF(A347="N/A","N/A",IF(EDATE(A347,1)&gt;Inputs!$K$3,"N/A",EDATE(A347,1)))</f>
        <v>N/A</v>
      </c>
      <c r="B348" s="262" t="str">
        <f t="shared" si="438"/>
        <v xml:space="preserve"> </v>
      </c>
      <c r="C348" s="249" t="str">
        <f t="shared" si="439"/>
        <v xml:space="preserve"> </v>
      </c>
      <c r="D348" s="250" t="str">
        <f>IF(A348="N/A"," ",(VLOOKUP(MONTH($A348),Inputs!$A$14:$B$25,2))/1000)</f>
        <v xml:space="preserve"> </v>
      </c>
      <c r="E348" s="304" t="str">
        <f t="shared" si="440"/>
        <v xml:space="preserve"> </v>
      </c>
      <c r="F348" s="251" t="str">
        <f>IF(A348="N/A"," ",Inputs!$F$6)</f>
        <v xml:space="preserve"> </v>
      </c>
      <c r="G348" s="251" t="str">
        <f>IF(A348="N/A"," ",Inputs!$F$9/IF(AND('Pricing Inputs'!$AQ$3&gt;=4,'Pricing Inputs'!$AQ$3&lt;=6),16,IF(AND('Pricing Inputs'!$AQ$3&gt;=7,'Pricing Inputs'!$AQ$3&lt;=9),8,24))/(BA348/BW348))</f>
        <v xml:space="preserve"> </v>
      </c>
      <c r="H348" s="252" t="str">
        <f t="shared" si="441"/>
        <v xml:space="preserve"> </v>
      </c>
      <c r="I348" s="255" t="str">
        <f>VLOOKUP(A348,ScaledPrice,(IF(AND('Pricing Inputs'!$AQ$3&gt;=1,'Pricing Inputs'!$AQ$3&lt;=6),2,4)))</f>
        <v xml:space="preserve"> </v>
      </c>
      <c r="J348" s="255" t="str">
        <f>IF(A348="N/A"," ",IF(AND('Pricing Inputs'!$AQ$3&gt;=1,'Pricing Inputs'!$AQ$3&lt;=6),I348,(VLOOKUP(A348,ScaledPrice,2))*(2-(VLOOKUP(A348,ScaledPrice,3)))))</f>
        <v xml:space="preserve"> </v>
      </c>
      <c r="K348" s="255" t="str">
        <f>IF(A348="N/A"," ",IF(OR('Pricing Inputs'!$AQ$3=2,'Pricing Inputs'!$AQ$3=3,'Pricing Inputs'!$AQ$3=5,'Pricing Inputs'!$AQ$3=6,'Pricing Inputs'!$AQ$3=8,'Pricing Inputs'!$AQ$3=9),VLOOKUP(A348,ScaledPrice,IF(AND('Pricing Inputs'!$AQ$3&gt;=2,'Pricing Inputs'!$AQ$3&lt;=6),5,6)),0))</f>
        <v xml:space="preserve"> </v>
      </c>
      <c r="L348" s="255" t="str">
        <f>IF(A348="N/A"," ",IF(OR('Pricing Inputs'!$AQ$3=2,'Pricing Inputs'!$AQ$3=3,'Pricing Inputs'!$AQ$3=5,'Pricing Inputs'!$AQ$3=6,'Pricing Inputs'!$AQ$3=8,'Pricing Inputs'!$AQ$3=9),IF(AND('Pricing Inputs'!$AQ$3&gt;=2,'Pricing Inputs'!$AQ$3&lt;=6),K348,(VLOOKUP(A348,ScaledPrice,5))*(2-(VLOOKUP(A348,ScaledPrice,3)))),0))</f>
        <v xml:space="preserve"> </v>
      </c>
      <c r="M348" s="255" t="str">
        <f>IF(A348="N/A"," ",IF(OR('Pricing Inputs'!$AQ$3=3,'Pricing Inputs'!$AQ$3=6,'Pricing Inputs'!$AQ$3=9),(VLOOKUP(A348,ScaledPrice,IF(AND('Pricing Inputs'!$AQ$3&gt;=3,'Pricing Inputs'!$AQ$3&lt;=6),7,8))),0))</f>
        <v xml:space="preserve"> </v>
      </c>
      <c r="N348" s="255" t="str">
        <f>IF(A348="N/A"," ",IF(OR('Pricing Inputs'!$AQ$3=3,'Pricing Inputs'!$AQ$3=6,'Pricing Inputs'!$AQ$3=9),IF(AND('Pricing Inputs'!$AQ$3&gt;=3,'Pricing Inputs'!$AQ$3&lt;=6),M348,(VLOOKUP(A348,ScaledPrice,7))*(2-(VLOOKUP(A348,ScaledPrice,3)))),0))</f>
        <v xml:space="preserve"> </v>
      </c>
      <c r="O348" s="255" t="str">
        <f>IF(A348="N/A"," ",IF(AND('Pricing Inputs'!$AQ$3&gt;=1,'Pricing Inputs'!$AQ$3&lt;=3),VLOOKUP(A348,ScaledPrice,9),0))</f>
        <v xml:space="preserve"> </v>
      </c>
      <c r="P348" s="320" t="str">
        <f>IF($A348="N/A"," ",IF('Pricing Inputs'!$AN$8=2,(I348-H348),IF('Pricing Inputs'!$AN$3=2,IF((I348-$H348)&gt;0,I348-$H348,0),(_xll.xSPRDOPT(I348,$E348,$BU348,0,$BP348,$BS348,$BT348,($A348-Inputs!$D$1)+15,1,0)))))</f>
        <v xml:space="preserve"> </v>
      </c>
      <c r="Q348" s="320" t="str">
        <f>IF($A348="N/A"," ",IF('Pricing Inputs'!$AN$8=2,(J348-$H348),IF('Pricing Inputs'!$AN$3=2,IF((J348-$H348)&gt;0,J348-$H348,0),(_xll.xSPRDOPT(J348,$E348,$BU348,0,$BP348,$BS348,$BT348,($A348-Inputs!$D$1)+15,1,0)))))</f>
        <v xml:space="preserve"> </v>
      </c>
      <c r="R348" s="320" t="str">
        <f>IF($A348="N/A"," ",IF('Pricing Inputs'!$AN$8=2,(K348-$H348),IF('Pricing Inputs'!$AN$3=2,IF((K348-$H348)&gt;0,K348-$H348,0),(_xll.xSPRDOPT(K348,$E348,$BU348,0,$BP348,$BS348,$BT348,($A348-Inputs!$D$1)+15,1,0)))))</f>
        <v xml:space="preserve"> </v>
      </c>
      <c r="S348" s="320" t="str">
        <f>IF($A348="N/A"," ",IF('Pricing Inputs'!$AN$8=2,(L348-$H348),IF('Pricing Inputs'!$AN$3=2,IF((L348-$H348)&gt;0,L348-$H348,0),(_xll.xSPRDOPT(L348,$E348,$BU348,0,$BP348,$BS348,$BT348,($A348-Inputs!$D$1)+15,1,0)))))</f>
        <v xml:space="preserve"> </v>
      </c>
      <c r="T348" s="320" t="str">
        <f>IF($A348="N/A"," ",IF('Pricing Inputs'!$AN$8=2,(M348-$H348),IF('Pricing Inputs'!$AN$3=2,IF((M348-$H348)&gt;0,M348-$H348,0),(_xll.xSPRDOPT(M348,$E348,$BU348,0,$BP348,$BS348,$BT348,($A348-Inputs!$D$1)+15,1,0)))))</f>
        <v xml:space="preserve"> </v>
      </c>
      <c r="U348" s="320" t="str">
        <f>IF($A348="N/A"," ",IF('Pricing Inputs'!$AN$8=2,(N348-$H348),IF('Pricing Inputs'!$AN$3=2,IF((N348-$H348)&gt;0,N348-$H348,0),(_xll.xSPRDOPT(N348,$E348,$BU348,0,$BP348,$BS348,$BT348,($A348-Inputs!$D$1)+15,1,0)))))</f>
        <v xml:space="preserve"> </v>
      </c>
      <c r="V348" s="259" t="str">
        <f>IF($A348="N/A"," ",(IF('Pricing Inputs'!$AN$8=2,(O348-$H348),IF((O348-$H348)&lt;=0,0,(O348-$H348)))))</f>
        <v xml:space="preserve"> </v>
      </c>
      <c r="BA348" s="267" t="str">
        <f>IF($A348="N/A"," ",(IF(MONTH(A348)&gt;=4,IF(MONTH(A348)&lt;=10,Inputs!$F$13,Inputs!$F$14),Inputs!$F$14))*$BW348)</f>
        <v xml:space="preserve"> </v>
      </c>
      <c r="BN348" s="405" t="str">
        <f>IF(A348="N/A"," ",(VLOOKUP(A348,PowerVolTable,(IF('Pricing Inputs'!$AT$3=2,7,IF('Pricing Inputs'!$AT$3=1,6,8))),FALSE)))</f>
        <v xml:space="preserve"> </v>
      </c>
      <c r="BO348" s="405" t="str">
        <f>IF(A348="N/A"," ",(VLOOKUP(A348,IntraPowerVol,(IF('Pricing Inputs'!$AT$3=2,3,IF('Pricing Inputs'!$AT$3=1,2,4))),FALSE)*VLOOKUP(MONTH($A348),Inputs!$A$28:$B$39,2)))</f>
        <v xml:space="preserve"> </v>
      </c>
      <c r="BP348" s="406" t="str">
        <f t="shared" si="436"/>
        <v xml:space="preserve"> </v>
      </c>
      <c r="BQ348" s="405" t="str">
        <f>IF($A348="N/A"," ",(VLOOKUP($A348,GasVolTable,(IF('Pricing Inputs'!$AT$3=2,6,IF('Pricing Inputs'!$AT$3=1,7,5))),FALSE)))</f>
        <v xml:space="preserve"> </v>
      </c>
      <c r="BR348" s="405" t="str">
        <f>IF($A348="N/A"," ",(VLOOKUP($A348,OmicronVol,(IF('Pricing Inputs'!$AT$3=2,3,IF('Pricing Inputs'!$AT$3=1,4,2))),FALSE)))</f>
        <v xml:space="preserve"> </v>
      </c>
      <c r="BS348" s="406" t="str">
        <f>IF($A348="N/A"," ",IF('Pricing Inputs'!$AN$3=1,(IF(DateToday&gt;$A348,$BR348,((($BQ348^2)*((($A348-1)-DateToday)/((EOMONTH($A348,0)+1)-DateToday-15)))+((($BR348)^2)*((15)/((EOMONTH($A348,0)+1)-DateToday-15))))^0.5)),0.0001))</f>
        <v xml:space="preserve"> </v>
      </c>
      <c r="BT348" s="405" t="str">
        <f>IF($A348="N/A"," ",IF('Pricing Inputs'!$AN$3=1,(VLOOKUP($A348,CorrelationTable,2,FALSE)),0))</f>
        <v xml:space="preserve"> </v>
      </c>
      <c r="BU348" s="407" t="str">
        <f>IF($A348="N/A"," ",F348+G348+(D348*(VLOOKUP($A348,'Gas Curves'!$B$17:$P$310,14,FALSE))))</f>
        <v xml:space="preserve"> </v>
      </c>
      <c r="BV348" s="405" t="str">
        <f>IF($A348="N/A"," ",IF('Pricing Inputs'!$AW$3=1,0,(VLOOKUP($A348,InterestRatesTable,2))))</f>
        <v xml:space="preserve"> </v>
      </c>
      <c r="BW348" s="408" t="str">
        <f t="shared" si="437"/>
        <v xml:space="preserve"> </v>
      </c>
    </row>
    <row r="349" spans="1:75">
      <c r="A349" s="248" t="str">
        <f>IF(A348="N/A","N/A",IF(EDATE(A348,1)&gt;Inputs!$K$3,"N/A",EDATE(A348,1)))</f>
        <v>N/A</v>
      </c>
      <c r="B349" s="262" t="str">
        <f t="shared" si="438"/>
        <v xml:space="preserve"> </v>
      </c>
      <c r="C349" s="249" t="str">
        <f t="shared" si="439"/>
        <v xml:space="preserve"> </v>
      </c>
      <c r="D349" s="250" t="str">
        <f>IF(A349="N/A"," ",(VLOOKUP(MONTH($A349),Inputs!$A$14:$B$25,2))/1000)</f>
        <v xml:space="preserve"> </v>
      </c>
      <c r="E349" s="304" t="str">
        <f t="shared" si="440"/>
        <v xml:space="preserve"> </v>
      </c>
      <c r="F349" s="251" t="str">
        <f>IF(A349="N/A"," ",Inputs!$F$6)</f>
        <v xml:space="preserve"> </v>
      </c>
      <c r="G349" s="251" t="str">
        <f>IF(A349="N/A"," ",Inputs!$F$9/IF(AND('Pricing Inputs'!$AQ$3&gt;=4,'Pricing Inputs'!$AQ$3&lt;=6),16,IF(AND('Pricing Inputs'!$AQ$3&gt;=7,'Pricing Inputs'!$AQ$3&lt;=9),8,24))/(BA349/BW349))</f>
        <v xml:space="preserve"> </v>
      </c>
      <c r="H349" s="252" t="str">
        <f t="shared" si="441"/>
        <v xml:space="preserve"> </v>
      </c>
      <c r="I349" s="255" t="str">
        <f>VLOOKUP(A349,ScaledPrice,(IF(AND('Pricing Inputs'!$AQ$3&gt;=1,'Pricing Inputs'!$AQ$3&lt;=6),2,4)))</f>
        <v xml:space="preserve"> </v>
      </c>
      <c r="J349" s="255" t="str">
        <f>IF(A349="N/A"," ",IF(AND('Pricing Inputs'!$AQ$3&gt;=1,'Pricing Inputs'!$AQ$3&lt;=6),I349,(VLOOKUP(A349,ScaledPrice,2))*(2-(VLOOKUP(A349,ScaledPrice,3)))))</f>
        <v xml:space="preserve"> </v>
      </c>
      <c r="K349" s="255" t="str">
        <f>IF(A349="N/A"," ",IF(OR('Pricing Inputs'!$AQ$3=2,'Pricing Inputs'!$AQ$3=3,'Pricing Inputs'!$AQ$3=5,'Pricing Inputs'!$AQ$3=6,'Pricing Inputs'!$AQ$3=8,'Pricing Inputs'!$AQ$3=9),VLOOKUP(A349,ScaledPrice,IF(AND('Pricing Inputs'!$AQ$3&gt;=2,'Pricing Inputs'!$AQ$3&lt;=6),5,6)),0))</f>
        <v xml:space="preserve"> </v>
      </c>
      <c r="L349" s="255" t="str">
        <f>IF(A349="N/A"," ",IF(OR('Pricing Inputs'!$AQ$3=2,'Pricing Inputs'!$AQ$3=3,'Pricing Inputs'!$AQ$3=5,'Pricing Inputs'!$AQ$3=6,'Pricing Inputs'!$AQ$3=8,'Pricing Inputs'!$AQ$3=9),IF(AND('Pricing Inputs'!$AQ$3&gt;=2,'Pricing Inputs'!$AQ$3&lt;=6),K349,(VLOOKUP(A349,ScaledPrice,5))*(2-(VLOOKUP(A349,ScaledPrice,3)))),0))</f>
        <v xml:space="preserve"> </v>
      </c>
      <c r="M349" s="255" t="str">
        <f>IF(A349="N/A"," ",IF(OR('Pricing Inputs'!$AQ$3=3,'Pricing Inputs'!$AQ$3=6,'Pricing Inputs'!$AQ$3=9),(VLOOKUP(A349,ScaledPrice,IF(AND('Pricing Inputs'!$AQ$3&gt;=3,'Pricing Inputs'!$AQ$3&lt;=6),7,8))),0))</f>
        <v xml:space="preserve"> </v>
      </c>
      <c r="N349" s="255" t="str">
        <f>IF(A349="N/A"," ",IF(OR('Pricing Inputs'!$AQ$3=3,'Pricing Inputs'!$AQ$3=6,'Pricing Inputs'!$AQ$3=9),IF(AND('Pricing Inputs'!$AQ$3&gt;=3,'Pricing Inputs'!$AQ$3&lt;=6),M349,(VLOOKUP(A349,ScaledPrice,7))*(2-(VLOOKUP(A349,ScaledPrice,3)))),0))</f>
        <v xml:space="preserve"> </v>
      </c>
      <c r="O349" s="255" t="str">
        <f>IF(A349="N/A"," ",IF(AND('Pricing Inputs'!$AQ$3&gt;=1,'Pricing Inputs'!$AQ$3&lt;=3),VLOOKUP(A349,ScaledPrice,9),0))</f>
        <v xml:space="preserve"> </v>
      </c>
      <c r="P349" s="320" t="str">
        <f>IF($A349="N/A"," ",IF('Pricing Inputs'!$AN$8=2,(I349-H349),IF('Pricing Inputs'!$AN$3=2,IF((I349-$H349)&gt;0,I349-$H349,0),(_xll.xSPRDOPT(I349,$E349,$BU349,0,$BP349,$BS349,$BT349,($A349-Inputs!$D$1)+15,1,0)))))</f>
        <v xml:space="preserve"> </v>
      </c>
      <c r="Q349" s="320" t="str">
        <f>IF($A349="N/A"," ",IF('Pricing Inputs'!$AN$8=2,(J349-$H349),IF('Pricing Inputs'!$AN$3=2,IF((J349-$H349)&gt;0,J349-$H349,0),(_xll.xSPRDOPT(J349,$E349,$BU349,0,$BP349,$BS349,$BT349,($A349-Inputs!$D$1)+15,1,0)))))</f>
        <v xml:space="preserve"> </v>
      </c>
      <c r="R349" s="320" t="str">
        <f>IF($A349="N/A"," ",IF('Pricing Inputs'!$AN$8=2,(K349-$H349),IF('Pricing Inputs'!$AN$3=2,IF((K349-$H349)&gt;0,K349-$H349,0),(_xll.xSPRDOPT(K349,$E349,$BU349,0,$BP349,$BS349,$BT349,($A349-Inputs!$D$1)+15,1,0)))))</f>
        <v xml:space="preserve"> </v>
      </c>
      <c r="S349" s="320" t="str">
        <f>IF($A349="N/A"," ",IF('Pricing Inputs'!$AN$8=2,(L349-$H349),IF('Pricing Inputs'!$AN$3=2,IF((L349-$H349)&gt;0,L349-$H349,0),(_xll.xSPRDOPT(L349,$E349,$BU349,0,$BP349,$BS349,$BT349,($A349-Inputs!$D$1)+15,1,0)))))</f>
        <v xml:space="preserve"> </v>
      </c>
      <c r="T349" s="320" t="str">
        <f>IF($A349="N/A"," ",IF('Pricing Inputs'!$AN$8=2,(M349-$H349),IF('Pricing Inputs'!$AN$3=2,IF((M349-$H349)&gt;0,M349-$H349,0),(_xll.xSPRDOPT(M349,$E349,$BU349,0,$BP349,$BS349,$BT349,($A349-Inputs!$D$1)+15,1,0)))))</f>
        <v xml:space="preserve"> </v>
      </c>
      <c r="U349" s="320" t="str">
        <f>IF($A349="N/A"," ",IF('Pricing Inputs'!$AN$8=2,(N349-$H349),IF('Pricing Inputs'!$AN$3=2,IF((N349-$H349)&gt;0,N349-$H349,0),(_xll.xSPRDOPT(N349,$E349,$BU349,0,$BP349,$BS349,$BT349,($A349-Inputs!$D$1)+15,1,0)))))</f>
        <v xml:space="preserve"> </v>
      </c>
      <c r="V349" s="259" t="str">
        <f>IF($A349="N/A"," ",(IF('Pricing Inputs'!$AN$8=2,(O349-$H349),IF((O349-$H349)&lt;=0,0,(O349-$H349)))))</f>
        <v xml:space="preserve"> </v>
      </c>
      <c r="BA349" s="267" t="str">
        <f>IF($A349="N/A"," ",(IF(MONTH(A349)&gt;=4,IF(MONTH(A349)&lt;=10,Inputs!$F$13,Inputs!$F$14),Inputs!$F$14))*$BW349)</f>
        <v xml:space="preserve"> </v>
      </c>
      <c r="BN349" s="405" t="str">
        <f>IF(A349="N/A"," ",(VLOOKUP(A349,PowerVolTable,(IF('Pricing Inputs'!$AT$3=2,7,IF('Pricing Inputs'!$AT$3=1,6,8))),FALSE)))</f>
        <v xml:space="preserve"> </v>
      </c>
      <c r="BO349" s="405" t="str">
        <f>IF(A349="N/A"," ",(VLOOKUP(A349,IntraPowerVol,(IF('Pricing Inputs'!$AT$3=2,3,IF('Pricing Inputs'!$AT$3=1,2,4))),FALSE)*VLOOKUP(MONTH($A349),Inputs!$A$28:$B$39,2)))</f>
        <v xml:space="preserve"> </v>
      </c>
      <c r="BP349" s="406" t="str">
        <f t="shared" si="436"/>
        <v xml:space="preserve"> </v>
      </c>
      <c r="BQ349" s="405" t="str">
        <f>IF($A349="N/A"," ",(VLOOKUP($A349,GasVolTable,(IF('Pricing Inputs'!$AT$3=2,6,IF('Pricing Inputs'!$AT$3=1,7,5))),FALSE)))</f>
        <v xml:space="preserve"> </v>
      </c>
      <c r="BR349" s="405" t="str">
        <f>IF($A349="N/A"," ",(VLOOKUP($A349,OmicronVol,(IF('Pricing Inputs'!$AT$3=2,3,IF('Pricing Inputs'!$AT$3=1,4,2))),FALSE)))</f>
        <v xml:space="preserve"> </v>
      </c>
      <c r="BS349" s="406" t="str">
        <f>IF($A349="N/A"," ",IF('Pricing Inputs'!$AN$3=1,(IF(DateToday&gt;$A349,$BR349,((($BQ349^2)*((($A349-1)-DateToday)/((EOMONTH($A349,0)+1)-DateToday-15)))+((($BR349)^2)*((15)/((EOMONTH($A349,0)+1)-DateToday-15))))^0.5)),0.0001))</f>
        <v xml:space="preserve"> </v>
      </c>
      <c r="BT349" s="405" t="str">
        <f>IF($A349="N/A"," ",IF('Pricing Inputs'!$AN$3=1,(VLOOKUP($A349,CorrelationTable,2,FALSE)),0))</f>
        <v xml:space="preserve"> </v>
      </c>
      <c r="BU349" s="407" t="str">
        <f>IF($A349="N/A"," ",F349+G349+(D349*(VLOOKUP($A349,'Gas Curves'!$B$17:$P$310,14,FALSE))))</f>
        <v xml:space="preserve"> </v>
      </c>
      <c r="BV349" s="405" t="str">
        <f>IF($A349="N/A"," ",IF('Pricing Inputs'!$AW$3=1,0,(VLOOKUP($A349,InterestRatesTable,2))))</f>
        <v xml:space="preserve"> </v>
      </c>
      <c r="BW349" s="408" t="str">
        <f t="shared" si="437"/>
        <v xml:space="preserve"> </v>
      </c>
    </row>
    <row r="350" spans="1:75">
      <c r="A350" s="248" t="str">
        <f>IF(A349="N/A","N/A",IF(EDATE(A349,1)&gt;Inputs!$K$3,"N/A",EDATE(A349,1)))</f>
        <v>N/A</v>
      </c>
      <c r="B350" s="262" t="str">
        <f t="shared" si="438"/>
        <v xml:space="preserve"> </v>
      </c>
      <c r="C350" s="249" t="str">
        <f t="shared" si="439"/>
        <v xml:space="preserve"> </v>
      </c>
      <c r="D350" s="250" t="str">
        <f>IF(A350="N/A"," ",(VLOOKUP(MONTH($A350),Inputs!$A$14:$B$25,2))/1000)</f>
        <v xml:space="preserve"> </v>
      </c>
      <c r="E350" s="304" t="str">
        <f t="shared" si="440"/>
        <v xml:space="preserve"> </v>
      </c>
      <c r="F350" s="251" t="str">
        <f>IF(A350="N/A"," ",Inputs!$F$6)</f>
        <v xml:space="preserve"> </v>
      </c>
      <c r="G350" s="251" t="str">
        <f>IF(A350="N/A"," ",Inputs!$F$9/IF(AND('Pricing Inputs'!$AQ$3&gt;=4,'Pricing Inputs'!$AQ$3&lt;=6),16,IF(AND('Pricing Inputs'!$AQ$3&gt;=7,'Pricing Inputs'!$AQ$3&lt;=9),8,24))/(BA350/BW350))</f>
        <v xml:space="preserve"> </v>
      </c>
      <c r="H350" s="252" t="str">
        <f t="shared" si="441"/>
        <v xml:space="preserve"> </v>
      </c>
      <c r="I350" s="255" t="str">
        <f>VLOOKUP(A350,ScaledPrice,(IF(AND('Pricing Inputs'!$AQ$3&gt;=1,'Pricing Inputs'!$AQ$3&lt;=6),2,4)))</f>
        <v xml:space="preserve"> </v>
      </c>
      <c r="J350" s="255" t="str">
        <f>IF(A350="N/A"," ",IF(AND('Pricing Inputs'!$AQ$3&gt;=1,'Pricing Inputs'!$AQ$3&lt;=6),I350,(VLOOKUP(A350,ScaledPrice,2))*(2-(VLOOKUP(A350,ScaledPrice,3)))))</f>
        <v xml:space="preserve"> </v>
      </c>
      <c r="K350" s="255" t="str">
        <f>IF(A350="N/A"," ",IF(OR('Pricing Inputs'!$AQ$3=2,'Pricing Inputs'!$AQ$3=3,'Pricing Inputs'!$AQ$3=5,'Pricing Inputs'!$AQ$3=6,'Pricing Inputs'!$AQ$3=8,'Pricing Inputs'!$AQ$3=9),VLOOKUP(A350,ScaledPrice,IF(AND('Pricing Inputs'!$AQ$3&gt;=2,'Pricing Inputs'!$AQ$3&lt;=6),5,6)),0))</f>
        <v xml:space="preserve"> </v>
      </c>
      <c r="L350" s="255" t="str">
        <f>IF(A350="N/A"," ",IF(OR('Pricing Inputs'!$AQ$3=2,'Pricing Inputs'!$AQ$3=3,'Pricing Inputs'!$AQ$3=5,'Pricing Inputs'!$AQ$3=6,'Pricing Inputs'!$AQ$3=8,'Pricing Inputs'!$AQ$3=9),IF(AND('Pricing Inputs'!$AQ$3&gt;=2,'Pricing Inputs'!$AQ$3&lt;=6),K350,(VLOOKUP(A350,ScaledPrice,5))*(2-(VLOOKUP(A350,ScaledPrice,3)))),0))</f>
        <v xml:space="preserve"> </v>
      </c>
      <c r="M350" s="255" t="str">
        <f>IF(A350="N/A"," ",IF(OR('Pricing Inputs'!$AQ$3=3,'Pricing Inputs'!$AQ$3=6,'Pricing Inputs'!$AQ$3=9),(VLOOKUP(A350,ScaledPrice,IF(AND('Pricing Inputs'!$AQ$3&gt;=3,'Pricing Inputs'!$AQ$3&lt;=6),7,8))),0))</f>
        <v xml:space="preserve"> </v>
      </c>
      <c r="N350" s="255" t="str">
        <f>IF(A350="N/A"," ",IF(OR('Pricing Inputs'!$AQ$3=3,'Pricing Inputs'!$AQ$3=6,'Pricing Inputs'!$AQ$3=9),IF(AND('Pricing Inputs'!$AQ$3&gt;=3,'Pricing Inputs'!$AQ$3&lt;=6),M350,(VLOOKUP(A350,ScaledPrice,7))*(2-(VLOOKUP(A350,ScaledPrice,3)))),0))</f>
        <v xml:space="preserve"> </v>
      </c>
      <c r="O350" s="255" t="str">
        <f>IF(A350="N/A"," ",IF(AND('Pricing Inputs'!$AQ$3&gt;=1,'Pricing Inputs'!$AQ$3&lt;=3),VLOOKUP(A350,ScaledPrice,9),0))</f>
        <v xml:space="preserve"> </v>
      </c>
      <c r="P350" s="320" t="str">
        <f>IF($A350="N/A"," ",IF('Pricing Inputs'!$AN$8=2,(I350-H350),IF('Pricing Inputs'!$AN$3=2,IF((I350-$H350)&gt;0,I350-$H350,0),(_xll.xSPRDOPT(I350,$E350,$BU350,0,$BP350,$BS350,$BT350,($A350-Inputs!$D$1)+15,1,0)))))</f>
        <v xml:space="preserve"> </v>
      </c>
      <c r="Q350" s="320" t="str">
        <f>IF($A350="N/A"," ",IF('Pricing Inputs'!$AN$8=2,(J350-$H350),IF('Pricing Inputs'!$AN$3=2,IF((J350-$H350)&gt;0,J350-$H350,0),(_xll.xSPRDOPT(J350,$E350,$BU350,0,$BP350,$BS350,$BT350,($A350-Inputs!$D$1)+15,1,0)))))</f>
        <v xml:space="preserve"> </v>
      </c>
      <c r="R350" s="320" t="str">
        <f>IF($A350="N/A"," ",IF('Pricing Inputs'!$AN$8=2,(K350-$H350),IF('Pricing Inputs'!$AN$3=2,IF((K350-$H350)&gt;0,K350-$H350,0),(_xll.xSPRDOPT(K350,$E350,$BU350,0,$BP350,$BS350,$BT350,($A350-Inputs!$D$1)+15,1,0)))))</f>
        <v xml:space="preserve"> </v>
      </c>
      <c r="S350" s="320" t="str">
        <f>IF($A350="N/A"," ",IF('Pricing Inputs'!$AN$8=2,(L350-$H350),IF('Pricing Inputs'!$AN$3=2,IF((L350-$H350)&gt;0,L350-$H350,0),(_xll.xSPRDOPT(L350,$E350,$BU350,0,$BP350,$BS350,$BT350,($A350-Inputs!$D$1)+15,1,0)))))</f>
        <v xml:space="preserve"> </v>
      </c>
      <c r="T350" s="320" t="str">
        <f>IF($A350="N/A"," ",IF('Pricing Inputs'!$AN$8=2,(M350-$H350),IF('Pricing Inputs'!$AN$3=2,IF((M350-$H350)&gt;0,M350-$H350,0),(_xll.xSPRDOPT(M350,$E350,$BU350,0,$BP350,$BS350,$BT350,($A350-Inputs!$D$1)+15,1,0)))))</f>
        <v xml:space="preserve"> </v>
      </c>
      <c r="U350" s="320" t="str">
        <f>IF($A350="N/A"," ",IF('Pricing Inputs'!$AN$8=2,(N350-$H350),IF('Pricing Inputs'!$AN$3=2,IF((N350-$H350)&gt;0,N350-$H350,0),(_xll.xSPRDOPT(N350,$E350,$BU350,0,$BP350,$BS350,$BT350,($A350-Inputs!$D$1)+15,1,0)))))</f>
        <v xml:space="preserve"> </v>
      </c>
      <c r="V350" s="259" t="str">
        <f>IF($A350="N/A"," ",(IF('Pricing Inputs'!$AN$8=2,(O350-$H350),IF((O350-$H350)&lt;=0,0,(O350-$H350)))))</f>
        <v xml:space="preserve"> </v>
      </c>
      <c r="BA350" s="267" t="str">
        <f>IF($A350="N/A"," ",(IF(MONTH(A350)&gt;=4,IF(MONTH(A350)&lt;=10,Inputs!$F$13,Inputs!$F$14),Inputs!$F$14))*$BW350)</f>
        <v xml:space="preserve"> </v>
      </c>
      <c r="BN350" s="405" t="str">
        <f>IF(A350="N/A"," ",(VLOOKUP(A350,PowerVolTable,(IF('Pricing Inputs'!$AT$3=2,7,IF('Pricing Inputs'!$AT$3=1,6,8))),FALSE)))</f>
        <v xml:space="preserve"> </v>
      </c>
      <c r="BO350" s="405" t="str">
        <f>IF(A350="N/A"," ",(VLOOKUP(A350,IntraPowerVol,(IF('Pricing Inputs'!$AT$3=2,3,IF('Pricing Inputs'!$AT$3=1,2,4))),FALSE)*VLOOKUP(MONTH($A350),Inputs!$A$28:$B$39,2)))</f>
        <v xml:space="preserve"> </v>
      </c>
      <c r="BP350" s="406" t="str">
        <f t="shared" si="436"/>
        <v xml:space="preserve"> </v>
      </c>
      <c r="BQ350" s="405" t="str">
        <f>IF($A350="N/A"," ",(VLOOKUP($A350,GasVolTable,(IF('Pricing Inputs'!$AT$3=2,6,IF('Pricing Inputs'!$AT$3=1,7,5))),FALSE)))</f>
        <v xml:space="preserve"> </v>
      </c>
      <c r="BR350" s="405" t="str">
        <f>IF($A350="N/A"," ",(VLOOKUP($A350,OmicronVol,(IF('Pricing Inputs'!$AT$3=2,3,IF('Pricing Inputs'!$AT$3=1,4,2))),FALSE)))</f>
        <v xml:space="preserve"> </v>
      </c>
      <c r="BS350" s="406" t="str">
        <f>IF($A350="N/A"," ",IF('Pricing Inputs'!$AN$3=1,(IF(DateToday&gt;$A350,$BR350,((($BQ350^2)*((($A350-1)-DateToday)/((EOMONTH($A350,0)+1)-DateToday-15)))+((($BR350)^2)*((15)/((EOMONTH($A350,0)+1)-DateToday-15))))^0.5)),0.0001))</f>
        <v xml:space="preserve"> </v>
      </c>
      <c r="BT350" s="405" t="str">
        <f>IF($A350="N/A"," ",IF('Pricing Inputs'!$AN$3=1,(VLOOKUP($A350,CorrelationTable,2,FALSE)),0))</f>
        <v xml:space="preserve"> </v>
      </c>
      <c r="BU350" s="407" t="str">
        <f>IF($A350="N/A"," ",F350+G350+(D350*(VLOOKUP($A350,'Gas Curves'!$B$17:$P$310,14,FALSE))))</f>
        <v xml:space="preserve"> </v>
      </c>
      <c r="BV350" s="405" t="str">
        <f>IF($A350="N/A"," ",IF('Pricing Inputs'!$AW$3=1,0,(VLOOKUP($A350,InterestRatesTable,2))))</f>
        <v xml:space="preserve"> </v>
      </c>
      <c r="BW350" s="408" t="str">
        <f t="shared" si="437"/>
        <v xml:space="preserve"> </v>
      </c>
    </row>
    <row r="351" spans="1:75">
      <c r="A351" s="248" t="str">
        <f>IF(A350="N/A","N/A",IF(EDATE(A350,1)&gt;Inputs!$K$3,"N/A",EDATE(A350,1)))</f>
        <v>N/A</v>
      </c>
      <c r="B351" s="262" t="str">
        <f t="shared" si="438"/>
        <v xml:space="preserve"> </v>
      </c>
      <c r="C351" s="249" t="str">
        <f t="shared" si="439"/>
        <v xml:space="preserve"> </v>
      </c>
      <c r="D351" s="250" t="str">
        <f>IF(A351="N/A"," ",(VLOOKUP(MONTH($A351),Inputs!$A$14:$B$25,2))/1000)</f>
        <v xml:space="preserve"> </v>
      </c>
      <c r="E351" s="304" t="str">
        <f t="shared" si="440"/>
        <v xml:space="preserve"> </v>
      </c>
      <c r="F351" s="251" t="str">
        <f>IF(A351="N/A"," ",Inputs!$F$6)</f>
        <v xml:space="preserve"> </v>
      </c>
      <c r="G351" s="251" t="str">
        <f>IF(A351="N/A"," ",Inputs!$F$9/IF(AND('Pricing Inputs'!$AQ$3&gt;=4,'Pricing Inputs'!$AQ$3&lt;=6),16,IF(AND('Pricing Inputs'!$AQ$3&gt;=7,'Pricing Inputs'!$AQ$3&lt;=9),8,24))/(BA351/BW351))</f>
        <v xml:space="preserve"> </v>
      </c>
      <c r="H351" s="252" t="str">
        <f t="shared" si="441"/>
        <v xml:space="preserve"> </v>
      </c>
      <c r="I351" s="255" t="str">
        <f>VLOOKUP(A351,ScaledPrice,(IF(AND('Pricing Inputs'!$AQ$3&gt;=1,'Pricing Inputs'!$AQ$3&lt;=6),2,4)))</f>
        <v xml:space="preserve"> </v>
      </c>
      <c r="J351" s="255" t="str">
        <f>IF(A351="N/A"," ",IF(AND('Pricing Inputs'!$AQ$3&gt;=1,'Pricing Inputs'!$AQ$3&lt;=6),I351,(VLOOKUP(A351,ScaledPrice,2))*(2-(VLOOKUP(A351,ScaledPrice,3)))))</f>
        <v xml:space="preserve"> </v>
      </c>
      <c r="K351" s="255" t="str">
        <f>IF(A351="N/A"," ",IF(OR('Pricing Inputs'!$AQ$3=2,'Pricing Inputs'!$AQ$3=3,'Pricing Inputs'!$AQ$3=5,'Pricing Inputs'!$AQ$3=6,'Pricing Inputs'!$AQ$3=8,'Pricing Inputs'!$AQ$3=9),VLOOKUP(A351,ScaledPrice,IF(AND('Pricing Inputs'!$AQ$3&gt;=2,'Pricing Inputs'!$AQ$3&lt;=6),5,6)),0))</f>
        <v xml:space="preserve"> </v>
      </c>
      <c r="L351" s="255" t="str">
        <f>IF(A351="N/A"," ",IF(OR('Pricing Inputs'!$AQ$3=2,'Pricing Inputs'!$AQ$3=3,'Pricing Inputs'!$AQ$3=5,'Pricing Inputs'!$AQ$3=6,'Pricing Inputs'!$AQ$3=8,'Pricing Inputs'!$AQ$3=9),IF(AND('Pricing Inputs'!$AQ$3&gt;=2,'Pricing Inputs'!$AQ$3&lt;=6),K351,(VLOOKUP(A351,ScaledPrice,5))*(2-(VLOOKUP(A351,ScaledPrice,3)))),0))</f>
        <v xml:space="preserve"> </v>
      </c>
      <c r="M351" s="255" t="str">
        <f>IF(A351="N/A"," ",IF(OR('Pricing Inputs'!$AQ$3=3,'Pricing Inputs'!$AQ$3=6,'Pricing Inputs'!$AQ$3=9),(VLOOKUP(A351,ScaledPrice,IF(AND('Pricing Inputs'!$AQ$3&gt;=3,'Pricing Inputs'!$AQ$3&lt;=6),7,8))),0))</f>
        <v xml:space="preserve"> </v>
      </c>
      <c r="N351" s="255" t="str">
        <f>IF(A351="N/A"," ",IF(OR('Pricing Inputs'!$AQ$3=3,'Pricing Inputs'!$AQ$3=6,'Pricing Inputs'!$AQ$3=9),IF(AND('Pricing Inputs'!$AQ$3&gt;=3,'Pricing Inputs'!$AQ$3&lt;=6),M351,(VLOOKUP(A351,ScaledPrice,7))*(2-(VLOOKUP(A351,ScaledPrice,3)))),0))</f>
        <v xml:space="preserve"> </v>
      </c>
      <c r="O351" s="255" t="str">
        <f>IF(A351="N/A"," ",IF(AND('Pricing Inputs'!$AQ$3&gt;=1,'Pricing Inputs'!$AQ$3&lt;=3),VLOOKUP(A351,ScaledPrice,9),0))</f>
        <v xml:space="preserve"> </v>
      </c>
      <c r="P351" s="320" t="str">
        <f>IF($A351="N/A"," ",IF('Pricing Inputs'!$AN$8=2,(I351-H351),IF('Pricing Inputs'!$AN$3=2,IF((I351-$H351)&gt;0,I351-$H351,0),(_xll.xSPRDOPT(I351,$E351,$BU351,0,$BP351,$BS351,$BT351,($A351-Inputs!$D$1)+15,1,0)))))</f>
        <v xml:space="preserve"> </v>
      </c>
      <c r="Q351" s="320" t="str">
        <f>IF($A351="N/A"," ",IF('Pricing Inputs'!$AN$8=2,(J351-$H351),IF('Pricing Inputs'!$AN$3=2,IF((J351-$H351)&gt;0,J351-$H351,0),(_xll.xSPRDOPT(J351,$E351,$BU351,0,$BP351,$BS351,$BT351,($A351-Inputs!$D$1)+15,1,0)))))</f>
        <v xml:space="preserve"> </v>
      </c>
      <c r="R351" s="320" t="str">
        <f>IF($A351="N/A"," ",IF('Pricing Inputs'!$AN$8=2,(K351-$H351),IF('Pricing Inputs'!$AN$3=2,IF((K351-$H351)&gt;0,K351-$H351,0),(_xll.xSPRDOPT(K351,$E351,$BU351,0,$BP351,$BS351,$BT351,($A351-Inputs!$D$1)+15,1,0)))))</f>
        <v xml:space="preserve"> </v>
      </c>
      <c r="S351" s="320" t="str">
        <f>IF($A351="N/A"," ",IF('Pricing Inputs'!$AN$8=2,(L351-$H351),IF('Pricing Inputs'!$AN$3=2,IF((L351-$H351)&gt;0,L351-$H351,0),(_xll.xSPRDOPT(L351,$E351,$BU351,0,$BP351,$BS351,$BT351,($A351-Inputs!$D$1)+15,1,0)))))</f>
        <v xml:space="preserve"> </v>
      </c>
      <c r="T351" s="320" t="str">
        <f>IF($A351="N/A"," ",IF('Pricing Inputs'!$AN$8=2,(M351-$H351),IF('Pricing Inputs'!$AN$3=2,IF((M351-$H351)&gt;0,M351-$H351,0),(_xll.xSPRDOPT(M351,$E351,$BU351,0,$BP351,$BS351,$BT351,($A351-Inputs!$D$1)+15,1,0)))))</f>
        <v xml:space="preserve"> </v>
      </c>
      <c r="U351" s="320" t="str">
        <f>IF($A351="N/A"," ",IF('Pricing Inputs'!$AN$8=2,(N351-$H351),IF('Pricing Inputs'!$AN$3=2,IF((N351-$H351)&gt;0,N351-$H351,0),(_xll.xSPRDOPT(N351,$E351,$BU351,0,$BP351,$BS351,$BT351,($A351-Inputs!$D$1)+15,1,0)))))</f>
        <v xml:space="preserve"> </v>
      </c>
      <c r="V351" s="259" t="str">
        <f>IF($A351="N/A"," ",(IF('Pricing Inputs'!$AN$8=2,(O351-$H351),IF((O351-$H351)&lt;=0,0,(O351-$H351)))))</f>
        <v xml:space="preserve"> </v>
      </c>
      <c r="BA351" s="267" t="str">
        <f>IF($A351="N/A"," ",(IF(MONTH(A351)&gt;=4,IF(MONTH(A351)&lt;=10,Inputs!$F$13,Inputs!$F$14),Inputs!$F$14))*$BW351)</f>
        <v xml:space="preserve"> </v>
      </c>
      <c r="BN351" s="405" t="str">
        <f>IF(A351="N/A"," ",(VLOOKUP(A351,PowerVolTable,(IF('Pricing Inputs'!$AT$3=2,7,IF('Pricing Inputs'!$AT$3=1,6,8))),FALSE)))</f>
        <v xml:space="preserve"> </v>
      </c>
      <c r="BO351" s="405" t="str">
        <f>IF(A351="N/A"," ",(VLOOKUP(A351,IntraPowerVol,(IF('Pricing Inputs'!$AT$3=2,3,IF('Pricing Inputs'!$AT$3=1,2,4))),FALSE)*VLOOKUP(MONTH($A351),Inputs!$A$28:$B$39,2)))</f>
        <v xml:space="preserve"> </v>
      </c>
      <c r="BP351" s="406" t="str">
        <f t="shared" si="436"/>
        <v xml:space="preserve"> </v>
      </c>
      <c r="BQ351" s="405" t="str">
        <f>IF($A351="N/A"," ",(VLOOKUP($A351,GasVolTable,(IF('Pricing Inputs'!$AT$3=2,6,IF('Pricing Inputs'!$AT$3=1,7,5))),FALSE)))</f>
        <v xml:space="preserve"> </v>
      </c>
      <c r="BR351" s="405" t="str">
        <f>IF($A351="N/A"," ",(VLOOKUP($A351,OmicronVol,(IF('Pricing Inputs'!$AT$3=2,3,IF('Pricing Inputs'!$AT$3=1,4,2))),FALSE)))</f>
        <v xml:space="preserve"> </v>
      </c>
      <c r="BS351" s="406" t="str">
        <f>IF($A351="N/A"," ",IF('Pricing Inputs'!$AN$3=1,(IF(DateToday&gt;$A351,$BR351,((($BQ351^2)*((($A351-1)-DateToday)/((EOMONTH($A351,0)+1)-DateToday-15)))+((($BR351)^2)*((15)/((EOMONTH($A351,0)+1)-DateToday-15))))^0.5)),0.0001))</f>
        <v xml:space="preserve"> </v>
      </c>
      <c r="BT351" s="405" t="str">
        <f>IF($A351="N/A"," ",IF('Pricing Inputs'!$AN$3=1,(VLOOKUP($A351,CorrelationTable,2,FALSE)),0))</f>
        <v xml:space="preserve"> </v>
      </c>
      <c r="BU351" s="407" t="str">
        <f>IF($A351="N/A"," ",F351+G351+(D351*(VLOOKUP($A351,'Gas Curves'!$B$17:$P$310,14,FALSE))))</f>
        <v xml:space="preserve"> </v>
      </c>
      <c r="BV351" s="405" t="str">
        <f>IF($A351="N/A"," ",IF('Pricing Inputs'!$AW$3=1,0,(VLOOKUP($A351,InterestRatesTable,2))))</f>
        <v xml:space="preserve"> </v>
      </c>
      <c r="BW351" s="408" t="str">
        <f t="shared" si="437"/>
        <v xml:space="preserve"> </v>
      </c>
    </row>
    <row r="352" spans="1:75">
      <c r="A352" s="248" t="str">
        <f>IF(A351="N/A","N/A",IF(EDATE(A351,1)&gt;Inputs!$K$3,"N/A",EDATE(A351,1)))</f>
        <v>N/A</v>
      </c>
      <c r="B352" s="262" t="str">
        <f t="shared" si="438"/>
        <v xml:space="preserve"> </v>
      </c>
      <c r="C352" s="249" t="str">
        <f t="shared" si="439"/>
        <v xml:space="preserve"> </v>
      </c>
      <c r="D352" s="250" t="str">
        <f>IF(A352="N/A"," ",(VLOOKUP(MONTH($A352),Inputs!$A$14:$B$25,2))/1000)</f>
        <v xml:space="preserve"> </v>
      </c>
      <c r="E352" s="304" t="str">
        <f t="shared" si="440"/>
        <v xml:space="preserve"> </v>
      </c>
      <c r="F352" s="251" t="str">
        <f>IF(A352="N/A"," ",Inputs!$F$6)</f>
        <v xml:space="preserve"> </v>
      </c>
      <c r="G352" s="251" t="str">
        <f>IF(A352="N/A"," ",Inputs!$F$9/IF(AND('Pricing Inputs'!$AQ$3&gt;=4,'Pricing Inputs'!$AQ$3&lt;=6),16,IF(AND('Pricing Inputs'!$AQ$3&gt;=7,'Pricing Inputs'!$AQ$3&lt;=9),8,24))/(BA352/BW352))</f>
        <v xml:space="preserve"> </v>
      </c>
      <c r="H352" s="252" t="str">
        <f t="shared" si="441"/>
        <v xml:space="preserve"> </v>
      </c>
      <c r="I352" s="255" t="str">
        <f>VLOOKUP(A352,ScaledPrice,(IF(AND('Pricing Inputs'!$AQ$3&gt;=1,'Pricing Inputs'!$AQ$3&lt;=6),2,4)))</f>
        <v xml:space="preserve"> </v>
      </c>
      <c r="J352" s="255" t="str">
        <f>IF(A352="N/A"," ",IF(AND('Pricing Inputs'!$AQ$3&gt;=1,'Pricing Inputs'!$AQ$3&lt;=6),I352,(VLOOKUP(A352,ScaledPrice,2))*(2-(VLOOKUP(A352,ScaledPrice,3)))))</f>
        <v xml:space="preserve"> </v>
      </c>
      <c r="K352" s="255" t="str">
        <f>IF(A352="N/A"," ",IF(OR('Pricing Inputs'!$AQ$3=2,'Pricing Inputs'!$AQ$3=3,'Pricing Inputs'!$AQ$3=5,'Pricing Inputs'!$AQ$3=6,'Pricing Inputs'!$AQ$3=8,'Pricing Inputs'!$AQ$3=9),VLOOKUP(A352,ScaledPrice,IF(AND('Pricing Inputs'!$AQ$3&gt;=2,'Pricing Inputs'!$AQ$3&lt;=6),5,6)),0))</f>
        <v xml:space="preserve"> </v>
      </c>
      <c r="L352" s="255" t="str">
        <f>IF(A352="N/A"," ",IF(OR('Pricing Inputs'!$AQ$3=2,'Pricing Inputs'!$AQ$3=3,'Pricing Inputs'!$AQ$3=5,'Pricing Inputs'!$AQ$3=6,'Pricing Inputs'!$AQ$3=8,'Pricing Inputs'!$AQ$3=9),IF(AND('Pricing Inputs'!$AQ$3&gt;=2,'Pricing Inputs'!$AQ$3&lt;=6),K352,(VLOOKUP(A352,ScaledPrice,5))*(2-(VLOOKUP(A352,ScaledPrice,3)))),0))</f>
        <v xml:space="preserve"> </v>
      </c>
      <c r="M352" s="255" t="str">
        <f>IF(A352="N/A"," ",IF(OR('Pricing Inputs'!$AQ$3=3,'Pricing Inputs'!$AQ$3=6,'Pricing Inputs'!$AQ$3=9),(VLOOKUP(A352,ScaledPrice,IF(AND('Pricing Inputs'!$AQ$3&gt;=3,'Pricing Inputs'!$AQ$3&lt;=6),7,8))),0))</f>
        <v xml:space="preserve"> </v>
      </c>
      <c r="N352" s="255" t="str">
        <f>IF(A352="N/A"," ",IF(OR('Pricing Inputs'!$AQ$3=3,'Pricing Inputs'!$AQ$3=6,'Pricing Inputs'!$AQ$3=9),IF(AND('Pricing Inputs'!$AQ$3&gt;=3,'Pricing Inputs'!$AQ$3&lt;=6),M352,(VLOOKUP(A352,ScaledPrice,7))*(2-(VLOOKUP(A352,ScaledPrice,3)))),0))</f>
        <v xml:space="preserve"> </v>
      </c>
      <c r="O352" s="255" t="str">
        <f>IF(A352="N/A"," ",IF(AND('Pricing Inputs'!$AQ$3&gt;=1,'Pricing Inputs'!$AQ$3&lt;=3),VLOOKUP(A352,ScaledPrice,9),0))</f>
        <v xml:space="preserve"> </v>
      </c>
      <c r="P352" s="320" t="str">
        <f>IF($A352="N/A"," ",IF('Pricing Inputs'!$AN$8=2,(I352-H352),IF('Pricing Inputs'!$AN$3=2,IF((I352-$H352)&gt;0,I352-$H352,0),(_xll.xSPRDOPT(I352,$E352,$BU352,0,$BP352,$BS352,$BT352,($A352-Inputs!$D$1)+15,1,0)))))</f>
        <v xml:space="preserve"> </v>
      </c>
      <c r="Q352" s="320" t="str">
        <f>IF($A352="N/A"," ",IF('Pricing Inputs'!$AN$8=2,(J352-$H352),IF('Pricing Inputs'!$AN$3=2,IF((J352-$H352)&gt;0,J352-$H352,0),(_xll.xSPRDOPT(J352,$E352,$BU352,0,$BP352,$BS352,$BT352,($A352-Inputs!$D$1)+15,1,0)))))</f>
        <v xml:space="preserve"> </v>
      </c>
      <c r="R352" s="320" t="str">
        <f>IF($A352="N/A"," ",IF('Pricing Inputs'!$AN$8=2,(K352-$H352),IF('Pricing Inputs'!$AN$3=2,IF((K352-$H352)&gt;0,K352-$H352,0),(_xll.xSPRDOPT(K352,$E352,$BU352,0,$BP352,$BS352,$BT352,($A352-Inputs!$D$1)+15,1,0)))))</f>
        <v xml:space="preserve"> </v>
      </c>
      <c r="S352" s="320" t="str">
        <f>IF($A352="N/A"," ",IF('Pricing Inputs'!$AN$8=2,(L352-$H352),IF('Pricing Inputs'!$AN$3=2,IF((L352-$H352)&gt;0,L352-$H352,0),(_xll.xSPRDOPT(L352,$E352,$BU352,0,$BP352,$BS352,$BT352,($A352-Inputs!$D$1)+15,1,0)))))</f>
        <v xml:space="preserve"> </v>
      </c>
      <c r="T352" s="320" t="str">
        <f>IF($A352="N/A"," ",IF('Pricing Inputs'!$AN$8=2,(M352-$H352),IF('Pricing Inputs'!$AN$3=2,IF((M352-$H352)&gt;0,M352-$H352,0),(_xll.xSPRDOPT(M352,$E352,$BU352,0,$BP352,$BS352,$BT352,($A352-Inputs!$D$1)+15,1,0)))))</f>
        <v xml:space="preserve"> </v>
      </c>
      <c r="U352" s="320" t="str">
        <f>IF($A352="N/A"," ",IF('Pricing Inputs'!$AN$8=2,(N352-$H352),IF('Pricing Inputs'!$AN$3=2,IF((N352-$H352)&gt;0,N352-$H352,0),(_xll.xSPRDOPT(N352,$E352,$BU352,0,$BP352,$BS352,$BT352,($A352-Inputs!$D$1)+15,1,0)))))</f>
        <v xml:space="preserve"> </v>
      </c>
      <c r="V352" s="259" t="str">
        <f>IF($A352="N/A"," ",(IF('Pricing Inputs'!$AN$8=2,(O352-$H352),IF((O352-$H352)&lt;=0,0,(O352-$H352)))))</f>
        <v xml:space="preserve"> </v>
      </c>
      <c r="BA352" s="267" t="str">
        <f>IF($A352="N/A"," ",(IF(MONTH(A352)&gt;=4,IF(MONTH(A352)&lt;=10,Inputs!$F$13,Inputs!$F$14),Inputs!$F$14))*$BW352)</f>
        <v xml:space="preserve"> </v>
      </c>
      <c r="BN352" s="405" t="str">
        <f>IF(A352="N/A"," ",(VLOOKUP(A352,PowerVolTable,(IF('Pricing Inputs'!$AT$3=2,7,IF('Pricing Inputs'!$AT$3=1,6,8))),FALSE)))</f>
        <v xml:space="preserve"> </v>
      </c>
      <c r="BO352" s="405" t="str">
        <f>IF(A352="N/A"," ",(VLOOKUP(A352,IntraPowerVol,(IF('Pricing Inputs'!$AT$3=2,3,IF('Pricing Inputs'!$AT$3=1,2,4))),FALSE)*VLOOKUP(MONTH($A352),Inputs!$A$28:$B$39,2)))</f>
        <v xml:space="preserve"> </v>
      </c>
      <c r="BP352" s="406" t="str">
        <f t="shared" si="436"/>
        <v xml:space="preserve"> </v>
      </c>
      <c r="BQ352" s="405" t="str">
        <f>IF($A352="N/A"," ",(VLOOKUP($A352,GasVolTable,(IF('Pricing Inputs'!$AT$3=2,6,IF('Pricing Inputs'!$AT$3=1,7,5))),FALSE)))</f>
        <v xml:space="preserve"> </v>
      </c>
      <c r="BR352" s="405" t="str">
        <f>IF($A352="N/A"," ",(VLOOKUP($A352,OmicronVol,(IF('Pricing Inputs'!$AT$3=2,3,IF('Pricing Inputs'!$AT$3=1,4,2))),FALSE)))</f>
        <v xml:space="preserve"> </v>
      </c>
      <c r="BS352" s="406" t="str">
        <f>IF($A352="N/A"," ",IF('Pricing Inputs'!$AN$3=1,(IF(DateToday&gt;$A352,$BR352,((($BQ352^2)*((($A352-1)-DateToday)/((EOMONTH($A352,0)+1)-DateToday-15)))+((($BR352)^2)*((15)/((EOMONTH($A352,0)+1)-DateToday-15))))^0.5)),0.0001))</f>
        <v xml:space="preserve"> </v>
      </c>
      <c r="BT352" s="405" t="str">
        <f>IF($A352="N/A"," ",IF('Pricing Inputs'!$AN$3=1,(VLOOKUP($A352,CorrelationTable,2,FALSE)),0))</f>
        <v xml:space="preserve"> </v>
      </c>
      <c r="BU352" s="407" t="str">
        <f>IF($A352="N/A"," ",F352+G352+(D352*(VLOOKUP($A352,'Gas Curves'!$B$17:$P$310,14,FALSE))))</f>
        <v xml:space="preserve"> </v>
      </c>
      <c r="BV352" s="405" t="str">
        <f>IF($A352="N/A"," ",IF('Pricing Inputs'!$AW$3=1,0,(VLOOKUP($A352,InterestRatesTable,2))))</f>
        <v xml:space="preserve"> </v>
      </c>
      <c r="BW352" s="408" t="str">
        <f t="shared" si="437"/>
        <v xml:space="preserve"> </v>
      </c>
    </row>
    <row r="353" spans="1:75">
      <c r="A353" s="248" t="str">
        <f>IF(A352="N/A","N/A",IF(EDATE(A352,1)&gt;Inputs!$K$3,"N/A",EDATE(A352,1)))</f>
        <v>N/A</v>
      </c>
      <c r="B353" s="262" t="str">
        <f t="shared" si="438"/>
        <v xml:space="preserve"> </v>
      </c>
      <c r="C353" s="249" t="str">
        <f t="shared" si="439"/>
        <v xml:space="preserve"> </v>
      </c>
      <c r="D353" s="250" t="str">
        <f>IF(A353="N/A"," ",(VLOOKUP(MONTH($A353),Inputs!$A$14:$B$25,2))/1000)</f>
        <v xml:space="preserve"> </v>
      </c>
      <c r="E353" s="304" t="str">
        <f t="shared" si="440"/>
        <v xml:space="preserve"> </v>
      </c>
      <c r="F353" s="251" t="str">
        <f>IF(A353="N/A"," ",Inputs!$F$6)</f>
        <v xml:space="preserve"> </v>
      </c>
      <c r="G353" s="251" t="str">
        <f>IF(A353="N/A"," ",Inputs!$F$9/IF(AND('Pricing Inputs'!$AQ$3&gt;=4,'Pricing Inputs'!$AQ$3&lt;=6),16,IF(AND('Pricing Inputs'!$AQ$3&gt;=7,'Pricing Inputs'!$AQ$3&lt;=9),8,24))/(BA353/BW353))</f>
        <v xml:space="preserve"> </v>
      </c>
      <c r="H353" s="252" t="str">
        <f t="shared" si="441"/>
        <v xml:space="preserve"> </v>
      </c>
      <c r="I353" s="255" t="str">
        <f>VLOOKUP(A353,ScaledPrice,(IF(AND('Pricing Inputs'!$AQ$3&gt;=1,'Pricing Inputs'!$AQ$3&lt;=6),2,4)))</f>
        <v xml:space="preserve"> </v>
      </c>
      <c r="J353" s="255" t="str">
        <f>IF(A353="N/A"," ",IF(AND('Pricing Inputs'!$AQ$3&gt;=1,'Pricing Inputs'!$AQ$3&lt;=6),I353,(VLOOKUP(A353,ScaledPrice,2))*(2-(VLOOKUP(A353,ScaledPrice,3)))))</f>
        <v xml:space="preserve"> </v>
      </c>
      <c r="K353" s="255" t="str">
        <f>IF(A353="N/A"," ",IF(OR('Pricing Inputs'!$AQ$3=2,'Pricing Inputs'!$AQ$3=3,'Pricing Inputs'!$AQ$3=5,'Pricing Inputs'!$AQ$3=6,'Pricing Inputs'!$AQ$3=8,'Pricing Inputs'!$AQ$3=9),VLOOKUP(A353,ScaledPrice,IF(AND('Pricing Inputs'!$AQ$3&gt;=2,'Pricing Inputs'!$AQ$3&lt;=6),5,6)),0))</f>
        <v xml:space="preserve"> </v>
      </c>
      <c r="L353" s="255" t="str">
        <f>IF(A353="N/A"," ",IF(OR('Pricing Inputs'!$AQ$3=2,'Pricing Inputs'!$AQ$3=3,'Pricing Inputs'!$AQ$3=5,'Pricing Inputs'!$AQ$3=6,'Pricing Inputs'!$AQ$3=8,'Pricing Inputs'!$AQ$3=9),IF(AND('Pricing Inputs'!$AQ$3&gt;=2,'Pricing Inputs'!$AQ$3&lt;=6),K353,(VLOOKUP(A353,ScaledPrice,5))*(2-(VLOOKUP(A353,ScaledPrice,3)))),0))</f>
        <v xml:space="preserve"> </v>
      </c>
      <c r="M353" s="255" t="str">
        <f>IF(A353="N/A"," ",IF(OR('Pricing Inputs'!$AQ$3=3,'Pricing Inputs'!$AQ$3=6,'Pricing Inputs'!$AQ$3=9),(VLOOKUP(A353,ScaledPrice,IF(AND('Pricing Inputs'!$AQ$3&gt;=3,'Pricing Inputs'!$AQ$3&lt;=6),7,8))),0))</f>
        <v xml:space="preserve"> </v>
      </c>
      <c r="N353" s="255" t="str">
        <f>IF(A353="N/A"," ",IF(OR('Pricing Inputs'!$AQ$3=3,'Pricing Inputs'!$AQ$3=6,'Pricing Inputs'!$AQ$3=9),IF(AND('Pricing Inputs'!$AQ$3&gt;=3,'Pricing Inputs'!$AQ$3&lt;=6),M353,(VLOOKUP(A353,ScaledPrice,7))*(2-(VLOOKUP(A353,ScaledPrice,3)))),0))</f>
        <v xml:space="preserve"> </v>
      </c>
      <c r="O353" s="255" t="str">
        <f>IF(A353="N/A"," ",IF(AND('Pricing Inputs'!$AQ$3&gt;=1,'Pricing Inputs'!$AQ$3&lt;=3),VLOOKUP(A353,ScaledPrice,9),0))</f>
        <v xml:space="preserve"> </v>
      </c>
      <c r="P353" s="320" t="str">
        <f>IF($A353="N/A"," ",IF('Pricing Inputs'!$AN$8=2,(I353-H353),IF('Pricing Inputs'!$AN$3=2,IF((I353-$H353)&gt;0,I353-$H353,0),(_xll.xSPRDOPT(I353,$E353,$BU353,0,$BP353,$BS353,$BT353,($A353-Inputs!$D$1)+15,1,0)))))</f>
        <v xml:space="preserve"> </v>
      </c>
      <c r="Q353" s="320" t="str">
        <f>IF($A353="N/A"," ",IF('Pricing Inputs'!$AN$8=2,(J353-$H353),IF('Pricing Inputs'!$AN$3=2,IF((J353-$H353)&gt;0,J353-$H353,0),(_xll.xSPRDOPT(J353,$E353,$BU353,0,$BP353,$BS353,$BT353,($A353-Inputs!$D$1)+15,1,0)))))</f>
        <v xml:space="preserve"> </v>
      </c>
      <c r="R353" s="320" t="str">
        <f>IF($A353="N/A"," ",IF('Pricing Inputs'!$AN$8=2,(K353-$H353),IF('Pricing Inputs'!$AN$3=2,IF((K353-$H353)&gt;0,K353-$H353,0),(_xll.xSPRDOPT(K353,$E353,$BU353,0,$BP353,$BS353,$BT353,($A353-Inputs!$D$1)+15,1,0)))))</f>
        <v xml:space="preserve"> </v>
      </c>
      <c r="S353" s="320" t="str">
        <f>IF($A353="N/A"," ",IF('Pricing Inputs'!$AN$8=2,(L353-$H353),IF('Pricing Inputs'!$AN$3=2,IF((L353-$H353)&gt;0,L353-$H353,0),(_xll.xSPRDOPT(L353,$E353,$BU353,0,$BP353,$BS353,$BT353,($A353-Inputs!$D$1)+15,1,0)))))</f>
        <v xml:space="preserve"> </v>
      </c>
      <c r="T353" s="320" t="str">
        <f>IF($A353="N/A"," ",IF('Pricing Inputs'!$AN$8=2,(M353-$H353),IF('Pricing Inputs'!$AN$3=2,IF((M353-$H353)&gt;0,M353-$H353,0),(_xll.xSPRDOPT(M353,$E353,$BU353,0,$BP353,$BS353,$BT353,($A353-Inputs!$D$1)+15,1,0)))))</f>
        <v xml:space="preserve"> </v>
      </c>
      <c r="U353" s="320" t="str">
        <f>IF($A353="N/A"," ",IF('Pricing Inputs'!$AN$8=2,(N353-$H353),IF('Pricing Inputs'!$AN$3=2,IF((N353-$H353)&gt;0,N353-$H353,0),(_xll.xSPRDOPT(N353,$E353,$BU353,0,$BP353,$BS353,$BT353,($A353-Inputs!$D$1)+15,1,0)))))</f>
        <v xml:space="preserve"> </v>
      </c>
      <c r="V353" s="259" t="str">
        <f>IF($A353="N/A"," ",(IF('Pricing Inputs'!$AN$8=2,(O353-$H353),IF((O353-$H353)&lt;=0,0,(O353-$H353)))))</f>
        <v xml:space="preserve"> </v>
      </c>
      <c r="BA353" s="267" t="str">
        <f>IF($A353="N/A"," ",(IF(MONTH(A353)&gt;=4,IF(MONTH(A353)&lt;=10,Inputs!$F$13,Inputs!$F$14),Inputs!$F$14))*$BW353)</f>
        <v xml:space="preserve"> </v>
      </c>
      <c r="BN353" s="405" t="str">
        <f>IF(A353="N/A"," ",(VLOOKUP(A353,PowerVolTable,(IF('Pricing Inputs'!$AT$3=2,7,IF('Pricing Inputs'!$AT$3=1,6,8))),FALSE)))</f>
        <v xml:space="preserve"> </v>
      </c>
      <c r="BO353" s="405" t="str">
        <f>IF(A353="N/A"," ",(VLOOKUP(A353,IntraPowerVol,(IF('Pricing Inputs'!$AT$3=2,3,IF('Pricing Inputs'!$AT$3=1,2,4))),FALSE)*VLOOKUP(MONTH($A353),Inputs!$A$28:$B$39,2)))</f>
        <v xml:space="preserve"> </v>
      </c>
      <c r="BP353" s="406" t="str">
        <f t="shared" si="436"/>
        <v xml:space="preserve"> </v>
      </c>
      <c r="BQ353" s="405" t="str">
        <f>IF($A353="N/A"," ",(VLOOKUP($A353,GasVolTable,(IF('Pricing Inputs'!$AT$3=2,6,IF('Pricing Inputs'!$AT$3=1,7,5))),FALSE)))</f>
        <v xml:space="preserve"> </v>
      </c>
      <c r="BR353" s="405" t="str">
        <f>IF($A353="N/A"," ",(VLOOKUP($A353,OmicronVol,(IF('Pricing Inputs'!$AT$3=2,3,IF('Pricing Inputs'!$AT$3=1,4,2))),FALSE)))</f>
        <v xml:space="preserve"> </v>
      </c>
      <c r="BS353" s="406" t="str">
        <f>IF($A353="N/A"," ",IF('Pricing Inputs'!$AN$3=1,(IF(DateToday&gt;$A353,$BR353,((($BQ353^2)*((($A353-1)-DateToday)/((EOMONTH($A353,0)+1)-DateToday-15)))+((($BR353)^2)*((15)/((EOMONTH($A353,0)+1)-DateToday-15))))^0.5)),0.0001))</f>
        <v xml:space="preserve"> </v>
      </c>
      <c r="BT353" s="405" t="str">
        <f>IF($A353="N/A"," ",IF('Pricing Inputs'!$AN$3=1,(VLOOKUP($A353,CorrelationTable,2,FALSE)),0))</f>
        <v xml:space="preserve"> </v>
      </c>
      <c r="BU353" s="407" t="str">
        <f>IF($A353="N/A"," ",F353+G353+(D353*(VLOOKUP($A353,'Gas Curves'!$B$17:$P$310,14,FALSE))))</f>
        <v xml:space="preserve"> </v>
      </c>
      <c r="BV353" s="405" t="str">
        <f>IF($A353="N/A"," ",IF('Pricing Inputs'!$AW$3=1,0,(VLOOKUP($A353,InterestRatesTable,2))))</f>
        <v xml:space="preserve"> </v>
      </c>
      <c r="BW353" s="408" t="str">
        <f t="shared" si="437"/>
        <v xml:space="preserve"> </v>
      </c>
    </row>
    <row r="354" spans="1:75">
      <c r="A354" s="248" t="str">
        <f>IF(A353="N/A","N/A",IF(EDATE(A353,1)&gt;Inputs!$K$3,"N/A",EDATE(A353,1)))</f>
        <v>N/A</v>
      </c>
      <c r="B354" s="262" t="str">
        <f t="shared" si="438"/>
        <v xml:space="preserve"> </v>
      </c>
      <c r="C354" s="249" t="str">
        <f t="shared" si="439"/>
        <v xml:space="preserve"> </v>
      </c>
      <c r="D354" s="250" t="str">
        <f>IF(A354="N/A"," ",(VLOOKUP(MONTH($A354),Inputs!$A$14:$B$25,2))/1000)</f>
        <v xml:space="preserve"> </v>
      </c>
      <c r="E354" s="304" t="str">
        <f t="shared" si="440"/>
        <v xml:space="preserve"> </v>
      </c>
      <c r="F354" s="251" t="str">
        <f>IF(A354="N/A"," ",Inputs!$F$6)</f>
        <v xml:space="preserve"> </v>
      </c>
      <c r="G354" s="251" t="str">
        <f>IF(A354="N/A"," ",Inputs!$F$9/IF(AND('Pricing Inputs'!$AQ$3&gt;=4,'Pricing Inputs'!$AQ$3&lt;=6),16,IF(AND('Pricing Inputs'!$AQ$3&gt;=7,'Pricing Inputs'!$AQ$3&lt;=9),8,24))/(BA354/BW354))</f>
        <v xml:space="preserve"> </v>
      </c>
      <c r="H354" s="252" t="str">
        <f t="shared" si="441"/>
        <v xml:space="preserve"> </v>
      </c>
      <c r="I354" s="255" t="str">
        <f>VLOOKUP(A354,ScaledPrice,(IF(AND('Pricing Inputs'!$AQ$3&gt;=1,'Pricing Inputs'!$AQ$3&lt;=6),2,4)))</f>
        <v xml:space="preserve"> </v>
      </c>
      <c r="J354" s="255" t="str">
        <f>IF(A354="N/A"," ",IF(AND('Pricing Inputs'!$AQ$3&gt;=1,'Pricing Inputs'!$AQ$3&lt;=6),I354,(VLOOKUP(A354,ScaledPrice,2))*(2-(VLOOKUP(A354,ScaledPrice,3)))))</f>
        <v xml:space="preserve"> </v>
      </c>
      <c r="K354" s="255" t="str">
        <f>IF(A354="N/A"," ",IF(OR('Pricing Inputs'!$AQ$3=2,'Pricing Inputs'!$AQ$3=3,'Pricing Inputs'!$AQ$3=5,'Pricing Inputs'!$AQ$3=6,'Pricing Inputs'!$AQ$3=8,'Pricing Inputs'!$AQ$3=9),VLOOKUP(A354,ScaledPrice,IF(AND('Pricing Inputs'!$AQ$3&gt;=2,'Pricing Inputs'!$AQ$3&lt;=6),5,6)),0))</f>
        <v xml:space="preserve"> </v>
      </c>
      <c r="L354" s="255" t="str">
        <f>IF(A354="N/A"," ",IF(OR('Pricing Inputs'!$AQ$3=2,'Pricing Inputs'!$AQ$3=3,'Pricing Inputs'!$AQ$3=5,'Pricing Inputs'!$AQ$3=6,'Pricing Inputs'!$AQ$3=8,'Pricing Inputs'!$AQ$3=9),IF(AND('Pricing Inputs'!$AQ$3&gt;=2,'Pricing Inputs'!$AQ$3&lt;=6),K354,(VLOOKUP(A354,ScaledPrice,5))*(2-(VLOOKUP(A354,ScaledPrice,3)))),0))</f>
        <v xml:space="preserve"> </v>
      </c>
      <c r="M354" s="255" t="str">
        <f>IF(A354="N/A"," ",IF(OR('Pricing Inputs'!$AQ$3=3,'Pricing Inputs'!$AQ$3=6,'Pricing Inputs'!$AQ$3=9),(VLOOKUP(A354,ScaledPrice,IF(AND('Pricing Inputs'!$AQ$3&gt;=3,'Pricing Inputs'!$AQ$3&lt;=6),7,8))),0))</f>
        <v xml:space="preserve"> </v>
      </c>
      <c r="N354" s="255" t="str">
        <f>IF(A354="N/A"," ",IF(OR('Pricing Inputs'!$AQ$3=3,'Pricing Inputs'!$AQ$3=6,'Pricing Inputs'!$AQ$3=9),IF(AND('Pricing Inputs'!$AQ$3&gt;=3,'Pricing Inputs'!$AQ$3&lt;=6),M354,(VLOOKUP(A354,ScaledPrice,7))*(2-(VLOOKUP(A354,ScaledPrice,3)))),0))</f>
        <v xml:space="preserve"> </v>
      </c>
      <c r="O354" s="255" t="str">
        <f>IF(A354="N/A"," ",IF(AND('Pricing Inputs'!$AQ$3&gt;=1,'Pricing Inputs'!$AQ$3&lt;=3),VLOOKUP(A354,ScaledPrice,9),0))</f>
        <v xml:space="preserve"> </v>
      </c>
      <c r="P354" s="320" t="str">
        <f>IF($A354="N/A"," ",IF('Pricing Inputs'!$AN$8=2,(I354-H354),IF('Pricing Inputs'!$AN$3=2,IF((I354-$H354)&gt;0,I354-$H354,0),(_xll.xSPRDOPT(I354,$E354,$BU354,0,$BP354,$BS354,$BT354,($A354-Inputs!$D$1)+15,1,0)))))</f>
        <v xml:space="preserve"> </v>
      </c>
      <c r="Q354" s="320" t="str">
        <f>IF($A354="N/A"," ",IF('Pricing Inputs'!$AN$8=2,(J354-$H354),IF('Pricing Inputs'!$AN$3=2,IF((J354-$H354)&gt;0,J354-$H354,0),(_xll.xSPRDOPT(J354,$E354,$BU354,0,$BP354,$BS354,$BT354,($A354-Inputs!$D$1)+15,1,0)))))</f>
        <v xml:space="preserve"> </v>
      </c>
      <c r="R354" s="320" t="str">
        <f>IF($A354="N/A"," ",IF('Pricing Inputs'!$AN$8=2,(K354-$H354),IF('Pricing Inputs'!$AN$3=2,IF((K354-$H354)&gt;0,K354-$H354,0),(_xll.xSPRDOPT(K354,$E354,$BU354,0,$BP354,$BS354,$BT354,($A354-Inputs!$D$1)+15,1,0)))))</f>
        <v xml:space="preserve"> </v>
      </c>
      <c r="S354" s="320" t="str">
        <f>IF($A354="N/A"," ",IF('Pricing Inputs'!$AN$8=2,(L354-$H354),IF('Pricing Inputs'!$AN$3=2,IF((L354-$H354)&gt;0,L354-$H354,0),(_xll.xSPRDOPT(L354,$E354,$BU354,0,$BP354,$BS354,$BT354,($A354-Inputs!$D$1)+15,1,0)))))</f>
        <v xml:space="preserve"> </v>
      </c>
      <c r="T354" s="320" t="str">
        <f>IF($A354="N/A"," ",IF('Pricing Inputs'!$AN$8=2,(M354-$H354),IF('Pricing Inputs'!$AN$3=2,IF((M354-$H354)&gt;0,M354-$H354,0),(_xll.xSPRDOPT(M354,$E354,$BU354,0,$BP354,$BS354,$BT354,($A354-Inputs!$D$1)+15,1,0)))))</f>
        <v xml:space="preserve"> </v>
      </c>
      <c r="U354" s="320" t="str">
        <f>IF($A354="N/A"," ",IF('Pricing Inputs'!$AN$8=2,(N354-$H354),IF('Pricing Inputs'!$AN$3=2,IF((N354-$H354)&gt;0,N354-$H354,0),(_xll.xSPRDOPT(N354,$E354,$BU354,0,$BP354,$BS354,$BT354,($A354-Inputs!$D$1)+15,1,0)))))</f>
        <v xml:space="preserve"> </v>
      </c>
      <c r="V354" s="259" t="str">
        <f>IF($A354="N/A"," ",(IF('Pricing Inputs'!$AN$8=2,(O354-$H354),IF((O354-$H354)&lt;=0,0,(O354-$H354)))))</f>
        <v xml:space="preserve"> </v>
      </c>
      <c r="BA354" s="267" t="str">
        <f>IF($A354="N/A"," ",(IF(MONTH(A354)&gt;=4,IF(MONTH(A354)&lt;=10,Inputs!$F$13,Inputs!$F$14),Inputs!$F$14))*$BW354)</f>
        <v xml:space="preserve"> </v>
      </c>
      <c r="BN354" s="405" t="str">
        <f>IF(A354="N/A"," ",(VLOOKUP(A354,PowerVolTable,(IF('Pricing Inputs'!$AT$3=2,7,IF('Pricing Inputs'!$AT$3=1,6,8))),FALSE)))</f>
        <v xml:space="preserve"> </v>
      </c>
      <c r="BO354" s="405" t="str">
        <f>IF(A354="N/A"," ",(VLOOKUP(A354,IntraPowerVol,(IF('Pricing Inputs'!$AT$3=2,3,IF('Pricing Inputs'!$AT$3=1,2,4))),FALSE)*VLOOKUP(MONTH($A354),Inputs!$A$28:$B$39,2)))</f>
        <v xml:space="preserve"> </v>
      </c>
      <c r="BP354" s="406" t="str">
        <f t="shared" si="436"/>
        <v xml:space="preserve"> </v>
      </c>
      <c r="BQ354" s="405" t="str">
        <f>IF($A354="N/A"," ",(VLOOKUP($A354,GasVolTable,(IF('Pricing Inputs'!$AT$3=2,6,IF('Pricing Inputs'!$AT$3=1,7,5))),FALSE)))</f>
        <v xml:space="preserve"> </v>
      </c>
      <c r="BR354" s="405" t="str">
        <f>IF($A354="N/A"," ",(VLOOKUP($A354,OmicronVol,(IF('Pricing Inputs'!$AT$3=2,3,IF('Pricing Inputs'!$AT$3=1,4,2))),FALSE)))</f>
        <v xml:space="preserve"> </v>
      </c>
      <c r="BS354" s="406" t="str">
        <f>IF($A354="N/A"," ",IF('Pricing Inputs'!$AN$3=1,(IF(DateToday&gt;$A354,$BR354,((($BQ354^2)*((($A354-1)-DateToday)/((EOMONTH($A354,0)+1)-DateToday-15)))+((($BR354)^2)*((15)/((EOMONTH($A354,0)+1)-DateToday-15))))^0.5)),0.0001))</f>
        <v xml:space="preserve"> </v>
      </c>
      <c r="BT354" s="405" t="str">
        <f>IF($A354="N/A"," ",IF('Pricing Inputs'!$AN$3=1,(VLOOKUP($A354,CorrelationTable,2,FALSE)),0))</f>
        <v xml:space="preserve"> </v>
      </c>
      <c r="BU354" s="407" t="str">
        <f>IF($A354="N/A"," ",F354+G354+(D354*(VLOOKUP($A354,'Gas Curves'!$B$17:$P$310,14,FALSE))))</f>
        <v xml:space="preserve"> </v>
      </c>
      <c r="BV354" s="405" t="str">
        <f>IF($A354="N/A"," ",IF('Pricing Inputs'!$AW$3=1,0,(VLOOKUP($A354,InterestRatesTable,2))))</f>
        <v xml:space="preserve"> </v>
      </c>
      <c r="BW354" s="408" t="str">
        <f t="shared" si="437"/>
        <v xml:space="preserve"> </v>
      </c>
    </row>
    <row r="355" spans="1:75">
      <c r="A355" s="248" t="str">
        <f>IF(A354="N/A","N/A",IF(EDATE(A354,1)&gt;Inputs!$K$3,"N/A",EDATE(A354,1)))</f>
        <v>N/A</v>
      </c>
      <c r="B355" s="262" t="str">
        <f t="shared" si="438"/>
        <v xml:space="preserve"> </v>
      </c>
      <c r="C355" s="249" t="str">
        <f t="shared" si="439"/>
        <v xml:space="preserve"> </v>
      </c>
      <c r="D355" s="250" t="str">
        <f>IF(A355="N/A"," ",(VLOOKUP(MONTH($A355),Inputs!$A$14:$B$25,2))/1000)</f>
        <v xml:space="preserve"> </v>
      </c>
      <c r="E355" s="304" t="str">
        <f t="shared" si="440"/>
        <v xml:space="preserve"> </v>
      </c>
      <c r="F355" s="251" t="str">
        <f>IF(A355="N/A"," ",Inputs!$F$6)</f>
        <v xml:space="preserve"> </v>
      </c>
      <c r="G355" s="251" t="str">
        <f>IF(A355="N/A"," ",Inputs!$F$9/IF(AND('Pricing Inputs'!$AQ$3&gt;=4,'Pricing Inputs'!$AQ$3&lt;=6),16,IF(AND('Pricing Inputs'!$AQ$3&gt;=7,'Pricing Inputs'!$AQ$3&lt;=9),8,24))/(BA355/BW355))</f>
        <v xml:space="preserve"> </v>
      </c>
      <c r="H355" s="252" t="str">
        <f t="shared" si="441"/>
        <v xml:space="preserve"> </v>
      </c>
      <c r="I355" s="255" t="str">
        <f>VLOOKUP(A355,ScaledPrice,(IF(AND('Pricing Inputs'!$AQ$3&gt;=1,'Pricing Inputs'!$AQ$3&lt;=6),2,4)))</f>
        <v xml:space="preserve"> </v>
      </c>
      <c r="J355" s="255" t="str">
        <f>IF(A355="N/A"," ",IF(AND('Pricing Inputs'!$AQ$3&gt;=1,'Pricing Inputs'!$AQ$3&lt;=6),I355,(VLOOKUP(A355,ScaledPrice,2))*(2-(VLOOKUP(A355,ScaledPrice,3)))))</f>
        <v xml:space="preserve"> </v>
      </c>
      <c r="K355" s="255" t="str">
        <f>IF(A355="N/A"," ",IF(OR('Pricing Inputs'!$AQ$3=2,'Pricing Inputs'!$AQ$3=3,'Pricing Inputs'!$AQ$3=5,'Pricing Inputs'!$AQ$3=6,'Pricing Inputs'!$AQ$3=8,'Pricing Inputs'!$AQ$3=9),VLOOKUP(A355,ScaledPrice,IF(AND('Pricing Inputs'!$AQ$3&gt;=2,'Pricing Inputs'!$AQ$3&lt;=6),5,6)),0))</f>
        <v xml:space="preserve"> </v>
      </c>
      <c r="L355" s="255" t="str">
        <f>IF(A355="N/A"," ",IF(OR('Pricing Inputs'!$AQ$3=2,'Pricing Inputs'!$AQ$3=3,'Pricing Inputs'!$AQ$3=5,'Pricing Inputs'!$AQ$3=6,'Pricing Inputs'!$AQ$3=8,'Pricing Inputs'!$AQ$3=9),IF(AND('Pricing Inputs'!$AQ$3&gt;=2,'Pricing Inputs'!$AQ$3&lt;=6),K355,(VLOOKUP(A355,ScaledPrice,5))*(2-(VLOOKUP(A355,ScaledPrice,3)))),0))</f>
        <v xml:space="preserve"> </v>
      </c>
      <c r="M355" s="255" t="str">
        <f>IF(A355="N/A"," ",IF(OR('Pricing Inputs'!$AQ$3=3,'Pricing Inputs'!$AQ$3=6,'Pricing Inputs'!$AQ$3=9),(VLOOKUP(A355,ScaledPrice,IF(AND('Pricing Inputs'!$AQ$3&gt;=3,'Pricing Inputs'!$AQ$3&lt;=6),7,8))),0))</f>
        <v xml:space="preserve"> </v>
      </c>
      <c r="N355" s="255" t="str">
        <f>IF(A355="N/A"," ",IF(OR('Pricing Inputs'!$AQ$3=3,'Pricing Inputs'!$AQ$3=6,'Pricing Inputs'!$AQ$3=9),IF(AND('Pricing Inputs'!$AQ$3&gt;=3,'Pricing Inputs'!$AQ$3&lt;=6),M355,(VLOOKUP(A355,ScaledPrice,7))*(2-(VLOOKUP(A355,ScaledPrice,3)))),0))</f>
        <v xml:space="preserve"> </v>
      </c>
      <c r="O355" s="255" t="str">
        <f>IF(A355="N/A"," ",IF(AND('Pricing Inputs'!$AQ$3&gt;=1,'Pricing Inputs'!$AQ$3&lt;=3),VLOOKUP(A355,ScaledPrice,9),0))</f>
        <v xml:space="preserve"> </v>
      </c>
      <c r="P355" s="320" t="str">
        <f>IF($A355="N/A"," ",IF('Pricing Inputs'!$AN$8=2,(I355-H355),IF('Pricing Inputs'!$AN$3=2,IF((I355-$H355)&gt;0,I355-$H355,0),(_xll.xSPRDOPT(I355,$E355,$BU355,0,$BP355,$BS355,$BT355,($A355-Inputs!$D$1)+15,1,0)))))</f>
        <v xml:space="preserve"> </v>
      </c>
      <c r="Q355" s="320" t="str">
        <f>IF($A355="N/A"," ",IF('Pricing Inputs'!$AN$8=2,(J355-$H355),IF('Pricing Inputs'!$AN$3=2,IF((J355-$H355)&gt;0,J355-$H355,0),(_xll.xSPRDOPT(J355,$E355,$BU355,0,$BP355,$BS355,$BT355,($A355-Inputs!$D$1)+15,1,0)))))</f>
        <v xml:space="preserve"> </v>
      </c>
      <c r="R355" s="320" t="str">
        <f>IF($A355="N/A"," ",IF('Pricing Inputs'!$AN$8=2,(K355-$H355),IF('Pricing Inputs'!$AN$3=2,IF((K355-$H355)&gt;0,K355-$H355,0),(_xll.xSPRDOPT(K355,$E355,$BU355,0,$BP355,$BS355,$BT355,($A355-Inputs!$D$1)+15,1,0)))))</f>
        <v xml:space="preserve"> </v>
      </c>
      <c r="S355" s="320" t="str">
        <f>IF($A355="N/A"," ",IF('Pricing Inputs'!$AN$8=2,(L355-$H355),IF('Pricing Inputs'!$AN$3=2,IF((L355-$H355)&gt;0,L355-$H355,0),(_xll.xSPRDOPT(L355,$E355,$BU355,0,$BP355,$BS355,$BT355,($A355-Inputs!$D$1)+15,1,0)))))</f>
        <v xml:space="preserve"> </v>
      </c>
      <c r="T355" s="320" t="str">
        <f>IF($A355="N/A"," ",IF('Pricing Inputs'!$AN$8=2,(M355-$H355),IF('Pricing Inputs'!$AN$3=2,IF((M355-$H355)&gt;0,M355-$H355,0),(_xll.xSPRDOPT(M355,$E355,$BU355,0,$BP355,$BS355,$BT355,($A355-Inputs!$D$1)+15,1,0)))))</f>
        <v xml:space="preserve"> </v>
      </c>
      <c r="U355" s="320" t="str">
        <f>IF($A355="N/A"," ",IF('Pricing Inputs'!$AN$8=2,(N355-$H355),IF('Pricing Inputs'!$AN$3=2,IF((N355-$H355)&gt;0,N355-$H355,0),(_xll.xSPRDOPT(N355,$E355,$BU355,0,$BP355,$BS355,$BT355,($A355-Inputs!$D$1)+15,1,0)))))</f>
        <v xml:space="preserve"> </v>
      </c>
      <c r="V355" s="259" t="str">
        <f>IF($A355="N/A"," ",(IF('Pricing Inputs'!$AN$8=2,(O355-$H355),IF((O355-$H355)&lt;=0,0,(O355-$H355)))))</f>
        <v xml:space="preserve"> </v>
      </c>
      <c r="BA355" s="267" t="str">
        <f>IF($A355="N/A"," ",(IF(MONTH(A355)&gt;=4,IF(MONTH(A355)&lt;=10,Inputs!$F$13,Inputs!$F$14),Inputs!$F$14))*$BW355)</f>
        <v xml:space="preserve"> </v>
      </c>
      <c r="BN355" s="405" t="str">
        <f>IF(A355="N/A"," ",(VLOOKUP(A355,PowerVolTable,(IF('Pricing Inputs'!$AT$3=2,7,IF('Pricing Inputs'!$AT$3=1,6,8))),FALSE)))</f>
        <v xml:space="preserve"> </v>
      </c>
      <c r="BO355" s="405" t="str">
        <f>IF(A355="N/A"," ",(VLOOKUP(A355,IntraPowerVol,(IF('Pricing Inputs'!$AT$3=2,3,IF('Pricing Inputs'!$AT$3=1,2,4))),FALSE)*VLOOKUP(MONTH($A355),Inputs!$A$28:$B$39,2)))</f>
        <v xml:space="preserve"> </v>
      </c>
      <c r="BP355" s="406" t="str">
        <f t="shared" si="436"/>
        <v xml:space="preserve"> </v>
      </c>
      <c r="BQ355" s="405" t="str">
        <f>IF($A355="N/A"," ",(VLOOKUP($A355,GasVolTable,(IF('Pricing Inputs'!$AT$3=2,6,IF('Pricing Inputs'!$AT$3=1,7,5))),FALSE)))</f>
        <v xml:space="preserve"> </v>
      </c>
      <c r="BR355" s="405" t="str">
        <f>IF($A355="N/A"," ",(VLOOKUP($A355,OmicronVol,(IF('Pricing Inputs'!$AT$3=2,3,IF('Pricing Inputs'!$AT$3=1,4,2))),FALSE)))</f>
        <v xml:space="preserve"> </v>
      </c>
      <c r="BS355" s="406" t="str">
        <f>IF($A355="N/A"," ",IF('Pricing Inputs'!$AN$3=1,(IF(DateToday&gt;$A355,$BR355,((($BQ355^2)*((($A355-1)-DateToday)/((EOMONTH($A355,0)+1)-DateToday-15)))+((($BR355)^2)*((15)/((EOMONTH($A355,0)+1)-DateToday-15))))^0.5)),0.0001))</f>
        <v xml:space="preserve"> </v>
      </c>
      <c r="BT355" s="405" t="str">
        <f>IF($A355="N/A"," ",IF('Pricing Inputs'!$AN$3=1,(VLOOKUP($A355,CorrelationTable,2,FALSE)),0))</f>
        <v xml:space="preserve"> </v>
      </c>
      <c r="BU355" s="407" t="str">
        <f>IF($A355="N/A"," ",F355+G355+(D355*(VLOOKUP($A355,'Gas Curves'!$B$17:$P$310,14,FALSE))))</f>
        <v xml:space="preserve"> </v>
      </c>
      <c r="BV355" s="405" t="str">
        <f>IF($A355="N/A"," ",IF('Pricing Inputs'!$AW$3=1,0,(VLOOKUP($A355,InterestRatesTable,2))))</f>
        <v xml:space="preserve"> </v>
      </c>
      <c r="BW355" s="408" t="str">
        <f t="shared" si="437"/>
        <v xml:space="preserve"> </v>
      </c>
    </row>
    <row r="356" spans="1:75">
      <c r="A356" s="248" t="str">
        <f>IF(A355="N/A","N/A",IF(EDATE(A355,1)&gt;Inputs!$K$3,"N/A",EDATE(A355,1)))</f>
        <v>N/A</v>
      </c>
      <c r="B356" s="262" t="str">
        <f t="shared" si="438"/>
        <v xml:space="preserve"> </v>
      </c>
      <c r="C356" s="249" t="str">
        <f t="shared" si="439"/>
        <v xml:space="preserve"> </v>
      </c>
      <c r="D356" s="250" t="str">
        <f>IF(A356="N/A"," ",(VLOOKUP(MONTH($A356),Inputs!$A$14:$B$25,2))/1000)</f>
        <v xml:space="preserve"> </v>
      </c>
      <c r="E356" s="304" t="str">
        <f t="shared" si="440"/>
        <v xml:space="preserve"> </v>
      </c>
      <c r="F356" s="251" t="str">
        <f>IF(A356="N/A"," ",Inputs!$F$6)</f>
        <v xml:space="preserve"> </v>
      </c>
      <c r="G356" s="251" t="str">
        <f>IF(A356="N/A"," ",Inputs!$F$9/IF(AND('Pricing Inputs'!$AQ$3&gt;=4,'Pricing Inputs'!$AQ$3&lt;=6),16,IF(AND('Pricing Inputs'!$AQ$3&gt;=7,'Pricing Inputs'!$AQ$3&lt;=9),8,24))/(BA356/BW356))</f>
        <v xml:space="preserve"> </v>
      </c>
      <c r="H356" s="252" t="str">
        <f t="shared" si="441"/>
        <v xml:space="preserve"> </v>
      </c>
      <c r="I356" s="255" t="str">
        <f>VLOOKUP(A356,ScaledPrice,(IF(AND('Pricing Inputs'!$AQ$3&gt;=1,'Pricing Inputs'!$AQ$3&lt;=6),2,4)))</f>
        <v xml:space="preserve"> </v>
      </c>
      <c r="J356" s="255" t="str">
        <f>IF(A356="N/A"," ",IF(AND('Pricing Inputs'!$AQ$3&gt;=1,'Pricing Inputs'!$AQ$3&lt;=6),I356,(VLOOKUP(A356,ScaledPrice,2))*(2-(VLOOKUP(A356,ScaledPrice,3)))))</f>
        <v xml:space="preserve"> </v>
      </c>
      <c r="K356" s="255" t="str">
        <f>IF(A356="N/A"," ",IF(OR('Pricing Inputs'!$AQ$3=2,'Pricing Inputs'!$AQ$3=3,'Pricing Inputs'!$AQ$3=5,'Pricing Inputs'!$AQ$3=6,'Pricing Inputs'!$AQ$3=8,'Pricing Inputs'!$AQ$3=9),VLOOKUP(A356,ScaledPrice,IF(AND('Pricing Inputs'!$AQ$3&gt;=2,'Pricing Inputs'!$AQ$3&lt;=6),5,6)),0))</f>
        <v xml:space="preserve"> </v>
      </c>
      <c r="L356" s="255" t="str">
        <f>IF(A356="N/A"," ",IF(OR('Pricing Inputs'!$AQ$3=2,'Pricing Inputs'!$AQ$3=3,'Pricing Inputs'!$AQ$3=5,'Pricing Inputs'!$AQ$3=6,'Pricing Inputs'!$AQ$3=8,'Pricing Inputs'!$AQ$3=9),IF(AND('Pricing Inputs'!$AQ$3&gt;=2,'Pricing Inputs'!$AQ$3&lt;=6),K356,(VLOOKUP(A356,ScaledPrice,5))*(2-(VLOOKUP(A356,ScaledPrice,3)))),0))</f>
        <v xml:space="preserve"> </v>
      </c>
      <c r="M356" s="255" t="str">
        <f>IF(A356="N/A"," ",IF(OR('Pricing Inputs'!$AQ$3=3,'Pricing Inputs'!$AQ$3=6,'Pricing Inputs'!$AQ$3=9),(VLOOKUP(A356,ScaledPrice,IF(AND('Pricing Inputs'!$AQ$3&gt;=3,'Pricing Inputs'!$AQ$3&lt;=6),7,8))),0))</f>
        <v xml:space="preserve"> </v>
      </c>
      <c r="N356" s="255" t="str">
        <f>IF(A356="N/A"," ",IF(OR('Pricing Inputs'!$AQ$3=3,'Pricing Inputs'!$AQ$3=6,'Pricing Inputs'!$AQ$3=9),IF(AND('Pricing Inputs'!$AQ$3&gt;=3,'Pricing Inputs'!$AQ$3&lt;=6),M356,(VLOOKUP(A356,ScaledPrice,7))*(2-(VLOOKUP(A356,ScaledPrice,3)))),0))</f>
        <v xml:space="preserve"> </v>
      </c>
      <c r="O356" s="255" t="str">
        <f>IF(A356="N/A"," ",IF(AND('Pricing Inputs'!$AQ$3&gt;=1,'Pricing Inputs'!$AQ$3&lt;=3),VLOOKUP(A356,ScaledPrice,9),0))</f>
        <v xml:space="preserve"> </v>
      </c>
      <c r="P356" s="320" t="str">
        <f>IF($A356="N/A"," ",IF('Pricing Inputs'!$AN$8=2,(I356-H356),IF('Pricing Inputs'!$AN$3=2,IF((I356-$H356)&gt;0,I356-$H356,0),(_xll.xSPRDOPT(I356,$E356,$BU356,0,$BP356,$BS356,$BT356,($A356-Inputs!$D$1)+15,1,0)))))</f>
        <v xml:space="preserve"> </v>
      </c>
      <c r="Q356" s="320" t="str">
        <f>IF($A356="N/A"," ",IF('Pricing Inputs'!$AN$8=2,(J356-$H356),IF('Pricing Inputs'!$AN$3=2,IF((J356-$H356)&gt;0,J356-$H356,0),(_xll.xSPRDOPT(J356,$E356,$BU356,0,$BP356,$BS356,$BT356,($A356-Inputs!$D$1)+15,1,0)))))</f>
        <v xml:space="preserve"> </v>
      </c>
      <c r="R356" s="320" t="str">
        <f>IF($A356="N/A"," ",IF('Pricing Inputs'!$AN$8=2,(K356-$H356),IF('Pricing Inputs'!$AN$3=2,IF((K356-$H356)&gt;0,K356-$H356,0),(_xll.xSPRDOPT(K356,$E356,$BU356,0,$BP356,$BS356,$BT356,($A356-Inputs!$D$1)+15,1,0)))))</f>
        <v xml:space="preserve"> </v>
      </c>
      <c r="S356" s="320" t="str">
        <f>IF($A356="N/A"," ",IF('Pricing Inputs'!$AN$8=2,(L356-$H356),IF('Pricing Inputs'!$AN$3=2,IF((L356-$H356)&gt;0,L356-$H356,0),(_xll.xSPRDOPT(L356,$E356,$BU356,0,$BP356,$BS356,$BT356,($A356-Inputs!$D$1)+15,1,0)))))</f>
        <v xml:space="preserve"> </v>
      </c>
      <c r="T356" s="320" t="str">
        <f>IF($A356="N/A"," ",IF('Pricing Inputs'!$AN$8=2,(M356-$H356),IF('Pricing Inputs'!$AN$3=2,IF((M356-$H356)&gt;0,M356-$H356,0),(_xll.xSPRDOPT(M356,$E356,$BU356,0,$BP356,$BS356,$BT356,($A356-Inputs!$D$1)+15,1,0)))))</f>
        <v xml:space="preserve"> </v>
      </c>
      <c r="U356" s="320" t="str">
        <f>IF($A356="N/A"," ",IF('Pricing Inputs'!$AN$8=2,(N356-$H356),IF('Pricing Inputs'!$AN$3=2,IF((N356-$H356)&gt;0,N356-$H356,0),(_xll.xSPRDOPT(N356,$E356,$BU356,0,$BP356,$BS356,$BT356,($A356-Inputs!$D$1)+15,1,0)))))</f>
        <v xml:space="preserve"> </v>
      </c>
      <c r="V356" s="259" t="str">
        <f>IF($A356="N/A"," ",(IF('Pricing Inputs'!$AN$8=2,(O356-$H356),IF((O356-$H356)&lt;=0,0,(O356-$H356)))))</f>
        <v xml:space="preserve"> </v>
      </c>
      <c r="BA356" s="267" t="str">
        <f>IF($A356="N/A"," ",(IF(MONTH(A356)&gt;=4,IF(MONTH(A356)&lt;=10,Inputs!$F$13,Inputs!$F$14),Inputs!$F$14))*$BW356)</f>
        <v xml:space="preserve"> </v>
      </c>
      <c r="BN356" s="405" t="str">
        <f>IF(A356="N/A"," ",(VLOOKUP(A356,PowerVolTable,(IF('Pricing Inputs'!$AT$3=2,7,IF('Pricing Inputs'!$AT$3=1,6,8))),FALSE)))</f>
        <v xml:space="preserve"> </v>
      </c>
      <c r="BO356" s="405" t="str">
        <f>IF(A356="N/A"," ",(VLOOKUP(A356,IntraPowerVol,(IF('Pricing Inputs'!$AT$3=2,3,IF('Pricing Inputs'!$AT$3=1,2,4))),FALSE)*VLOOKUP(MONTH($A356),Inputs!$A$28:$B$39,2)))</f>
        <v xml:space="preserve"> </v>
      </c>
      <c r="BP356" s="406" t="str">
        <f t="shared" si="436"/>
        <v xml:space="preserve"> </v>
      </c>
      <c r="BQ356" s="405" t="str">
        <f>IF($A356="N/A"," ",(VLOOKUP($A356,GasVolTable,(IF('Pricing Inputs'!$AT$3=2,6,IF('Pricing Inputs'!$AT$3=1,7,5))),FALSE)))</f>
        <v xml:space="preserve"> </v>
      </c>
      <c r="BR356" s="405" t="str">
        <f>IF($A356="N/A"," ",(VLOOKUP($A356,OmicronVol,(IF('Pricing Inputs'!$AT$3=2,3,IF('Pricing Inputs'!$AT$3=1,4,2))),FALSE)))</f>
        <v xml:space="preserve"> </v>
      </c>
      <c r="BS356" s="406" t="str">
        <f>IF($A356="N/A"," ",IF('Pricing Inputs'!$AN$3=1,(IF(DateToday&gt;$A356,$BR356,((($BQ356^2)*((($A356-1)-DateToday)/((EOMONTH($A356,0)+1)-DateToday-15)))+((($BR356)^2)*((15)/((EOMONTH($A356,0)+1)-DateToday-15))))^0.5)),0.0001))</f>
        <v xml:space="preserve"> </v>
      </c>
      <c r="BT356" s="405" t="str">
        <f>IF($A356="N/A"," ",IF('Pricing Inputs'!$AN$3=1,(VLOOKUP($A356,CorrelationTable,2,FALSE)),0))</f>
        <v xml:space="preserve"> </v>
      </c>
      <c r="BU356" s="407" t="str">
        <f>IF($A356="N/A"," ",F356+G356+(D356*(VLOOKUP($A356,'Gas Curves'!$B$17:$P$310,14,FALSE))))</f>
        <v xml:space="preserve"> </v>
      </c>
      <c r="BV356" s="405" t="str">
        <f>IF($A356="N/A"," ",IF('Pricing Inputs'!$AW$3=1,0,(VLOOKUP($A356,InterestRatesTable,2))))</f>
        <v xml:space="preserve"> </v>
      </c>
      <c r="BW356" s="408" t="str">
        <f t="shared" si="437"/>
        <v xml:space="preserve"> </v>
      </c>
    </row>
    <row r="357" spans="1:75">
      <c r="A357" s="248" t="str">
        <f>IF(A356="N/A","N/A",IF(EDATE(A356,1)&gt;Inputs!$K$3,"N/A",EDATE(A356,1)))</f>
        <v>N/A</v>
      </c>
      <c r="B357" s="262" t="str">
        <f t="shared" si="438"/>
        <v xml:space="preserve"> </v>
      </c>
      <c r="C357" s="249" t="str">
        <f t="shared" si="439"/>
        <v xml:space="preserve"> </v>
      </c>
      <c r="D357" s="250" t="str">
        <f>IF(A357="N/A"," ",(VLOOKUP(MONTH($A357),Inputs!$A$14:$B$25,2))/1000)</f>
        <v xml:space="preserve"> </v>
      </c>
      <c r="E357" s="304" t="str">
        <f t="shared" si="440"/>
        <v xml:space="preserve"> </v>
      </c>
      <c r="F357" s="251" t="str">
        <f>IF(A357="N/A"," ",Inputs!$F$6)</f>
        <v xml:space="preserve"> </v>
      </c>
      <c r="G357" s="251" t="str">
        <f>IF(A357="N/A"," ",Inputs!$F$9/IF(AND('Pricing Inputs'!$AQ$3&gt;=4,'Pricing Inputs'!$AQ$3&lt;=6),16,IF(AND('Pricing Inputs'!$AQ$3&gt;=7,'Pricing Inputs'!$AQ$3&lt;=9),8,24))/(BA357/BW357))</f>
        <v xml:space="preserve"> </v>
      </c>
      <c r="H357" s="252" t="str">
        <f t="shared" si="441"/>
        <v xml:space="preserve"> </v>
      </c>
      <c r="I357" s="255" t="str">
        <f>VLOOKUP(A357,ScaledPrice,(IF(AND('Pricing Inputs'!$AQ$3&gt;=1,'Pricing Inputs'!$AQ$3&lt;=6),2,4)))</f>
        <v xml:space="preserve"> </v>
      </c>
      <c r="J357" s="255" t="str">
        <f>IF(A357="N/A"," ",IF(AND('Pricing Inputs'!$AQ$3&gt;=1,'Pricing Inputs'!$AQ$3&lt;=6),I357,(VLOOKUP(A357,ScaledPrice,2))*(2-(VLOOKUP(A357,ScaledPrice,3)))))</f>
        <v xml:space="preserve"> </v>
      </c>
      <c r="K357" s="255" t="str">
        <f>IF(A357="N/A"," ",IF(OR('Pricing Inputs'!$AQ$3=2,'Pricing Inputs'!$AQ$3=3,'Pricing Inputs'!$AQ$3=5,'Pricing Inputs'!$AQ$3=6,'Pricing Inputs'!$AQ$3=8,'Pricing Inputs'!$AQ$3=9),VLOOKUP(A357,ScaledPrice,IF(AND('Pricing Inputs'!$AQ$3&gt;=2,'Pricing Inputs'!$AQ$3&lt;=6),5,6)),0))</f>
        <v xml:space="preserve"> </v>
      </c>
      <c r="L357" s="255" t="str">
        <f>IF(A357="N/A"," ",IF(OR('Pricing Inputs'!$AQ$3=2,'Pricing Inputs'!$AQ$3=3,'Pricing Inputs'!$AQ$3=5,'Pricing Inputs'!$AQ$3=6,'Pricing Inputs'!$AQ$3=8,'Pricing Inputs'!$AQ$3=9),IF(AND('Pricing Inputs'!$AQ$3&gt;=2,'Pricing Inputs'!$AQ$3&lt;=6),K357,(VLOOKUP(A357,ScaledPrice,5))*(2-(VLOOKUP(A357,ScaledPrice,3)))),0))</f>
        <v xml:space="preserve"> </v>
      </c>
      <c r="M357" s="255" t="str">
        <f>IF(A357="N/A"," ",IF(OR('Pricing Inputs'!$AQ$3=3,'Pricing Inputs'!$AQ$3=6,'Pricing Inputs'!$AQ$3=9),(VLOOKUP(A357,ScaledPrice,IF(AND('Pricing Inputs'!$AQ$3&gt;=3,'Pricing Inputs'!$AQ$3&lt;=6),7,8))),0))</f>
        <v xml:space="preserve"> </v>
      </c>
      <c r="N357" s="255" t="str">
        <f>IF(A357="N/A"," ",IF(OR('Pricing Inputs'!$AQ$3=3,'Pricing Inputs'!$AQ$3=6,'Pricing Inputs'!$AQ$3=9),IF(AND('Pricing Inputs'!$AQ$3&gt;=3,'Pricing Inputs'!$AQ$3&lt;=6),M357,(VLOOKUP(A357,ScaledPrice,7))*(2-(VLOOKUP(A357,ScaledPrice,3)))),0))</f>
        <v xml:space="preserve"> </v>
      </c>
      <c r="O357" s="255" t="str">
        <f>IF(A357="N/A"," ",IF(AND('Pricing Inputs'!$AQ$3&gt;=1,'Pricing Inputs'!$AQ$3&lt;=3),VLOOKUP(A357,ScaledPrice,9),0))</f>
        <v xml:space="preserve"> </v>
      </c>
      <c r="P357" s="320" t="str">
        <f>IF($A357="N/A"," ",IF('Pricing Inputs'!$AN$8=2,(I357-H357),IF('Pricing Inputs'!$AN$3=2,IF((I357-$H357)&gt;0,I357-$H357,0),(_xll.xSPRDOPT(I357,$E357,$BU357,0,$BP357,$BS357,$BT357,($A357-Inputs!$D$1)+15,1,0)))))</f>
        <v xml:space="preserve"> </v>
      </c>
      <c r="Q357" s="320" t="str">
        <f>IF($A357="N/A"," ",IF('Pricing Inputs'!$AN$8=2,(J357-$H357),IF('Pricing Inputs'!$AN$3=2,IF((J357-$H357)&gt;0,J357-$H357,0),(_xll.xSPRDOPT(J357,$E357,$BU357,0,$BP357,$BS357,$BT357,($A357-Inputs!$D$1)+15,1,0)))))</f>
        <v xml:space="preserve"> </v>
      </c>
      <c r="R357" s="320" t="str">
        <f>IF($A357="N/A"," ",IF('Pricing Inputs'!$AN$8=2,(K357-$H357),IF('Pricing Inputs'!$AN$3=2,IF((K357-$H357)&gt;0,K357-$H357,0),(_xll.xSPRDOPT(K357,$E357,$BU357,0,$BP357,$BS357,$BT357,($A357-Inputs!$D$1)+15,1,0)))))</f>
        <v xml:space="preserve"> </v>
      </c>
      <c r="S357" s="320" t="str">
        <f>IF($A357="N/A"," ",IF('Pricing Inputs'!$AN$8=2,(L357-$H357),IF('Pricing Inputs'!$AN$3=2,IF((L357-$H357)&gt;0,L357-$H357,0),(_xll.xSPRDOPT(L357,$E357,$BU357,0,$BP357,$BS357,$BT357,($A357-Inputs!$D$1)+15,1,0)))))</f>
        <v xml:space="preserve"> </v>
      </c>
      <c r="T357" s="320" t="str">
        <f>IF($A357="N/A"," ",IF('Pricing Inputs'!$AN$8=2,(M357-$H357),IF('Pricing Inputs'!$AN$3=2,IF((M357-$H357)&gt;0,M357-$H357,0),(_xll.xSPRDOPT(M357,$E357,$BU357,0,$BP357,$BS357,$BT357,($A357-Inputs!$D$1)+15,1,0)))))</f>
        <v xml:space="preserve"> </v>
      </c>
      <c r="U357" s="320" t="str">
        <f>IF($A357="N/A"," ",IF('Pricing Inputs'!$AN$8=2,(N357-$H357),IF('Pricing Inputs'!$AN$3=2,IF((N357-$H357)&gt;0,N357-$H357,0),(_xll.xSPRDOPT(N357,$E357,$BU357,0,$BP357,$BS357,$BT357,($A357-Inputs!$D$1)+15,1,0)))))</f>
        <v xml:space="preserve"> </v>
      </c>
      <c r="V357" s="259" t="str">
        <f>IF($A357="N/A"," ",(IF('Pricing Inputs'!$AN$8=2,(O357-$H357),IF((O357-$H357)&lt;=0,0,(O357-$H357)))))</f>
        <v xml:space="preserve"> </v>
      </c>
      <c r="BA357" s="267" t="str">
        <f>IF($A357="N/A"," ",(IF(MONTH(A357)&gt;=4,IF(MONTH(A357)&lt;=10,Inputs!$F$13,Inputs!$F$14),Inputs!$F$14))*$BW357)</f>
        <v xml:space="preserve"> </v>
      </c>
      <c r="BN357" s="405" t="str">
        <f>IF(A357="N/A"," ",(VLOOKUP(A357,PowerVolTable,(IF('Pricing Inputs'!$AT$3=2,7,IF('Pricing Inputs'!$AT$3=1,6,8))),FALSE)))</f>
        <v xml:space="preserve"> </v>
      </c>
      <c r="BO357" s="405" t="str">
        <f>IF(A357="N/A"," ",(VLOOKUP(A357,IntraPowerVol,(IF('Pricing Inputs'!$AT$3=2,3,IF('Pricing Inputs'!$AT$3=1,2,4))),FALSE)*VLOOKUP(MONTH($A357),Inputs!$A$28:$B$39,2)))</f>
        <v xml:space="preserve"> </v>
      </c>
      <c r="BP357" s="406" t="str">
        <f t="shared" si="436"/>
        <v xml:space="preserve"> </v>
      </c>
      <c r="BQ357" s="405" t="str">
        <f>IF($A357="N/A"," ",(VLOOKUP($A357,GasVolTable,(IF('Pricing Inputs'!$AT$3=2,6,IF('Pricing Inputs'!$AT$3=1,7,5))),FALSE)))</f>
        <v xml:space="preserve"> </v>
      </c>
      <c r="BR357" s="405" t="str">
        <f>IF($A357="N/A"," ",(VLOOKUP($A357,OmicronVol,(IF('Pricing Inputs'!$AT$3=2,3,IF('Pricing Inputs'!$AT$3=1,4,2))),FALSE)))</f>
        <v xml:space="preserve"> </v>
      </c>
      <c r="BS357" s="406" t="str">
        <f>IF($A357="N/A"," ",IF('Pricing Inputs'!$AN$3=1,(IF(DateToday&gt;$A357,$BR357,((($BQ357^2)*((($A357-1)-DateToday)/((EOMONTH($A357,0)+1)-DateToday-15)))+((($BR357)^2)*((15)/((EOMONTH($A357,0)+1)-DateToday-15))))^0.5)),0.0001))</f>
        <v xml:space="preserve"> </v>
      </c>
      <c r="BT357" s="405" t="str">
        <f>IF($A357="N/A"," ",IF('Pricing Inputs'!$AN$3=1,(VLOOKUP($A357,CorrelationTable,2,FALSE)),0))</f>
        <v xml:space="preserve"> </v>
      </c>
      <c r="BU357" s="407" t="str">
        <f>IF($A357="N/A"," ",F357+G357+(D357*(VLOOKUP($A357,'Gas Curves'!$B$17:$P$310,14,FALSE))))</f>
        <v xml:space="preserve"> </v>
      </c>
      <c r="BV357" s="405" t="str">
        <f>IF($A357="N/A"," ",IF('Pricing Inputs'!$AW$3=1,0,(VLOOKUP($A357,InterestRatesTable,2))))</f>
        <v xml:space="preserve"> </v>
      </c>
      <c r="BW357" s="408" t="str">
        <f t="shared" si="437"/>
        <v xml:space="preserve"> </v>
      </c>
    </row>
    <row r="358" spans="1:75">
      <c r="A358" s="248" t="str">
        <f>IF(A357="N/A","N/A",IF(EDATE(A357,1)&gt;Inputs!$K$3,"N/A",EDATE(A357,1)))</f>
        <v>N/A</v>
      </c>
      <c r="B358" s="262" t="str">
        <f t="shared" si="438"/>
        <v xml:space="preserve"> </v>
      </c>
      <c r="C358" s="249" t="str">
        <f t="shared" si="439"/>
        <v xml:space="preserve"> </v>
      </c>
      <c r="D358" s="250" t="str">
        <f>IF(A358="N/A"," ",(VLOOKUP(MONTH($A358),Inputs!$A$14:$B$25,2))/1000)</f>
        <v xml:space="preserve"> </v>
      </c>
      <c r="E358" s="304" t="str">
        <f t="shared" si="440"/>
        <v xml:space="preserve"> </v>
      </c>
      <c r="F358" s="251" t="str">
        <f>IF(A358="N/A"," ",Inputs!$F$6)</f>
        <v xml:space="preserve"> </v>
      </c>
      <c r="G358" s="251" t="str">
        <f>IF(A358="N/A"," ",Inputs!$F$9/IF(AND('Pricing Inputs'!$AQ$3&gt;=4,'Pricing Inputs'!$AQ$3&lt;=6),16,IF(AND('Pricing Inputs'!$AQ$3&gt;=7,'Pricing Inputs'!$AQ$3&lt;=9),8,24))/(BA358/BW358))</f>
        <v xml:space="preserve"> </v>
      </c>
      <c r="H358" s="252" t="str">
        <f t="shared" si="441"/>
        <v xml:space="preserve"> </v>
      </c>
      <c r="I358" s="255" t="str">
        <f>VLOOKUP(A358,ScaledPrice,(IF(AND('Pricing Inputs'!$AQ$3&gt;=1,'Pricing Inputs'!$AQ$3&lt;=6),2,4)))</f>
        <v xml:space="preserve"> </v>
      </c>
      <c r="J358" s="255" t="str">
        <f>IF(A358="N/A"," ",IF(AND('Pricing Inputs'!$AQ$3&gt;=1,'Pricing Inputs'!$AQ$3&lt;=6),I358,(VLOOKUP(A358,ScaledPrice,2))*(2-(VLOOKUP(A358,ScaledPrice,3)))))</f>
        <v xml:space="preserve"> </v>
      </c>
      <c r="K358" s="255" t="str">
        <f>IF(A358="N/A"," ",IF(OR('Pricing Inputs'!$AQ$3=2,'Pricing Inputs'!$AQ$3=3,'Pricing Inputs'!$AQ$3=5,'Pricing Inputs'!$AQ$3=6,'Pricing Inputs'!$AQ$3=8,'Pricing Inputs'!$AQ$3=9),VLOOKUP(A358,ScaledPrice,IF(AND('Pricing Inputs'!$AQ$3&gt;=2,'Pricing Inputs'!$AQ$3&lt;=6),5,6)),0))</f>
        <v xml:space="preserve"> </v>
      </c>
      <c r="L358" s="255" t="str">
        <f>IF(A358="N/A"," ",IF(OR('Pricing Inputs'!$AQ$3=2,'Pricing Inputs'!$AQ$3=3,'Pricing Inputs'!$AQ$3=5,'Pricing Inputs'!$AQ$3=6,'Pricing Inputs'!$AQ$3=8,'Pricing Inputs'!$AQ$3=9),IF(AND('Pricing Inputs'!$AQ$3&gt;=2,'Pricing Inputs'!$AQ$3&lt;=6),K358,(VLOOKUP(A358,ScaledPrice,5))*(2-(VLOOKUP(A358,ScaledPrice,3)))),0))</f>
        <v xml:space="preserve"> </v>
      </c>
      <c r="M358" s="255" t="str">
        <f>IF(A358="N/A"," ",IF(OR('Pricing Inputs'!$AQ$3=3,'Pricing Inputs'!$AQ$3=6,'Pricing Inputs'!$AQ$3=9),(VLOOKUP(A358,ScaledPrice,IF(AND('Pricing Inputs'!$AQ$3&gt;=3,'Pricing Inputs'!$AQ$3&lt;=6),7,8))),0))</f>
        <v xml:space="preserve"> </v>
      </c>
      <c r="N358" s="255" t="str">
        <f>IF(A358="N/A"," ",IF(OR('Pricing Inputs'!$AQ$3=3,'Pricing Inputs'!$AQ$3=6,'Pricing Inputs'!$AQ$3=9),IF(AND('Pricing Inputs'!$AQ$3&gt;=3,'Pricing Inputs'!$AQ$3&lt;=6),M358,(VLOOKUP(A358,ScaledPrice,7))*(2-(VLOOKUP(A358,ScaledPrice,3)))),0))</f>
        <v xml:space="preserve"> </v>
      </c>
      <c r="O358" s="255" t="str">
        <f>IF(A358="N/A"," ",IF(AND('Pricing Inputs'!$AQ$3&gt;=1,'Pricing Inputs'!$AQ$3&lt;=3),VLOOKUP(A358,ScaledPrice,9),0))</f>
        <v xml:space="preserve"> </v>
      </c>
      <c r="P358" s="320" t="str">
        <f>IF($A358="N/A"," ",IF('Pricing Inputs'!$AN$8=2,(I358-H358),IF('Pricing Inputs'!$AN$3=2,IF((I358-$H358)&gt;0,I358-$H358,0),(_xll.xSPRDOPT(I358,$E358,$BU358,0,$BP358,$BS358,$BT358,($A358-Inputs!$D$1)+15,1,0)))))</f>
        <v xml:space="preserve"> </v>
      </c>
      <c r="Q358" s="320" t="str">
        <f>IF($A358="N/A"," ",IF('Pricing Inputs'!$AN$8=2,(J358-$H358),IF('Pricing Inputs'!$AN$3=2,IF((J358-$H358)&gt;0,J358-$H358,0),(_xll.xSPRDOPT(J358,$E358,$BU358,0,$BP358,$BS358,$BT358,($A358-Inputs!$D$1)+15,1,0)))))</f>
        <v xml:space="preserve"> </v>
      </c>
      <c r="R358" s="320" t="str">
        <f>IF($A358="N/A"," ",IF('Pricing Inputs'!$AN$8=2,(K358-$H358),IF('Pricing Inputs'!$AN$3=2,IF((K358-$H358)&gt;0,K358-$H358,0),(_xll.xSPRDOPT(K358,$E358,$BU358,0,$BP358,$BS358,$BT358,($A358-Inputs!$D$1)+15,1,0)))))</f>
        <v xml:space="preserve"> </v>
      </c>
      <c r="S358" s="320" t="str">
        <f>IF($A358="N/A"," ",IF('Pricing Inputs'!$AN$8=2,(L358-$H358),IF('Pricing Inputs'!$AN$3=2,IF((L358-$H358)&gt;0,L358-$H358,0),(_xll.xSPRDOPT(L358,$E358,$BU358,0,$BP358,$BS358,$BT358,($A358-Inputs!$D$1)+15,1,0)))))</f>
        <v xml:space="preserve"> </v>
      </c>
      <c r="T358" s="320" t="str">
        <f>IF($A358="N/A"," ",IF('Pricing Inputs'!$AN$8=2,(M358-$H358),IF('Pricing Inputs'!$AN$3=2,IF((M358-$H358)&gt;0,M358-$H358,0),(_xll.xSPRDOPT(M358,$E358,$BU358,0,$BP358,$BS358,$BT358,($A358-Inputs!$D$1)+15,1,0)))))</f>
        <v xml:space="preserve"> </v>
      </c>
      <c r="U358" s="320" t="str">
        <f>IF($A358="N/A"," ",IF('Pricing Inputs'!$AN$8=2,(N358-$H358),IF('Pricing Inputs'!$AN$3=2,IF((N358-$H358)&gt;0,N358-$H358,0),(_xll.xSPRDOPT(N358,$E358,$BU358,0,$BP358,$BS358,$BT358,($A358-Inputs!$D$1)+15,1,0)))))</f>
        <v xml:space="preserve"> </v>
      </c>
      <c r="V358" s="259" t="str">
        <f>IF($A358="N/A"," ",(IF('Pricing Inputs'!$AN$8=2,(O358-$H358),IF((O358-$H358)&lt;=0,0,(O358-$H358)))))</f>
        <v xml:space="preserve"> </v>
      </c>
      <c r="BA358" s="267" t="str">
        <f>IF($A358="N/A"," ",(IF(MONTH(A358)&gt;=4,IF(MONTH(A358)&lt;=10,Inputs!$F$13,Inputs!$F$14),Inputs!$F$14))*$BW358)</f>
        <v xml:space="preserve"> </v>
      </c>
      <c r="BN358" s="405" t="str">
        <f>IF(A358="N/A"," ",(VLOOKUP(A358,PowerVolTable,(IF('Pricing Inputs'!$AT$3=2,7,IF('Pricing Inputs'!$AT$3=1,6,8))),FALSE)))</f>
        <v xml:space="preserve"> </v>
      </c>
      <c r="BO358" s="405" t="str">
        <f>IF(A358="N/A"," ",(VLOOKUP(A358,IntraPowerVol,(IF('Pricing Inputs'!$AT$3=2,3,IF('Pricing Inputs'!$AT$3=1,2,4))),FALSE)*VLOOKUP(MONTH($A358),Inputs!$A$28:$B$39,2)))</f>
        <v xml:space="preserve"> </v>
      </c>
      <c r="BP358" s="406" t="str">
        <f t="shared" si="436"/>
        <v xml:space="preserve"> </v>
      </c>
      <c r="BQ358" s="405" t="str">
        <f>IF($A358="N/A"," ",(VLOOKUP($A358,GasVolTable,(IF('Pricing Inputs'!$AT$3=2,6,IF('Pricing Inputs'!$AT$3=1,7,5))),FALSE)))</f>
        <v xml:space="preserve"> </v>
      </c>
      <c r="BR358" s="405" t="str">
        <f>IF($A358="N/A"," ",(VLOOKUP($A358,OmicronVol,(IF('Pricing Inputs'!$AT$3=2,3,IF('Pricing Inputs'!$AT$3=1,4,2))),FALSE)))</f>
        <v xml:space="preserve"> </v>
      </c>
      <c r="BS358" s="406" t="str">
        <f>IF($A358="N/A"," ",IF('Pricing Inputs'!$AN$3=1,(IF(DateToday&gt;$A358,$BR358,((($BQ358^2)*((($A358-1)-DateToday)/((EOMONTH($A358,0)+1)-DateToday-15)))+((($BR358)^2)*((15)/((EOMONTH($A358,0)+1)-DateToday-15))))^0.5)),0.0001))</f>
        <v xml:space="preserve"> </v>
      </c>
      <c r="BT358" s="405" t="str">
        <f>IF($A358="N/A"," ",IF('Pricing Inputs'!$AN$3=1,(VLOOKUP($A358,CorrelationTable,2,FALSE)),0))</f>
        <v xml:space="preserve"> </v>
      </c>
      <c r="BU358" s="407" t="str">
        <f>IF($A358="N/A"," ",F358+G358+(D358*(VLOOKUP($A358,'Gas Curves'!$B$17:$P$310,14,FALSE))))</f>
        <v xml:space="preserve"> </v>
      </c>
      <c r="BV358" s="405" t="str">
        <f>IF($A358="N/A"," ",IF('Pricing Inputs'!$AW$3=1,0,(VLOOKUP($A358,InterestRatesTable,2))))</f>
        <v xml:space="preserve"> </v>
      </c>
      <c r="BW358" s="408" t="str">
        <f t="shared" si="437"/>
        <v xml:space="preserve"> </v>
      </c>
    </row>
    <row r="359" spans="1:75">
      <c r="A359" s="248" t="str">
        <f>IF(A358="N/A","N/A",IF(EDATE(A358,1)&gt;Inputs!$K$3,"N/A",EDATE(A358,1)))</f>
        <v>N/A</v>
      </c>
      <c r="B359" s="262" t="str">
        <f t="shared" si="438"/>
        <v xml:space="preserve"> </v>
      </c>
      <c r="C359" s="249" t="str">
        <f t="shared" si="439"/>
        <v xml:space="preserve"> </v>
      </c>
      <c r="D359" s="250" t="str">
        <f>IF(A359="N/A"," ",(VLOOKUP(MONTH($A359),Inputs!$A$14:$B$25,2))/1000)</f>
        <v xml:space="preserve"> </v>
      </c>
      <c r="E359" s="304" t="str">
        <f t="shared" si="440"/>
        <v xml:space="preserve"> </v>
      </c>
      <c r="F359" s="251" t="str">
        <f>IF(A359="N/A"," ",Inputs!$F$6)</f>
        <v xml:space="preserve"> </v>
      </c>
      <c r="G359" s="251" t="str">
        <f>IF(A359="N/A"," ",Inputs!$F$9/IF(AND('Pricing Inputs'!$AQ$3&gt;=4,'Pricing Inputs'!$AQ$3&lt;=6),16,IF(AND('Pricing Inputs'!$AQ$3&gt;=7,'Pricing Inputs'!$AQ$3&lt;=9),8,24))/(BA359/BW359))</f>
        <v xml:space="preserve"> </v>
      </c>
      <c r="H359" s="252" t="str">
        <f t="shared" si="441"/>
        <v xml:space="preserve"> </v>
      </c>
      <c r="I359" s="255" t="str">
        <f>VLOOKUP(A359,ScaledPrice,(IF(AND('Pricing Inputs'!$AQ$3&gt;=1,'Pricing Inputs'!$AQ$3&lt;=6),2,4)))</f>
        <v xml:space="preserve"> </v>
      </c>
      <c r="J359" s="255" t="str">
        <f>IF(A359="N/A"," ",IF(AND('Pricing Inputs'!$AQ$3&gt;=1,'Pricing Inputs'!$AQ$3&lt;=6),I359,(VLOOKUP(A359,ScaledPrice,2))*(2-(VLOOKUP(A359,ScaledPrice,3)))))</f>
        <v xml:space="preserve"> </v>
      </c>
      <c r="K359" s="255" t="str">
        <f>IF(A359="N/A"," ",IF(OR('Pricing Inputs'!$AQ$3=2,'Pricing Inputs'!$AQ$3=3,'Pricing Inputs'!$AQ$3=5,'Pricing Inputs'!$AQ$3=6,'Pricing Inputs'!$AQ$3=8,'Pricing Inputs'!$AQ$3=9),VLOOKUP(A359,ScaledPrice,IF(AND('Pricing Inputs'!$AQ$3&gt;=2,'Pricing Inputs'!$AQ$3&lt;=6),5,6)),0))</f>
        <v xml:space="preserve"> </v>
      </c>
      <c r="L359" s="255" t="str">
        <f>IF(A359="N/A"," ",IF(OR('Pricing Inputs'!$AQ$3=2,'Pricing Inputs'!$AQ$3=3,'Pricing Inputs'!$AQ$3=5,'Pricing Inputs'!$AQ$3=6,'Pricing Inputs'!$AQ$3=8,'Pricing Inputs'!$AQ$3=9),IF(AND('Pricing Inputs'!$AQ$3&gt;=2,'Pricing Inputs'!$AQ$3&lt;=6),K359,(VLOOKUP(A359,ScaledPrice,5))*(2-(VLOOKUP(A359,ScaledPrice,3)))),0))</f>
        <v xml:space="preserve"> </v>
      </c>
      <c r="M359" s="255" t="str">
        <f>IF(A359="N/A"," ",IF(OR('Pricing Inputs'!$AQ$3=3,'Pricing Inputs'!$AQ$3=6,'Pricing Inputs'!$AQ$3=9),(VLOOKUP(A359,ScaledPrice,IF(AND('Pricing Inputs'!$AQ$3&gt;=3,'Pricing Inputs'!$AQ$3&lt;=6),7,8))),0))</f>
        <v xml:space="preserve"> </v>
      </c>
      <c r="N359" s="255" t="str">
        <f>IF(A359="N/A"," ",IF(OR('Pricing Inputs'!$AQ$3=3,'Pricing Inputs'!$AQ$3=6,'Pricing Inputs'!$AQ$3=9),IF(AND('Pricing Inputs'!$AQ$3&gt;=3,'Pricing Inputs'!$AQ$3&lt;=6),M359,(VLOOKUP(A359,ScaledPrice,7))*(2-(VLOOKUP(A359,ScaledPrice,3)))),0))</f>
        <v xml:space="preserve"> </v>
      </c>
      <c r="O359" s="255" t="str">
        <f>IF(A359="N/A"," ",IF(AND('Pricing Inputs'!$AQ$3&gt;=1,'Pricing Inputs'!$AQ$3&lt;=3),VLOOKUP(A359,ScaledPrice,9),0))</f>
        <v xml:space="preserve"> </v>
      </c>
      <c r="P359" s="320" t="str">
        <f>IF($A359="N/A"," ",IF('Pricing Inputs'!$AN$8=2,(I359-H359),IF('Pricing Inputs'!$AN$3=2,IF((I359-$H359)&gt;0,I359-$H359,0),(_xll.xSPRDOPT(I359,$E359,$BU359,0,$BP359,$BS359,$BT359,($A359-Inputs!$D$1)+15,1,0)))))</f>
        <v xml:space="preserve"> </v>
      </c>
      <c r="Q359" s="320" t="str">
        <f>IF($A359="N/A"," ",IF('Pricing Inputs'!$AN$8=2,(J359-$H359),IF('Pricing Inputs'!$AN$3=2,IF((J359-$H359)&gt;0,J359-$H359,0),(_xll.xSPRDOPT(J359,$E359,$BU359,0,$BP359,$BS359,$BT359,($A359-Inputs!$D$1)+15,1,0)))))</f>
        <v xml:space="preserve"> </v>
      </c>
      <c r="R359" s="320" t="str">
        <f>IF($A359="N/A"," ",IF('Pricing Inputs'!$AN$8=2,(K359-$H359),IF('Pricing Inputs'!$AN$3=2,IF((K359-$H359)&gt;0,K359-$H359,0),(_xll.xSPRDOPT(K359,$E359,$BU359,0,$BP359,$BS359,$BT359,($A359-Inputs!$D$1)+15,1,0)))))</f>
        <v xml:space="preserve"> </v>
      </c>
      <c r="S359" s="320" t="str">
        <f>IF($A359="N/A"," ",IF('Pricing Inputs'!$AN$8=2,(L359-$H359),IF('Pricing Inputs'!$AN$3=2,IF((L359-$H359)&gt;0,L359-$H359,0),(_xll.xSPRDOPT(L359,$E359,$BU359,0,$BP359,$BS359,$BT359,($A359-Inputs!$D$1)+15,1,0)))))</f>
        <v xml:space="preserve"> </v>
      </c>
      <c r="T359" s="320" t="str">
        <f>IF($A359="N/A"," ",IF('Pricing Inputs'!$AN$8=2,(M359-$H359),IF('Pricing Inputs'!$AN$3=2,IF((M359-$H359)&gt;0,M359-$H359,0),(_xll.xSPRDOPT(M359,$E359,$BU359,0,$BP359,$BS359,$BT359,($A359-Inputs!$D$1)+15,1,0)))))</f>
        <v xml:space="preserve"> </v>
      </c>
      <c r="U359" s="320" t="str">
        <f>IF($A359="N/A"," ",IF('Pricing Inputs'!$AN$8=2,(N359-$H359),IF('Pricing Inputs'!$AN$3=2,IF((N359-$H359)&gt;0,N359-$H359,0),(_xll.xSPRDOPT(N359,$E359,$BU359,0,$BP359,$BS359,$BT359,($A359-Inputs!$D$1)+15,1,0)))))</f>
        <v xml:space="preserve"> </v>
      </c>
      <c r="V359" s="259" t="str">
        <f>IF($A359="N/A"," ",(IF('Pricing Inputs'!$AN$8=2,(O359-$H359),IF((O359-$H359)&lt;=0,0,(O359-$H359)))))</f>
        <v xml:space="preserve"> </v>
      </c>
      <c r="BA359" s="267" t="str">
        <f>IF($A359="N/A"," ",(IF(MONTH(A359)&gt;=4,IF(MONTH(A359)&lt;=10,Inputs!$F$13,Inputs!$F$14),Inputs!$F$14))*$BW359)</f>
        <v xml:space="preserve"> </v>
      </c>
      <c r="BN359" s="405" t="str">
        <f>IF(A359="N/A"," ",(VLOOKUP(A359,PowerVolTable,(IF('Pricing Inputs'!$AT$3=2,7,IF('Pricing Inputs'!$AT$3=1,6,8))),FALSE)))</f>
        <v xml:space="preserve"> </v>
      </c>
      <c r="BO359" s="405" t="str">
        <f>IF(A359="N/A"," ",(VLOOKUP(A359,IntraPowerVol,(IF('Pricing Inputs'!$AT$3=2,3,IF('Pricing Inputs'!$AT$3=1,2,4))),FALSE)*VLOOKUP(MONTH($A359),Inputs!$A$28:$B$39,2)))</f>
        <v xml:space="preserve"> </v>
      </c>
      <c r="BP359" s="406" t="str">
        <f t="shared" si="436"/>
        <v xml:space="preserve"> </v>
      </c>
      <c r="BQ359" s="405" t="str">
        <f>IF($A359="N/A"," ",(VLOOKUP($A359,GasVolTable,(IF('Pricing Inputs'!$AT$3=2,6,IF('Pricing Inputs'!$AT$3=1,7,5))),FALSE)))</f>
        <v xml:space="preserve"> </v>
      </c>
      <c r="BR359" s="405" t="str">
        <f>IF($A359="N/A"," ",(VLOOKUP($A359,OmicronVol,(IF('Pricing Inputs'!$AT$3=2,3,IF('Pricing Inputs'!$AT$3=1,4,2))),FALSE)))</f>
        <v xml:space="preserve"> </v>
      </c>
      <c r="BS359" s="406" t="str">
        <f>IF($A359="N/A"," ",IF('Pricing Inputs'!$AN$3=1,(IF(DateToday&gt;$A359,$BR359,((($BQ359^2)*((($A359-1)-DateToday)/((EOMONTH($A359,0)+1)-DateToday-15)))+((($BR359)^2)*((15)/((EOMONTH($A359,0)+1)-DateToday-15))))^0.5)),0.0001))</f>
        <v xml:space="preserve"> </v>
      </c>
      <c r="BT359" s="405" t="str">
        <f>IF($A359="N/A"," ",IF('Pricing Inputs'!$AN$3=1,(VLOOKUP($A359,CorrelationTable,2,FALSE)),0))</f>
        <v xml:space="preserve"> </v>
      </c>
      <c r="BU359" s="407" t="str">
        <f>IF($A359="N/A"," ",F359+G359+(D359*(VLOOKUP($A359,'Gas Curves'!$B$17:$P$310,14,FALSE))))</f>
        <v xml:space="preserve"> </v>
      </c>
      <c r="BV359" s="405" t="str">
        <f>IF($A359="N/A"," ",IF('Pricing Inputs'!$AW$3=1,0,(VLOOKUP($A359,InterestRatesTable,2))))</f>
        <v xml:space="preserve"> </v>
      </c>
      <c r="BW359" s="408" t="str">
        <f t="shared" si="437"/>
        <v xml:space="preserve"> </v>
      </c>
    </row>
    <row r="360" spans="1:75">
      <c r="A360" s="248" t="str">
        <f>IF(A359="N/A","N/A",IF(EDATE(A359,1)&gt;Inputs!$K$3,"N/A",EDATE(A359,1)))</f>
        <v>N/A</v>
      </c>
      <c r="B360" s="262" t="str">
        <f t="shared" si="438"/>
        <v xml:space="preserve"> </v>
      </c>
      <c r="C360" s="249" t="str">
        <f t="shared" si="439"/>
        <v xml:space="preserve"> </v>
      </c>
      <c r="D360" s="250" t="str">
        <f>IF(A360="N/A"," ",(VLOOKUP(MONTH($A360),Inputs!$A$14:$B$25,2))/1000)</f>
        <v xml:space="preserve"> </v>
      </c>
      <c r="E360" s="304" t="str">
        <f t="shared" si="440"/>
        <v xml:space="preserve"> </v>
      </c>
      <c r="F360" s="251" t="str">
        <f>IF(A360="N/A"," ",Inputs!$F$6)</f>
        <v xml:space="preserve"> </v>
      </c>
      <c r="G360" s="251" t="str">
        <f>IF(A360="N/A"," ",Inputs!$F$9/IF(AND('Pricing Inputs'!$AQ$3&gt;=4,'Pricing Inputs'!$AQ$3&lt;=6),16,IF(AND('Pricing Inputs'!$AQ$3&gt;=7,'Pricing Inputs'!$AQ$3&lt;=9),8,24))/(BA360/BW360))</f>
        <v xml:space="preserve"> </v>
      </c>
      <c r="H360" s="252" t="str">
        <f t="shared" si="441"/>
        <v xml:space="preserve"> </v>
      </c>
      <c r="I360" s="255" t="str">
        <f>VLOOKUP(A360,ScaledPrice,(IF(AND('Pricing Inputs'!$AQ$3&gt;=1,'Pricing Inputs'!$AQ$3&lt;=6),2,4)))</f>
        <v xml:space="preserve"> </v>
      </c>
      <c r="J360" s="255" t="str">
        <f>IF(A360="N/A"," ",IF(AND('Pricing Inputs'!$AQ$3&gt;=1,'Pricing Inputs'!$AQ$3&lt;=6),I360,(VLOOKUP(A360,ScaledPrice,2))*(2-(VLOOKUP(A360,ScaledPrice,3)))))</f>
        <v xml:space="preserve"> </v>
      </c>
      <c r="K360" s="255" t="str">
        <f>IF(A360="N/A"," ",IF(OR('Pricing Inputs'!$AQ$3=2,'Pricing Inputs'!$AQ$3=3,'Pricing Inputs'!$AQ$3=5,'Pricing Inputs'!$AQ$3=6,'Pricing Inputs'!$AQ$3=8,'Pricing Inputs'!$AQ$3=9),VLOOKUP(A360,ScaledPrice,IF(AND('Pricing Inputs'!$AQ$3&gt;=2,'Pricing Inputs'!$AQ$3&lt;=6),5,6)),0))</f>
        <v xml:space="preserve"> </v>
      </c>
      <c r="L360" s="255" t="str">
        <f>IF(A360="N/A"," ",IF(OR('Pricing Inputs'!$AQ$3=2,'Pricing Inputs'!$AQ$3=3,'Pricing Inputs'!$AQ$3=5,'Pricing Inputs'!$AQ$3=6,'Pricing Inputs'!$AQ$3=8,'Pricing Inputs'!$AQ$3=9),IF(AND('Pricing Inputs'!$AQ$3&gt;=2,'Pricing Inputs'!$AQ$3&lt;=6),K360,(VLOOKUP(A360,ScaledPrice,5))*(2-(VLOOKUP(A360,ScaledPrice,3)))),0))</f>
        <v xml:space="preserve"> </v>
      </c>
      <c r="M360" s="255" t="str">
        <f>IF(A360="N/A"," ",IF(OR('Pricing Inputs'!$AQ$3=3,'Pricing Inputs'!$AQ$3=6,'Pricing Inputs'!$AQ$3=9),(VLOOKUP(A360,ScaledPrice,IF(AND('Pricing Inputs'!$AQ$3&gt;=3,'Pricing Inputs'!$AQ$3&lt;=6),7,8))),0))</f>
        <v xml:space="preserve"> </v>
      </c>
      <c r="N360" s="255" t="str">
        <f>IF(A360="N/A"," ",IF(OR('Pricing Inputs'!$AQ$3=3,'Pricing Inputs'!$AQ$3=6,'Pricing Inputs'!$AQ$3=9),IF(AND('Pricing Inputs'!$AQ$3&gt;=3,'Pricing Inputs'!$AQ$3&lt;=6),M360,(VLOOKUP(A360,ScaledPrice,7))*(2-(VLOOKUP(A360,ScaledPrice,3)))),0))</f>
        <v xml:space="preserve"> </v>
      </c>
      <c r="O360" s="255" t="str">
        <f>IF(A360="N/A"," ",IF(AND('Pricing Inputs'!$AQ$3&gt;=1,'Pricing Inputs'!$AQ$3&lt;=3),VLOOKUP(A360,ScaledPrice,9),0))</f>
        <v xml:space="preserve"> </v>
      </c>
      <c r="P360" s="320" t="str">
        <f>IF($A360="N/A"," ",IF('Pricing Inputs'!$AN$8=2,(I360-H360),IF('Pricing Inputs'!$AN$3=2,IF((I360-$H360)&gt;0,I360-$H360,0),(_xll.xSPRDOPT(I360,$E360,$BU360,0,$BP360,$BS360,$BT360,($A360-Inputs!$D$1)+15,1,0)))))</f>
        <v xml:space="preserve"> </v>
      </c>
      <c r="Q360" s="320" t="str">
        <f>IF($A360="N/A"," ",IF('Pricing Inputs'!$AN$8=2,(J360-$H360),IF('Pricing Inputs'!$AN$3=2,IF((J360-$H360)&gt;0,J360-$H360,0),(_xll.xSPRDOPT(J360,$E360,$BU360,0,$BP360,$BS360,$BT360,($A360-Inputs!$D$1)+15,1,0)))))</f>
        <v xml:space="preserve"> </v>
      </c>
      <c r="R360" s="320" t="str">
        <f>IF($A360="N/A"," ",IF('Pricing Inputs'!$AN$8=2,(K360-$H360),IF('Pricing Inputs'!$AN$3=2,IF((K360-$H360)&gt;0,K360-$H360,0),(_xll.xSPRDOPT(K360,$E360,$BU360,0,$BP360,$BS360,$BT360,($A360-Inputs!$D$1)+15,1,0)))))</f>
        <v xml:space="preserve"> </v>
      </c>
      <c r="S360" s="320" t="str">
        <f>IF($A360="N/A"," ",IF('Pricing Inputs'!$AN$8=2,(L360-$H360),IF('Pricing Inputs'!$AN$3=2,IF((L360-$H360)&gt;0,L360-$H360,0),(_xll.xSPRDOPT(L360,$E360,$BU360,0,$BP360,$BS360,$BT360,($A360-Inputs!$D$1)+15,1,0)))))</f>
        <v xml:space="preserve"> </v>
      </c>
      <c r="T360" s="320" t="str">
        <f>IF($A360="N/A"," ",IF('Pricing Inputs'!$AN$8=2,(M360-$H360),IF('Pricing Inputs'!$AN$3=2,IF((M360-$H360)&gt;0,M360-$H360,0),(_xll.xSPRDOPT(M360,$E360,$BU360,0,$BP360,$BS360,$BT360,($A360-Inputs!$D$1)+15,1,0)))))</f>
        <v xml:space="preserve"> </v>
      </c>
      <c r="U360" s="320" t="str">
        <f>IF($A360="N/A"," ",IF('Pricing Inputs'!$AN$8=2,(N360-$H360),IF('Pricing Inputs'!$AN$3=2,IF((N360-$H360)&gt;0,N360-$H360,0),(_xll.xSPRDOPT(N360,$E360,$BU360,0,$BP360,$BS360,$BT360,($A360-Inputs!$D$1)+15,1,0)))))</f>
        <v xml:space="preserve"> </v>
      </c>
      <c r="V360" s="259" t="str">
        <f>IF($A360="N/A"," ",(IF('Pricing Inputs'!$AN$8=2,(O360-$H360),IF((O360-$H360)&lt;=0,0,(O360-$H360)))))</f>
        <v xml:space="preserve"> </v>
      </c>
      <c r="BA360" s="267" t="str">
        <f>IF($A360="N/A"," ",(IF(MONTH(A360)&gt;=4,IF(MONTH(A360)&lt;=10,Inputs!$F$13,Inputs!$F$14),Inputs!$F$14))*$BW360)</f>
        <v xml:space="preserve"> </v>
      </c>
      <c r="BN360" s="405" t="str">
        <f>IF(A360="N/A"," ",(VLOOKUP(A360,PowerVolTable,(IF('Pricing Inputs'!$AT$3=2,7,IF('Pricing Inputs'!$AT$3=1,6,8))),FALSE)))</f>
        <v xml:space="preserve"> </v>
      </c>
      <c r="BO360" s="405" t="str">
        <f>IF(A360="N/A"," ",(VLOOKUP(A360,IntraPowerVol,(IF('Pricing Inputs'!$AT$3=2,3,IF('Pricing Inputs'!$AT$3=1,2,4))),FALSE)*VLOOKUP(MONTH($A360),Inputs!$A$28:$B$39,2)))</f>
        <v xml:space="preserve"> </v>
      </c>
      <c r="BP360" s="406" t="str">
        <f t="shared" si="436"/>
        <v xml:space="preserve"> </v>
      </c>
      <c r="BQ360" s="405" t="str">
        <f>IF($A360="N/A"," ",(VLOOKUP($A360,GasVolTable,(IF('Pricing Inputs'!$AT$3=2,6,IF('Pricing Inputs'!$AT$3=1,7,5))),FALSE)))</f>
        <v xml:space="preserve"> </v>
      </c>
      <c r="BR360" s="405" t="str">
        <f>IF($A360="N/A"," ",(VLOOKUP($A360,OmicronVol,(IF('Pricing Inputs'!$AT$3=2,3,IF('Pricing Inputs'!$AT$3=1,4,2))),FALSE)))</f>
        <v xml:space="preserve"> </v>
      </c>
      <c r="BS360" s="406" t="str">
        <f>IF($A360="N/A"," ",IF('Pricing Inputs'!$AN$3=1,(IF(DateToday&gt;$A360,$BR360,((($BQ360^2)*((($A360-1)-DateToday)/((EOMONTH($A360,0)+1)-DateToday-15)))+((($BR360)^2)*((15)/((EOMONTH($A360,0)+1)-DateToday-15))))^0.5)),0.0001))</f>
        <v xml:space="preserve"> </v>
      </c>
      <c r="BT360" s="405" t="str">
        <f>IF($A360="N/A"," ",IF('Pricing Inputs'!$AN$3=1,(VLOOKUP($A360,CorrelationTable,2,FALSE)),0))</f>
        <v xml:space="preserve"> </v>
      </c>
      <c r="BU360" s="407" t="str">
        <f>IF($A360="N/A"," ",F360+G360+(D360*(VLOOKUP($A360,'Gas Curves'!$B$17:$P$310,14,FALSE))))</f>
        <v xml:space="preserve"> </v>
      </c>
      <c r="BV360" s="405" t="str">
        <f>IF($A360="N/A"," ",IF('Pricing Inputs'!$AW$3=1,0,(VLOOKUP($A360,InterestRatesTable,2))))</f>
        <v xml:space="preserve"> </v>
      </c>
      <c r="BW360" s="408" t="str">
        <f t="shared" si="437"/>
        <v xml:space="preserve"> </v>
      </c>
    </row>
    <row r="361" spans="1:75">
      <c r="A361" s="248" t="str">
        <f>IF(A360="N/A","N/A",IF(EDATE(A360,1)&gt;Inputs!$K$3,"N/A",EDATE(A360,1)))</f>
        <v>N/A</v>
      </c>
      <c r="B361" s="262" t="str">
        <f t="shared" si="438"/>
        <v xml:space="preserve"> </v>
      </c>
      <c r="C361" s="249" t="str">
        <f t="shared" si="439"/>
        <v xml:space="preserve"> </v>
      </c>
      <c r="D361" s="250" t="str">
        <f>IF(A361="N/A"," ",(VLOOKUP(MONTH($A361),Inputs!$A$14:$B$25,2))/1000)</f>
        <v xml:space="preserve"> </v>
      </c>
      <c r="E361" s="304" t="str">
        <f t="shared" si="440"/>
        <v xml:space="preserve"> </v>
      </c>
      <c r="F361" s="251" t="str">
        <f>IF(A361="N/A"," ",Inputs!$F$6)</f>
        <v xml:space="preserve"> </v>
      </c>
      <c r="G361" s="251" t="str">
        <f>IF(A361="N/A"," ",Inputs!$F$9/IF(AND('Pricing Inputs'!$AQ$3&gt;=4,'Pricing Inputs'!$AQ$3&lt;=6),16,IF(AND('Pricing Inputs'!$AQ$3&gt;=7,'Pricing Inputs'!$AQ$3&lt;=9),8,24))/(BA361/BW361))</f>
        <v xml:space="preserve"> </v>
      </c>
      <c r="H361" s="252" t="str">
        <f t="shared" si="441"/>
        <v xml:space="preserve"> </v>
      </c>
      <c r="I361" s="255" t="str">
        <f>VLOOKUP(A361,ScaledPrice,(IF(AND('Pricing Inputs'!$AQ$3&gt;=1,'Pricing Inputs'!$AQ$3&lt;=6),2,4)))</f>
        <v xml:space="preserve"> </v>
      </c>
      <c r="J361" s="255" t="str">
        <f>IF(A361="N/A"," ",IF(AND('Pricing Inputs'!$AQ$3&gt;=1,'Pricing Inputs'!$AQ$3&lt;=6),I361,(VLOOKUP(A361,ScaledPrice,2))*(2-(VLOOKUP(A361,ScaledPrice,3)))))</f>
        <v xml:space="preserve"> </v>
      </c>
      <c r="K361" s="255" t="str">
        <f>IF(A361="N/A"," ",IF(OR('Pricing Inputs'!$AQ$3=2,'Pricing Inputs'!$AQ$3=3,'Pricing Inputs'!$AQ$3=5,'Pricing Inputs'!$AQ$3=6,'Pricing Inputs'!$AQ$3=8,'Pricing Inputs'!$AQ$3=9),VLOOKUP(A361,ScaledPrice,IF(AND('Pricing Inputs'!$AQ$3&gt;=2,'Pricing Inputs'!$AQ$3&lt;=6),5,6)),0))</f>
        <v xml:space="preserve"> </v>
      </c>
      <c r="L361" s="255" t="str">
        <f>IF(A361="N/A"," ",IF(OR('Pricing Inputs'!$AQ$3=2,'Pricing Inputs'!$AQ$3=3,'Pricing Inputs'!$AQ$3=5,'Pricing Inputs'!$AQ$3=6,'Pricing Inputs'!$AQ$3=8,'Pricing Inputs'!$AQ$3=9),IF(AND('Pricing Inputs'!$AQ$3&gt;=2,'Pricing Inputs'!$AQ$3&lt;=6),K361,(VLOOKUP(A361,ScaledPrice,5))*(2-(VLOOKUP(A361,ScaledPrice,3)))),0))</f>
        <v xml:space="preserve"> </v>
      </c>
      <c r="M361" s="255" t="str">
        <f>IF(A361="N/A"," ",IF(OR('Pricing Inputs'!$AQ$3=3,'Pricing Inputs'!$AQ$3=6,'Pricing Inputs'!$AQ$3=9),(VLOOKUP(A361,ScaledPrice,IF(AND('Pricing Inputs'!$AQ$3&gt;=3,'Pricing Inputs'!$AQ$3&lt;=6),7,8))),0))</f>
        <v xml:space="preserve"> </v>
      </c>
      <c r="N361" s="255" t="str">
        <f>IF(A361="N/A"," ",IF(OR('Pricing Inputs'!$AQ$3=3,'Pricing Inputs'!$AQ$3=6,'Pricing Inputs'!$AQ$3=9),IF(AND('Pricing Inputs'!$AQ$3&gt;=3,'Pricing Inputs'!$AQ$3&lt;=6),M361,(VLOOKUP(A361,ScaledPrice,7))*(2-(VLOOKUP(A361,ScaledPrice,3)))),0))</f>
        <v xml:space="preserve"> </v>
      </c>
      <c r="O361" s="255" t="str">
        <f>IF(A361="N/A"," ",IF(AND('Pricing Inputs'!$AQ$3&gt;=1,'Pricing Inputs'!$AQ$3&lt;=3),VLOOKUP(A361,ScaledPrice,9),0))</f>
        <v xml:space="preserve"> </v>
      </c>
      <c r="P361" s="320" t="str">
        <f>IF($A361="N/A"," ",IF('Pricing Inputs'!$AN$8=2,(I361-H361),IF('Pricing Inputs'!$AN$3=2,IF((I361-$H361)&gt;0,I361-$H361,0),(_xll.xSPRDOPT(I361,$E361,$BU361,0,$BP361,$BS361,$BT361,($A361-Inputs!$D$1)+15,1,0)))))</f>
        <v xml:space="preserve"> </v>
      </c>
      <c r="Q361" s="320" t="str">
        <f>IF($A361="N/A"," ",IF('Pricing Inputs'!$AN$8=2,(J361-$H361),IF('Pricing Inputs'!$AN$3=2,IF((J361-$H361)&gt;0,J361-$H361,0),(_xll.xSPRDOPT(J361,$E361,$BU361,0,$BP361,$BS361,$BT361,($A361-Inputs!$D$1)+15,1,0)))))</f>
        <v xml:space="preserve"> </v>
      </c>
      <c r="R361" s="320" t="str">
        <f>IF($A361="N/A"," ",IF('Pricing Inputs'!$AN$8=2,(K361-$H361),IF('Pricing Inputs'!$AN$3=2,IF((K361-$H361)&gt;0,K361-$H361,0),(_xll.xSPRDOPT(K361,$E361,$BU361,0,$BP361,$BS361,$BT361,($A361-Inputs!$D$1)+15,1,0)))))</f>
        <v xml:space="preserve"> </v>
      </c>
      <c r="S361" s="320" t="str">
        <f>IF($A361="N/A"," ",IF('Pricing Inputs'!$AN$8=2,(L361-$H361),IF('Pricing Inputs'!$AN$3=2,IF((L361-$H361)&gt;0,L361-$H361,0),(_xll.xSPRDOPT(L361,$E361,$BU361,0,$BP361,$BS361,$BT361,($A361-Inputs!$D$1)+15,1,0)))))</f>
        <v xml:space="preserve"> </v>
      </c>
      <c r="T361" s="320" t="str">
        <f>IF($A361="N/A"," ",IF('Pricing Inputs'!$AN$8=2,(M361-$H361),IF('Pricing Inputs'!$AN$3=2,IF((M361-$H361)&gt;0,M361-$H361,0),(_xll.xSPRDOPT(M361,$E361,$BU361,0,$BP361,$BS361,$BT361,($A361-Inputs!$D$1)+15,1,0)))))</f>
        <v xml:space="preserve"> </v>
      </c>
      <c r="U361" s="320" t="str">
        <f>IF($A361="N/A"," ",IF('Pricing Inputs'!$AN$8=2,(N361-$H361),IF('Pricing Inputs'!$AN$3=2,IF((N361-$H361)&gt;0,N361-$H361,0),(_xll.xSPRDOPT(N361,$E361,$BU361,0,$BP361,$BS361,$BT361,($A361-Inputs!$D$1)+15,1,0)))))</f>
        <v xml:space="preserve"> </v>
      </c>
      <c r="V361" s="259" t="str">
        <f>IF($A361="N/A"," ",(IF('Pricing Inputs'!$AN$8=2,(O361-$H361),IF((O361-$H361)&lt;=0,0,(O361-$H361)))))</f>
        <v xml:space="preserve"> </v>
      </c>
      <c r="BA361" s="267" t="str">
        <f>IF($A361="N/A"," ",(IF(MONTH(A361)&gt;=4,IF(MONTH(A361)&lt;=10,Inputs!$F$13,Inputs!$F$14),Inputs!$F$14))*$BW361)</f>
        <v xml:space="preserve"> </v>
      </c>
      <c r="BN361" s="405" t="str">
        <f>IF(A361="N/A"," ",(VLOOKUP(A361,PowerVolTable,(IF('Pricing Inputs'!$AT$3=2,7,IF('Pricing Inputs'!$AT$3=1,6,8))),FALSE)))</f>
        <v xml:space="preserve"> </v>
      </c>
      <c r="BO361" s="405" t="str">
        <f>IF(A361="N/A"," ",(VLOOKUP(A361,IntraPowerVol,(IF('Pricing Inputs'!$AT$3=2,3,IF('Pricing Inputs'!$AT$3=1,2,4))),FALSE)*VLOOKUP(MONTH($A361),Inputs!$A$28:$B$39,2)))</f>
        <v xml:space="preserve"> </v>
      </c>
      <c r="BP361" s="406" t="str">
        <f t="shared" si="436"/>
        <v xml:space="preserve"> </v>
      </c>
      <c r="BQ361" s="405" t="str">
        <f>IF($A361="N/A"," ",(VLOOKUP($A361,GasVolTable,(IF('Pricing Inputs'!$AT$3=2,6,IF('Pricing Inputs'!$AT$3=1,7,5))),FALSE)))</f>
        <v xml:space="preserve"> </v>
      </c>
      <c r="BR361" s="405" t="str">
        <f>IF($A361="N/A"," ",(VLOOKUP($A361,OmicronVol,(IF('Pricing Inputs'!$AT$3=2,3,IF('Pricing Inputs'!$AT$3=1,4,2))),FALSE)))</f>
        <v xml:space="preserve"> </v>
      </c>
      <c r="BS361" s="406" t="str">
        <f>IF($A361="N/A"," ",IF('Pricing Inputs'!$AN$3=1,(IF(DateToday&gt;$A361,$BR361,((($BQ361^2)*((($A361-1)-DateToday)/((EOMONTH($A361,0)+1)-DateToday-15)))+((($BR361)^2)*((15)/((EOMONTH($A361,0)+1)-DateToday-15))))^0.5)),0.0001))</f>
        <v xml:space="preserve"> </v>
      </c>
      <c r="BT361" s="405" t="str">
        <f>IF($A361="N/A"," ",IF('Pricing Inputs'!$AN$3=1,(VLOOKUP($A361,CorrelationTable,2,FALSE)),0))</f>
        <v xml:space="preserve"> </v>
      </c>
      <c r="BU361" s="407" t="str">
        <f>IF($A361="N/A"," ",F361+G361+(D361*(VLOOKUP($A361,'Gas Curves'!$B$17:$P$310,14,FALSE))))</f>
        <v xml:space="preserve"> </v>
      </c>
      <c r="BV361" s="405" t="str">
        <f>IF($A361="N/A"," ",IF('Pricing Inputs'!$AW$3=1,0,(VLOOKUP($A361,InterestRatesTable,2))))</f>
        <v xml:space="preserve"> </v>
      </c>
      <c r="BW361" s="408" t="str">
        <f t="shared" si="437"/>
        <v xml:space="preserve"> </v>
      </c>
    </row>
    <row r="362" spans="1:75">
      <c r="A362" s="248" t="str">
        <f>IF(A361="N/A","N/A",IF(EDATE(A361,1)&gt;Inputs!$K$3,"N/A",EDATE(A361,1)))</f>
        <v>N/A</v>
      </c>
      <c r="B362" s="262" t="str">
        <f t="shared" si="438"/>
        <v xml:space="preserve"> </v>
      </c>
      <c r="C362" s="249" t="str">
        <f t="shared" si="439"/>
        <v xml:space="preserve"> </v>
      </c>
      <c r="D362" s="250" t="str">
        <f>IF(A362="N/A"," ",(VLOOKUP(MONTH($A362),Inputs!$A$14:$B$25,2))/1000)</f>
        <v xml:space="preserve"> </v>
      </c>
      <c r="E362" s="304" t="str">
        <f t="shared" si="440"/>
        <v xml:space="preserve"> </v>
      </c>
      <c r="F362" s="251" t="str">
        <f>IF(A362="N/A"," ",Inputs!$F$6)</f>
        <v xml:space="preserve"> </v>
      </c>
      <c r="G362" s="251" t="str">
        <f>IF(A362="N/A"," ",Inputs!$F$9/IF(AND('Pricing Inputs'!$AQ$3&gt;=4,'Pricing Inputs'!$AQ$3&lt;=6),16,IF(AND('Pricing Inputs'!$AQ$3&gt;=7,'Pricing Inputs'!$AQ$3&lt;=9),8,24))/(BA362/BW362))</f>
        <v xml:space="preserve"> </v>
      </c>
      <c r="H362" s="252" t="str">
        <f t="shared" si="441"/>
        <v xml:space="preserve"> </v>
      </c>
      <c r="I362" s="255" t="str">
        <f>VLOOKUP(A362,ScaledPrice,(IF(AND('Pricing Inputs'!$AQ$3&gt;=1,'Pricing Inputs'!$AQ$3&lt;=6),2,4)))</f>
        <v xml:space="preserve"> </v>
      </c>
      <c r="J362" s="255" t="str">
        <f>IF(A362="N/A"," ",IF(AND('Pricing Inputs'!$AQ$3&gt;=1,'Pricing Inputs'!$AQ$3&lt;=6),I362,(VLOOKUP(A362,ScaledPrice,2))*(2-(VLOOKUP(A362,ScaledPrice,3)))))</f>
        <v xml:space="preserve"> </v>
      </c>
      <c r="K362" s="255" t="str">
        <f>IF(A362="N/A"," ",IF(OR('Pricing Inputs'!$AQ$3=2,'Pricing Inputs'!$AQ$3=3,'Pricing Inputs'!$AQ$3=5,'Pricing Inputs'!$AQ$3=6,'Pricing Inputs'!$AQ$3=8,'Pricing Inputs'!$AQ$3=9),VLOOKUP(A362,ScaledPrice,IF(AND('Pricing Inputs'!$AQ$3&gt;=2,'Pricing Inputs'!$AQ$3&lt;=6),5,6)),0))</f>
        <v xml:space="preserve"> </v>
      </c>
      <c r="L362" s="255" t="str">
        <f>IF(A362="N/A"," ",IF(OR('Pricing Inputs'!$AQ$3=2,'Pricing Inputs'!$AQ$3=3,'Pricing Inputs'!$AQ$3=5,'Pricing Inputs'!$AQ$3=6,'Pricing Inputs'!$AQ$3=8,'Pricing Inputs'!$AQ$3=9),IF(AND('Pricing Inputs'!$AQ$3&gt;=2,'Pricing Inputs'!$AQ$3&lt;=6),K362,(VLOOKUP(A362,ScaledPrice,5))*(2-(VLOOKUP(A362,ScaledPrice,3)))),0))</f>
        <v xml:space="preserve"> </v>
      </c>
      <c r="M362" s="255" t="str">
        <f>IF(A362="N/A"," ",IF(OR('Pricing Inputs'!$AQ$3=3,'Pricing Inputs'!$AQ$3=6,'Pricing Inputs'!$AQ$3=9),(VLOOKUP(A362,ScaledPrice,IF(AND('Pricing Inputs'!$AQ$3&gt;=3,'Pricing Inputs'!$AQ$3&lt;=6),7,8))),0))</f>
        <v xml:space="preserve"> </v>
      </c>
      <c r="N362" s="255" t="str">
        <f>IF(A362="N/A"," ",IF(OR('Pricing Inputs'!$AQ$3=3,'Pricing Inputs'!$AQ$3=6,'Pricing Inputs'!$AQ$3=9),IF(AND('Pricing Inputs'!$AQ$3&gt;=3,'Pricing Inputs'!$AQ$3&lt;=6),M362,(VLOOKUP(A362,ScaledPrice,7))*(2-(VLOOKUP(A362,ScaledPrice,3)))),0))</f>
        <v xml:space="preserve"> </v>
      </c>
      <c r="O362" s="255" t="str">
        <f>IF(A362="N/A"," ",IF(AND('Pricing Inputs'!$AQ$3&gt;=1,'Pricing Inputs'!$AQ$3&lt;=3),VLOOKUP(A362,ScaledPrice,9),0))</f>
        <v xml:space="preserve"> </v>
      </c>
      <c r="P362" s="320" t="str">
        <f>IF($A362="N/A"," ",IF('Pricing Inputs'!$AN$8=2,(I362-H362),IF('Pricing Inputs'!$AN$3=2,IF((I362-$H362)&gt;0,I362-$H362,0),(_xll.xSPRDOPT(I362,$E362,$BU362,0,$BP362,$BS362,$BT362,($A362-Inputs!$D$1)+15,1,0)))))</f>
        <v xml:space="preserve"> </v>
      </c>
      <c r="Q362" s="320" t="str">
        <f>IF($A362="N/A"," ",IF('Pricing Inputs'!$AN$8=2,(J362-$H362),IF('Pricing Inputs'!$AN$3=2,IF((J362-$H362)&gt;0,J362-$H362,0),(_xll.xSPRDOPT(J362,$E362,$BU362,0,$BP362,$BS362,$BT362,($A362-Inputs!$D$1)+15,1,0)))))</f>
        <v xml:space="preserve"> </v>
      </c>
      <c r="R362" s="320" t="str">
        <f>IF($A362="N/A"," ",IF('Pricing Inputs'!$AN$8=2,(K362-$H362),IF('Pricing Inputs'!$AN$3=2,IF((K362-$H362)&gt;0,K362-$H362,0),(_xll.xSPRDOPT(K362,$E362,$BU362,0,$BP362,$BS362,$BT362,($A362-Inputs!$D$1)+15,1,0)))))</f>
        <v xml:space="preserve"> </v>
      </c>
      <c r="S362" s="320" t="str">
        <f>IF($A362="N/A"," ",IF('Pricing Inputs'!$AN$8=2,(L362-$H362),IF('Pricing Inputs'!$AN$3=2,IF((L362-$H362)&gt;0,L362-$H362,0),(_xll.xSPRDOPT(L362,$E362,$BU362,0,$BP362,$BS362,$BT362,($A362-Inputs!$D$1)+15,1,0)))))</f>
        <v xml:space="preserve"> </v>
      </c>
      <c r="T362" s="320" t="str">
        <f>IF($A362="N/A"," ",IF('Pricing Inputs'!$AN$8=2,(M362-$H362),IF('Pricing Inputs'!$AN$3=2,IF((M362-$H362)&gt;0,M362-$H362,0),(_xll.xSPRDOPT(M362,$E362,$BU362,0,$BP362,$BS362,$BT362,($A362-Inputs!$D$1)+15,1,0)))))</f>
        <v xml:space="preserve"> </v>
      </c>
      <c r="U362" s="320" t="str">
        <f>IF($A362="N/A"," ",IF('Pricing Inputs'!$AN$8=2,(N362-$H362),IF('Pricing Inputs'!$AN$3=2,IF((N362-$H362)&gt;0,N362-$H362,0),(_xll.xSPRDOPT(N362,$E362,$BU362,0,$BP362,$BS362,$BT362,($A362-Inputs!$D$1)+15,1,0)))))</f>
        <v xml:space="preserve"> </v>
      </c>
      <c r="V362" s="259" t="str">
        <f>IF($A362="N/A"," ",(IF('Pricing Inputs'!$AN$8=2,(O362-$H362),IF((O362-$H362)&lt;=0,0,(O362-$H362)))))</f>
        <v xml:space="preserve"> </v>
      </c>
      <c r="BA362" s="267" t="str">
        <f>IF($A362="N/A"," ",(IF(MONTH(A362)&gt;=4,IF(MONTH(A362)&lt;=10,Inputs!$F$13,Inputs!$F$14),Inputs!$F$14))*$BW362)</f>
        <v xml:space="preserve"> </v>
      </c>
      <c r="BN362" s="405" t="str">
        <f>IF(A362="N/A"," ",(VLOOKUP(A362,PowerVolTable,(IF('Pricing Inputs'!$AT$3=2,7,IF('Pricing Inputs'!$AT$3=1,6,8))),FALSE)))</f>
        <v xml:space="preserve"> </v>
      </c>
      <c r="BO362" s="405" t="str">
        <f>IF(A362="N/A"," ",(VLOOKUP(A362,IntraPowerVol,(IF('Pricing Inputs'!$AT$3=2,3,IF('Pricing Inputs'!$AT$3=1,2,4))),FALSE)*VLOOKUP(MONTH($A362),Inputs!$A$28:$B$39,2)))</f>
        <v xml:space="preserve"> </v>
      </c>
      <c r="BP362" s="406" t="str">
        <f t="shared" si="436"/>
        <v xml:space="preserve"> </v>
      </c>
      <c r="BQ362" s="405" t="str">
        <f>IF($A362="N/A"," ",(VLOOKUP($A362,GasVolTable,(IF('Pricing Inputs'!$AT$3=2,6,IF('Pricing Inputs'!$AT$3=1,7,5))),FALSE)))</f>
        <v xml:space="preserve"> </v>
      </c>
      <c r="BR362" s="405" t="str">
        <f>IF($A362="N/A"," ",(VLOOKUP($A362,OmicronVol,(IF('Pricing Inputs'!$AT$3=2,3,IF('Pricing Inputs'!$AT$3=1,4,2))),FALSE)))</f>
        <v xml:space="preserve"> </v>
      </c>
      <c r="BS362" s="406" t="str">
        <f>IF($A362="N/A"," ",IF('Pricing Inputs'!$AN$3=1,(IF(DateToday&gt;$A362,$BR362,((($BQ362^2)*((($A362-1)-DateToday)/((EOMONTH($A362,0)+1)-DateToday-15)))+((($BR362)^2)*((15)/((EOMONTH($A362,0)+1)-DateToday-15))))^0.5)),0.0001))</f>
        <v xml:space="preserve"> </v>
      </c>
      <c r="BT362" s="405" t="str">
        <f>IF($A362="N/A"," ",IF('Pricing Inputs'!$AN$3=1,(VLOOKUP($A362,CorrelationTable,2,FALSE)),0))</f>
        <v xml:space="preserve"> </v>
      </c>
      <c r="BU362" s="407" t="str">
        <f>IF($A362="N/A"," ",F362+G362+(D362*(VLOOKUP($A362,'Gas Curves'!$B$17:$P$310,14,FALSE))))</f>
        <v xml:space="preserve"> </v>
      </c>
      <c r="BV362" s="405" t="str">
        <f>IF($A362="N/A"," ",IF('Pricing Inputs'!$AW$3=1,0,(VLOOKUP($A362,InterestRatesTable,2))))</f>
        <v xml:space="preserve"> </v>
      </c>
      <c r="BW362" s="408" t="str">
        <f t="shared" si="437"/>
        <v xml:space="preserve"> </v>
      </c>
    </row>
    <row r="363" spans="1:75">
      <c r="A363" s="248" t="str">
        <f>IF(A362="N/A","N/A",IF(EDATE(A362,1)&gt;Inputs!$K$3,"N/A",EDATE(A362,1)))</f>
        <v>N/A</v>
      </c>
      <c r="B363" s="262" t="str">
        <f t="shared" si="438"/>
        <v xml:space="preserve"> </v>
      </c>
      <c r="C363" s="249" t="str">
        <f t="shared" si="439"/>
        <v xml:space="preserve"> </v>
      </c>
      <c r="D363" s="250" t="str">
        <f>IF(A363="N/A"," ",(VLOOKUP(MONTH($A363),Inputs!$A$14:$B$25,2))/1000)</f>
        <v xml:space="preserve"> </v>
      </c>
      <c r="E363" s="304" t="str">
        <f t="shared" si="440"/>
        <v xml:space="preserve"> </v>
      </c>
      <c r="F363" s="251" t="str">
        <f>IF(A363="N/A"," ",Inputs!$F$6)</f>
        <v xml:space="preserve"> </v>
      </c>
      <c r="G363" s="251" t="str">
        <f>IF(A363="N/A"," ",Inputs!$F$9/IF(AND('Pricing Inputs'!$AQ$3&gt;=4,'Pricing Inputs'!$AQ$3&lt;=6),16,IF(AND('Pricing Inputs'!$AQ$3&gt;=7,'Pricing Inputs'!$AQ$3&lt;=9),8,24))/(BA363/BW363))</f>
        <v xml:space="preserve"> </v>
      </c>
      <c r="H363" s="252" t="str">
        <f t="shared" si="441"/>
        <v xml:space="preserve"> </v>
      </c>
      <c r="I363" s="255" t="str">
        <f>VLOOKUP(A363,ScaledPrice,(IF(AND('Pricing Inputs'!$AQ$3&gt;=1,'Pricing Inputs'!$AQ$3&lt;=6),2,4)))</f>
        <v xml:space="preserve"> </v>
      </c>
      <c r="J363" s="255" t="str">
        <f>IF(A363="N/A"," ",IF(AND('Pricing Inputs'!$AQ$3&gt;=1,'Pricing Inputs'!$AQ$3&lt;=6),I363,(VLOOKUP(A363,ScaledPrice,2))*(2-(VLOOKUP(A363,ScaledPrice,3)))))</f>
        <v xml:space="preserve"> </v>
      </c>
      <c r="K363" s="255" t="str">
        <f>IF(A363="N/A"," ",IF(OR('Pricing Inputs'!$AQ$3=2,'Pricing Inputs'!$AQ$3=3,'Pricing Inputs'!$AQ$3=5,'Pricing Inputs'!$AQ$3=6,'Pricing Inputs'!$AQ$3=8,'Pricing Inputs'!$AQ$3=9),VLOOKUP(A363,ScaledPrice,IF(AND('Pricing Inputs'!$AQ$3&gt;=2,'Pricing Inputs'!$AQ$3&lt;=6),5,6)),0))</f>
        <v xml:space="preserve"> </v>
      </c>
      <c r="L363" s="255" t="str">
        <f>IF(A363="N/A"," ",IF(OR('Pricing Inputs'!$AQ$3=2,'Pricing Inputs'!$AQ$3=3,'Pricing Inputs'!$AQ$3=5,'Pricing Inputs'!$AQ$3=6,'Pricing Inputs'!$AQ$3=8,'Pricing Inputs'!$AQ$3=9),IF(AND('Pricing Inputs'!$AQ$3&gt;=2,'Pricing Inputs'!$AQ$3&lt;=6),K363,(VLOOKUP(A363,ScaledPrice,5))*(2-(VLOOKUP(A363,ScaledPrice,3)))),0))</f>
        <v xml:space="preserve"> </v>
      </c>
      <c r="M363" s="255" t="str">
        <f>IF(A363="N/A"," ",IF(OR('Pricing Inputs'!$AQ$3=3,'Pricing Inputs'!$AQ$3=6,'Pricing Inputs'!$AQ$3=9),(VLOOKUP(A363,ScaledPrice,IF(AND('Pricing Inputs'!$AQ$3&gt;=3,'Pricing Inputs'!$AQ$3&lt;=6),7,8))),0))</f>
        <v xml:space="preserve"> </v>
      </c>
      <c r="N363" s="255" t="str">
        <f>IF(A363="N/A"," ",IF(OR('Pricing Inputs'!$AQ$3=3,'Pricing Inputs'!$AQ$3=6,'Pricing Inputs'!$AQ$3=9),IF(AND('Pricing Inputs'!$AQ$3&gt;=3,'Pricing Inputs'!$AQ$3&lt;=6),M363,(VLOOKUP(A363,ScaledPrice,7))*(2-(VLOOKUP(A363,ScaledPrice,3)))),0))</f>
        <v xml:space="preserve"> </v>
      </c>
      <c r="O363" s="255" t="str">
        <f>IF(A363="N/A"," ",IF(AND('Pricing Inputs'!$AQ$3&gt;=1,'Pricing Inputs'!$AQ$3&lt;=3),VLOOKUP(A363,ScaledPrice,9),0))</f>
        <v xml:space="preserve"> </v>
      </c>
      <c r="P363" s="320" t="str">
        <f>IF($A363="N/A"," ",IF('Pricing Inputs'!$AN$8=2,(I363-H363),IF('Pricing Inputs'!$AN$3=2,IF((I363-$H363)&gt;0,I363-$H363,0),(_xll.xSPRDOPT(I363,$E363,$BU363,0,$BP363,$BS363,$BT363,($A363-Inputs!$D$1)+15,1,0)))))</f>
        <v xml:space="preserve"> </v>
      </c>
      <c r="Q363" s="320" t="str">
        <f>IF($A363="N/A"," ",IF('Pricing Inputs'!$AN$8=2,(J363-$H363),IF('Pricing Inputs'!$AN$3=2,IF((J363-$H363)&gt;0,J363-$H363,0),(_xll.xSPRDOPT(J363,$E363,$BU363,0,$BP363,$BS363,$BT363,($A363-Inputs!$D$1)+15,1,0)))))</f>
        <v xml:space="preserve"> </v>
      </c>
      <c r="R363" s="320" t="str">
        <f>IF($A363="N/A"," ",IF('Pricing Inputs'!$AN$8=2,(K363-$H363),IF('Pricing Inputs'!$AN$3=2,IF((K363-$H363)&gt;0,K363-$H363,0),(_xll.xSPRDOPT(K363,$E363,$BU363,0,$BP363,$BS363,$BT363,($A363-Inputs!$D$1)+15,1,0)))))</f>
        <v xml:space="preserve"> </v>
      </c>
      <c r="S363" s="320" t="str">
        <f>IF($A363="N/A"," ",IF('Pricing Inputs'!$AN$8=2,(L363-$H363),IF('Pricing Inputs'!$AN$3=2,IF((L363-$H363)&gt;0,L363-$H363,0),(_xll.xSPRDOPT(L363,$E363,$BU363,0,$BP363,$BS363,$BT363,($A363-Inputs!$D$1)+15,1,0)))))</f>
        <v xml:space="preserve"> </v>
      </c>
      <c r="T363" s="320" t="str">
        <f>IF($A363="N/A"," ",IF('Pricing Inputs'!$AN$8=2,(M363-$H363),IF('Pricing Inputs'!$AN$3=2,IF((M363-$H363)&gt;0,M363-$H363,0),(_xll.xSPRDOPT(M363,$E363,$BU363,0,$BP363,$BS363,$BT363,($A363-Inputs!$D$1)+15,1,0)))))</f>
        <v xml:space="preserve"> </v>
      </c>
      <c r="U363" s="320" t="str">
        <f>IF($A363="N/A"," ",IF('Pricing Inputs'!$AN$8=2,(N363-$H363),IF('Pricing Inputs'!$AN$3=2,IF((N363-$H363)&gt;0,N363-$H363,0),(_xll.xSPRDOPT(N363,$E363,$BU363,0,$BP363,$BS363,$BT363,($A363-Inputs!$D$1)+15,1,0)))))</f>
        <v xml:space="preserve"> </v>
      </c>
      <c r="V363" s="259" t="str">
        <f>IF($A363="N/A"," ",(IF('Pricing Inputs'!$AN$8=2,(O363-$H363),IF((O363-$H363)&lt;=0,0,(O363-$H363)))))</f>
        <v xml:space="preserve"> </v>
      </c>
      <c r="BA363" s="267" t="str">
        <f>IF($A363="N/A"," ",(IF(MONTH(A363)&gt;=4,IF(MONTH(A363)&lt;=10,Inputs!$F$13,Inputs!$F$14),Inputs!$F$14))*$BW363)</f>
        <v xml:space="preserve"> </v>
      </c>
      <c r="BN363" s="405" t="str">
        <f>IF(A363="N/A"," ",(VLOOKUP(A363,PowerVolTable,(IF('Pricing Inputs'!$AT$3=2,7,IF('Pricing Inputs'!$AT$3=1,6,8))),FALSE)))</f>
        <v xml:space="preserve"> </v>
      </c>
      <c r="BO363" s="405" t="str">
        <f>IF(A363="N/A"," ",(VLOOKUP(A363,IntraPowerVol,(IF('Pricing Inputs'!$AT$3=2,3,IF('Pricing Inputs'!$AT$3=1,2,4))),FALSE)*VLOOKUP(MONTH($A363),Inputs!$A$28:$B$39,2)))</f>
        <v xml:space="preserve"> </v>
      </c>
      <c r="BP363" s="406" t="str">
        <f t="shared" si="436"/>
        <v xml:space="preserve"> </v>
      </c>
      <c r="BQ363" s="405" t="str">
        <f>IF($A363="N/A"," ",(VLOOKUP($A363,GasVolTable,(IF('Pricing Inputs'!$AT$3=2,6,IF('Pricing Inputs'!$AT$3=1,7,5))),FALSE)))</f>
        <v xml:space="preserve"> </v>
      </c>
      <c r="BR363" s="405" t="str">
        <f>IF($A363="N/A"," ",(VLOOKUP($A363,OmicronVol,(IF('Pricing Inputs'!$AT$3=2,3,IF('Pricing Inputs'!$AT$3=1,4,2))),FALSE)))</f>
        <v xml:space="preserve"> </v>
      </c>
      <c r="BS363" s="406" t="str">
        <f>IF($A363="N/A"," ",IF('Pricing Inputs'!$AN$3=1,(IF(DateToday&gt;$A363,$BR363,((($BQ363^2)*((($A363-1)-DateToday)/((EOMONTH($A363,0)+1)-DateToday-15)))+((($BR363)^2)*((15)/((EOMONTH($A363,0)+1)-DateToday-15))))^0.5)),0.0001))</f>
        <v xml:space="preserve"> </v>
      </c>
      <c r="BT363" s="405" t="str">
        <f>IF($A363="N/A"," ",IF('Pricing Inputs'!$AN$3=1,(VLOOKUP($A363,CorrelationTable,2,FALSE)),0))</f>
        <v xml:space="preserve"> </v>
      </c>
      <c r="BU363" s="407" t="str">
        <f>IF($A363="N/A"," ",F363+G363+(D363*(VLOOKUP($A363,'Gas Curves'!$B$17:$P$310,14,FALSE))))</f>
        <v xml:space="preserve"> </v>
      </c>
      <c r="BV363" s="405" t="str">
        <f>IF($A363="N/A"," ",IF('Pricing Inputs'!$AW$3=1,0,(VLOOKUP($A363,InterestRatesTable,2))))</f>
        <v xml:space="preserve"> </v>
      </c>
      <c r="BW363" s="408" t="str">
        <f t="shared" si="437"/>
        <v xml:space="preserve"> </v>
      </c>
    </row>
    <row r="364" spans="1:75">
      <c r="A364" s="248" t="str">
        <f>IF(A363="N/A","N/A",IF(EDATE(A363,1)&gt;Inputs!$K$3,"N/A",EDATE(A363,1)))</f>
        <v>N/A</v>
      </c>
      <c r="B364" s="262" t="str">
        <f t="shared" si="438"/>
        <v xml:space="preserve"> </v>
      </c>
      <c r="C364" s="249" t="str">
        <f t="shared" si="439"/>
        <v xml:space="preserve"> </v>
      </c>
      <c r="D364" s="250" t="str">
        <f>IF(A364="N/A"," ",(VLOOKUP(MONTH($A364),Inputs!$A$14:$B$25,2))/1000)</f>
        <v xml:space="preserve"> </v>
      </c>
      <c r="E364" s="304" t="str">
        <f t="shared" si="440"/>
        <v xml:space="preserve"> </v>
      </c>
      <c r="F364" s="251" t="str">
        <f>IF(A364="N/A"," ",Inputs!$F$6)</f>
        <v xml:space="preserve"> </v>
      </c>
      <c r="G364" s="251" t="str">
        <f>IF(A364="N/A"," ",Inputs!$F$9/IF(AND('Pricing Inputs'!$AQ$3&gt;=4,'Pricing Inputs'!$AQ$3&lt;=6),16,IF(AND('Pricing Inputs'!$AQ$3&gt;=7,'Pricing Inputs'!$AQ$3&lt;=9),8,24))/(BA364/BW364))</f>
        <v xml:space="preserve"> </v>
      </c>
      <c r="H364" s="252" t="str">
        <f t="shared" si="441"/>
        <v xml:space="preserve"> </v>
      </c>
      <c r="I364" s="255" t="str">
        <f>VLOOKUP(A364,ScaledPrice,(IF(AND('Pricing Inputs'!$AQ$3&gt;=1,'Pricing Inputs'!$AQ$3&lt;=6),2,4)))</f>
        <v xml:space="preserve"> </v>
      </c>
      <c r="J364" s="255" t="str">
        <f>IF(A364="N/A"," ",IF(AND('Pricing Inputs'!$AQ$3&gt;=1,'Pricing Inputs'!$AQ$3&lt;=6),I364,(VLOOKUP(A364,ScaledPrice,2))*(2-(VLOOKUP(A364,ScaledPrice,3)))))</f>
        <v xml:space="preserve"> </v>
      </c>
      <c r="K364" s="255" t="str">
        <f>IF(A364="N/A"," ",IF(OR('Pricing Inputs'!$AQ$3=2,'Pricing Inputs'!$AQ$3=3,'Pricing Inputs'!$AQ$3=5,'Pricing Inputs'!$AQ$3=6,'Pricing Inputs'!$AQ$3=8,'Pricing Inputs'!$AQ$3=9),VLOOKUP(A364,ScaledPrice,IF(AND('Pricing Inputs'!$AQ$3&gt;=2,'Pricing Inputs'!$AQ$3&lt;=6),5,6)),0))</f>
        <v xml:space="preserve"> </v>
      </c>
      <c r="L364" s="255" t="str">
        <f>IF(A364="N/A"," ",IF(OR('Pricing Inputs'!$AQ$3=2,'Pricing Inputs'!$AQ$3=3,'Pricing Inputs'!$AQ$3=5,'Pricing Inputs'!$AQ$3=6,'Pricing Inputs'!$AQ$3=8,'Pricing Inputs'!$AQ$3=9),IF(AND('Pricing Inputs'!$AQ$3&gt;=2,'Pricing Inputs'!$AQ$3&lt;=6),K364,(VLOOKUP(A364,ScaledPrice,5))*(2-(VLOOKUP(A364,ScaledPrice,3)))),0))</f>
        <v xml:space="preserve"> </v>
      </c>
      <c r="M364" s="255" t="str">
        <f>IF(A364="N/A"," ",IF(OR('Pricing Inputs'!$AQ$3=3,'Pricing Inputs'!$AQ$3=6,'Pricing Inputs'!$AQ$3=9),(VLOOKUP(A364,ScaledPrice,IF(AND('Pricing Inputs'!$AQ$3&gt;=3,'Pricing Inputs'!$AQ$3&lt;=6),7,8))),0))</f>
        <v xml:space="preserve"> </v>
      </c>
      <c r="N364" s="255" t="str">
        <f>IF(A364="N/A"," ",IF(OR('Pricing Inputs'!$AQ$3=3,'Pricing Inputs'!$AQ$3=6,'Pricing Inputs'!$AQ$3=9),IF(AND('Pricing Inputs'!$AQ$3&gt;=3,'Pricing Inputs'!$AQ$3&lt;=6),M364,(VLOOKUP(A364,ScaledPrice,7))*(2-(VLOOKUP(A364,ScaledPrice,3)))),0))</f>
        <v xml:space="preserve"> </v>
      </c>
      <c r="O364" s="255" t="str">
        <f>IF(A364="N/A"," ",IF(AND('Pricing Inputs'!$AQ$3&gt;=1,'Pricing Inputs'!$AQ$3&lt;=3),VLOOKUP(A364,ScaledPrice,9),0))</f>
        <v xml:space="preserve"> </v>
      </c>
      <c r="P364" s="320" t="str">
        <f>IF($A364="N/A"," ",IF('Pricing Inputs'!$AN$8=2,(I364-H364),IF('Pricing Inputs'!$AN$3=2,IF((I364-$H364)&gt;0,I364-$H364,0),(_xll.xSPRDOPT(I364,$E364,$BU364,0,$BP364,$BS364,$BT364,($A364-Inputs!$D$1)+15,1,0)))))</f>
        <v xml:space="preserve"> </v>
      </c>
      <c r="Q364" s="320" t="str">
        <f>IF($A364="N/A"," ",IF('Pricing Inputs'!$AN$8=2,(J364-$H364),IF('Pricing Inputs'!$AN$3=2,IF((J364-$H364)&gt;0,J364-$H364,0),(_xll.xSPRDOPT(J364,$E364,$BU364,0,$BP364,$BS364,$BT364,($A364-Inputs!$D$1)+15,1,0)))))</f>
        <v xml:space="preserve"> </v>
      </c>
      <c r="R364" s="320" t="str">
        <f>IF($A364="N/A"," ",IF('Pricing Inputs'!$AN$8=2,(K364-$H364),IF('Pricing Inputs'!$AN$3=2,IF((K364-$H364)&gt;0,K364-$H364,0),(_xll.xSPRDOPT(K364,$E364,$BU364,0,$BP364,$BS364,$BT364,($A364-Inputs!$D$1)+15,1,0)))))</f>
        <v xml:space="preserve"> </v>
      </c>
      <c r="S364" s="320" t="str">
        <f>IF($A364="N/A"," ",IF('Pricing Inputs'!$AN$8=2,(L364-$H364),IF('Pricing Inputs'!$AN$3=2,IF((L364-$H364)&gt;0,L364-$H364,0),(_xll.xSPRDOPT(L364,$E364,$BU364,0,$BP364,$BS364,$BT364,($A364-Inputs!$D$1)+15,1,0)))))</f>
        <v xml:space="preserve"> </v>
      </c>
      <c r="T364" s="320" t="str">
        <f>IF($A364="N/A"," ",IF('Pricing Inputs'!$AN$8=2,(M364-$H364),IF('Pricing Inputs'!$AN$3=2,IF((M364-$H364)&gt;0,M364-$H364,0),(_xll.xSPRDOPT(M364,$E364,$BU364,0,$BP364,$BS364,$BT364,($A364-Inputs!$D$1)+15,1,0)))))</f>
        <v xml:space="preserve"> </v>
      </c>
      <c r="U364" s="320" t="str">
        <f>IF($A364="N/A"," ",IF('Pricing Inputs'!$AN$8=2,(N364-$H364),IF('Pricing Inputs'!$AN$3=2,IF((N364-$H364)&gt;0,N364-$H364,0),(_xll.xSPRDOPT(N364,$E364,$BU364,0,$BP364,$BS364,$BT364,($A364-Inputs!$D$1)+15,1,0)))))</f>
        <v xml:space="preserve"> </v>
      </c>
      <c r="V364" s="259" t="str">
        <f>IF($A364="N/A"," ",(IF('Pricing Inputs'!$AN$8=2,(O364-$H364),IF((O364-$H364)&lt;=0,0,(O364-$H364)))))</f>
        <v xml:space="preserve"> </v>
      </c>
      <c r="BA364" s="267" t="str">
        <f>IF($A364="N/A"," ",(IF(MONTH(A364)&gt;=4,IF(MONTH(A364)&lt;=10,Inputs!$F$13,Inputs!$F$14),Inputs!$F$14))*$BW364)</f>
        <v xml:space="preserve"> </v>
      </c>
      <c r="BN364" s="405" t="str">
        <f>IF(A364="N/A"," ",(VLOOKUP(A364,PowerVolTable,(IF('Pricing Inputs'!$AT$3=2,7,IF('Pricing Inputs'!$AT$3=1,6,8))),FALSE)))</f>
        <v xml:space="preserve"> </v>
      </c>
      <c r="BO364" s="405" t="str">
        <f>IF(A364="N/A"," ",(VLOOKUP(A364,IntraPowerVol,(IF('Pricing Inputs'!$AT$3=2,3,IF('Pricing Inputs'!$AT$3=1,2,4))),FALSE)*VLOOKUP(MONTH($A364),Inputs!$A$28:$B$39,2)))</f>
        <v xml:space="preserve"> </v>
      </c>
      <c r="BP364" s="406" t="str">
        <f t="shared" si="436"/>
        <v xml:space="preserve"> </v>
      </c>
      <c r="BQ364" s="405" t="str">
        <f>IF($A364="N/A"," ",(VLOOKUP($A364,GasVolTable,(IF('Pricing Inputs'!$AT$3=2,6,IF('Pricing Inputs'!$AT$3=1,7,5))),FALSE)))</f>
        <v xml:space="preserve"> </v>
      </c>
      <c r="BR364" s="405" t="str">
        <f>IF($A364="N/A"," ",(VLOOKUP($A364,OmicronVol,(IF('Pricing Inputs'!$AT$3=2,3,IF('Pricing Inputs'!$AT$3=1,4,2))),FALSE)))</f>
        <v xml:space="preserve"> </v>
      </c>
      <c r="BS364" s="406" t="str">
        <f>IF($A364="N/A"," ",IF('Pricing Inputs'!$AN$3=1,(IF(DateToday&gt;$A364,$BR364,((($BQ364^2)*((($A364-1)-DateToday)/((EOMONTH($A364,0)+1)-DateToday-15)))+((($BR364)^2)*((15)/((EOMONTH($A364,0)+1)-DateToday-15))))^0.5)),0.0001))</f>
        <v xml:space="preserve"> </v>
      </c>
      <c r="BT364" s="405" t="str">
        <f>IF($A364="N/A"," ",IF('Pricing Inputs'!$AN$3=1,(VLOOKUP($A364,CorrelationTable,2,FALSE)),0))</f>
        <v xml:space="preserve"> </v>
      </c>
      <c r="BU364" s="407" t="str">
        <f>IF($A364="N/A"," ",F364+G364+(D364*(VLOOKUP($A364,'Gas Curves'!$B$17:$P$310,14,FALSE))))</f>
        <v xml:space="preserve"> </v>
      </c>
      <c r="BV364" s="405" t="str">
        <f>IF($A364="N/A"," ",IF('Pricing Inputs'!$AW$3=1,0,(VLOOKUP($A364,InterestRatesTable,2))))</f>
        <v xml:space="preserve"> </v>
      </c>
      <c r="BW364" s="408" t="str">
        <f t="shared" si="437"/>
        <v xml:space="preserve"> </v>
      </c>
    </row>
    <row r="365" spans="1:75">
      <c r="A365" s="248" t="str">
        <f>IF(A364="N/A","N/A",IF(EDATE(A364,1)&gt;Inputs!$K$3,"N/A",EDATE(A364,1)))</f>
        <v>N/A</v>
      </c>
      <c r="B365" s="262" t="str">
        <f t="shared" si="438"/>
        <v xml:space="preserve"> </v>
      </c>
      <c r="C365" s="249" t="str">
        <f t="shared" si="439"/>
        <v xml:space="preserve"> </v>
      </c>
      <c r="D365" s="250" t="str">
        <f>IF(A365="N/A"," ",(VLOOKUP(MONTH($A365),Inputs!$A$14:$B$25,2))/1000)</f>
        <v xml:space="preserve"> </v>
      </c>
      <c r="E365" s="304" t="str">
        <f t="shared" si="440"/>
        <v xml:space="preserve"> </v>
      </c>
      <c r="F365" s="251" t="str">
        <f>IF(A365="N/A"," ",Inputs!$F$6)</f>
        <v xml:space="preserve"> </v>
      </c>
      <c r="G365" s="251" t="str">
        <f>IF(A365="N/A"," ",Inputs!$F$9/IF(AND('Pricing Inputs'!$AQ$3&gt;=4,'Pricing Inputs'!$AQ$3&lt;=6),16,IF(AND('Pricing Inputs'!$AQ$3&gt;=7,'Pricing Inputs'!$AQ$3&lt;=9),8,24))/(BA365/BW365))</f>
        <v xml:space="preserve"> </v>
      </c>
      <c r="H365" s="252" t="str">
        <f t="shared" si="441"/>
        <v xml:space="preserve"> </v>
      </c>
      <c r="I365" s="255" t="str">
        <f>VLOOKUP(A365,ScaledPrice,(IF(AND('Pricing Inputs'!$AQ$3&gt;=1,'Pricing Inputs'!$AQ$3&lt;=6),2,4)))</f>
        <v xml:space="preserve"> </v>
      </c>
      <c r="J365" s="255" t="str">
        <f>IF(A365="N/A"," ",IF(AND('Pricing Inputs'!$AQ$3&gt;=1,'Pricing Inputs'!$AQ$3&lt;=6),I365,(VLOOKUP(A365,ScaledPrice,2))*(2-(VLOOKUP(A365,ScaledPrice,3)))))</f>
        <v xml:space="preserve"> </v>
      </c>
      <c r="K365" s="255" t="str">
        <f>IF(A365="N/A"," ",IF(OR('Pricing Inputs'!$AQ$3=2,'Pricing Inputs'!$AQ$3=3,'Pricing Inputs'!$AQ$3=5,'Pricing Inputs'!$AQ$3=6,'Pricing Inputs'!$AQ$3=8,'Pricing Inputs'!$AQ$3=9),VLOOKUP(A365,ScaledPrice,IF(AND('Pricing Inputs'!$AQ$3&gt;=2,'Pricing Inputs'!$AQ$3&lt;=6),5,6)),0))</f>
        <v xml:space="preserve"> </v>
      </c>
      <c r="L365" s="255" t="str">
        <f>IF(A365="N/A"," ",IF(OR('Pricing Inputs'!$AQ$3=2,'Pricing Inputs'!$AQ$3=3,'Pricing Inputs'!$AQ$3=5,'Pricing Inputs'!$AQ$3=6,'Pricing Inputs'!$AQ$3=8,'Pricing Inputs'!$AQ$3=9),IF(AND('Pricing Inputs'!$AQ$3&gt;=2,'Pricing Inputs'!$AQ$3&lt;=6),K365,(VLOOKUP(A365,ScaledPrice,5))*(2-(VLOOKUP(A365,ScaledPrice,3)))),0))</f>
        <v xml:space="preserve"> </v>
      </c>
      <c r="M365" s="255" t="str">
        <f>IF(A365="N/A"," ",IF(OR('Pricing Inputs'!$AQ$3=3,'Pricing Inputs'!$AQ$3=6,'Pricing Inputs'!$AQ$3=9),(VLOOKUP(A365,ScaledPrice,IF(AND('Pricing Inputs'!$AQ$3&gt;=3,'Pricing Inputs'!$AQ$3&lt;=6),7,8))),0))</f>
        <v xml:space="preserve"> </v>
      </c>
      <c r="N365" s="255" t="str">
        <f>IF(A365="N/A"," ",IF(OR('Pricing Inputs'!$AQ$3=3,'Pricing Inputs'!$AQ$3=6,'Pricing Inputs'!$AQ$3=9),IF(AND('Pricing Inputs'!$AQ$3&gt;=3,'Pricing Inputs'!$AQ$3&lt;=6),M365,(VLOOKUP(A365,ScaledPrice,7))*(2-(VLOOKUP(A365,ScaledPrice,3)))),0))</f>
        <v xml:space="preserve"> </v>
      </c>
      <c r="O365" s="255" t="str">
        <f>IF(A365="N/A"," ",IF(AND('Pricing Inputs'!$AQ$3&gt;=1,'Pricing Inputs'!$AQ$3&lt;=3),VLOOKUP(A365,ScaledPrice,9),0))</f>
        <v xml:space="preserve"> </v>
      </c>
      <c r="P365" s="320" t="str">
        <f>IF($A365="N/A"," ",IF('Pricing Inputs'!$AN$8=2,(I365-H365),IF('Pricing Inputs'!$AN$3=2,IF((I365-$H365)&gt;0,I365-$H365,0),(_xll.xSPRDOPT(I365,$E365,$BU365,0,$BP365,$BS365,$BT365,($A365-Inputs!$D$1)+15,1,0)))))</f>
        <v xml:space="preserve"> </v>
      </c>
      <c r="Q365" s="320" t="str">
        <f>IF($A365="N/A"," ",IF('Pricing Inputs'!$AN$8=2,(J365-$H365),IF('Pricing Inputs'!$AN$3=2,IF((J365-$H365)&gt;0,J365-$H365,0),(_xll.xSPRDOPT(J365,$E365,$BU365,0,$BP365,$BS365,$BT365,($A365-Inputs!$D$1)+15,1,0)))))</f>
        <v xml:space="preserve"> </v>
      </c>
      <c r="R365" s="320" t="str">
        <f>IF($A365="N/A"," ",IF('Pricing Inputs'!$AN$8=2,(K365-$H365),IF('Pricing Inputs'!$AN$3=2,IF((K365-$H365)&gt;0,K365-$H365,0),(_xll.xSPRDOPT(K365,$E365,$BU365,0,$BP365,$BS365,$BT365,($A365-Inputs!$D$1)+15,1,0)))))</f>
        <v xml:space="preserve"> </v>
      </c>
      <c r="S365" s="320" t="str">
        <f>IF($A365="N/A"," ",IF('Pricing Inputs'!$AN$8=2,(L365-$H365),IF('Pricing Inputs'!$AN$3=2,IF((L365-$H365)&gt;0,L365-$H365,0),(_xll.xSPRDOPT(L365,$E365,$BU365,0,$BP365,$BS365,$BT365,($A365-Inputs!$D$1)+15,1,0)))))</f>
        <v xml:space="preserve"> </v>
      </c>
      <c r="T365" s="320" t="str">
        <f>IF($A365="N/A"," ",IF('Pricing Inputs'!$AN$8=2,(M365-$H365),IF('Pricing Inputs'!$AN$3=2,IF((M365-$H365)&gt;0,M365-$H365,0),(_xll.xSPRDOPT(M365,$E365,$BU365,0,$BP365,$BS365,$BT365,($A365-Inputs!$D$1)+15,1,0)))))</f>
        <v xml:space="preserve"> </v>
      </c>
      <c r="U365" s="320" t="str">
        <f>IF($A365="N/A"," ",IF('Pricing Inputs'!$AN$8=2,(N365-$H365),IF('Pricing Inputs'!$AN$3=2,IF((N365-$H365)&gt;0,N365-$H365,0),(_xll.xSPRDOPT(N365,$E365,$BU365,0,$BP365,$BS365,$BT365,($A365-Inputs!$D$1)+15,1,0)))))</f>
        <v xml:space="preserve"> </v>
      </c>
      <c r="V365" s="259" t="str">
        <f>IF($A365="N/A"," ",(IF('Pricing Inputs'!$AN$8=2,(O365-$H365),IF((O365-$H365)&lt;=0,0,(O365-$H365)))))</f>
        <v xml:space="preserve"> </v>
      </c>
      <c r="BA365" s="267" t="str">
        <f>IF($A365="N/A"," ",(IF(MONTH(A365)&gt;=4,IF(MONTH(A365)&lt;=10,Inputs!$F$13,Inputs!$F$14),Inputs!$F$14))*$BW365)</f>
        <v xml:space="preserve"> </v>
      </c>
      <c r="BN365" s="405" t="str">
        <f>IF(A365="N/A"," ",(VLOOKUP(A365,PowerVolTable,(IF('Pricing Inputs'!$AT$3=2,7,IF('Pricing Inputs'!$AT$3=1,6,8))),FALSE)))</f>
        <v xml:space="preserve"> </v>
      </c>
      <c r="BO365" s="405" t="str">
        <f>IF(A365="N/A"," ",(VLOOKUP(A365,IntraPowerVol,(IF('Pricing Inputs'!$AT$3=2,3,IF('Pricing Inputs'!$AT$3=1,2,4))),FALSE)*VLOOKUP(MONTH($A365),Inputs!$A$28:$B$39,2)))</f>
        <v xml:space="preserve"> </v>
      </c>
      <c r="BP365" s="406" t="str">
        <f t="shared" si="436"/>
        <v xml:space="preserve"> </v>
      </c>
      <c r="BQ365" s="405" t="str">
        <f>IF($A365="N/A"," ",(VLOOKUP($A365,GasVolTable,(IF('Pricing Inputs'!$AT$3=2,6,IF('Pricing Inputs'!$AT$3=1,7,5))),FALSE)))</f>
        <v xml:space="preserve"> </v>
      </c>
      <c r="BR365" s="405" t="str">
        <f>IF($A365="N/A"," ",(VLOOKUP($A365,OmicronVol,(IF('Pricing Inputs'!$AT$3=2,3,IF('Pricing Inputs'!$AT$3=1,4,2))),FALSE)))</f>
        <v xml:space="preserve"> </v>
      </c>
      <c r="BS365" s="406" t="str">
        <f>IF($A365="N/A"," ",IF('Pricing Inputs'!$AN$3=1,(IF(DateToday&gt;$A365,$BR365,((($BQ365^2)*((($A365-1)-DateToday)/((EOMONTH($A365,0)+1)-DateToday-15)))+((($BR365)^2)*((15)/((EOMONTH($A365,0)+1)-DateToday-15))))^0.5)),0.0001))</f>
        <v xml:space="preserve"> </v>
      </c>
      <c r="BT365" s="405" t="str">
        <f>IF($A365="N/A"," ",IF('Pricing Inputs'!$AN$3=1,(VLOOKUP($A365,CorrelationTable,2,FALSE)),0))</f>
        <v xml:space="preserve"> </v>
      </c>
      <c r="BU365" s="407" t="str">
        <f>IF($A365="N/A"," ",F365+G365+(D365*(VLOOKUP($A365,'Gas Curves'!$B$17:$P$310,14,FALSE))))</f>
        <v xml:space="preserve"> </v>
      </c>
      <c r="BV365" s="405" t="str">
        <f>IF($A365="N/A"," ",IF('Pricing Inputs'!$AW$3=1,0,(VLOOKUP($A365,InterestRatesTable,2))))</f>
        <v xml:space="preserve"> </v>
      </c>
      <c r="BW365" s="408" t="str">
        <f t="shared" si="437"/>
        <v xml:space="preserve"> </v>
      </c>
    </row>
    <row r="366" spans="1:75">
      <c r="A366" s="248" t="str">
        <f>IF(A365="N/A","N/A",IF(EDATE(A365,1)&gt;Inputs!$K$3,"N/A",EDATE(A365,1)))</f>
        <v>N/A</v>
      </c>
      <c r="B366" s="262" t="str">
        <f t="shared" si="438"/>
        <v xml:space="preserve"> </v>
      </c>
      <c r="C366" s="249" t="str">
        <f t="shared" si="439"/>
        <v xml:space="preserve"> </v>
      </c>
      <c r="D366" s="250" t="str">
        <f>IF(A366="N/A"," ",(VLOOKUP(MONTH($A366),Inputs!$A$14:$B$25,2))/1000)</f>
        <v xml:space="preserve"> </v>
      </c>
      <c r="E366" s="304" t="str">
        <f t="shared" si="440"/>
        <v xml:space="preserve"> </v>
      </c>
      <c r="F366" s="251" t="str">
        <f>IF(A366="N/A"," ",Inputs!$F$6)</f>
        <v xml:space="preserve"> </v>
      </c>
      <c r="G366" s="251" t="str">
        <f>IF(A366="N/A"," ",Inputs!$F$9/IF(AND('Pricing Inputs'!$AQ$3&gt;=4,'Pricing Inputs'!$AQ$3&lt;=6),16,IF(AND('Pricing Inputs'!$AQ$3&gt;=7,'Pricing Inputs'!$AQ$3&lt;=9),8,24))/(BA366/BW366))</f>
        <v xml:space="preserve"> </v>
      </c>
      <c r="H366" s="252" t="str">
        <f t="shared" si="441"/>
        <v xml:space="preserve"> </v>
      </c>
      <c r="I366" s="255" t="str">
        <f>VLOOKUP(A366,ScaledPrice,(IF(AND('Pricing Inputs'!$AQ$3&gt;=1,'Pricing Inputs'!$AQ$3&lt;=6),2,4)))</f>
        <v xml:space="preserve"> </v>
      </c>
      <c r="J366" s="255" t="str">
        <f>IF(A366="N/A"," ",IF(AND('Pricing Inputs'!$AQ$3&gt;=1,'Pricing Inputs'!$AQ$3&lt;=6),I366,(VLOOKUP(A366,ScaledPrice,2))*(2-(VLOOKUP(A366,ScaledPrice,3)))))</f>
        <v xml:space="preserve"> </v>
      </c>
      <c r="K366" s="255" t="str">
        <f>IF(A366="N/A"," ",IF(OR('Pricing Inputs'!$AQ$3=2,'Pricing Inputs'!$AQ$3=3,'Pricing Inputs'!$AQ$3=5,'Pricing Inputs'!$AQ$3=6,'Pricing Inputs'!$AQ$3=8,'Pricing Inputs'!$AQ$3=9),VLOOKUP(A366,ScaledPrice,IF(AND('Pricing Inputs'!$AQ$3&gt;=2,'Pricing Inputs'!$AQ$3&lt;=6),5,6)),0))</f>
        <v xml:space="preserve"> </v>
      </c>
      <c r="L366" s="255" t="str">
        <f>IF(A366="N/A"," ",IF(OR('Pricing Inputs'!$AQ$3=2,'Pricing Inputs'!$AQ$3=3,'Pricing Inputs'!$AQ$3=5,'Pricing Inputs'!$AQ$3=6,'Pricing Inputs'!$AQ$3=8,'Pricing Inputs'!$AQ$3=9),IF(AND('Pricing Inputs'!$AQ$3&gt;=2,'Pricing Inputs'!$AQ$3&lt;=6),K366,(VLOOKUP(A366,ScaledPrice,5))*(2-(VLOOKUP(A366,ScaledPrice,3)))),0))</f>
        <v xml:space="preserve"> </v>
      </c>
      <c r="M366" s="255" t="str">
        <f>IF(A366="N/A"," ",IF(OR('Pricing Inputs'!$AQ$3=3,'Pricing Inputs'!$AQ$3=6,'Pricing Inputs'!$AQ$3=9),(VLOOKUP(A366,ScaledPrice,IF(AND('Pricing Inputs'!$AQ$3&gt;=3,'Pricing Inputs'!$AQ$3&lt;=6),7,8))),0))</f>
        <v xml:space="preserve"> </v>
      </c>
      <c r="N366" s="255" t="str">
        <f>IF(A366="N/A"," ",IF(OR('Pricing Inputs'!$AQ$3=3,'Pricing Inputs'!$AQ$3=6,'Pricing Inputs'!$AQ$3=9),IF(AND('Pricing Inputs'!$AQ$3&gt;=3,'Pricing Inputs'!$AQ$3&lt;=6),M366,(VLOOKUP(A366,ScaledPrice,7))*(2-(VLOOKUP(A366,ScaledPrice,3)))),0))</f>
        <v xml:space="preserve"> </v>
      </c>
      <c r="O366" s="255" t="str">
        <f>IF(A366="N/A"," ",IF(AND('Pricing Inputs'!$AQ$3&gt;=1,'Pricing Inputs'!$AQ$3&lt;=3),VLOOKUP(A366,ScaledPrice,9),0))</f>
        <v xml:space="preserve"> </v>
      </c>
      <c r="P366" s="320" t="str">
        <f>IF($A366="N/A"," ",IF('Pricing Inputs'!$AN$8=2,(I366-H366),IF('Pricing Inputs'!$AN$3=2,IF((I366-$H366)&gt;0,I366-$H366,0),(_xll.xSPRDOPT(I366,$E366,$BU366,0,$BP366,$BS366,$BT366,($A366-Inputs!$D$1)+15,1,0)))))</f>
        <v xml:space="preserve"> </v>
      </c>
      <c r="Q366" s="320" t="str">
        <f>IF($A366="N/A"," ",IF('Pricing Inputs'!$AN$8=2,(J366-$H366),IF('Pricing Inputs'!$AN$3=2,IF((J366-$H366)&gt;0,J366-$H366,0),(_xll.xSPRDOPT(J366,$E366,$BU366,0,$BP366,$BS366,$BT366,($A366-Inputs!$D$1)+15,1,0)))))</f>
        <v xml:space="preserve"> </v>
      </c>
      <c r="R366" s="320" t="str">
        <f>IF($A366="N/A"," ",IF('Pricing Inputs'!$AN$8=2,(K366-$H366),IF('Pricing Inputs'!$AN$3=2,IF((K366-$H366)&gt;0,K366-$H366,0),(_xll.xSPRDOPT(K366,$E366,$BU366,0,$BP366,$BS366,$BT366,($A366-Inputs!$D$1)+15,1,0)))))</f>
        <v xml:space="preserve"> </v>
      </c>
      <c r="S366" s="320" t="str">
        <f>IF($A366="N/A"," ",IF('Pricing Inputs'!$AN$8=2,(L366-$H366),IF('Pricing Inputs'!$AN$3=2,IF((L366-$H366)&gt;0,L366-$H366,0),(_xll.xSPRDOPT(L366,$E366,$BU366,0,$BP366,$BS366,$BT366,($A366-Inputs!$D$1)+15,1,0)))))</f>
        <v xml:space="preserve"> </v>
      </c>
      <c r="T366" s="320" t="str">
        <f>IF($A366="N/A"," ",IF('Pricing Inputs'!$AN$8=2,(M366-$H366),IF('Pricing Inputs'!$AN$3=2,IF((M366-$H366)&gt;0,M366-$H366,0),(_xll.xSPRDOPT(M366,$E366,$BU366,0,$BP366,$BS366,$BT366,($A366-Inputs!$D$1)+15,1,0)))))</f>
        <v xml:space="preserve"> </v>
      </c>
      <c r="U366" s="320" t="str">
        <f>IF($A366="N/A"," ",IF('Pricing Inputs'!$AN$8=2,(N366-$H366),IF('Pricing Inputs'!$AN$3=2,IF((N366-$H366)&gt;0,N366-$H366,0),(_xll.xSPRDOPT(N366,$E366,$BU366,0,$BP366,$BS366,$BT366,($A366-Inputs!$D$1)+15,1,0)))))</f>
        <v xml:space="preserve"> </v>
      </c>
      <c r="V366" s="259" t="str">
        <f>IF($A366="N/A"," ",(IF('Pricing Inputs'!$AN$8=2,(O366-$H366),IF((O366-$H366)&lt;=0,0,(O366-$H366)))))</f>
        <v xml:space="preserve"> </v>
      </c>
      <c r="BA366" s="267" t="str">
        <f>IF($A366="N/A"," ",(IF(MONTH(A366)&gt;=4,IF(MONTH(A366)&lt;=10,Inputs!$F$13,Inputs!$F$14),Inputs!$F$14))*$BW366)</f>
        <v xml:space="preserve"> </v>
      </c>
      <c r="BN366" s="405" t="str">
        <f>IF(A366="N/A"," ",(VLOOKUP(A366,PowerVolTable,(IF('Pricing Inputs'!$AT$3=2,7,IF('Pricing Inputs'!$AT$3=1,6,8))),FALSE)))</f>
        <v xml:space="preserve"> </v>
      </c>
      <c r="BO366" s="405" t="str">
        <f>IF(A366="N/A"," ",(VLOOKUP(A366,IntraPowerVol,(IF('Pricing Inputs'!$AT$3=2,3,IF('Pricing Inputs'!$AT$3=1,2,4))),FALSE)*VLOOKUP(MONTH($A366),Inputs!$A$28:$B$39,2)))</f>
        <v xml:space="preserve"> </v>
      </c>
      <c r="BP366" s="406" t="str">
        <f t="shared" si="436"/>
        <v xml:space="preserve"> </v>
      </c>
      <c r="BQ366" s="405" t="str">
        <f>IF($A366="N/A"," ",(VLOOKUP($A366,GasVolTable,(IF('Pricing Inputs'!$AT$3=2,6,IF('Pricing Inputs'!$AT$3=1,7,5))),FALSE)))</f>
        <v xml:space="preserve"> </v>
      </c>
      <c r="BR366" s="405" t="str">
        <f>IF($A366="N/A"," ",(VLOOKUP($A366,OmicronVol,(IF('Pricing Inputs'!$AT$3=2,3,IF('Pricing Inputs'!$AT$3=1,4,2))),FALSE)))</f>
        <v xml:space="preserve"> </v>
      </c>
      <c r="BS366" s="406" t="str">
        <f>IF($A366="N/A"," ",IF('Pricing Inputs'!$AN$3=1,(IF(DateToday&gt;$A366,$BR366,((($BQ366^2)*((($A366-1)-DateToday)/((EOMONTH($A366,0)+1)-DateToday-15)))+((($BR366)^2)*((15)/((EOMONTH($A366,0)+1)-DateToday-15))))^0.5)),0.0001))</f>
        <v xml:space="preserve"> </v>
      </c>
      <c r="BT366" s="405" t="str">
        <f>IF($A366="N/A"," ",IF('Pricing Inputs'!$AN$3=1,(VLOOKUP($A366,CorrelationTable,2,FALSE)),0))</f>
        <v xml:space="preserve"> </v>
      </c>
      <c r="BU366" s="407" t="str">
        <f>IF($A366="N/A"," ",F366+G366+(D366*(VLOOKUP($A366,'Gas Curves'!$B$17:$P$310,14,FALSE))))</f>
        <v xml:space="preserve"> </v>
      </c>
      <c r="BV366" s="405" t="str">
        <f>IF($A366="N/A"," ",IF('Pricing Inputs'!$AW$3=1,0,(VLOOKUP($A366,InterestRatesTable,2))))</f>
        <v xml:space="preserve"> </v>
      </c>
      <c r="BW366" s="408" t="str">
        <f t="shared" si="437"/>
        <v xml:space="preserve"> </v>
      </c>
    </row>
    <row r="367" spans="1:75">
      <c r="A367" s="248" t="str">
        <f>IF(A366="N/A","N/A",IF(EDATE(A366,1)&gt;Inputs!$K$3,"N/A",EDATE(A366,1)))</f>
        <v>N/A</v>
      </c>
      <c r="B367" s="262" t="str">
        <f t="shared" si="438"/>
        <v xml:space="preserve"> </v>
      </c>
      <c r="C367" s="249" t="str">
        <f t="shared" si="439"/>
        <v xml:space="preserve"> </v>
      </c>
      <c r="D367" s="250" t="str">
        <f>IF(A367="N/A"," ",(VLOOKUP(MONTH($A367),Inputs!$A$14:$B$25,2))/1000)</f>
        <v xml:space="preserve"> </v>
      </c>
      <c r="E367" s="304" t="str">
        <f t="shared" si="440"/>
        <v xml:space="preserve"> </v>
      </c>
      <c r="F367" s="251" t="str">
        <f>IF(A367="N/A"," ",Inputs!$F$6)</f>
        <v xml:space="preserve"> </v>
      </c>
      <c r="G367" s="251" t="str">
        <f>IF(A367="N/A"," ",Inputs!$F$9/IF(AND('Pricing Inputs'!$AQ$3&gt;=4,'Pricing Inputs'!$AQ$3&lt;=6),16,IF(AND('Pricing Inputs'!$AQ$3&gt;=7,'Pricing Inputs'!$AQ$3&lt;=9),8,24))/(BA367/BW367))</f>
        <v xml:space="preserve"> </v>
      </c>
      <c r="H367" s="252" t="str">
        <f t="shared" si="441"/>
        <v xml:space="preserve"> </v>
      </c>
      <c r="I367" s="255" t="str">
        <f>VLOOKUP(A367,ScaledPrice,(IF(AND('Pricing Inputs'!$AQ$3&gt;=1,'Pricing Inputs'!$AQ$3&lt;=6),2,4)))</f>
        <v xml:space="preserve"> </v>
      </c>
      <c r="J367" s="255" t="str">
        <f>IF(A367="N/A"," ",IF(AND('Pricing Inputs'!$AQ$3&gt;=1,'Pricing Inputs'!$AQ$3&lt;=6),I367,(VLOOKUP(A367,ScaledPrice,2))*(2-(VLOOKUP(A367,ScaledPrice,3)))))</f>
        <v xml:space="preserve"> </v>
      </c>
      <c r="K367" s="255" t="str">
        <f>IF(A367="N/A"," ",IF(OR('Pricing Inputs'!$AQ$3=2,'Pricing Inputs'!$AQ$3=3,'Pricing Inputs'!$AQ$3=5,'Pricing Inputs'!$AQ$3=6,'Pricing Inputs'!$AQ$3=8,'Pricing Inputs'!$AQ$3=9),VLOOKUP(A367,ScaledPrice,IF(AND('Pricing Inputs'!$AQ$3&gt;=2,'Pricing Inputs'!$AQ$3&lt;=6),5,6)),0))</f>
        <v xml:space="preserve"> </v>
      </c>
      <c r="L367" s="255" t="str">
        <f>IF(A367="N/A"," ",IF(OR('Pricing Inputs'!$AQ$3=2,'Pricing Inputs'!$AQ$3=3,'Pricing Inputs'!$AQ$3=5,'Pricing Inputs'!$AQ$3=6,'Pricing Inputs'!$AQ$3=8,'Pricing Inputs'!$AQ$3=9),IF(AND('Pricing Inputs'!$AQ$3&gt;=2,'Pricing Inputs'!$AQ$3&lt;=6),K367,(VLOOKUP(A367,ScaledPrice,5))*(2-(VLOOKUP(A367,ScaledPrice,3)))),0))</f>
        <v xml:space="preserve"> </v>
      </c>
      <c r="M367" s="255" t="str">
        <f>IF(A367="N/A"," ",IF(OR('Pricing Inputs'!$AQ$3=3,'Pricing Inputs'!$AQ$3=6,'Pricing Inputs'!$AQ$3=9),(VLOOKUP(A367,ScaledPrice,IF(AND('Pricing Inputs'!$AQ$3&gt;=3,'Pricing Inputs'!$AQ$3&lt;=6),7,8))),0))</f>
        <v xml:space="preserve"> </v>
      </c>
      <c r="N367" s="255" t="str">
        <f>IF(A367="N/A"," ",IF(OR('Pricing Inputs'!$AQ$3=3,'Pricing Inputs'!$AQ$3=6,'Pricing Inputs'!$AQ$3=9),IF(AND('Pricing Inputs'!$AQ$3&gt;=3,'Pricing Inputs'!$AQ$3&lt;=6),M367,(VLOOKUP(A367,ScaledPrice,7))*(2-(VLOOKUP(A367,ScaledPrice,3)))),0))</f>
        <v xml:space="preserve"> </v>
      </c>
      <c r="O367" s="255" t="str">
        <f>IF(A367="N/A"," ",IF(AND('Pricing Inputs'!$AQ$3&gt;=1,'Pricing Inputs'!$AQ$3&lt;=3),VLOOKUP(A367,ScaledPrice,9),0))</f>
        <v xml:space="preserve"> </v>
      </c>
      <c r="P367" s="320" t="str">
        <f>IF($A367="N/A"," ",IF('Pricing Inputs'!$AN$8=2,(I367-H367),IF('Pricing Inputs'!$AN$3=2,IF((I367-$H367)&gt;0,I367-$H367,0),(_xll.xSPRDOPT(I367,$E367,$BU367,0,$BP367,$BS367,$BT367,($A367-Inputs!$D$1)+15,1,0)))))</f>
        <v xml:space="preserve"> </v>
      </c>
      <c r="Q367" s="320" t="str">
        <f>IF($A367="N/A"," ",IF('Pricing Inputs'!$AN$8=2,(J367-$H367),IF('Pricing Inputs'!$AN$3=2,IF((J367-$H367)&gt;0,J367-$H367,0),(_xll.xSPRDOPT(J367,$E367,$BU367,0,$BP367,$BS367,$BT367,($A367-Inputs!$D$1)+15,1,0)))))</f>
        <v xml:space="preserve"> </v>
      </c>
      <c r="R367" s="320" t="str">
        <f>IF($A367="N/A"," ",IF('Pricing Inputs'!$AN$8=2,(K367-$H367),IF('Pricing Inputs'!$AN$3=2,IF((K367-$H367)&gt;0,K367-$H367,0),(_xll.xSPRDOPT(K367,$E367,$BU367,0,$BP367,$BS367,$BT367,($A367-Inputs!$D$1)+15,1,0)))))</f>
        <v xml:space="preserve"> </v>
      </c>
      <c r="S367" s="320" t="str">
        <f>IF($A367="N/A"," ",IF('Pricing Inputs'!$AN$8=2,(L367-$H367),IF('Pricing Inputs'!$AN$3=2,IF((L367-$H367)&gt;0,L367-$H367,0),(_xll.xSPRDOPT(L367,$E367,$BU367,0,$BP367,$BS367,$BT367,($A367-Inputs!$D$1)+15,1,0)))))</f>
        <v xml:space="preserve"> </v>
      </c>
      <c r="T367" s="320" t="str">
        <f>IF($A367="N/A"," ",IF('Pricing Inputs'!$AN$8=2,(M367-$H367),IF('Pricing Inputs'!$AN$3=2,IF((M367-$H367)&gt;0,M367-$H367,0),(_xll.xSPRDOPT(M367,$E367,$BU367,0,$BP367,$BS367,$BT367,($A367-Inputs!$D$1)+15,1,0)))))</f>
        <v xml:space="preserve"> </v>
      </c>
      <c r="U367" s="320" t="str">
        <f>IF($A367="N/A"," ",IF('Pricing Inputs'!$AN$8=2,(N367-$H367),IF('Pricing Inputs'!$AN$3=2,IF((N367-$H367)&gt;0,N367-$H367,0),(_xll.xSPRDOPT(N367,$E367,$BU367,0,$BP367,$BS367,$BT367,($A367-Inputs!$D$1)+15,1,0)))))</f>
        <v xml:space="preserve"> </v>
      </c>
      <c r="V367" s="259" t="str">
        <f>IF($A367="N/A"," ",(IF('Pricing Inputs'!$AN$8=2,(O367-$H367),IF((O367-$H367)&lt;=0,0,(O367-$H367)))))</f>
        <v xml:space="preserve"> </v>
      </c>
      <c r="BA367" s="267" t="str">
        <f>IF($A367="N/A"," ",(IF(MONTH(A367)&gt;=4,IF(MONTH(A367)&lt;=10,Inputs!$F$13,Inputs!$F$14),Inputs!$F$14))*$BW367)</f>
        <v xml:space="preserve"> </v>
      </c>
      <c r="BN367" s="405" t="str">
        <f>IF(A367="N/A"," ",(VLOOKUP(A367,PowerVolTable,(IF('Pricing Inputs'!$AT$3=2,7,IF('Pricing Inputs'!$AT$3=1,6,8))),FALSE)))</f>
        <v xml:space="preserve"> </v>
      </c>
      <c r="BO367" s="405" t="str">
        <f>IF(A367="N/A"," ",(VLOOKUP(A367,IntraPowerVol,(IF('Pricing Inputs'!$AT$3=2,3,IF('Pricing Inputs'!$AT$3=1,2,4))),FALSE)*VLOOKUP(MONTH($A367),Inputs!$A$28:$B$39,2)))</f>
        <v xml:space="preserve"> </v>
      </c>
      <c r="BP367" s="406" t="str">
        <f t="shared" si="436"/>
        <v xml:space="preserve"> </v>
      </c>
      <c r="BQ367" s="405" t="str">
        <f>IF($A367="N/A"," ",(VLOOKUP($A367,GasVolTable,(IF('Pricing Inputs'!$AT$3=2,6,IF('Pricing Inputs'!$AT$3=1,7,5))),FALSE)))</f>
        <v xml:space="preserve"> </v>
      </c>
      <c r="BR367" s="405" t="str">
        <f>IF($A367="N/A"," ",(VLOOKUP($A367,OmicronVol,(IF('Pricing Inputs'!$AT$3=2,3,IF('Pricing Inputs'!$AT$3=1,4,2))),FALSE)))</f>
        <v xml:space="preserve"> </v>
      </c>
      <c r="BS367" s="406" t="str">
        <f>IF($A367="N/A"," ",IF('Pricing Inputs'!$AN$3=1,(IF(DateToday&gt;$A367,$BR367,((($BQ367^2)*((($A367-1)-DateToday)/((EOMONTH($A367,0)+1)-DateToday-15)))+((($BR367)^2)*((15)/((EOMONTH($A367,0)+1)-DateToday-15))))^0.5)),0.0001))</f>
        <v xml:space="preserve"> </v>
      </c>
      <c r="BT367" s="405" t="str">
        <f>IF($A367="N/A"," ",IF('Pricing Inputs'!$AN$3=1,(VLOOKUP($A367,CorrelationTable,2,FALSE)),0))</f>
        <v xml:space="preserve"> </v>
      </c>
      <c r="BU367" s="407" t="str">
        <f>IF($A367="N/A"," ",F367+G367+(D367*(VLOOKUP($A367,'Gas Curves'!$B$17:$P$310,14,FALSE))))</f>
        <v xml:space="preserve"> </v>
      </c>
      <c r="BV367" s="405" t="str">
        <f>IF($A367="N/A"," ",IF('Pricing Inputs'!$AW$3=1,0,(VLOOKUP($A367,InterestRatesTable,2))))</f>
        <v xml:space="preserve"> </v>
      </c>
      <c r="BW367" s="408" t="str">
        <f t="shared" si="437"/>
        <v xml:space="preserve"> </v>
      </c>
    </row>
    <row r="368" spans="1:75">
      <c r="A368" s="248" t="str">
        <f>IF(A367="N/A","N/A",IF(EDATE(A367,1)&gt;Inputs!$K$3,"N/A",EDATE(A367,1)))</f>
        <v>N/A</v>
      </c>
      <c r="B368" s="262" t="str">
        <f t="shared" si="438"/>
        <v xml:space="preserve"> </v>
      </c>
      <c r="C368" s="249" t="str">
        <f t="shared" si="439"/>
        <v xml:space="preserve"> </v>
      </c>
      <c r="D368" s="250" t="str">
        <f>IF(A368="N/A"," ",(VLOOKUP(MONTH($A368),Inputs!$A$14:$B$25,2))/1000)</f>
        <v xml:space="preserve"> </v>
      </c>
      <c r="E368" s="304" t="str">
        <f t="shared" si="440"/>
        <v xml:space="preserve"> </v>
      </c>
      <c r="F368" s="251" t="str">
        <f>IF(A368="N/A"," ",Inputs!$F$6)</f>
        <v xml:space="preserve"> </v>
      </c>
      <c r="G368" s="251" t="str">
        <f>IF(A368="N/A"," ",Inputs!$F$9/IF(AND('Pricing Inputs'!$AQ$3&gt;=4,'Pricing Inputs'!$AQ$3&lt;=6),16,IF(AND('Pricing Inputs'!$AQ$3&gt;=7,'Pricing Inputs'!$AQ$3&lt;=9),8,24))/(BA368/BW368))</f>
        <v xml:space="preserve"> </v>
      </c>
      <c r="H368" s="252" t="str">
        <f t="shared" si="441"/>
        <v xml:space="preserve"> </v>
      </c>
      <c r="I368" s="255" t="str">
        <f>VLOOKUP(A368,ScaledPrice,(IF(AND('Pricing Inputs'!$AQ$3&gt;=1,'Pricing Inputs'!$AQ$3&lt;=6),2,4)))</f>
        <v xml:space="preserve"> </v>
      </c>
      <c r="J368" s="255" t="str">
        <f>IF(A368="N/A"," ",IF(AND('Pricing Inputs'!$AQ$3&gt;=1,'Pricing Inputs'!$AQ$3&lt;=6),I368,(VLOOKUP(A368,ScaledPrice,2))*(2-(VLOOKUP(A368,ScaledPrice,3)))))</f>
        <v xml:space="preserve"> </v>
      </c>
      <c r="K368" s="255" t="str">
        <f>IF(A368="N/A"," ",IF(OR('Pricing Inputs'!$AQ$3=2,'Pricing Inputs'!$AQ$3=3,'Pricing Inputs'!$AQ$3=5,'Pricing Inputs'!$AQ$3=6,'Pricing Inputs'!$AQ$3=8,'Pricing Inputs'!$AQ$3=9),VLOOKUP(A368,ScaledPrice,IF(AND('Pricing Inputs'!$AQ$3&gt;=2,'Pricing Inputs'!$AQ$3&lt;=6),5,6)),0))</f>
        <v xml:space="preserve"> </v>
      </c>
      <c r="L368" s="255" t="str">
        <f>IF(A368="N/A"," ",IF(OR('Pricing Inputs'!$AQ$3=2,'Pricing Inputs'!$AQ$3=3,'Pricing Inputs'!$AQ$3=5,'Pricing Inputs'!$AQ$3=6,'Pricing Inputs'!$AQ$3=8,'Pricing Inputs'!$AQ$3=9),IF(AND('Pricing Inputs'!$AQ$3&gt;=2,'Pricing Inputs'!$AQ$3&lt;=6),K368,(VLOOKUP(A368,ScaledPrice,5))*(2-(VLOOKUP(A368,ScaledPrice,3)))),0))</f>
        <v xml:space="preserve"> </v>
      </c>
      <c r="M368" s="255" t="str">
        <f>IF(A368="N/A"," ",IF(OR('Pricing Inputs'!$AQ$3=3,'Pricing Inputs'!$AQ$3=6,'Pricing Inputs'!$AQ$3=9),(VLOOKUP(A368,ScaledPrice,IF(AND('Pricing Inputs'!$AQ$3&gt;=3,'Pricing Inputs'!$AQ$3&lt;=6),7,8))),0))</f>
        <v xml:space="preserve"> </v>
      </c>
      <c r="N368" s="255" t="str">
        <f>IF(A368="N/A"," ",IF(OR('Pricing Inputs'!$AQ$3=3,'Pricing Inputs'!$AQ$3=6,'Pricing Inputs'!$AQ$3=9),IF(AND('Pricing Inputs'!$AQ$3&gt;=3,'Pricing Inputs'!$AQ$3&lt;=6),M368,(VLOOKUP(A368,ScaledPrice,7))*(2-(VLOOKUP(A368,ScaledPrice,3)))),0))</f>
        <v xml:space="preserve"> </v>
      </c>
      <c r="O368" s="255" t="str">
        <f>IF(A368="N/A"," ",IF(AND('Pricing Inputs'!$AQ$3&gt;=1,'Pricing Inputs'!$AQ$3&lt;=3),VLOOKUP(A368,ScaledPrice,9),0))</f>
        <v xml:space="preserve"> </v>
      </c>
      <c r="P368" s="320" t="str">
        <f>IF($A368="N/A"," ",IF('Pricing Inputs'!$AN$8=2,(I368-H368),IF('Pricing Inputs'!$AN$3=2,IF((I368-$H368)&gt;0,I368-$H368,0),(_xll.xSPRDOPT(I368,$E368,$BU368,0,$BP368,$BS368,$BT368,($A368-Inputs!$D$1)+15,1,0)))))</f>
        <v xml:space="preserve"> </v>
      </c>
      <c r="Q368" s="320" t="str">
        <f>IF($A368="N/A"," ",IF('Pricing Inputs'!$AN$8=2,(J368-$H368),IF('Pricing Inputs'!$AN$3=2,IF((J368-$H368)&gt;0,J368-$H368,0),(_xll.xSPRDOPT(J368,$E368,$BU368,0,$BP368,$BS368,$BT368,($A368-Inputs!$D$1)+15,1,0)))))</f>
        <v xml:space="preserve"> </v>
      </c>
      <c r="R368" s="320" t="str">
        <f>IF($A368="N/A"," ",IF('Pricing Inputs'!$AN$8=2,(K368-$H368),IF('Pricing Inputs'!$AN$3=2,IF((K368-$H368)&gt;0,K368-$H368,0),(_xll.xSPRDOPT(K368,$E368,$BU368,0,$BP368,$BS368,$BT368,($A368-Inputs!$D$1)+15,1,0)))))</f>
        <v xml:space="preserve"> </v>
      </c>
      <c r="S368" s="320" t="str">
        <f>IF($A368="N/A"," ",IF('Pricing Inputs'!$AN$8=2,(L368-$H368),IF('Pricing Inputs'!$AN$3=2,IF((L368-$H368)&gt;0,L368-$H368,0),(_xll.xSPRDOPT(L368,$E368,$BU368,0,$BP368,$BS368,$BT368,($A368-Inputs!$D$1)+15,1,0)))))</f>
        <v xml:space="preserve"> </v>
      </c>
      <c r="T368" s="320" t="str">
        <f>IF($A368="N/A"," ",IF('Pricing Inputs'!$AN$8=2,(M368-$H368),IF('Pricing Inputs'!$AN$3=2,IF((M368-$H368)&gt;0,M368-$H368,0),(_xll.xSPRDOPT(M368,$E368,$BU368,0,$BP368,$BS368,$BT368,($A368-Inputs!$D$1)+15,1,0)))))</f>
        <v xml:space="preserve"> </v>
      </c>
      <c r="U368" s="320" t="str">
        <f>IF($A368="N/A"," ",IF('Pricing Inputs'!$AN$8=2,(N368-$H368),IF('Pricing Inputs'!$AN$3=2,IF((N368-$H368)&gt;0,N368-$H368,0),(_xll.xSPRDOPT(N368,$E368,$BU368,0,$BP368,$BS368,$BT368,($A368-Inputs!$D$1)+15,1,0)))))</f>
        <v xml:space="preserve"> </v>
      </c>
      <c r="V368" s="259" t="str">
        <f>IF($A368="N/A"," ",(IF('Pricing Inputs'!$AN$8=2,(O368-$H368),IF((O368-$H368)&lt;=0,0,(O368-$H368)))))</f>
        <v xml:space="preserve"> </v>
      </c>
      <c r="BA368" s="267" t="str">
        <f>IF($A368="N/A"," ",(IF(MONTH(A368)&gt;=4,IF(MONTH(A368)&lt;=10,Inputs!$F$13,Inputs!$F$14),Inputs!$F$14))*$BW368)</f>
        <v xml:space="preserve"> </v>
      </c>
      <c r="BN368" s="405" t="str">
        <f>IF(A368="N/A"," ",(VLOOKUP(A368,PowerVolTable,(IF('Pricing Inputs'!$AT$3=2,7,IF('Pricing Inputs'!$AT$3=1,6,8))),FALSE)))</f>
        <v xml:space="preserve"> </v>
      </c>
      <c r="BO368" s="405" t="str">
        <f>IF(A368="N/A"," ",(VLOOKUP(A368,IntraPowerVol,(IF('Pricing Inputs'!$AT$3=2,3,IF('Pricing Inputs'!$AT$3=1,2,4))),FALSE)*VLOOKUP(MONTH($A368),Inputs!$A$28:$B$39,2)))</f>
        <v xml:space="preserve"> </v>
      </c>
      <c r="BP368" s="406" t="str">
        <f t="shared" si="436"/>
        <v xml:space="preserve"> </v>
      </c>
      <c r="BQ368" s="405" t="str">
        <f>IF($A368="N/A"," ",(VLOOKUP($A368,GasVolTable,(IF('Pricing Inputs'!$AT$3=2,6,IF('Pricing Inputs'!$AT$3=1,7,5))),FALSE)))</f>
        <v xml:space="preserve"> </v>
      </c>
      <c r="BR368" s="405" t="str">
        <f>IF($A368="N/A"," ",(VLOOKUP($A368,OmicronVol,(IF('Pricing Inputs'!$AT$3=2,3,IF('Pricing Inputs'!$AT$3=1,4,2))),FALSE)))</f>
        <v xml:space="preserve"> </v>
      </c>
      <c r="BS368" s="406" t="str">
        <f>IF($A368="N/A"," ",IF('Pricing Inputs'!$AN$3=1,(IF(DateToday&gt;$A368,$BR368,((($BQ368^2)*((($A368-1)-DateToday)/((EOMONTH($A368,0)+1)-DateToday-15)))+((($BR368)^2)*((15)/((EOMONTH($A368,0)+1)-DateToday-15))))^0.5)),0.0001))</f>
        <v xml:space="preserve"> </v>
      </c>
      <c r="BT368" s="405" t="str">
        <f>IF($A368="N/A"," ",IF('Pricing Inputs'!$AN$3=1,(VLOOKUP($A368,CorrelationTable,2,FALSE)),0))</f>
        <v xml:space="preserve"> </v>
      </c>
      <c r="BU368" s="407" t="str">
        <f>IF($A368="N/A"," ",F368+G368+(D368*(VLOOKUP($A368,'Gas Curves'!$B$17:$P$310,14,FALSE))))</f>
        <v xml:space="preserve"> </v>
      </c>
      <c r="BV368" s="405" t="str">
        <f>IF($A368="N/A"," ",IF('Pricing Inputs'!$AW$3=1,0,(VLOOKUP($A368,InterestRatesTable,2))))</f>
        <v xml:space="preserve"> </v>
      </c>
      <c r="BW368" s="408" t="str">
        <f t="shared" si="437"/>
        <v xml:space="preserve"> </v>
      </c>
    </row>
    <row r="369" spans="1:75">
      <c r="A369" s="248" t="str">
        <f>IF(A368="N/A","N/A",IF(EDATE(A368,1)&gt;Inputs!$K$3,"N/A",EDATE(A368,1)))</f>
        <v>N/A</v>
      </c>
      <c r="B369" s="262" t="str">
        <f t="shared" si="438"/>
        <v xml:space="preserve"> </v>
      </c>
      <c r="C369" s="249" t="str">
        <f t="shared" si="439"/>
        <v xml:space="preserve"> </v>
      </c>
      <c r="D369" s="250" t="str">
        <f>IF(A369="N/A"," ",(VLOOKUP(MONTH($A369),Inputs!$A$14:$B$25,2))/1000)</f>
        <v xml:space="preserve"> </v>
      </c>
      <c r="E369" s="304" t="str">
        <f t="shared" si="440"/>
        <v xml:space="preserve"> </v>
      </c>
      <c r="F369" s="251" t="str">
        <f>IF(A369="N/A"," ",Inputs!$F$6)</f>
        <v xml:space="preserve"> </v>
      </c>
      <c r="G369" s="251" t="str">
        <f>IF(A369="N/A"," ",Inputs!$F$9/IF(AND('Pricing Inputs'!$AQ$3&gt;=4,'Pricing Inputs'!$AQ$3&lt;=6),16,IF(AND('Pricing Inputs'!$AQ$3&gt;=7,'Pricing Inputs'!$AQ$3&lt;=9),8,24))/(BA369/BW369))</f>
        <v xml:space="preserve"> </v>
      </c>
      <c r="H369" s="252" t="str">
        <f t="shared" si="441"/>
        <v xml:space="preserve"> </v>
      </c>
      <c r="I369" s="255" t="str">
        <f>VLOOKUP(A369,ScaledPrice,(IF(AND('Pricing Inputs'!$AQ$3&gt;=1,'Pricing Inputs'!$AQ$3&lt;=6),2,4)))</f>
        <v xml:space="preserve"> </v>
      </c>
      <c r="J369" s="255" t="str">
        <f>IF(A369="N/A"," ",IF(AND('Pricing Inputs'!$AQ$3&gt;=1,'Pricing Inputs'!$AQ$3&lt;=6),I369,(VLOOKUP(A369,ScaledPrice,2))*(2-(VLOOKUP(A369,ScaledPrice,3)))))</f>
        <v xml:space="preserve"> </v>
      </c>
      <c r="K369" s="255" t="str">
        <f>IF(A369="N/A"," ",IF(OR('Pricing Inputs'!$AQ$3=2,'Pricing Inputs'!$AQ$3=3,'Pricing Inputs'!$AQ$3=5,'Pricing Inputs'!$AQ$3=6,'Pricing Inputs'!$AQ$3=8,'Pricing Inputs'!$AQ$3=9),VLOOKUP(A369,ScaledPrice,IF(AND('Pricing Inputs'!$AQ$3&gt;=2,'Pricing Inputs'!$AQ$3&lt;=6),5,6)),0))</f>
        <v xml:space="preserve"> </v>
      </c>
      <c r="L369" s="255" t="str">
        <f>IF(A369="N/A"," ",IF(OR('Pricing Inputs'!$AQ$3=2,'Pricing Inputs'!$AQ$3=3,'Pricing Inputs'!$AQ$3=5,'Pricing Inputs'!$AQ$3=6,'Pricing Inputs'!$AQ$3=8,'Pricing Inputs'!$AQ$3=9),IF(AND('Pricing Inputs'!$AQ$3&gt;=2,'Pricing Inputs'!$AQ$3&lt;=6),K369,(VLOOKUP(A369,ScaledPrice,5))*(2-(VLOOKUP(A369,ScaledPrice,3)))),0))</f>
        <v xml:space="preserve"> </v>
      </c>
      <c r="M369" s="255" t="str">
        <f>IF(A369="N/A"," ",IF(OR('Pricing Inputs'!$AQ$3=3,'Pricing Inputs'!$AQ$3=6,'Pricing Inputs'!$AQ$3=9),(VLOOKUP(A369,ScaledPrice,IF(AND('Pricing Inputs'!$AQ$3&gt;=3,'Pricing Inputs'!$AQ$3&lt;=6),7,8))),0))</f>
        <v xml:space="preserve"> </v>
      </c>
      <c r="N369" s="255" t="str">
        <f>IF(A369="N/A"," ",IF(OR('Pricing Inputs'!$AQ$3=3,'Pricing Inputs'!$AQ$3=6,'Pricing Inputs'!$AQ$3=9),IF(AND('Pricing Inputs'!$AQ$3&gt;=3,'Pricing Inputs'!$AQ$3&lt;=6),M369,(VLOOKUP(A369,ScaledPrice,7))*(2-(VLOOKUP(A369,ScaledPrice,3)))),0))</f>
        <v xml:space="preserve"> </v>
      </c>
      <c r="O369" s="255" t="str">
        <f>IF(A369="N/A"," ",IF(AND('Pricing Inputs'!$AQ$3&gt;=1,'Pricing Inputs'!$AQ$3&lt;=3),VLOOKUP(A369,ScaledPrice,9),0))</f>
        <v xml:space="preserve"> </v>
      </c>
      <c r="P369" s="320" t="str">
        <f>IF($A369="N/A"," ",IF('Pricing Inputs'!$AN$8=2,(I369-H369),IF('Pricing Inputs'!$AN$3=2,IF((I369-$H369)&gt;0,I369-$H369,0),(_xll.xSPRDOPT(I369,$E369,$BU369,0,$BP369,$BS369,$BT369,($A369-Inputs!$D$1)+15,1,0)))))</f>
        <v xml:space="preserve"> </v>
      </c>
      <c r="Q369" s="320" t="str">
        <f>IF($A369="N/A"," ",IF('Pricing Inputs'!$AN$8=2,(J369-$H369),IF('Pricing Inputs'!$AN$3=2,IF((J369-$H369)&gt;0,J369-$H369,0),(_xll.xSPRDOPT(J369,$E369,$BU369,0,$BP369,$BS369,$BT369,($A369-Inputs!$D$1)+15,1,0)))))</f>
        <v xml:space="preserve"> </v>
      </c>
      <c r="R369" s="320" t="str">
        <f>IF($A369="N/A"," ",IF('Pricing Inputs'!$AN$8=2,(K369-$H369),IF('Pricing Inputs'!$AN$3=2,IF((K369-$H369)&gt;0,K369-$H369,0),(_xll.xSPRDOPT(K369,$E369,$BU369,0,$BP369,$BS369,$BT369,($A369-Inputs!$D$1)+15,1,0)))))</f>
        <v xml:space="preserve"> </v>
      </c>
      <c r="S369" s="320" t="str">
        <f>IF($A369="N/A"," ",IF('Pricing Inputs'!$AN$8=2,(L369-$H369),IF('Pricing Inputs'!$AN$3=2,IF((L369-$H369)&gt;0,L369-$H369,0),(_xll.xSPRDOPT(L369,$E369,$BU369,0,$BP369,$BS369,$BT369,($A369-Inputs!$D$1)+15,1,0)))))</f>
        <v xml:space="preserve"> </v>
      </c>
      <c r="T369" s="320" t="str">
        <f>IF($A369="N/A"," ",IF('Pricing Inputs'!$AN$8=2,(M369-$H369),IF('Pricing Inputs'!$AN$3=2,IF((M369-$H369)&gt;0,M369-$H369,0),(_xll.xSPRDOPT(M369,$E369,$BU369,0,$BP369,$BS369,$BT369,($A369-Inputs!$D$1)+15,1,0)))))</f>
        <v xml:space="preserve"> </v>
      </c>
      <c r="U369" s="320" t="str">
        <f>IF($A369="N/A"," ",IF('Pricing Inputs'!$AN$8=2,(N369-$H369),IF('Pricing Inputs'!$AN$3=2,IF((N369-$H369)&gt;0,N369-$H369,0),(_xll.xSPRDOPT(N369,$E369,$BU369,0,$BP369,$BS369,$BT369,($A369-Inputs!$D$1)+15,1,0)))))</f>
        <v xml:space="preserve"> </v>
      </c>
      <c r="V369" s="259" t="str">
        <f>IF($A369="N/A"," ",(IF('Pricing Inputs'!$AN$8=2,(O369-$H369),IF((O369-$H369)&lt;=0,0,(O369-$H369)))))</f>
        <v xml:space="preserve"> </v>
      </c>
      <c r="BA369" s="267" t="str">
        <f>IF($A369="N/A"," ",(IF(MONTH(A369)&gt;=4,IF(MONTH(A369)&lt;=10,Inputs!$F$13,Inputs!$F$14),Inputs!$F$14))*$BW369)</f>
        <v xml:space="preserve"> </v>
      </c>
      <c r="BN369" s="405" t="str">
        <f>IF(A369="N/A"," ",(VLOOKUP(A369,PowerVolTable,(IF('Pricing Inputs'!$AT$3=2,7,IF('Pricing Inputs'!$AT$3=1,6,8))),FALSE)))</f>
        <v xml:space="preserve"> </v>
      </c>
      <c r="BO369" s="405" t="str">
        <f>IF(A369="N/A"," ",(VLOOKUP(A369,IntraPowerVol,(IF('Pricing Inputs'!$AT$3=2,3,IF('Pricing Inputs'!$AT$3=1,2,4))),FALSE)*VLOOKUP(MONTH($A369),Inputs!$A$28:$B$39,2)))</f>
        <v xml:space="preserve"> </v>
      </c>
      <c r="BP369" s="406" t="str">
        <f t="shared" si="436"/>
        <v xml:space="preserve"> </v>
      </c>
      <c r="BQ369" s="405" t="str">
        <f>IF($A369="N/A"," ",(VLOOKUP($A369,GasVolTable,(IF('Pricing Inputs'!$AT$3=2,6,IF('Pricing Inputs'!$AT$3=1,7,5))),FALSE)))</f>
        <v xml:space="preserve"> </v>
      </c>
      <c r="BR369" s="405" t="str">
        <f>IF($A369="N/A"," ",(VLOOKUP($A369,OmicronVol,(IF('Pricing Inputs'!$AT$3=2,3,IF('Pricing Inputs'!$AT$3=1,4,2))),FALSE)))</f>
        <v xml:space="preserve"> </v>
      </c>
      <c r="BS369" s="406" t="str">
        <f>IF($A369="N/A"," ",IF('Pricing Inputs'!$AN$3=1,(IF(DateToday&gt;$A369,$BR369,((($BQ369^2)*((($A369-1)-DateToday)/((EOMONTH($A369,0)+1)-DateToday-15)))+((($BR369)^2)*((15)/((EOMONTH($A369,0)+1)-DateToday-15))))^0.5)),0.0001))</f>
        <v xml:space="preserve"> </v>
      </c>
      <c r="BT369" s="405" t="str">
        <f>IF($A369="N/A"," ",IF('Pricing Inputs'!$AN$3=1,(VLOOKUP($A369,CorrelationTable,2,FALSE)),0))</f>
        <v xml:space="preserve"> </v>
      </c>
      <c r="BU369" s="407" t="str">
        <f>IF($A369="N/A"," ",F369+G369+(D369*(VLOOKUP($A369,'Gas Curves'!$B$17:$P$310,14,FALSE))))</f>
        <v xml:space="preserve"> </v>
      </c>
      <c r="BV369" s="405" t="str">
        <f>IF($A369="N/A"," ",IF('Pricing Inputs'!$AW$3=1,0,(VLOOKUP($A369,InterestRatesTable,2))))</f>
        <v xml:space="preserve"> </v>
      </c>
      <c r="BW369" s="408" t="str">
        <f t="shared" si="437"/>
        <v xml:space="preserve"> </v>
      </c>
    </row>
    <row r="370" spans="1:75">
      <c r="A370" s="248" t="str">
        <f>IF(A369="N/A","N/A",IF(EDATE(A369,1)&gt;Inputs!$K$3,"N/A",EDATE(A369,1)))</f>
        <v>N/A</v>
      </c>
      <c r="B370" s="262" t="str">
        <f t="shared" si="438"/>
        <v xml:space="preserve"> </v>
      </c>
      <c r="C370" s="249" t="str">
        <f t="shared" si="439"/>
        <v xml:space="preserve"> </v>
      </c>
      <c r="D370" s="250" t="str">
        <f>IF(A370="N/A"," ",(VLOOKUP(MONTH($A370),Inputs!$A$14:$B$25,2))/1000)</f>
        <v xml:space="preserve"> </v>
      </c>
      <c r="E370" s="304" t="str">
        <f t="shared" si="440"/>
        <v xml:space="preserve"> </v>
      </c>
      <c r="F370" s="251" t="str">
        <f>IF(A370="N/A"," ",Inputs!$F$6)</f>
        <v xml:space="preserve"> </v>
      </c>
      <c r="G370" s="251" t="str">
        <f>IF(A370="N/A"," ",Inputs!$F$9/IF(AND('Pricing Inputs'!$AQ$3&gt;=4,'Pricing Inputs'!$AQ$3&lt;=6),16,IF(AND('Pricing Inputs'!$AQ$3&gt;=7,'Pricing Inputs'!$AQ$3&lt;=9),8,24))/(BA370/BW370))</f>
        <v xml:space="preserve"> </v>
      </c>
      <c r="H370" s="252" t="str">
        <f t="shared" si="441"/>
        <v xml:space="preserve"> </v>
      </c>
      <c r="I370" s="255" t="str">
        <f>VLOOKUP(A370,ScaledPrice,(IF(AND('Pricing Inputs'!$AQ$3&gt;=1,'Pricing Inputs'!$AQ$3&lt;=6),2,4)))</f>
        <v xml:space="preserve"> </v>
      </c>
      <c r="J370" s="255" t="str">
        <f>IF(A370="N/A"," ",IF(AND('Pricing Inputs'!$AQ$3&gt;=1,'Pricing Inputs'!$AQ$3&lt;=6),I370,(VLOOKUP(A370,ScaledPrice,2))*(2-(VLOOKUP(A370,ScaledPrice,3)))))</f>
        <v xml:space="preserve"> </v>
      </c>
      <c r="K370" s="255" t="str">
        <f>IF(A370="N/A"," ",IF(OR('Pricing Inputs'!$AQ$3=2,'Pricing Inputs'!$AQ$3=3,'Pricing Inputs'!$AQ$3=5,'Pricing Inputs'!$AQ$3=6,'Pricing Inputs'!$AQ$3=8,'Pricing Inputs'!$AQ$3=9),VLOOKUP(A370,ScaledPrice,IF(AND('Pricing Inputs'!$AQ$3&gt;=2,'Pricing Inputs'!$AQ$3&lt;=6),5,6)),0))</f>
        <v xml:space="preserve"> </v>
      </c>
      <c r="L370" s="255" t="str">
        <f>IF(A370="N/A"," ",IF(OR('Pricing Inputs'!$AQ$3=2,'Pricing Inputs'!$AQ$3=3,'Pricing Inputs'!$AQ$3=5,'Pricing Inputs'!$AQ$3=6,'Pricing Inputs'!$AQ$3=8,'Pricing Inputs'!$AQ$3=9),IF(AND('Pricing Inputs'!$AQ$3&gt;=2,'Pricing Inputs'!$AQ$3&lt;=6),K370,(VLOOKUP(A370,ScaledPrice,5))*(2-(VLOOKUP(A370,ScaledPrice,3)))),0))</f>
        <v xml:space="preserve"> </v>
      </c>
      <c r="M370" s="255" t="str">
        <f>IF(A370="N/A"," ",IF(OR('Pricing Inputs'!$AQ$3=3,'Pricing Inputs'!$AQ$3=6,'Pricing Inputs'!$AQ$3=9),(VLOOKUP(A370,ScaledPrice,IF(AND('Pricing Inputs'!$AQ$3&gt;=3,'Pricing Inputs'!$AQ$3&lt;=6),7,8))),0))</f>
        <v xml:space="preserve"> </v>
      </c>
      <c r="N370" s="255" t="str">
        <f>IF(A370="N/A"," ",IF(OR('Pricing Inputs'!$AQ$3=3,'Pricing Inputs'!$AQ$3=6,'Pricing Inputs'!$AQ$3=9),IF(AND('Pricing Inputs'!$AQ$3&gt;=3,'Pricing Inputs'!$AQ$3&lt;=6),M370,(VLOOKUP(A370,ScaledPrice,7))*(2-(VLOOKUP(A370,ScaledPrice,3)))),0))</f>
        <v xml:space="preserve"> </v>
      </c>
      <c r="O370" s="255" t="str">
        <f>IF(A370="N/A"," ",IF(AND('Pricing Inputs'!$AQ$3&gt;=1,'Pricing Inputs'!$AQ$3&lt;=3),VLOOKUP(A370,ScaledPrice,9),0))</f>
        <v xml:space="preserve"> </v>
      </c>
      <c r="P370" s="320" t="str">
        <f>IF($A370="N/A"," ",IF('Pricing Inputs'!$AN$8=2,(I370-H370),IF('Pricing Inputs'!$AN$3=2,IF((I370-$H370)&gt;0,I370-$H370,0),(_xll.xSPRDOPT(I370,$E370,$BU370,0,$BP370,$BS370,$BT370,($A370-Inputs!$D$1)+15,1,0)))))</f>
        <v xml:space="preserve"> </v>
      </c>
      <c r="Q370" s="320" t="str">
        <f>IF($A370="N/A"," ",IF('Pricing Inputs'!$AN$8=2,(J370-$H370),IF('Pricing Inputs'!$AN$3=2,IF((J370-$H370)&gt;0,J370-$H370,0),(_xll.xSPRDOPT(J370,$E370,$BU370,0,$BP370,$BS370,$BT370,($A370-Inputs!$D$1)+15,1,0)))))</f>
        <v xml:space="preserve"> </v>
      </c>
      <c r="R370" s="320" t="str">
        <f>IF($A370="N/A"," ",IF('Pricing Inputs'!$AN$8=2,(K370-$H370),IF('Pricing Inputs'!$AN$3=2,IF((K370-$H370)&gt;0,K370-$H370,0),(_xll.xSPRDOPT(K370,$E370,$BU370,0,$BP370,$BS370,$BT370,($A370-Inputs!$D$1)+15,1,0)))))</f>
        <v xml:space="preserve"> </v>
      </c>
      <c r="S370" s="320" t="str">
        <f>IF($A370="N/A"," ",IF('Pricing Inputs'!$AN$8=2,(L370-$H370),IF('Pricing Inputs'!$AN$3=2,IF((L370-$H370)&gt;0,L370-$H370,0),(_xll.xSPRDOPT(L370,$E370,$BU370,0,$BP370,$BS370,$BT370,($A370-Inputs!$D$1)+15,1,0)))))</f>
        <v xml:space="preserve"> </v>
      </c>
      <c r="T370" s="320" t="str">
        <f>IF($A370="N/A"," ",IF('Pricing Inputs'!$AN$8=2,(M370-$H370),IF('Pricing Inputs'!$AN$3=2,IF((M370-$H370)&gt;0,M370-$H370,0),(_xll.xSPRDOPT(M370,$E370,$BU370,0,$BP370,$BS370,$BT370,($A370-Inputs!$D$1)+15,1,0)))))</f>
        <v xml:space="preserve"> </v>
      </c>
      <c r="U370" s="320" t="str">
        <f>IF($A370="N/A"," ",IF('Pricing Inputs'!$AN$8=2,(N370-$H370),IF('Pricing Inputs'!$AN$3=2,IF((N370-$H370)&gt;0,N370-$H370,0),(_xll.xSPRDOPT(N370,$E370,$BU370,0,$BP370,$BS370,$BT370,($A370-Inputs!$D$1)+15,1,0)))))</f>
        <v xml:space="preserve"> </v>
      </c>
      <c r="V370" s="259" t="str">
        <f>IF($A370="N/A"," ",(IF('Pricing Inputs'!$AN$8=2,(O370-$H370),IF((O370-$H370)&lt;=0,0,(O370-$H370)))))</f>
        <v xml:space="preserve"> </v>
      </c>
      <c r="BA370" s="267" t="str">
        <f>IF($A370="N/A"," ",(IF(MONTH(A370)&gt;=4,IF(MONTH(A370)&lt;=10,Inputs!$F$13,Inputs!$F$14),Inputs!$F$14))*$BW370)</f>
        <v xml:space="preserve"> </v>
      </c>
      <c r="BN370" s="405" t="str">
        <f>IF(A370="N/A"," ",(VLOOKUP(A370,PowerVolTable,(IF('Pricing Inputs'!$AT$3=2,7,IF('Pricing Inputs'!$AT$3=1,6,8))),FALSE)))</f>
        <v xml:space="preserve"> </v>
      </c>
      <c r="BO370" s="405" t="str">
        <f>IF(A370="N/A"," ",(VLOOKUP(A370,IntraPowerVol,(IF('Pricing Inputs'!$AT$3=2,3,IF('Pricing Inputs'!$AT$3=1,2,4))),FALSE)*VLOOKUP(MONTH($A370),Inputs!$A$28:$B$39,2)))</f>
        <v xml:space="preserve"> </v>
      </c>
      <c r="BP370" s="406" t="str">
        <f t="shared" si="436"/>
        <v xml:space="preserve"> </v>
      </c>
      <c r="BQ370" s="405" t="str">
        <f>IF($A370="N/A"," ",(VLOOKUP($A370,GasVolTable,(IF('Pricing Inputs'!$AT$3=2,6,IF('Pricing Inputs'!$AT$3=1,7,5))),FALSE)))</f>
        <v xml:space="preserve"> </v>
      </c>
      <c r="BR370" s="405" t="str">
        <f>IF($A370="N/A"," ",(VLOOKUP($A370,OmicronVol,(IF('Pricing Inputs'!$AT$3=2,3,IF('Pricing Inputs'!$AT$3=1,4,2))),FALSE)))</f>
        <v xml:space="preserve"> </v>
      </c>
      <c r="BS370" s="406" t="str">
        <f>IF($A370="N/A"," ",IF('Pricing Inputs'!$AN$3=1,(IF(DateToday&gt;$A370,$BR370,((($BQ370^2)*((($A370-1)-DateToday)/((EOMONTH($A370,0)+1)-DateToday-15)))+((($BR370)^2)*((15)/((EOMONTH($A370,0)+1)-DateToday-15))))^0.5)),0.0001))</f>
        <v xml:space="preserve"> </v>
      </c>
      <c r="BT370" s="405" t="str">
        <f>IF($A370="N/A"," ",IF('Pricing Inputs'!$AN$3=1,(VLOOKUP($A370,CorrelationTable,2,FALSE)),0))</f>
        <v xml:space="preserve"> </v>
      </c>
      <c r="BU370" s="407" t="str">
        <f>IF($A370="N/A"," ",F370+G370+(D370*(VLOOKUP($A370,'Gas Curves'!$B$17:$P$310,14,FALSE))))</f>
        <v xml:space="preserve"> </v>
      </c>
      <c r="BV370" s="405" t="str">
        <f>IF($A370="N/A"," ",IF('Pricing Inputs'!$AW$3=1,0,(VLOOKUP($A370,InterestRatesTable,2))))</f>
        <v xml:space="preserve"> </v>
      </c>
      <c r="BW370" s="408" t="str">
        <f t="shared" si="437"/>
        <v xml:space="preserve"> </v>
      </c>
    </row>
    <row r="371" spans="1:75">
      <c r="A371" s="248" t="str">
        <f>IF(A370="N/A","N/A",IF(EDATE(A370,1)&gt;Inputs!$K$3,"N/A",EDATE(A370,1)))</f>
        <v>N/A</v>
      </c>
      <c r="B371" s="262" t="str">
        <f t="shared" si="438"/>
        <v xml:space="preserve"> </v>
      </c>
      <c r="C371" s="249" t="str">
        <f t="shared" si="439"/>
        <v xml:space="preserve"> </v>
      </c>
      <c r="D371" s="250" t="str">
        <f>IF(A371="N/A"," ",(VLOOKUP(MONTH($A371),Inputs!$A$14:$B$25,2))/1000)</f>
        <v xml:space="preserve"> </v>
      </c>
      <c r="E371" s="304" t="str">
        <f t="shared" si="440"/>
        <v xml:space="preserve"> </v>
      </c>
      <c r="F371" s="251" t="str">
        <f>IF(A371="N/A"," ",Inputs!$F$6)</f>
        <v xml:space="preserve"> </v>
      </c>
      <c r="G371" s="251" t="str">
        <f>IF(A371="N/A"," ",Inputs!$F$9/IF(AND('Pricing Inputs'!$AQ$3&gt;=4,'Pricing Inputs'!$AQ$3&lt;=6),16,IF(AND('Pricing Inputs'!$AQ$3&gt;=7,'Pricing Inputs'!$AQ$3&lt;=9),8,24))/(BA371/BW371))</f>
        <v xml:space="preserve"> </v>
      </c>
      <c r="H371" s="252" t="str">
        <f t="shared" si="441"/>
        <v xml:space="preserve"> </v>
      </c>
      <c r="I371" s="255" t="str">
        <f>VLOOKUP(A371,ScaledPrice,(IF(AND('Pricing Inputs'!$AQ$3&gt;=1,'Pricing Inputs'!$AQ$3&lt;=6),2,4)))</f>
        <v xml:space="preserve"> </v>
      </c>
      <c r="J371" s="255" t="str">
        <f>IF(A371="N/A"," ",IF(AND('Pricing Inputs'!$AQ$3&gt;=1,'Pricing Inputs'!$AQ$3&lt;=6),I371,(VLOOKUP(A371,ScaledPrice,2))*(2-(VLOOKUP(A371,ScaledPrice,3)))))</f>
        <v xml:space="preserve"> </v>
      </c>
      <c r="K371" s="255" t="str">
        <f>IF(A371="N/A"," ",IF(OR('Pricing Inputs'!$AQ$3=2,'Pricing Inputs'!$AQ$3=3,'Pricing Inputs'!$AQ$3=5,'Pricing Inputs'!$AQ$3=6,'Pricing Inputs'!$AQ$3=8,'Pricing Inputs'!$AQ$3=9),VLOOKUP(A371,ScaledPrice,IF(AND('Pricing Inputs'!$AQ$3&gt;=2,'Pricing Inputs'!$AQ$3&lt;=6),5,6)),0))</f>
        <v xml:space="preserve"> </v>
      </c>
      <c r="L371" s="255" t="str">
        <f>IF(A371="N/A"," ",IF(OR('Pricing Inputs'!$AQ$3=2,'Pricing Inputs'!$AQ$3=3,'Pricing Inputs'!$AQ$3=5,'Pricing Inputs'!$AQ$3=6,'Pricing Inputs'!$AQ$3=8,'Pricing Inputs'!$AQ$3=9),IF(AND('Pricing Inputs'!$AQ$3&gt;=2,'Pricing Inputs'!$AQ$3&lt;=6),K371,(VLOOKUP(A371,ScaledPrice,5))*(2-(VLOOKUP(A371,ScaledPrice,3)))),0))</f>
        <v xml:space="preserve"> </v>
      </c>
      <c r="M371" s="255" t="str">
        <f>IF(A371="N/A"," ",IF(OR('Pricing Inputs'!$AQ$3=3,'Pricing Inputs'!$AQ$3=6,'Pricing Inputs'!$AQ$3=9),(VLOOKUP(A371,ScaledPrice,IF(AND('Pricing Inputs'!$AQ$3&gt;=3,'Pricing Inputs'!$AQ$3&lt;=6),7,8))),0))</f>
        <v xml:space="preserve"> </v>
      </c>
      <c r="N371" s="255" t="str">
        <f>IF(A371="N/A"," ",IF(OR('Pricing Inputs'!$AQ$3=3,'Pricing Inputs'!$AQ$3=6,'Pricing Inputs'!$AQ$3=9),IF(AND('Pricing Inputs'!$AQ$3&gt;=3,'Pricing Inputs'!$AQ$3&lt;=6),M371,(VLOOKUP(A371,ScaledPrice,7))*(2-(VLOOKUP(A371,ScaledPrice,3)))),0))</f>
        <v xml:space="preserve"> </v>
      </c>
      <c r="O371" s="255" t="str">
        <f>IF(A371="N/A"," ",IF(AND('Pricing Inputs'!$AQ$3&gt;=1,'Pricing Inputs'!$AQ$3&lt;=3),VLOOKUP(A371,ScaledPrice,9),0))</f>
        <v xml:space="preserve"> </v>
      </c>
      <c r="P371" s="320" t="str">
        <f>IF($A371="N/A"," ",IF('Pricing Inputs'!$AN$8=2,(I371-H371),IF('Pricing Inputs'!$AN$3=2,IF((I371-$H371)&gt;0,I371-$H371,0),(_xll.xSPRDOPT(I371,$E371,$BU371,0,$BP371,$BS371,$BT371,($A371-Inputs!$D$1)+15,1,0)))))</f>
        <v xml:space="preserve"> </v>
      </c>
      <c r="Q371" s="320" t="str">
        <f>IF($A371="N/A"," ",IF('Pricing Inputs'!$AN$8=2,(J371-$H371),IF('Pricing Inputs'!$AN$3=2,IF((J371-$H371)&gt;0,J371-$H371,0),(_xll.xSPRDOPT(J371,$E371,$BU371,0,$BP371,$BS371,$BT371,($A371-Inputs!$D$1)+15,1,0)))))</f>
        <v xml:space="preserve"> </v>
      </c>
      <c r="R371" s="320" t="str">
        <f>IF($A371="N/A"," ",IF('Pricing Inputs'!$AN$8=2,(K371-$H371),IF('Pricing Inputs'!$AN$3=2,IF((K371-$H371)&gt;0,K371-$H371,0),(_xll.xSPRDOPT(K371,$E371,$BU371,0,$BP371,$BS371,$BT371,($A371-Inputs!$D$1)+15,1,0)))))</f>
        <v xml:space="preserve"> </v>
      </c>
      <c r="S371" s="320" t="str">
        <f>IF($A371="N/A"," ",IF('Pricing Inputs'!$AN$8=2,(L371-$H371),IF('Pricing Inputs'!$AN$3=2,IF((L371-$H371)&gt;0,L371-$H371,0),(_xll.xSPRDOPT(L371,$E371,$BU371,0,$BP371,$BS371,$BT371,($A371-Inputs!$D$1)+15,1,0)))))</f>
        <v xml:space="preserve"> </v>
      </c>
      <c r="T371" s="320" t="str">
        <f>IF($A371="N/A"," ",IF('Pricing Inputs'!$AN$8=2,(M371-$H371),IF('Pricing Inputs'!$AN$3=2,IF((M371-$H371)&gt;0,M371-$H371,0),(_xll.xSPRDOPT(M371,$E371,$BU371,0,$BP371,$BS371,$BT371,($A371-Inputs!$D$1)+15,1,0)))))</f>
        <v xml:space="preserve"> </v>
      </c>
      <c r="U371" s="320" t="str">
        <f>IF($A371="N/A"," ",IF('Pricing Inputs'!$AN$8=2,(N371-$H371),IF('Pricing Inputs'!$AN$3=2,IF((N371-$H371)&gt;0,N371-$H371,0),(_xll.xSPRDOPT(N371,$E371,$BU371,0,$BP371,$BS371,$BT371,($A371-Inputs!$D$1)+15,1,0)))))</f>
        <v xml:space="preserve"> </v>
      </c>
      <c r="V371" s="259" t="str">
        <f>IF($A371="N/A"," ",(IF('Pricing Inputs'!$AN$8=2,(O371-$H371),IF((O371-$H371)&lt;=0,0,(O371-$H371)))))</f>
        <v xml:space="preserve"> </v>
      </c>
      <c r="BA371" s="267" t="str">
        <f>IF($A371="N/A"," ",(IF(MONTH(A371)&gt;=4,IF(MONTH(A371)&lt;=10,Inputs!$F$13,Inputs!$F$14),Inputs!$F$14))*$BW371)</f>
        <v xml:space="preserve"> </v>
      </c>
      <c r="BN371" s="405" t="str">
        <f>IF(A371="N/A"," ",(VLOOKUP(A371,PowerVolTable,(IF('Pricing Inputs'!$AT$3=2,7,IF('Pricing Inputs'!$AT$3=1,6,8))),FALSE)))</f>
        <v xml:space="preserve"> </v>
      </c>
      <c r="BO371" s="405" t="str">
        <f>IF(A371="N/A"," ",(VLOOKUP(A371,IntraPowerVol,(IF('Pricing Inputs'!$AT$3=2,3,IF('Pricing Inputs'!$AT$3=1,2,4))),FALSE)*VLOOKUP(MONTH($A371),Inputs!$A$28:$B$39,2)))</f>
        <v xml:space="preserve"> </v>
      </c>
      <c r="BP371" s="406" t="str">
        <f t="shared" si="436"/>
        <v xml:space="preserve"> </v>
      </c>
      <c r="BQ371" s="405" t="str">
        <f>IF($A371="N/A"," ",(VLOOKUP($A371,GasVolTable,(IF('Pricing Inputs'!$AT$3=2,6,IF('Pricing Inputs'!$AT$3=1,7,5))),FALSE)))</f>
        <v xml:space="preserve"> </v>
      </c>
      <c r="BR371" s="405" t="str">
        <f>IF($A371="N/A"," ",(VLOOKUP($A371,OmicronVol,(IF('Pricing Inputs'!$AT$3=2,3,IF('Pricing Inputs'!$AT$3=1,4,2))),FALSE)))</f>
        <v xml:space="preserve"> </v>
      </c>
      <c r="BS371" s="406" t="str">
        <f>IF($A371="N/A"," ",IF('Pricing Inputs'!$AN$3=1,(IF(DateToday&gt;$A371,$BR371,((($BQ371^2)*((($A371-1)-DateToday)/((EOMONTH($A371,0)+1)-DateToday-15)))+((($BR371)^2)*((15)/((EOMONTH($A371,0)+1)-DateToday-15))))^0.5)),0.0001))</f>
        <v xml:space="preserve"> </v>
      </c>
      <c r="BT371" s="405" t="str">
        <f>IF($A371="N/A"," ",IF('Pricing Inputs'!$AN$3=1,(VLOOKUP($A371,CorrelationTable,2,FALSE)),0))</f>
        <v xml:space="preserve"> </v>
      </c>
      <c r="BU371" s="407" t="str">
        <f>IF($A371="N/A"," ",F371+G371+(D371*(VLOOKUP($A371,'Gas Curves'!$B$17:$P$310,14,FALSE))))</f>
        <v xml:space="preserve"> </v>
      </c>
      <c r="BV371" s="405" t="str">
        <f>IF($A371="N/A"," ",IF('Pricing Inputs'!$AW$3=1,0,(VLOOKUP($A371,InterestRatesTable,2))))</f>
        <v xml:space="preserve"> </v>
      </c>
      <c r="BW371" s="408" t="str">
        <f t="shared" si="437"/>
        <v xml:space="preserve"> </v>
      </c>
    </row>
    <row r="372" spans="1:75">
      <c r="A372" s="248" t="str">
        <f>IF(A371="N/A","N/A",IF(EDATE(A371,1)&gt;Inputs!$K$3,"N/A",EDATE(A371,1)))</f>
        <v>N/A</v>
      </c>
      <c r="B372" s="262" t="str">
        <f t="shared" si="438"/>
        <v xml:space="preserve"> </v>
      </c>
      <c r="C372" s="249" t="str">
        <f t="shared" si="439"/>
        <v xml:space="preserve"> </v>
      </c>
      <c r="D372" s="250" t="str">
        <f>IF(A372="N/A"," ",(VLOOKUP(MONTH($A372),Inputs!$A$14:$B$25,2))/1000)</f>
        <v xml:space="preserve"> </v>
      </c>
      <c r="E372" s="304" t="str">
        <f t="shared" si="440"/>
        <v xml:space="preserve"> </v>
      </c>
      <c r="F372" s="251" t="str">
        <f>IF(A372="N/A"," ",Inputs!$F$6)</f>
        <v xml:space="preserve"> </v>
      </c>
      <c r="G372" s="251" t="str">
        <f>IF(A372="N/A"," ",Inputs!$F$9/IF(AND('Pricing Inputs'!$AQ$3&gt;=4,'Pricing Inputs'!$AQ$3&lt;=6),16,IF(AND('Pricing Inputs'!$AQ$3&gt;=7,'Pricing Inputs'!$AQ$3&lt;=9),8,24))/(BA372/BW372))</f>
        <v xml:space="preserve"> </v>
      </c>
      <c r="H372" s="252" t="str">
        <f t="shared" si="441"/>
        <v xml:space="preserve"> </v>
      </c>
      <c r="I372" s="255" t="str">
        <f>VLOOKUP(A372,ScaledPrice,(IF(AND('Pricing Inputs'!$AQ$3&gt;=1,'Pricing Inputs'!$AQ$3&lt;=6),2,4)))</f>
        <v xml:space="preserve"> </v>
      </c>
      <c r="J372" s="255" t="str">
        <f>IF(A372="N/A"," ",IF(AND('Pricing Inputs'!$AQ$3&gt;=1,'Pricing Inputs'!$AQ$3&lt;=6),I372,(VLOOKUP(A372,ScaledPrice,2))*(2-(VLOOKUP(A372,ScaledPrice,3)))))</f>
        <v xml:space="preserve"> </v>
      </c>
      <c r="K372" s="255" t="str">
        <f>IF(A372="N/A"," ",IF(OR('Pricing Inputs'!$AQ$3=2,'Pricing Inputs'!$AQ$3=3,'Pricing Inputs'!$AQ$3=5,'Pricing Inputs'!$AQ$3=6,'Pricing Inputs'!$AQ$3=8,'Pricing Inputs'!$AQ$3=9),VLOOKUP(A372,ScaledPrice,IF(AND('Pricing Inputs'!$AQ$3&gt;=2,'Pricing Inputs'!$AQ$3&lt;=6),5,6)),0))</f>
        <v xml:space="preserve"> </v>
      </c>
      <c r="L372" s="255" t="str">
        <f>IF(A372="N/A"," ",IF(OR('Pricing Inputs'!$AQ$3=2,'Pricing Inputs'!$AQ$3=3,'Pricing Inputs'!$AQ$3=5,'Pricing Inputs'!$AQ$3=6,'Pricing Inputs'!$AQ$3=8,'Pricing Inputs'!$AQ$3=9),IF(AND('Pricing Inputs'!$AQ$3&gt;=2,'Pricing Inputs'!$AQ$3&lt;=6),K372,(VLOOKUP(A372,ScaledPrice,5))*(2-(VLOOKUP(A372,ScaledPrice,3)))),0))</f>
        <v xml:space="preserve"> </v>
      </c>
      <c r="M372" s="255" t="str">
        <f>IF(A372="N/A"," ",IF(OR('Pricing Inputs'!$AQ$3=3,'Pricing Inputs'!$AQ$3=6,'Pricing Inputs'!$AQ$3=9),(VLOOKUP(A372,ScaledPrice,IF(AND('Pricing Inputs'!$AQ$3&gt;=3,'Pricing Inputs'!$AQ$3&lt;=6),7,8))),0))</f>
        <v xml:space="preserve"> </v>
      </c>
      <c r="N372" s="255" t="str">
        <f>IF(A372="N/A"," ",IF(OR('Pricing Inputs'!$AQ$3=3,'Pricing Inputs'!$AQ$3=6,'Pricing Inputs'!$AQ$3=9),IF(AND('Pricing Inputs'!$AQ$3&gt;=3,'Pricing Inputs'!$AQ$3&lt;=6),M372,(VLOOKUP(A372,ScaledPrice,7))*(2-(VLOOKUP(A372,ScaledPrice,3)))),0))</f>
        <v xml:space="preserve"> </v>
      </c>
      <c r="O372" s="255" t="str">
        <f>IF(A372="N/A"," ",IF(AND('Pricing Inputs'!$AQ$3&gt;=1,'Pricing Inputs'!$AQ$3&lt;=3),VLOOKUP(A372,ScaledPrice,9),0))</f>
        <v xml:space="preserve"> </v>
      </c>
      <c r="P372" s="320" t="str">
        <f>IF($A372="N/A"," ",IF('Pricing Inputs'!$AN$8=2,(I372-H372),IF('Pricing Inputs'!$AN$3=2,IF((I372-$H372)&gt;0,I372-$H372,0),(_xll.xSPRDOPT(I372,$E372,$BU372,0,$BP372,$BS372,$BT372,($A372-Inputs!$D$1)+15,1,0)))))</f>
        <v xml:space="preserve"> </v>
      </c>
      <c r="Q372" s="320" t="str">
        <f>IF($A372="N/A"," ",IF('Pricing Inputs'!$AN$8=2,(J372-$H372),IF('Pricing Inputs'!$AN$3=2,IF((J372-$H372)&gt;0,J372-$H372,0),(_xll.xSPRDOPT(J372,$E372,$BU372,0,$BP372,$BS372,$BT372,($A372-Inputs!$D$1)+15,1,0)))))</f>
        <v xml:space="preserve"> </v>
      </c>
      <c r="R372" s="320" t="str">
        <f>IF($A372="N/A"," ",IF('Pricing Inputs'!$AN$8=2,(K372-$H372),IF('Pricing Inputs'!$AN$3=2,IF((K372-$H372)&gt;0,K372-$H372,0),(_xll.xSPRDOPT(K372,$E372,$BU372,0,$BP372,$BS372,$BT372,($A372-Inputs!$D$1)+15,1,0)))))</f>
        <v xml:space="preserve"> </v>
      </c>
      <c r="S372" s="320" t="str">
        <f>IF($A372="N/A"," ",IF('Pricing Inputs'!$AN$8=2,(L372-$H372),IF('Pricing Inputs'!$AN$3=2,IF((L372-$H372)&gt;0,L372-$H372,0),(_xll.xSPRDOPT(L372,$E372,$BU372,0,$BP372,$BS372,$BT372,($A372-Inputs!$D$1)+15,1,0)))))</f>
        <v xml:space="preserve"> </v>
      </c>
      <c r="T372" s="320" t="str">
        <f>IF($A372="N/A"," ",IF('Pricing Inputs'!$AN$8=2,(M372-$H372),IF('Pricing Inputs'!$AN$3=2,IF((M372-$H372)&gt;0,M372-$H372,0),(_xll.xSPRDOPT(M372,$E372,$BU372,0,$BP372,$BS372,$BT372,($A372-Inputs!$D$1)+15,1,0)))))</f>
        <v xml:space="preserve"> </v>
      </c>
      <c r="U372" s="320" t="str">
        <f>IF($A372="N/A"," ",IF('Pricing Inputs'!$AN$8=2,(N372-$H372),IF('Pricing Inputs'!$AN$3=2,IF((N372-$H372)&gt;0,N372-$H372,0),(_xll.xSPRDOPT(N372,$E372,$BU372,0,$BP372,$BS372,$BT372,($A372-Inputs!$D$1)+15,1,0)))))</f>
        <v xml:space="preserve"> </v>
      </c>
      <c r="V372" s="259" t="str">
        <f>IF($A372="N/A"," ",(IF('Pricing Inputs'!$AN$8=2,(O372-$H372),IF((O372-$H372)&lt;=0,0,(O372-$H372)))))</f>
        <v xml:space="preserve"> </v>
      </c>
      <c r="BA372" s="267" t="str">
        <f>IF($A372="N/A"," ",(IF(MONTH(A372)&gt;=4,IF(MONTH(A372)&lt;=10,Inputs!$F$13,Inputs!$F$14),Inputs!$F$14))*$BW372)</f>
        <v xml:space="preserve"> </v>
      </c>
      <c r="BN372" s="405" t="str">
        <f>IF(A372="N/A"," ",(VLOOKUP(A372,PowerVolTable,(IF('Pricing Inputs'!$AT$3=2,7,IF('Pricing Inputs'!$AT$3=1,6,8))),FALSE)))</f>
        <v xml:space="preserve"> </v>
      </c>
      <c r="BO372" s="405" t="str">
        <f>IF(A372="N/A"," ",(VLOOKUP(A372,IntraPowerVol,(IF('Pricing Inputs'!$AT$3=2,3,IF('Pricing Inputs'!$AT$3=1,2,4))),FALSE)*VLOOKUP(MONTH($A372),Inputs!$A$28:$B$39,2)))</f>
        <v xml:space="preserve"> </v>
      </c>
      <c r="BP372" s="406" t="str">
        <f t="shared" si="436"/>
        <v xml:space="preserve"> </v>
      </c>
      <c r="BQ372" s="405" t="str">
        <f>IF($A372="N/A"," ",(VLOOKUP($A372,GasVolTable,(IF('Pricing Inputs'!$AT$3=2,6,IF('Pricing Inputs'!$AT$3=1,7,5))),FALSE)))</f>
        <v xml:space="preserve"> </v>
      </c>
      <c r="BR372" s="405" t="str">
        <f>IF($A372="N/A"," ",(VLOOKUP($A372,OmicronVol,(IF('Pricing Inputs'!$AT$3=2,3,IF('Pricing Inputs'!$AT$3=1,4,2))),FALSE)))</f>
        <v xml:space="preserve"> </v>
      </c>
      <c r="BS372" s="406" t="str">
        <f>IF($A372="N/A"," ",IF('Pricing Inputs'!$AN$3=1,(IF(DateToday&gt;$A372,$BR372,((($BQ372^2)*((($A372-1)-DateToday)/((EOMONTH($A372,0)+1)-DateToday-15)))+((($BR372)^2)*((15)/((EOMONTH($A372,0)+1)-DateToday-15))))^0.5)),0.0001))</f>
        <v xml:space="preserve"> </v>
      </c>
      <c r="BT372" s="405" t="str">
        <f>IF($A372="N/A"," ",IF('Pricing Inputs'!$AN$3=1,(VLOOKUP($A372,CorrelationTable,2,FALSE)),0))</f>
        <v xml:space="preserve"> </v>
      </c>
      <c r="BU372" s="407" t="str">
        <f>IF($A372="N/A"," ",F372+G372+(D372*(VLOOKUP($A372,'Gas Curves'!$B$17:$P$310,14,FALSE))))</f>
        <v xml:space="preserve"> </v>
      </c>
      <c r="BV372" s="405" t="str">
        <f>IF($A372="N/A"," ",IF('Pricing Inputs'!$AW$3=1,0,(VLOOKUP($A372,InterestRatesTable,2))))</f>
        <v xml:space="preserve"> </v>
      </c>
      <c r="BW372" s="408" t="str">
        <f t="shared" si="437"/>
        <v xml:space="preserve"> </v>
      </c>
    </row>
    <row r="373" spans="1:75">
      <c r="A373" s="248" t="str">
        <f>IF(A372="N/A","N/A",IF(EDATE(A372,1)&gt;Inputs!$K$3,"N/A",EDATE(A372,1)))</f>
        <v>N/A</v>
      </c>
      <c r="B373" s="262" t="str">
        <f t="shared" si="438"/>
        <v xml:space="preserve"> </v>
      </c>
      <c r="C373" s="249" t="str">
        <f t="shared" si="439"/>
        <v xml:space="preserve"> </v>
      </c>
      <c r="D373" s="250" t="str">
        <f>IF(A373="N/A"," ",(VLOOKUP(MONTH($A373),Inputs!$A$14:$B$25,2))/1000)</f>
        <v xml:space="preserve"> </v>
      </c>
      <c r="E373" s="304" t="str">
        <f t="shared" si="440"/>
        <v xml:space="preserve"> </v>
      </c>
      <c r="F373" s="251" t="str">
        <f>IF(A373="N/A"," ",Inputs!$F$6)</f>
        <v xml:space="preserve"> </v>
      </c>
      <c r="G373" s="251" t="str">
        <f>IF(A373="N/A"," ",Inputs!$F$9/IF(AND('Pricing Inputs'!$AQ$3&gt;=4,'Pricing Inputs'!$AQ$3&lt;=6),16,IF(AND('Pricing Inputs'!$AQ$3&gt;=7,'Pricing Inputs'!$AQ$3&lt;=9),8,24))/(BA373/BW373))</f>
        <v xml:space="preserve"> </v>
      </c>
      <c r="H373" s="252" t="str">
        <f t="shared" si="441"/>
        <v xml:space="preserve"> </v>
      </c>
      <c r="I373" s="255" t="str">
        <f>VLOOKUP(A373,ScaledPrice,(IF(AND('Pricing Inputs'!$AQ$3&gt;=1,'Pricing Inputs'!$AQ$3&lt;=6),2,4)))</f>
        <v xml:space="preserve"> </v>
      </c>
      <c r="J373" s="255" t="str">
        <f>IF(A373="N/A"," ",IF(AND('Pricing Inputs'!$AQ$3&gt;=1,'Pricing Inputs'!$AQ$3&lt;=6),I373,(VLOOKUP(A373,ScaledPrice,2))*(2-(VLOOKUP(A373,ScaledPrice,3)))))</f>
        <v xml:space="preserve"> </v>
      </c>
      <c r="K373" s="255" t="str">
        <f>IF(A373="N/A"," ",IF(OR('Pricing Inputs'!$AQ$3=2,'Pricing Inputs'!$AQ$3=3,'Pricing Inputs'!$AQ$3=5,'Pricing Inputs'!$AQ$3=6,'Pricing Inputs'!$AQ$3=8,'Pricing Inputs'!$AQ$3=9),VLOOKUP(A373,ScaledPrice,IF(AND('Pricing Inputs'!$AQ$3&gt;=2,'Pricing Inputs'!$AQ$3&lt;=6),5,6)),0))</f>
        <v xml:space="preserve"> </v>
      </c>
      <c r="L373" s="255" t="str">
        <f>IF(A373="N/A"," ",IF(OR('Pricing Inputs'!$AQ$3=2,'Pricing Inputs'!$AQ$3=3,'Pricing Inputs'!$AQ$3=5,'Pricing Inputs'!$AQ$3=6,'Pricing Inputs'!$AQ$3=8,'Pricing Inputs'!$AQ$3=9),IF(AND('Pricing Inputs'!$AQ$3&gt;=2,'Pricing Inputs'!$AQ$3&lt;=6),K373,(VLOOKUP(A373,ScaledPrice,5))*(2-(VLOOKUP(A373,ScaledPrice,3)))),0))</f>
        <v xml:space="preserve"> </v>
      </c>
      <c r="M373" s="255" t="str">
        <f>IF(A373="N/A"," ",IF(OR('Pricing Inputs'!$AQ$3=3,'Pricing Inputs'!$AQ$3=6,'Pricing Inputs'!$AQ$3=9),(VLOOKUP(A373,ScaledPrice,IF(AND('Pricing Inputs'!$AQ$3&gt;=3,'Pricing Inputs'!$AQ$3&lt;=6),7,8))),0))</f>
        <v xml:space="preserve"> </v>
      </c>
      <c r="N373" s="255" t="str">
        <f>IF(A373="N/A"," ",IF(OR('Pricing Inputs'!$AQ$3=3,'Pricing Inputs'!$AQ$3=6,'Pricing Inputs'!$AQ$3=9),IF(AND('Pricing Inputs'!$AQ$3&gt;=3,'Pricing Inputs'!$AQ$3&lt;=6),M373,(VLOOKUP(A373,ScaledPrice,7))*(2-(VLOOKUP(A373,ScaledPrice,3)))),0))</f>
        <v xml:space="preserve"> </v>
      </c>
      <c r="O373" s="255" t="str">
        <f>IF(A373="N/A"," ",IF(AND('Pricing Inputs'!$AQ$3&gt;=1,'Pricing Inputs'!$AQ$3&lt;=3),VLOOKUP(A373,ScaledPrice,9),0))</f>
        <v xml:space="preserve"> </v>
      </c>
      <c r="P373" s="320" t="str">
        <f>IF($A373="N/A"," ",IF('Pricing Inputs'!$AN$8=2,(I373-H373),IF('Pricing Inputs'!$AN$3=2,IF((I373-$H373)&gt;0,I373-$H373,0),(_xll.xSPRDOPT(I373,$E373,$BU373,0,$BP373,$BS373,$BT373,($A373-Inputs!$D$1)+15,1,0)))))</f>
        <v xml:space="preserve"> </v>
      </c>
      <c r="Q373" s="320" t="str">
        <f>IF($A373="N/A"," ",IF('Pricing Inputs'!$AN$8=2,(J373-$H373),IF('Pricing Inputs'!$AN$3=2,IF((J373-$H373)&gt;0,J373-$H373,0),(_xll.xSPRDOPT(J373,$E373,$BU373,0,$BP373,$BS373,$BT373,($A373-Inputs!$D$1)+15,1,0)))))</f>
        <v xml:space="preserve"> </v>
      </c>
      <c r="R373" s="320" t="str">
        <f>IF($A373="N/A"," ",IF('Pricing Inputs'!$AN$8=2,(K373-$H373),IF('Pricing Inputs'!$AN$3=2,IF((K373-$H373)&gt;0,K373-$H373,0),(_xll.xSPRDOPT(K373,$E373,$BU373,0,$BP373,$BS373,$BT373,($A373-Inputs!$D$1)+15,1,0)))))</f>
        <v xml:space="preserve"> </v>
      </c>
      <c r="S373" s="320" t="str">
        <f>IF($A373="N/A"," ",IF('Pricing Inputs'!$AN$8=2,(L373-$H373),IF('Pricing Inputs'!$AN$3=2,IF((L373-$H373)&gt;0,L373-$H373,0),(_xll.xSPRDOPT(L373,$E373,$BU373,0,$BP373,$BS373,$BT373,($A373-Inputs!$D$1)+15,1,0)))))</f>
        <v xml:space="preserve"> </v>
      </c>
      <c r="T373" s="320" t="str">
        <f>IF($A373="N/A"," ",IF('Pricing Inputs'!$AN$8=2,(M373-$H373),IF('Pricing Inputs'!$AN$3=2,IF((M373-$H373)&gt;0,M373-$H373,0),(_xll.xSPRDOPT(M373,$E373,$BU373,0,$BP373,$BS373,$BT373,($A373-Inputs!$D$1)+15,1,0)))))</f>
        <v xml:space="preserve"> </v>
      </c>
      <c r="U373" s="320" t="str">
        <f>IF($A373="N/A"," ",IF('Pricing Inputs'!$AN$8=2,(N373-$H373),IF('Pricing Inputs'!$AN$3=2,IF((N373-$H373)&gt;0,N373-$H373,0),(_xll.xSPRDOPT(N373,$E373,$BU373,0,$BP373,$BS373,$BT373,($A373-Inputs!$D$1)+15,1,0)))))</f>
        <v xml:space="preserve"> </v>
      </c>
      <c r="V373" s="259" t="str">
        <f>IF($A373="N/A"," ",(IF('Pricing Inputs'!$AN$8=2,(O373-$H373),IF((O373-$H373)&lt;=0,0,(O373-$H373)))))</f>
        <v xml:space="preserve"> </v>
      </c>
      <c r="BA373" s="267" t="str">
        <f>IF($A373="N/A"," ",(IF(MONTH(A373)&gt;=4,IF(MONTH(A373)&lt;=10,Inputs!$F$13,Inputs!$F$14),Inputs!$F$14))*$BW373)</f>
        <v xml:space="preserve"> </v>
      </c>
      <c r="BN373" s="405" t="str">
        <f>IF(A373="N/A"," ",(VLOOKUP(A373,PowerVolTable,(IF('Pricing Inputs'!$AT$3=2,7,IF('Pricing Inputs'!$AT$3=1,6,8))),FALSE)))</f>
        <v xml:space="preserve"> </v>
      </c>
      <c r="BO373" s="405" t="str">
        <f>IF(A373="N/A"," ",(VLOOKUP(A373,IntraPowerVol,(IF('Pricing Inputs'!$AT$3=2,3,IF('Pricing Inputs'!$AT$3=1,2,4))),FALSE)*VLOOKUP(MONTH($A373),Inputs!$A$28:$B$39,2)))</f>
        <v xml:space="preserve"> </v>
      </c>
      <c r="BP373" s="406" t="str">
        <f t="shared" si="436"/>
        <v xml:space="preserve"> </v>
      </c>
      <c r="BQ373" s="405" t="str">
        <f>IF($A373="N/A"," ",(VLOOKUP($A373,GasVolTable,(IF('Pricing Inputs'!$AT$3=2,6,IF('Pricing Inputs'!$AT$3=1,7,5))),FALSE)))</f>
        <v xml:space="preserve"> </v>
      </c>
      <c r="BR373" s="405" t="str">
        <f>IF($A373="N/A"," ",(VLOOKUP($A373,OmicronVol,(IF('Pricing Inputs'!$AT$3=2,3,IF('Pricing Inputs'!$AT$3=1,4,2))),FALSE)))</f>
        <v xml:space="preserve"> </v>
      </c>
      <c r="BS373" s="406" t="str">
        <f>IF($A373="N/A"," ",IF('Pricing Inputs'!$AN$3=1,(IF(DateToday&gt;$A373,$BR373,((($BQ373^2)*((($A373-1)-DateToday)/((EOMONTH($A373,0)+1)-DateToday-15)))+((($BR373)^2)*((15)/((EOMONTH($A373,0)+1)-DateToday-15))))^0.5)),0.0001))</f>
        <v xml:space="preserve"> </v>
      </c>
      <c r="BT373" s="405" t="str">
        <f>IF($A373="N/A"," ",IF('Pricing Inputs'!$AN$3=1,(VLOOKUP($A373,CorrelationTable,2,FALSE)),0))</f>
        <v xml:space="preserve"> </v>
      </c>
      <c r="BU373" s="407" t="str">
        <f>IF($A373="N/A"," ",F373+G373+(D373*(VLOOKUP($A373,'Gas Curves'!$B$17:$P$310,14,FALSE))))</f>
        <v xml:space="preserve"> </v>
      </c>
      <c r="BV373" s="405" t="str">
        <f>IF($A373="N/A"," ",IF('Pricing Inputs'!$AW$3=1,0,(VLOOKUP($A373,InterestRatesTable,2))))</f>
        <v xml:space="preserve"> </v>
      </c>
      <c r="BW373" s="408" t="str">
        <f t="shared" si="437"/>
        <v xml:space="preserve"> </v>
      </c>
    </row>
    <row r="374" spans="1:75">
      <c r="A374" s="248" t="str">
        <f>IF(A373="N/A","N/A",IF(EDATE(A373,1)&gt;Inputs!$K$3,"N/A",EDATE(A373,1)))</f>
        <v>N/A</v>
      </c>
      <c r="B374" s="262" t="str">
        <f t="shared" si="438"/>
        <v xml:space="preserve"> </v>
      </c>
      <c r="C374" s="249" t="str">
        <f t="shared" si="439"/>
        <v xml:space="preserve"> </v>
      </c>
      <c r="D374" s="250" t="str">
        <f>IF(A374="N/A"," ",(VLOOKUP(MONTH($A374),Inputs!$A$14:$B$25,2))/1000)</f>
        <v xml:space="preserve"> </v>
      </c>
      <c r="E374" s="304" t="str">
        <f t="shared" si="440"/>
        <v xml:space="preserve"> </v>
      </c>
      <c r="F374" s="251" t="str">
        <f>IF(A374="N/A"," ",Inputs!$F$6)</f>
        <v xml:space="preserve"> </v>
      </c>
      <c r="G374" s="251" t="str">
        <f>IF(A374="N/A"," ",Inputs!$F$9/IF(AND('Pricing Inputs'!$AQ$3&gt;=4,'Pricing Inputs'!$AQ$3&lt;=6),16,IF(AND('Pricing Inputs'!$AQ$3&gt;=7,'Pricing Inputs'!$AQ$3&lt;=9),8,24))/(BA374/BW374))</f>
        <v xml:space="preserve"> </v>
      </c>
      <c r="H374" s="252" t="str">
        <f t="shared" si="441"/>
        <v xml:space="preserve"> </v>
      </c>
      <c r="I374" s="255" t="str">
        <f>VLOOKUP(A374,ScaledPrice,(IF(AND('Pricing Inputs'!$AQ$3&gt;=1,'Pricing Inputs'!$AQ$3&lt;=6),2,4)))</f>
        <v xml:space="preserve"> </v>
      </c>
      <c r="J374" s="255" t="str">
        <f>IF(A374="N/A"," ",IF(AND('Pricing Inputs'!$AQ$3&gt;=1,'Pricing Inputs'!$AQ$3&lt;=6),I374,(VLOOKUP(A374,ScaledPrice,2))*(2-(VLOOKUP(A374,ScaledPrice,3)))))</f>
        <v xml:space="preserve"> </v>
      </c>
      <c r="K374" s="255" t="str">
        <f>IF(A374="N/A"," ",IF(OR('Pricing Inputs'!$AQ$3=2,'Pricing Inputs'!$AQ$3=3,'Pricing Inputs'!$AQ$3=5,'Pricing Inputs'!$AQ$3=6,'Pricing Inputs'!$AQ$3=8,'Pricing Inputs'!$AQ$3=9),VLOOKUP(A374,ScaledPrice,IF(AND('Pricing Inputs'!$AQ$3&gt;=2,'Pricing Inputs'!$AQ$3&lt;=6),5,6)),0))</f>
        <v xml:space="preserve"> </v>
      </c>
      <c r="L374" s="255" t="str">
        <f>IF(A374="N/A"," ",IF(OR('Pricing Inputs'!$AQ$3=2,'Pricing Inputs'!$AQ$3=3,'Pricing Inputs'!$AQ$3=5,'Pricing Inputs'!$AQ$3=6,'Pricing Inputs'!$AQ$3=8,'Pricing Inputs'!$AQ$3=9),IF(AND('Pricing Inputs'!$AQ$3&gt;=2,'Pricing Inputs'!$AQ$3&lt;=6),K374,(VLOOKUP(A374,ScaledPrice,5))*(2-(VLOOKUP(A374,ScaledPrice,3)))),0))</f>
        <v xml:space="preserve"> </v>
      </c>
      <c r="M374" s="255" t="str">
        <f>IF(A374="N/A"," ",IF(OR('Pricing Inputs'!$AQ$3=3,'Pricing Inputs'!$AQ$3=6,'Pricing Inputs'!$AQ$3=9),(VLOOKUP(A374,ScaledPrice,IF(AND('Pricing Inputs'!$AQ$3&gt;=3,'Pricing Inputs'!$AQ$3&lt;=6),7,8))),0))</f>
        <v xml:space="preserve"> </v>
      </c>
      <c r="N374" s="255" t="str">
        <f>IF(A374="N/A"," ",IF(OR('Pricing Inputs'!$AQ$3=3,'Pricing Inputs'!$AQ$3=6,'Pricing Inputs'!$AQ$3=9),IF(AND('Pricing Inputs'!$AQ$3&gt;=3,'Pricing Inputs'!$AQ$3&lt;=6),M374,(VLOOKUP(A374,ScaledPrice,7))*(2-(VLOOKUP(A374,ScaledPrice,3)))),0))</f>
        <v xml:space="preserve"> </v>
      </c>
      <c r="O374" s="255" t="str">
        <f>IF(A374="N/A"," ",IF(AND('Pricing Inputs'!$AQ$3&gt;=1,'Pricing Inputs'!$AQ$3&lt;=3),VLOOKUP(A374,ScaledPrice,9),0))</f>
        <v xml:space="preserve"> </v>
      </c>
      <c r="P374" s="320" t="str">
        <f>IF($A374="N/A"," ",IF('Pricing Inputs'!$AN$8=2,(I374-H374),IF('Pricing Inputs'!$AN$3=2,IF((I374-$H374)&gt;0,I374-$H374,0),(_xll.xSPRDOPT(I374,$E374,$BU374,0,$BP374,$BS374,$BT374,($A374-Inputs!$D$1)+15,1,0)))))</f>
        <v xml:space="preserve"> </v>
      </c>
      <c r="Q374" s="320" t="str">
        <f>IF($A374="N/A"," ",IF('Pricing Inputs'!$AN$8=2,(J374-$H374),IF('Pricing Inputs'!$AN$3=2,IF((J374-$H374)&gt;0,J374-$H374,0),(_xll.xSPRDOPT(J374,$E374,$BU374,0,$BP374,$BS374,$BT374,($A374-Inputs!$D$1)+15,1,0)))))</f>
        <v xml:space="preserve"> </v>
      </c>
      <c r="R374" s="320" t="str">
        <f>IF($A374="N/A"," ",IF('Pricing Inputs'!$AN$8=2,(K374-$H374),IF('Pricing Inputs'!$AN$3=2,IF((K374-$H374)&gt;0,K374-$H374,0),(_xll.xSPRDOPT(K374,$E374,$BU374,0,$BP374,$BS374,$BT374,($A374-Inputs!$D$1)+15,1,0)))))</f>
        <v xml:space="preserve"> </v>
      </c>
      <c r="S374" s="320" t="str">
        <f>IF($A374="N/A"," ",IF('Pricing Inputs'!$AN$8=2,(L374-$H374),IF('Pricing Inputs'!$AN$3=2,IF((L374-$H374)&gt;0,L374-$H374,0),(_xll.xSPRDOPT(L374,$E374,$BU374,0,$BP374,$BS374,$BT374,($A374-Inputs!$D$1)+15,1,0)))))</f>
        <v xml:space="preserve"> </v>
      </c>
      <c r="T374" s="320" t="str">
        <f>IF($A374="N/A"," ",IF('Pricing Inputs'!$AN$8=2,(M374-$H374),IF('Pricing Inputs'!$AN$3=2,IF((M374-$H374)&gt;0,M374-$H374,0),(_xll.xSPRDOPT(M374,$E374,$BU374,0,$BP374,$BS374,$BT374,($A374-Inputs!$D$1)+15,1,0)))))</f>
        <v xml:space="preserve"> </v>
      </c>
      <c r="U374" s="320" t="str">
        <f>IF($A374="N/A"," ",IF('Pricing Inputs'!$AN$8=2,(N374-$H374),IF('Pricing Inputs'!$AN$3=2,IF((N374-$H374)&gt;0,N374-$H374,0),(_xll.xSPRDOPT(N374,$E374,$BU374,0,$BP374,$BS374,$BT374,($A374-Inputs!$D$1)+15,1,0)))))</f>
        <v xml:space="preserve"> </v>
      </c>
      <c r="V374" s="259" t="str">
        <f>IF($A374="N/A"," ",(IF('Pricing Inputs'!$AN$8=2,(O374-$H374),IF((O374-$H374)&lt;=0,0,(O374-$H374)))))</f>
        <v xml:space="preserve"> </v>
      </c>
      <c r="BA374" s="267" t="str">
        <f>IF($A374="N/A"," ",(IF(MONTH(A374)&gt;=4,IF(MONTH(A374)&lt;=10,Inputs!$F$13,Inputs!$F$14),Inputs!$F$14))*$BW374)</f>
        <v xml:space="preserve"> </v>
      </c>
      <c r="BN374" s="405" t="str">
        <f>IF(A374="N/A"," ",(VLOOKUP(A374,PowerVolTable,(IF('Pricing Inputs'!$AT$3=2,7,IF('Pricing Inputs'!$AT$3=1,6,8))),FALSE)))</f>
        <v xml:space="preserve"> </v>
      </c>
      <c r="BO374" s="405" t="str">
        <f>IF(A374="N/A"," ",(VLOOKUP(A374,IntraPowerVol,(IF('Pricing Inputs'!$AT$3=2,3,IF('Pricing Inputs'!$AT$3=1,2,4))),FALSE)*VLOOKUP(MONTH($A374),Inputs!$A$28:$B$39,2)))</f>
        <v xml:space="preserve"> </v>
      </c>
      <c r="BP374" s="406" t="str">
        <f t="shared" si="436"/>
        <v xml:space="preserve"> </v>
      </c>
      <c r="BQ374" s="405" t="str">
        <f>IF($A374="N/A"," ",(VLOOKUP($A374,GasVolTable,(IF('Pricing Inputs'!$AT$3=2,6,IF('Pricing Inputs'!$AT$3=1,7,5))),FALSE)))</f>
        <v xml:space="preserve"> </v>
      </c>
      <c r="BR374" s="405" t="str">
        <f>IF($A374="N/A"," ",(VLOOKUP($A374,OmicronVol,(IF('Pricing Inputs'!$AT$3=2,3,IF('Pricing Inputs'!$AT$3=1,4,2))),FALSE)))</f>
        <v xml:space="preserve"> </v>
      </c>
      <c r="BS374" s="406" t="str">
        <f>IF($A374="N/A"," ",IF('Pricing Inputs'!$AN$3=1,(IF(DateToday&gt;$A374,$BR374,((($BQ374^2)*((($A374-1)-DateToday)/((EOMONTH($A374,0)+1)-DateToday-15)))+((($BR374)^2)*((15)/((EOMONTH($A374,0)+1)-DateToday-15))))^0.5)),0.0001))</f>
        <v xml:space="preserve"> </v>
      </c>
      <c r="BT374" s="405" t="str">
        <f>IF($A374="N/A"," ",IF('Pricing Inputs'!$AN$3=1,(VLOOKUP($A374,CorrelationTable,2,FALSE)),0))</f>
        <v xml:space="preserve"> </v>
      </c>
      <c r="BU374" s="407" t="str">
        <f>IF($A374="N/A"," ",F374+G374+(D374*(VLOOKUP($A374,'Gas Curves'!$B$17:$P$310,14,FALSE))))</f>
        <v xml:space="preserve"> </v>
      </c>
      <c r="BV374" s="405" t="str">
        <f>IF($A374="N/A"," ",IF('Pricing Inputs'!$AW$3=1,0,(VLOOKUP($A374,InterestRatesTable,2))))</f>
        <v xml:space="preserve"> </v>
      </c>
      <c r="BW374" s="408" t="str">
        <f t="shared" si="437"/>
        <v xml:space="preserve"> </v>
      </c>
    </row>
    <row r="375" spans="1:75">
      <c r="A375" s="248" t="str">
        <f>IF(A374="N/A","N/A",IF(EDATE(A374,1)&gt;Inputs!$K$3,"N/A",EDATE(A374,1)))</f>
        <v>N/A</v>
      </c>
      <c r="B375" s="262" t="str">
        <f t="shared" si="438"/>
        <v xml:space="preserve"> </v>
      </c>
      <c r="C375" s="249" t="str">
        <f t="shared" si="439"/>
        <v xml:space="preserve"> </v>
      </c>
      <c r="D375" s="250" t="str">
        <f>IF(A375="N/A"," ",(VLOOKUP(MONTH($A375),Inputs!$A$14:$B$25,2))/1000)</f>
        <v xml:space="preserve"> </v>
      </c>
      <c r="E375" s="304" t="str">
        <f t="shared" si="440"/>
        <v xml:space="preserve"> </v>
      </c>
      <c r="F375" s="251" t="str">
        <f>IF(A375="N/A"," ",Inputs!$F$6)</f>
        <v xml:space="preserve"> </v>
      </c>
      <c r="G375" s="251" t="str">
        <f>IF(A375="N/A"," ",Inputs!$F$9/IF(AND('Pricing Inputs'!$AQ$3&gt;=4,'Pricing Inputs'!$AQ$3&lt;=6),16,IF(AND('Pricing Inputs'!$AQ$3&gt;=7,'Pricing Inputs'!$AQ$3&lt;=9),8,24))/(BA375/BW375))</f>
        <v xml:space="preserve"> </v>
      </c>
      <c r="H375" s="252" t="str">
        <f t="shared" si="441"/>
        <v xml:space="preserve"> </v>
      </c>
      <c r="I375" s="255" t="str">
        <f>VLOOKUP(A375,ScaledPrice,(IF(AND('Pricing Inputs'!$AQ$3&gt;=1,'Pricing Inputs'!$AQ$3&lt;=6),2,4)))</f>
        <v xml:space="preserve"> </v>
      </c>
      <c r="J375" s="255" t="str">
        <f>IF(A375="N/A"," ",IF(AND('Pricing Inputs'!$AQ$3&gt;=1,'Pricing Inputs'!$AQ$3&lt;=6),I375,(VLOOKUP(A375,ScaledPrice,2))*(2-(VLOOKUP(A375,ScaledPrice,3)))))</f>
        <v xml:space="preserve"> </v>
      </c>
      <c r="K375" s="255" t="str">
        <f>IF(A375="N/A"," ",IF(OR('Pricing Inputs'!$AQ$3=2,'Pricing Inputs'!$AQ$3=3,'Pricing Inputs'!$AQ$3=5,'Pricing Inputs'!$AQ$3=6,'Pricing Inputs'!$AQ$3=8,'Pricing Inputs'!$AQ$3=9),VLOOKUP(A375,ScaledPrice,IF(AND('Pricing Inputs'!$AQ$3&gt;=2,'Pricing Inputs'!$AQ$3&lt;=6),5,6)),0))</f>
        <v xml:space="preserve"> </v>
      </c>
      <c r="L375" s="255" t="str">
        <f>IF(A375="N/A"," ",IF(OR('Pricing Inputs'!$AQ$3=2,'Pricing Inputs'!$AQ$3=3,'Pricing Inputs'!$AQ$3=5,'Pricing Inputs'!$AQ$3=6,'Pricing Inputs'!$AQ$3=8,'Pricing Inputs'!$AQ$3=9),IF(AND('Pricing Inputs'!$AQ$3&gt;=2,'Pricing Inputs'!$AQ$3&lt;=6),K375,(VLOOKUP(A375,ScaledPrice,5))*(2-(VLOOKUP(A375,ScaledPrice,3)))),0))</f>
        <v xml:space="preserve"> </v>
      </c>
      <c r="M375" s="255" t="str">
        <f>IF(A375="N/A"," ",IF(OR('Pricing Inputs'!$AQ$3=3,'Pricing Inputs'!$AQ$3=6,'Pricing Inputs'!$AQ$3=9),(VLOOKUP(A375,ScaledPrice,IF(AND('Pricing Inputs'!$AQ$3&gt;=3,'Pricing Inputs'!$AQ$3&lt;=6),7,8))),0))</f>
        <v xml:space="preserve"> </v>
      </c>
      <c r="N375" s="255" t="str">
        <f>IF(A375="N/A"," ",IF(OR('Pricing Inputs'!$AQ$3=3,'Pricing Inputs'!$AQ$3=6,'Pricing Inputs'!$AQ$3=9),IF(AND('Pricing Inputs'!$AQ$3&gt;=3,'Pricing Inputs'!$AQ$3&lt;=6),M375,(VLOOKUP(A375,ScaledPrice,7))*(2-(VLOOKUP(A375,ScaledPrice,3)))),0))</f>
        <v xml:space="preserve"> </v>
      </c>
      <c r="O375" s="255" t="str">
        <f>IF(A375="N/A"," ",IF(AND('Pricing Inputs'!$AQ$3&gt;=1,'Pricing Inputs'!$AQ$3&lt;=3),VLOOKUP(A375,ScaledPrice,9),0))</f>
        <v xml:space="preserve"> </v>
      </c>
      <c r="P375" s="320" t="str">
        <f>IF($A375="N/A"," ",IF('Pricing Inputs'!$AN$8=2,(I375-H375),IF('Pricing Inputs'!$AN$3=2,IF((I375-$H375)&gt;0,I375-$H375,0),(_xll.xSPRDOPT(I375,$E375,$BU375,0,$BP375,$BS375,$BT375,($A375-Inputs!$D$1)+15,1,0)))))</f>
        <v xml:space="preserve"> </v>
      </c>
      <c r="Q375" s="320" t="str">
        <f>IF($A375="N/A"," ",IF('Pricing Inputs'!$AN$8=2,(J375-$H375),IF('Pricing Inputs'!$AN$3=2,IF((J375-$H375)&gt;0,J375-$H375,0),(_xll.xSPRDOPT(J375,$E375,$BU375,0,$BP375,$BS375,$BT375,($A375-Inputs!$D$1)+15,1,0)))))</f>
        <v xml:space="preserve"> </v>
      </c>
      <c r="R375" s="320" t="str">
        <f>IF($A375="N/A"," ",IF('Pricing Inputs'!$AN$8=2,(K375-$H375),IF('Pricing Inputs'!$AN$3=2,IF((K375-$H375)&gt;0,K375-$H375,0),(_xll.xSPRDOPT(K375,$E375,$BU375,0,$BP375,$BS375,$BT375,($A375-Inputs!$D$1)+15,1,0)))))</f>
        <v xml:space="preserve"> </v>
      </c>
      <c r="S375" s="320" t="str">
        <f>IF($A375="N/A"," ",IF('Pricing Inputs'!$AN$8=2,(L375-$H375),IF('Pricing Inputs'!$AN$3=2,IF((L375-$H375)&gt;0,L375-$H375,0),(_xll.xSPRDOPT(L375,$E375,$BU375,0,$BP375,$BS375,$BT375,($A375-Inputs!$D$1)+15,1,0)))))</f>
        <v xml:space="preserve"> </v>
      </c>
      <c r="T375" s="320" t="str">
        <f>IF($A375="N/A"," ",IF('Pricing Inputs'!$AN$8=2,(M375-$H375),IF('Pricing Inputs'!$AN$3=2,IF((M375-$H375)&gt;0,M375-$H375,0),(_xll.xSPRDOPT(M375,$E375,$BU375,0,$BP375,$BS375,$BT375,($A375-Inputs!$D$1)+15,1,0)))))</f>
        <v xml:space="preserve"> </v>
      </c>
      <c r="U375" s="320" t="str">
        <f>IF($A375="N/A"," ",IF('Pricing Inputs'!$AN$8=2,(N375-$H375),IF('Pricing Inputs'!$AN$3=2,IF((N375-$H375)&gt;0,N375-$H375,0),(_xll.xSPRDOPT(N375,$E375,$BU375,0,$BP375,$BS375,$BT375,($A375-Inputs!$D$1)+15,1,0)))))</f>
        <v xml:space="preserve"> </v>
      </c>
      <c r="V375" s="259" t="str">
        <f>IF($A375="N/A"," ",(IF('Pricing Inputs'!$AN$8=2,(O375-$H375),IF((O375-$H375)&lt;=0,0,(O375-$H375)))))</f>
        <v xml:space="preserve"> </v>
      </c>
      <c r="BA375" s="267" t="str">
        <f>IF($A375="N/A"," ",(IF(MONTH(A375)&gt;=4,IF(MONTH(A375)&lt;=10,Inputs!$F$13,Inputs!$F$14),Inputs!$F$14))*$BW375)</f>
        <v xml:space="preserve"> </v>
      </c>
      <c r="BN375" s="405" t="str">
        <f>IF(A375="N/A"," ",(VLOOKUP(A375,PowerVolTable,(IF('Pricing Inputs'!$AT$3=2,7,IF('Pricing Inputs'!$AT$3=1,6,8))),FALSE)))</f>
        <v xml:space="preserve"> </v>
      </c>
      <c r="BO375" s="405" t="str">
        <f>IF(A375="N/A"," ",(VLOOKUP(A375,IntraPowerVol,(IF('Pricing Inputs'!$AT$3=2,3,IF('Pricing Inputs'!$AT$3=1,2,4))),FALSE)*VLOOKUP(MONTH($A375),Inputs!$A$28:$B$39,2)))</f>
        <v xml:space="preserve"> </v>
      </c>
      <c r="BP375" s="406" t="str">
        <f t="shared" si="436"/>
        <v xml:space="preserve"> </v>
      </c>
      <c r="BQ375" s="405" t="str">
        <f>IF($A375="N/A"," ",(VLOOKUP($A375,GasVolTable,(IF('Pricing Inputs'!$AT$3=2,6,IF('Pricing Inputs'!$AT$3=1,7,5))),FALSE)))</f>
        <v xml:space="preserve"> </v>
      </c>
      <c r="BR375" s="405" t="str">
        <f>IF($A375="N/A"," ",(VLOOKUP($A375,OmicronVol,(IF('Pricing Inputs'!$AT$3=2,3,IF('Pricing Inputs'!$AT$3=1,4,2))),FALSE)))</f>
        <v xml:space="preserve"> </v>
      </c>
      <c r="BS375" s="406" t="str">
        <f>IF($A375="N/A"," ",IF('Pricing Inputs'!$AN$3=1,(IF(DateToday&gt;$A375,$BR375,((($BQ375^2)*((($A375-1)-DateToday)/((EOMONTH($A375,0)+1)-DateToday-15)))+((($BR375)^2)*((15)/((EOMONTH($A375,0)+1)-DateToday-15))))^0.5)),0.0001))</f>
        <v xml:space="preserve"> </v>
      </c>
      <c r="BT375" s="405" t="str">
        <f>IF($A375="N/A"," ",IF('Pricing Inputs'!$AN$3=1,(VLOOKUP($A375,CorrelationTable,2,FALSE)),0))</f>
        <v xml:space="preserve"> </v>
      </c>
      <c r="BU375" s="407" t="str">
        <f>IF($A375="N/A"," ",F375+G375+(D375*(VLOOKUP($A375,'Gas Curves'!$B$17:$P$310,14,FALSE))))</f>
        <v xml:space="preserve"> </v>
      </c>
      <c r="BV375" s="405" t="str">
        <f>IF($A375="N/A"," ",IF('Pricing Inputs'!$AW$3=1,0,(VLOOKUP($A375,InterestRatesTable,2))))</f>
        <v xml:space="preserve"> </v>
      </c>
      <c r="BW375" s="408" t="str">
        <f t="shared" si="437"/>
        <v xml:space="preserve"> </v>
      </c>
    </row>
    <row r="376" spans="1:75">
      <c r="A376" s="248" t="str">
        <f>IF(A375="N/A","N/A",IF(EDATE(A375,1)&gt;Inputs!$K$3,"N/A",EDATE(A375,1)))</f>
        <v>N/A</v>
      </c>
      <c r="B376" s="262" t="str">
        <f t="shared" si="438"/>
        <v xml:space="preserve"> </v>
      </c>
      <c r="C376" s="249" t="str">
        <f t="shared" si="439"/>
        <v xml:space="preserve"> </v>
      </c>
      <c r="D376" s="250" t="str">
        <f>IF(A376="N/A"," ",(VLOOKUP(MONTH($A376),Inputs!$A$14:$B$25,2))/1000)</f>
        <v xml:space="preserve"> </v>
      </c>
      <c r="E376" s="304" t="str">
        <f t="shared" si="440"/>
        <v xml:space="preserve"> </v>
      </c>
      <c r="F376" s="251" t="str">
        <f>IF(A376="N/A"," ",Inputs!$F$6)</f>
        <v xml:space="preserve"> </v>
      </c>
      <c r="G376" s="251" t="str">
        <f>IF(A376="N/A"," ",Inputs!$F$9/IF(AND('Pricing Inputs'!$AQ$3&gt;=4,'Pricing Inputs'!$AQ$3&lt;=6),16,IF(AND('Pricing Inputs'!$AQ$3&gt;=7,'Pricing Inputs'!$AQ$3&lt;=9),8,24))/(BA376/BW376))</f>
        <v xml:space="preserve"> </v>
      </c>
      <c r="H376" s="252" t="str">
        <f t="shared" si="441"/>
        <v xml:space="preserve"> </v>
      </c>
      <c r="I376" s="255" t="str">
        <f>VLOOKUP(A376,ScaledPrice,(IF(AND('Pricing Inputs'!$AQ$3&gt;=1,'Pricing Inputs'!$AQ$3&lt;=6),2,4)))</f>
        <v xml:space="preserve"> </v>
      </c>
      <c r="J376" s="255" t="str">
        <f>IF(A376="N/A"," ",IF(AND('Pricing Inputs'!$AQ$3&gt;=1,'Pricing Inputs'!$AQ$3&lt;=6),I376,(VLOOKUP(A376,ScaledPrice,2))*(2-(VLOOKUP(A376,ScaledPrice,3)))))</f>
        <v xml:space="preserve"> </v>
      </c>
      <c r="K376" s="255" t="str">
        <f>IF(A376="N/A"," ",IF(OR('Pricing Inputs'!$AQ$3=2,'Pricing Inputs'!$AQ$3=3,'Pricing Inputs'!$AQ$3=5,'Pricing Inputs'!$AQ$3=6,'Pricing Inputs'!$AQ$3=8,'Pricing Inputs'!$AQ$3=9),VLOOKUP(A376,ScaledPrice,IF(AND('Pricing Inputs'!$AQ$3&gt;=2,'Pricing Inputs'!$AQ$3&lt;=6),5,6)),0))</f>
        <v xml:space="preserve"> </v>
      </c>
      <c r="L376" s="255" t="str">
        <f>IF(A376="N/A"," ",IF(OR('Pricing Inputs'!$AQ$3=2,'Pricing Inputs'!$AQ$3=3,'Pricing Inputs'!$AQ$3=5,'Pricing Inputs'!$AQ$3=6,'Pricing Inputs'!$AQ$3=8,'Pricing Inputs'!$AQ$3=9),IF(AND('Pricing Inputs'!$AQ$3&gt;=2,'Pricing Inputs'!$AQ$3&lt;=6),K376,(VLOOKUP(A376,ScaledPrice,5))*(2-(VLOOKUP(A376,ScaledPrice,3)))),0))</f>
        <v xml:space="preserve"> </v>
      </c>
      <c r="M376" s="255" t="str">
        <f>IF(A376="N/A"," ",IF(OR('Pricing Inputs'!$AQ$3=3,'Pricing Inputs'!$AQ$3=6,'Pricing Inputs'!$AQ$3=9),(VLOOKUP(A376,ScaledPrice,IF(AND('Pricing Inputs'!$AQ$3&gt;=3,'Pricing Inputs'!$AQ$3&lt;=6),7,8))),0))</f>
        <v xml:space="preserve"> </v>
      </c>
      <c r="N376" s="255" t="str">
        <f>IF(A376="N/A"," ",IF(OR('Pricing Inputs'!$AQ$3=3,'Pricing Inputs'!$AQ$3=6,'Pricing Inputs'!$AQ$3=9),IF(AND('Pricing Inputs'!$AQ$3&gt;=3,'Pricing Inputs'!$AQ$3&lt;=6),M376,(VLOOKUP(A376,ScaledPrice,7))*(2-(VLOOKUP(A376,ScaledPrice,3)))),0))</f>
        <v xml:space="preserve"> </v>
      </c>
      <c r="O376" s="255" t="str">
        <f>IF(A376="N/A"," ",IF(AND('Pricing Inputs'!$AQ$3&gt;=1,'Pricing Inputs'!$AQ$3&lt;=3),VLOOKUP(A376,ScaledPrice,9),0))</f>
        <v xml:space="preserve"> </v>
      </c>
      <c r="P376" s="320" t="str">
        <f>IF($A376="N/A"," ",IF('Pricing Inputs'!$AN$8=2,(I376-H376),IF('Pricing Inputs'!$AN$3=2,IF((I376-$H376)&gt;0,I376-$H376,0),(_xll.xSPRDOPT(I376,$E376,$BU376,0,$BP376,$BS376,$BT376,($A376-Inputs!$D$1)+15,1,0)))))</f>
        <v xml:space="preserve"> </v>
      </c>
      <c r="Q376" s="320" t="str">
        <f>IF($A376="N/A"," ",IF('Pricing Inputs'!$AN$8=2,(J376-$H376),IF('Pricing Inputs'!$AN$3=2,IF((J376-$H376)&gt;0,J376-$H376,0),(_xll.xSPRDOPT(J376,$E376,$BU376,0,$BP376,$BS376,$BT376,($A376-Inputs!$D$1)+15,1,0)))))</f>
        <v xml:space="preserve"> </v>
      </c>
      <c r="R376" s="320" t="str">
        <f>IF($A376="N/A"," ",IF('Pricing Inputs'!$AN$8=2,(K376-$H376),IF('Pricing Inputs'!$AN$3=2,IF((K376-$H376)&gt;0,K376-$H376,0),(_xll.xSPRDOPT(K376,$E376,$BU376,0,$BP376,$BS376,$BT376,($A376-Inputs!$D$1)+15,1,0)))))</f>
        <v xml:space="preserve"> </v>
      </c>
      <c r="S376" s="320" t="str">
        <f>IF($A376="N/A"," ",IF('Pricing Inputs'!$AN$8=2,(L376-$H376),IF('Pricing Inputs'!$AN$3=2,IF((L376-$H376)&gt;0,L376-$H376,0),(_xll.xSPRDOPT(L376,$E376,$BU376,0,$BP376,$BS376,$BT376,($A376-Inputs!$D$1)+15,1,0)))))</f>
        <v xml:space="preserve"> </v>
      </c>
      <c r="T376" s="320" t="str">
        <f>IF($A376="N/A"," ",IF('Pricing Inputs'!$AN$8=2,(M376-$H376),IF('Pricing Inputs'!$AN$3=2,IF((M376-$H376)&gt;0,M376-$H376,0),(_xll.xSPRDOPT(M376,$E376,$BU376,0,$BP376,$BS376,$BT376,($A376-Inputs!$D$1)+15,1,0)))))</f>
        <v xml:space="preserve"> </v>
      </c>
      <c r="U376" s="320" t="str">
        <f>IF($A376="N/A"," ",IF('Pricing Inputs'!$AN$8=2,(N376-$H376),IF('Pricing Inputs'!$AN$3=2,IF((N376-$H376)&gt;0,N376-$H376,0),(_xll.xSPRDOPT(N376,$E376,$BU376,0,$BP376,$BS376,$BT376,($A376-Inputs!$D$1)+15,1,0)))))</f>
        <v xml:space="preserve"> </v>
      </c>
      <c r="V376" s="259" t="str">
        <f>IF($A376="N/A"," ",(IF('Pricing Inputs'!$AN$8=2,(O376-$H376),IF((O376-$H376)&lt;=0,0,(O376-$H376)))))</f>
        <v xml:space="preserve"> </v>
      </c>
      <c r="BA376" s="267" t="str">
        <f>IF($A376="N/A"," ",(IF(MONTH(A376)&gt;=4,IF(MONTH(A376)&lt;=10,Inputs!$F$13,Inputs!$F$14),Inputs!$F$14))*$BW376)</f>
        <v xml:space="preserve"> </v>
      </c>
      <c r="BN376" s="405" t="str">
        <f>IF(A376="N/A"," ",(VLOOKUP(A376,PowerVolTable,(IF('Pricing Inputs'!$AT$3=2,7,IF('Pricing Inputs'!$AT$3=1,6,8))),FALSE)))</f>
        <v xml:space="preserve"> </v>
      </c>
      <c r="BO376" s="405" t="str">
        <f>IF(A376="N/A"," ",(VLOOKUP(A376,IntraPowerVol,(IF('Pricing Inputs'!$AT$3=2,3,IF('Pricing Inputs'!$AT$3=1,2,4))),FALSE)*VLOOKUP(MONTH($A376),Inputs!$A$28:$B$39,2)))</f>
        <v xml:space="preserve"> </v>
      </c>
      <c r="BP376" s="406" t="str">
        <f t="shared" si="436"/>
        <v xml:space="preserve"> </v>
      </c>
      <c r="BQ376" s="405" t="str">
        <f>IF($A376="N/A"," ",(VLOOKUP($A376,GasVolTable,(IF('Pricing Inputs'!$AT$3=2,6,IF('Pricing Inputs'!$AT$3=1,7,5))),FALSE)))</f>
        <v xml:space="preserve"> </v>
      </c>
      <c r="BR376" s="405" t="str">
        <f>IF($A376="N/A"," ",(VLOOKUP($A376,OmicronVol,(IF('Pricing Inputs'!$AT$3=2,3,IF('Pricing Inputs'!$AT$3=1,4,2))),FALSE)))</f>
        <v xml:space="preserve"> </v>
      </c>
      <c r="BS376" s="406" t="str">
        <f>IF($A376="N/A"," ",IF('Pricing Inputs'!$AN$3=1,(IF(DateToday&gt;$A376,$BR376,((($BQ376^2)*((($A376-1)-DateToday)/((EOMONTH($A376,0)+1)-DateToday-15)))+((($BR376)^2)*((15)/((EOMONTH($A376,0)+1)-DateToday-15))))^0.5)),0.0001))</f>
        <v xml:space="preserve"> </v>
      </c>
      <c r="BT376" s="405" t="str">
        <f>IF($A376="N/A"," ",IF('Pricing Inputs'!$AN$3=1,(VLOOKUP($A376,CorrelationTable,2,FALSE)),0))</f>
        <v xml:space="preserve"> </v>
      </c>
      <c r="BU376" s="407" t="str">
        <f>IF($A376="N/A"," ",F376+G376+(D376*(VLOOKUP($A376,'Gas Curves'!$B$17:$P$310,14,FALSE))))</f>
        <v xml:space="preserve"> </v>
      </c>
      <c r="BV376" s="405" t="str">
        <f>IF($A376="N/A"," ",IF('Pricing Inputs'!$AW$3=1,0,(VLOOKUP($A376,InterestRatesTable,2))))</f>
        <v xml:space="preserve"> </v>
      </c>
      <c r="BW376" s="408" t="str">
        <f t="shared" si="437"/>
        <v xml:space="preserve"> </v>
      </c>
    </row>
    <row r="377" spans="1:75">
      <c r="A377" s="248" t="str">
        <f>IF(A376="N/A","N/A",IF(EDATE(A376,1)&gt;Inputs!$K$3,"N/A",EDATE(A376,1)))</f>
        <v>N/A</v>
      </c>
      <c r="B377" s="262" t="str">
        <f t="shared" si="438"/>
        <v xml:space="preserve"> </v>
      </c>
      <c r="C377" s="249" t="str">
        <f t="shared" si="439"/>
        <v xml:space="preserve"> </v>
      </c>
      <c r="D377" s="250" t="str">
        <f>IF(A377="N/A"," ",(VLOOKUP(MONTH($A377),Inputs!$A$14:$B$25,2))/1000)</f>
        <v xml:space="preserve"> </v>
      </c>
      <c r="E377" s="304" t="str">
        <f t="shared" si="440"/>
        <v xml:space="preserve"> </v>
      </c>
      <c r="F377" s="251" t="str">
        <f>IF(A377="N/A"," ",Inputs!$F$6)</f>
        <v xml:space="preserve"> </v>
      </c>
      <c r="G377" s="251" t="str">
        <f>IF(A377="N/A"," ",Inputs!$F$9/IF(AND('Pricing Inputs'!$AQ$3&gt;=4,'Pricing Inputs'!$AQ$3&lt;=6),16,IF(AND('Pricing Inputs'!$AQ$3&gt;=7,'Pricing Inputs'!$AQ$3&lt;=9),8,24))/(BA377/BW377))</f>
        <v xml:space="preserve"> </v>
      </c>
      <c r="H377" s="252" t="str">
        <f t="shared" si="441"/>
        <v xml:space="preserve"> </v>
      </c>
      <c r="I377" s="255" t="str">
        <f>VLOOKUP(A377,ScaledPrice,(IF(AND('Pricing Inputs'!$AQ$3&gt;=1,'Pricing Inputs'!$AQ$3&lt;=6),2,4)))</f>
        <v xml:space="preserve"> </v>
      </c>
      <c r="J377" s="255" t="str">
        <f>IF(A377="N/A"," ",IF(AND('Pricing Inputs'!$AQ$3&gt;=1,'Pricing Inputs'!$AQ$3&lt;=6),I377,(VLOOKUP(A377,ScaledPrice,2))*(2-(VLOOKUP(A377,ScaledPrice,3)))))</f>
        <v xml:space="preserve"> </v>
      </c>
      <c r="K377" s="255" t="str">
        <f>IF(A377="N/A"," ",IF(OR('Pricing Inputs'!$AQ$3=2,'Pricing Inputs'!$AQ$3=3,'Pricing Inputs'!$AQ$3=5,'Pricing Inputs'!$AQ$3=6,'Pricing Inputs'!$AQ$3=8,'Pricing Inputs'!$AQ$3=9),VLOOKUP(A377,ScaledPrice,IF(AND('Pricing Inputs'!$AQ$3&gt;=2,'Pricing Inputs'!$AQ$3&lt;=6),5,6)),0))</f>
        <v xml:space="preserve"> </v>
      </c>
      <c r="L377" s="255" t="str">
        <f>IF(A377="N/A"," ",IF(OR('Pricing Inputs'!$AQ$3=2,'Pricing Inputs'!$AQ$3=3,'Pricing Inputs'!$AQ$3=5,'Pricing Inputs'!$AQ$3=6,'Pricing Inputs'!$AQ$3=8,'Pricing Inputs'!$AQ$3=9),IF(AND('Pricing Inputs'!$AQ$3&gt;=2,'Pricing Inputs'!$AQ$3&lt;=6),K377,(VLOOKUP(A377,ScaledPrice,5))*(2-(VLOOKUP(A377,ScaledPrice,3)))),0))</f>
        <v xml:space="preserve"> </v>
      </c>
      <c r="M377" s="255" t="str">
        <f>IF(A377="N/A"," ",IF(OR('Pricing Inputs'!$AQ$3=3,'Pricing Inputs'!$AQ$3=6,'Pricing Inputs'!$AQ$3=9),(VLOOKUP(A377,ScaledPrice,IF(AND('Pricing Inputs'!$AQ$3&gt;=3,'Pricing Inputs'!$AQ$3&lt;=6),7,8))),0))</f>
        <v xml:space="preserve"> </v>
      </c>
      <c r="N377" s="255" t="str">
        <f>IF(A377="N/A"," ",IF(OR('Pricing Inputs'!$AQ$3=3,'Pricing Inputs'!$AQ$3=6,'Pricing Inputs'!$AQ$3=9),IF(AND('Pricing Inputs'!$AQ$3&gt;=3,'Pricing Inputs'!$AQ$3&lt;=6),M377,(VLOOKUP(A377,ScaledPrice,7))*(2-(VLOOKUP(A377,ScaledPrice,3)))),0))</f>
        <v xml:space="preserve"> </v>
      </c>
      <c r="O377" s="255" t="str">
        <f>IF(A377="N/A"," ",IF(AND('Pricing Inputs'!$AQ$3&gt;=1,'Pricing Inputs'!$AQ$3&lt;=3),VLOOKUP(A377,ScaledPrice,9),0))</f>
        <v xml:space="preserve"> </v>
      </c>
      <c r="P377" s="320" t="str">
        <f>IF($A377="N/A"," ",IF('Pricing Inputs'!$AN$8=2,(I377-H377),IF('Pricing Inputs'!$AN$3=2,IF((I377-$H377)&gt;0,I377-$H377,0),(_xll.xSPRDOPT(I377,$E377,$BU377,0,$BP377,$BS377,$BT377,($A377-Inputs!$D$1)+15,1,0)))))</f>
        <v xml:space="preserve"> </v>
      </c>
      <c r="Q377" s="320" t="str">
        <f>IF($A377="N/A"," ",IF('Pricing Inputs'!$AN$8=2,(J377-$H377),IF('Pricing Inputs'!$AN$3=2,IF((J377-$H377)&gt;0,J377-$H377,0),(_xll.xSPRDOPT(J377,$E377,$BU377,0,$BP377,$BS377,$BT377,($A377-Inputs!$D$1)+15,1,0)))))</f>
        <v xml:space="preserve"> </v>
      </c>
      <c r="R377" s="320" t="str">
        <f>IF($A377="N/A"," ",IF('Pricing Inputs'!$AN$8=2,(K377-$H377),IF('Pricing Inputs'!$AN$3=2,IF((K377-$H377)&gt;0,K377-$H377,0),(_xll.xSPRDOPT(K377,$E377,$BU377,0,$BP377,$BS377,$BT377,($A377-Inputs!$D$1)+15,1,0)))))</f>
        <v xml:space="preserve"> </v>
      </c>
      <c r="S377" s="320" t="str">
        <f>IF($A377="N/A"," ",IF('Pricing Inputs'!$AN$8=2,(L377-$H377),IF('Pricing Inputs'!$AN$3=2,IF((L377-$H377)&gt;0,L377-$H377,0),(_xll.xSPRDOPT(L377,$E377,$BU377,0,$BP377,$BS377,$BT377,($A377-Inputs!$D$1)+15,1,0)))))</f>
        <v xml:space="preserve"> </v>
      </c>
      <c r="T377" s="320" t="str">
        <f>IF($A377="N/A"," ",IF('Pricing Inputs'!$AN$8=2,(M377-$H377),IF('Pricing Inputs'!$AN$3=2,IF((M377-$H377)&gt;0,M377-$H377,0),(_xll.xSPRDOPT(M377,$E377,$BU377,0,$BP377,$BS377,$BT377,($A377-Inputs!$D$1)+15,1,0)))))</f>
        <v xml:space="preserve"> </v>
      </c>
      <c r="U377" s="320" t="str">
        <f>IF($A377="N/A"," ",IF('Pricing Inputs'!$AN$8=2,(N377-$H377),IF('Pricing Inputs'!$AN$3=2,IF((N377-$H377)&gt;0,N377-$H377,0),(_xll.xSPRDOPT(N377,$E377,$BU377,0,$BP377,$BS377,$BT377,($A377-Inputs!$D$1)+15,1,0)))))</f>
        <v xml:space="preserve"> </v>
      </c>
      <c r="V377" s="259" t="str">
        <f>IF($A377="N/A"," ",(IF('Pricing Inputs'!$AN$8=2,(O377-$H377),IF((O377-$H377)&lt;=0,0,(O377-$H377)))))</f>
        <v xml:space="preserve"> </v>
      </c>
      <c r="BA377" s="267" t="str">
        <f>IF($A377="N/A"," ",(IF(MONTH(A377)&gt;=4,IF(MONTH(A377)&lt;=10,Inputs!$F$13,Inputs!$F$14),Inputs!$F$14))*$BW377)</f>
        <v xml:space="preserve"> </v>
      </c>
      <c r="BN377" s="405" t="str">
        <f>IF(A377="N/A"," ",(VLOOKUP(A377,PowerVolTable,(IF('Pricing Inputs'!$AT$3=2,7,IF('Pricing Inputs'!$AT$3=1,6,8))),FALSE)))</f>
        <v xml:space="preserve"> </v>
      </c>
      <c r="BO377" s="405" t="str">
        <f>IF(A377="N/A"," ",(VLOOKUP(A377,IntraPowerVol,(IF('Pricing Inputs'!$AT$3=2,3,IF('Pricing Inputs'!$AT$3=1,2,4))),FALSE)*VLOOKUP(MONTH($A377),Inputs!$A$28:$B$39,2)))</f>
        <v xml:space="preserve"> </v>
      </c>
      <c r="BP377" s="406" t="str">
        <f t="shared" si="436"/>
        <v xml:space="preserve"> </v>
      </c>
      <c r="BQ377" s="405" t="str">
        <f>IF($A377="N/A"," ",(VLOOKUP($A377,GasVolTable,(IF('Pricing Inputs'!$AT$3=2,6,IF('Pricing Inputs'!$AT$3=1,7,5))),FALSE)))</f>
        <v xml:space="preserve"> </v>
      </c>
      <c r="BR377" s="405" t="str">
        <f>IF($A377="N/A"," ",(VLOOKUP($A377,OmicronVol,(IF('Pricing Inputs'!$AT$3=2,3,IF('Pricing Inputs'!$AT$3=1,4,2))),FALSE)))</f>
        <v xml:space="preserve"> </v>
      </c>
      <c r="BS377" s="406" t="str">
        <f>IF($A377="N/A"," ",IF('Pricing Inputs'!$AN$3=1,(IF(DateToday&gt;$A377,$BR377,((($BQ377^2)*((($A377-1)-DateToday)/((EOMONTH($A377,0)+1)-DateToday-15)))+((($BR377)^2)*((15)/((EOMONTH($A377,0)+1)-DateToday-15))))^0.5)),0.0001))</f>
        <v xml:space="preserve"> </v>
      </c>
      <c r="BT377" s="405" t="str">
        <f>IF($A377="N/A"," ",IF('Pricing Inputs'!$AN$3=1,(VLOOKUP($A377,CorrelationTable,2,FALSE)),0))</f>
        <v xml:space="preserve"> </v>
      </c>
      <c r="BU377" s="407" t="str">
        <f>IF($A377="N/A"," ",F377+G377+(D377*(VLOOKUP($A377,'Gas Curves'!$B$17:$P$310,14,FALSE))))</f>
        <v xml:space="preserve"> </v>
      </c>
      <c r="BV377" s="405" t="str">
        <f>IF($A377="N/A"," ",IF('Pricing Inputs'!$AW$3=1,0,(VLOOKUP($A377,InterestRatesTable,2))))</f>
        <v xml:space="preserve"> </v>
      </c>
      <c r="BW377" s="408" t="str">
        <f t="shared" si="437"/>
        <v xml:space="preserve"> </v>
      </c>
    </row>
    <row r="378" spans="1:75">
      <c r="A378" s="248" t="str">
        <f>IF(A377="N/A","N/A",IF(EDATE(A377,1)&gt;Inputs!$K$3,"N/A",EDATE(A377,1)))</f>
        <v>N/A</v>
      </c>
      <c r="B378" s="262" t="str">
        <f t="shared" si="438"/>
        <v xml:space="preserve"> </v>
      </c>
      <c r="C378" s="249" t="str">
        <f t="shared" si="439"/>
        <v xml:space="preserve"> </v>
      </c>
      <c r="D378" s="250" t="str">
        <f>IF(A378="N/A"," ",(VLOOKUP(MONTH($A378),Inputs!$A$14:$B$25,2))/1000)</f>
        <v xml:space="preserve"> </v>
      </c>
      <c r="E378" s="304" t="str">
        <f t="shared" si="440"/>
        <v xml:space="preserve"> </v>
      </c>
      <c r="F378" s="251" t="str">
        <f>IF(A378="N/A"," ",Inputs!$F$6)</f>
        <v xml:space="preserve"> </v>
      </c>
      <c r="G378" s="251" t="str">
        <f>IF(A378="N/A"," ",Inputs!$F$9/IF(AND('Pricing Inputs'!$AQ$3&gt;=4,'Pricing Inputs'!$AQ$3&lt;=6),16,IF(AND('Pricing Inputs'!$AQ$3&gt;=7,'Pricing Inputs'!$AQ$3&lt;=9),8,24))/(BA378/BW378))</f>
        <v xml:space="preserve"> </v>
      </c>
      <c r="H378" s="252" t="str">
        <f t="shared" si="441"/>
        <v xml:space="preserve"> </v>
      </c>
      <c r="I378" s="255" t="str">
        <f>VLOOKUP(A378,ScaledPrice,(IF(AND('Pricing Inputs'!$AQ$3&gt;=1,'Pricing Inputs'!$AQ$3&lt;=6),2,4)))</f>
        <v xml:space="preserve"> </v>
      </c>
      <c r="J378" s="255" t="str">
        <f>IF(A378="N/A"," ",IF(AND('Pricing Inputs'!$AQ$3&gt;=1,'Pricing Inputs'!$AQ$3&lt;=6),I378,(VLOOKUP(A378,ScaledPrice,2))*(2-(VLOOKUP(A378,ScaledPrice,3)))))</f>
        <v xml:space="preserve"> </v>
      </c>
      <c r="K378" s="255" t="str">
        <f>IF(A378="N/A"," ",IF(OR('Pricing Inputs'!$AQ$3=2,'Pricing Inputs'!$AQ$3=3,'Pricing Inputs'!$AQ$3=5,'Pricing Inputs'!$AQ$3=6,'Pricing Inputs'!$AQ$3=8,'Pricing Inputs'!$AQ$3=9),VLOOKUP(A378,ScaledPrice,IF(AND('Pricing Inputs'!$AQ$3&gt;=2,'Pricing Inputs'!$AQ$3&lt;=6),5,6)),0))</f>
        <v xml:space="preserve"> </v>
      </c>
      <c r="L378" s="255" t="str">
        <f>IF(A378="N/A"," ",IF(OR('Pricing Inputs'!$AQ$3=2,'Pricing Inputs'!$AQ$3=3,'Pricing Inputs'!$AQ$3=5,'Pricing Inputs'!$AQ$3=6,'Pricing Inputs'!$AQ$3=8,'Pricing Inputs'!$AQ$3=9),IF(AND('Pricing Inputs'!$AQ$3&gt;=2,'Pricing Inputs'!$AQ$3&lt;=6),K378,(VLOOKUP(A378,ScaledPrice,5))*(2-(VLOOKUP(A378,ScaledPrice,3)))),0))</f>
        <v xml:space="preserve"> </v>
      </c>
      <c r="M378" s="255" t="str">
        <f>IF(A378="N/A"," ",IF(OR('Pricing Inputs'!$AQ$3=3,'Pricing Inputs'!$AQ$3=6,'Pricing Inputs'!$AQ$3=9),(VLOOKUP(A378,ScaledPrice,IF(AND('Pricing Inputs'!$AQ$3&gt;=3,'Pricing Inputs'!$AQ$3&lt;=6),7,8))),0))</f>
        <v xml:space="preserve"> </v>
      </c>
      <c r="N378" s="255" t="str">
        <f>IF(A378="N/A"," ",IF(OR('Pricing Inputs'!$AQ$3=3,'Pricing Inputs'!$AQ$3=6,'Pricing Inputs'!$AQ$3=9),IF(AND('Pricing Inputs'!$AQ$3&gt;=3,'Pricing Inputs'!$AQ$3&lt;=6),M378,(VLOOKUP(A378,ScaledPrice,7))*(2-(VLOOKUP(A378,ScaledPrice,3)))),0))</f>
        <v xml:space="preserve"> </v>
      </c>
      <c r="O378" s="255" t="str">
        <f>IF(A378="N/A"," ",IF(AND('Pricing Inputs'!$AQ$3&gt;=1,'Pricing Inputs'!$AQ$3&lt;=3),VLOOKUP(A378,ScaledPrice,9),0))</f>
        <v xml:space="preserve"> </v>
      </c>
      <c r="P378" s="320" t="str">
        <f>IF($A378="N/A"," ",IF('Pricing Inputs'!$AN$8=2,(I378-H378),IF('Pricing Inputs'!$AN$3=2,IF((I378-$H378)&gt;0,I378-$H378,0),(_xll.xSPRDOPT(I378,$E378,$BU378,0,$BP378,$BS378,$BT378,($A378-Inputs!$D$1)+15,1,0)))))</f>
        <v xml:space="preserve"> </v>
      </c>
      <c r="Q378" s="320" t="str">
        <f>IF($A378="N/A"," ",IF('Pricing Inputs'!$AN$8=2,(J378-$H378),IF('Pricing Inputs'!$AN$3=2,IF((J378-$H378)&gt;0,J378-$H378,0),(_xll.xSPRDOPT(J378,$E378,$BU378,0,$BP378,$BS378,$BT378,($A378-Inputs!$D$1)+15,1,0)))))</f>
        <v xml:space="preserve"> </v>
      </c>
      <c r="R378" s="320" t="str">
        <f>IF($A378="N/A"," ",IF('Pricing Inputs'!$AN$8=2,(K378-$H378),IF('Pricing Inputs'!$AN$3=2,IF((K378-$H378)&gt;0,K378-$H378,0),(_xll.xSPRDOPT(K378,$E378,$BU378,0,$BP378,$BS378,$BT378,($A378-Inputs!$D$1)+15,1,0)))))</f>
        <v xml:space="preserve"> </v>
      </c>
      <c r="S378" s="320" t="str">
        <f>IF($A378="N/A"," ",IF('Pricing Inputs'!$AN$8=2,(L378-$H378),IF('Pricing Inputs'!$AN$3=2,IF((L378-$H378)&gt;0,L378-$H378,0),(_xll.xSPRDOPT(L378,$E378,$BU378,0,$BP378,$BS378,$BT378,($A378-Inputs!$D$1)+15,1,0)))))</f>
        <v xml:space="preserve"> </v>
      </c>
      <c r="T378" s="320" t="str">
        <f>IF($A378="N/A"," ",IF('Pricing Inputs'!$AN$8=2,(M378-$H378),IF('Pricing Inputs'!$AN$3=2,IF((M378-$H378)&gt;0,M378-$H378,0),(_xll.xSPRDOPT(M378,$E378,$BU378,0,$BP378,$BS378,$BT378,($A378-Inputs!$D$1)+15,1,0)))))</f>
        <v xml:space="preserve"> </v>
      </c>
      <c r="U378" s="320" t="str">
        <f>IF($A378="N/A"," ",IF('Pricing Inputs'!$AN$8=2,(N378-$H378),IF('Pricing Inputs'!$AN$3=2,IF((N378-$H378)&gt;0,N378-$H378,0),(_xll.xSPRDOPT(N378,$E378,$BU378,0,$BP378,$BS378,$BT378,($A378-Inputs!$D$1)+15,1,0)))))</f>
        <v xml:space="preserve"> </v>
      </c>
      <c r="V378" s="259" t="str">
        <f>IF($A378="N/A"," ",(IF('Pricing Inputs'!$AN$8=2,(O378-$H378),IF((O378-$H378)&lt;=0,0,(O378-$H378)))))</f>
        <v xml:space="preserve"> </v>
      </c>
      <c r="BA378" s="267" t="str">
        <f>IF($A378="N/A"," ",(IF(MONTH(A378)&gt;=4,IF(MONTH(A378)&lt;=10,Inputs!$F$13,Inputs!$F$14),Inputs!$F$14))*$BW378)</f>
        <v xml:space="preserve"> </v>
      </c>
      <c r="BN378" s="405" t="str">
        <f>IF(A378="N/A"," ",(VLOOKUP(A378,PowerVolTable,(IF('Pricing Inputs'!$AT$3=2,7,IF('Pricing Inputs'!$AT$3=1,6,8))),FALSE)))</f>
        <v xml:space="preserve"> </v>
      </c>
      <c r="BO378" s="405" t="str">
        <f>IF(A378="N/A"," ",(VLOOKUP(A378,IntraPowerVol,(IF('Pricing Inputs'!$AT$3=2,3,IF('Pricing Inputs'!$AT$3=1,2,4))),FALSE)*VLOOKUP(MONTH($A378),Inputs!$A$28:$B$39,2)))</f>
        <v xml:space="preserve"> </v>
      </c>
      <c r="BP378" s="406" t="str">
        <f t="shared" si="436"/>
        <v xml:space="preserve"> </v>
      </c>
      <c r="BQ378" s="405" t="str">
        <f>IF($A378="N/A"," ",(VLOOKUP($A378,GasVolTable,(IF('Pricing Inputs'!$AT$3=2,6,IF('Pricing Inputs'!$AT$3=1,7,5))),FALSE)))</f>
        <v xml:space="preserve"> </v>
      </c>
      <c r="BR378" s="405" t="str">
        <f>IF($A378="N/A"," ",(VLOOKUP($A378,OmicronVol,(IF('Pricing Inputs'!$AT$3=2,3,IF('Pricing Inputs'!$AT$3=1,4,2))),FALSE)))</f>
        <v xml:space="preserve"> </v>
      </c>
      <c r="BS378" s="406" t="str">
        <f>IF($A378="N/A"," ",IF('Pricing Inputs'!$AN$3=1,(IF(DateToday&gt;$A378,$BR378,((($BQ378^2)*((($A378-1)-DateToday)/((EOMONTH($A378,0)+1)-DateToday-15)))+((($BR378)^2)*((15)/((EOMONTH($A378,0)+1)-DateToday-15))))^0.5)),0.0001))</f>
        <v xml:space="preserve"> </v>
      </c>
      <c r="BT378" s="405" t="str">
        <f>IF($A378="N/A"," ",IF('Pricing Inputs'!$AN$3=1,(VLOOKUP($A378,CorrelationTable,2,FALSE)),0))</f>
        <v xml:space="preserve"> </v>
      </c>
      <c r="BU378" s="407" t="str">
        <f>IF($A378="N/A"," ",F378+G378+(D378*(VLOOKUP($A378,'Gas Curves'!$B$17:$P$310,14,FALSE))))</f>
        <v xml:space="preserve"> </v>
      </c>
      <c r="BV378" s="405" t="str">
        <f>IF($A378="N/A"," ",IF('Pricing Inputs'!$AW$3=1,0,(VLOOKUP($A378,InterestRatesTable,2))))</f>
        <v xml:space="preserve"> </v>
      </c>
      <c r="BW378" s="408" t="str">
        <f t="shared" si="437"/>
        <v xml:space="preserve"> </v>
      </c>
    </row>
    <row r="379" spans="1:75">
      <c r="A379" s="248" t="str">
        <f>IF(A378="N/A","N/A",IF(EDATE(A378,1)&gt;Inputs!$K$3,"N/A",EDATE(A378,1)))</f>
        <v>N/A</v>
      </c>
      <c r="B379" s="262" t="str">
        <f t="shared" si="438"/>
        <v xml:space="preserve"> </v>
      </c>
      <c r="C379" s="249" t="str">
        <f t="shared" si="439"/>
        <v xml:space="preserve"> </v>
      </c>
      <c r="D379" s="250" t="str">
        <f>IF(A379="N/A"," ",(VLOOKUP(MONTH($A379),Inputs!$A$14:$B$25,2))/1000)</f>
        <v xml:space="preserve"> </v>
      </c>
      <c r="E379" s="304" t="str">
        <f t="shared" si="440"/>
        <v xml:space="preserve"> </v>
      </c>
      <c r="F379" s="251" t="str">
        <f>IF(A379="N/A"," ",Inputs!$F$6)</f>
        <v xml:space="preserve"> </v>
      </c>
      <c r="G379" s="251" t="str">
        <f>IF(A379="N/A"," ",Inputs!$F$9/IF(AND('Pricing Inputs'!$AQ$3&gt;=4,'Pricing Inputs'!$AQ$3&lt;=6),16,IF(AND('Pricing Inputs'!$AQ$3&gt;=7,'Pricing Inputs'!$AQ$3&lt;=9),8,24))/(BA379/BW379))</f>
        <v xml:space="preserve"> </v>
      </c>
      <c r="H379" s="252" t="str">
        <f t="shared" si="441"/>
        <v xml:space="preserve"> </v>
      </c>
      <c r="I379" s="255" t="str">
        <f>VLOOKUP(A379,ScaledPrice,(IF(AND('Pricing Inputs'!$AQ$3&gt;=1,'Pricing Inputs'!$AQ$3&lt;=6),2,4)))</f>
        <v xml:space="preserve"> </v>
      </c>
      <c r="J379" s="255" t="str">
        <f>IF(A379="N/A"," ",IF(AND('Pricing Inputs'!$AQ$3&gt;=1,'Pricing Inputs'!$AQ$3&lt;=6),I379,(VLOOKUP(A379,ScaledPrice,2))*(2-(VLOOKUP(A379,ScaledPrice,3)))))</f>
        <v xml:space="preserve"> </v>
      </c>
      <c r="K379" s="255" t="str">
        <f>IF(A379="N/A"," ",IF(OR('Pricing Inputs'!$AQ$3=2,'Pricing Inputs'!$AQ$3=3,'Pricing Inputs'!$AQ$3=5,'Pricing Inputs'!$AQ$3=6,'Pricing Inputs'!$AQ$3=8,'Pricing Inputs'!$AQ$3=9),VLOOKUP(A379,ScaledPrice,IF(AND('Pricing Inputs'!$AQ$3&gt;=2,'Pricing Inputs'!$AQ$3&lt;=6),5,6)),0))</f>
        <v xml:space="preserve"> </v>
      </c>
      <c r="L379" s="255" t="str">
        <f>IF(A379="N/A"," ",IF(OR('Pricing Inputs'!$AQ$3=2,'Pricing Inputs'!$AQ$3=3,'Pricing Inputs'!$AQ$3=5,'Pricing Inputs'!$AQ$3=6,'Pricing Inputs'!$AQ$3=8,'Pricing Inputs'!$AQ$3=9),IF(AND('Pricing Inputs'!$AQ$3&gt;=2,'Pricing Inputs'!$AQ$3&lt;=6),K379,(VLOOKUP(A379,ScaledPrice,5))*(2-(VLOOKUP(A379,ScaledPrice,3)))),0))</f>
        <v xml:space="preserve"> </v>
      </c>
      <c r="M379" s="255" t="str">
        <f>IF(A379="N/A"," ",IF(OR('Pricing Inputs'!$AQ$3=3,'Pricing Inputs'!$AQ$3=6,'Pricing Inputs'!$AQ$3=9),(VLOOKUP(A379,ScaledPrice,IF(AND('Pricing Inputs'!$AQ$3&gt;=3,'Pricing Inputs'!$AQ$3&lt;=6),7,8))),0))</f>
        <v xml:space="preserve"> </v>
      </c>
      <c r="N379" s="255" t="str">
        <f>IF(A379="N/A"," ",IF(OR('Pricing Inputs'!$AQ$3=3,'Pricing Inputs'!$AQ$3=6,'Pricing Inputs'!$AQ$3=9),IF(AND('Pricing Inputs'!$AQ$3&gt;=3,'Pricing Inputs'!$AQ$3&lt;=6),M379,(VLOOKUP(A379,ScaledPrice,7))*(2-(VLOOKUP(A379,ScaledPrice,3)))),0))</f>
        <v xml:space="preserve"> </v>
      </c>
      <c r="O379" s="255" t="str">
        <f>IF(A379="N/A"," ",IF(AND('Pricing Inputs'!$AQ$3&gt;=1,'Pricing Inputs'!$AQ$3&lt;=3),VLOOKUP(A379,ScaledPrice,9),0))</f>
        <v xml:space="preserve"> </v>
      </c>
      <c r="P379" s="320" t="str">
        <f>IF($A379="N/A"," ",IF('Pricing Inputs'!$AN$8=2,(I379-H379),IF('Pricing Inputs'!$AN$3=2,IF((I379-$H379)&gt;0,I379-$H379,0),(_xll.xSPRDOPT(I379,$E379,$BU379,0,$BP379,$BS379,$BT379,($A379-Inputs!$D$1)+15,1,0)))))</f>
        <v xml:space="preserve"> </v>
      </c>
      <c r="Q379" s="320" t="str">
        <f>IF($A379="N/A"," ",IF('Pricing Inputs'!$AN$8=2,(J379-$H379),IF('Pricing Inputs'!$AN$3=2,IF((J379-$H379)&gt;0,J379-$H379,0),(_xll.xSPRDOPT(J379,$E379,$BU379,0,$BP379,$BS379,$BT379,($A379-Inputs!$D$1)+15,1,0)))))</f>
        <v xml:space="preserve"> </v>
      </c>
      <c r="R379" s="320" t="str">
        <f>IF($A379="N/A"," ",IF('Pricing Inputs'!$AN$8=2,(K379-$H379),IF('Pricing Inputs'!$AN$3=2,IF((K379-$H379)&gt;0,K379-$H379,0),(_xll.xSPRDOPT(K379,$E379,$BU379,0,$BP379,$BS379,$BT379,($A379-Inputs!$D$1)+15,1,0)))))</f>
        <v xml:space="preserve"> </v>
      </c>
      <c r="S379" s="320" t="str">
        <f>IF($A379="N/A"," ",IF('Pricing Inputs'!$AN$8=2,(L379-$H379),IF('Pricing Inputs'!$AN$3=2,IF((L379-$H379)&gt;0,L379-$H379,0),(_xll.xSPRDOPT(L379,$E379,$BU379,0,$BP379,$BS379,$BT379,($A379-Inputs!$D$1)+15,1,0)))))</f>
        <v xml:space="preserve"> </v>
      </c>
      <c r="T379" s="320" t="str">
        <f>IF($A379="N/A"," ",IF('Pricing Inputs'!$AN$8=2,(M379-$H379),IF('Pricing Inputs'!$AN$3=2,IF((M379-$H379)&gt;0,M379-$H379,0),(_xll.xSPRDOPT(M379,$E379,$BU379,0,$BP379,$BS379,$BT379,($A379-Inputs!$D$1)+15,1,0)))))</f>
        <v xml:space="preserve"> </v>
      </c>
      <c r="U379" s="320" t="str">
        <f>IF($A379="N/A"," ",IF('Pricing Inputs'!$AN$8=2,(N379-$H379),IF('Pricing Inputs'!$AN$3=2,IF((N379-$H379)&gt;0,N379-$H379,0),(_xll.xSPRDOPT(N379,$E379,$BU379,0,$BP379,$BS379,$BT379,($A379-Inputs!$D$1)+15,1,0)))))</f>
        <v xml:space="preserve"> </v>
      </c>
      <c r="V379" s="259" t="str">
        <f>IF($A379="N/A"," ",(IF('Pricing Inputs'!$AN$8=2,(O379-$H379),IF((O379-$H379)&lt;=0,0,(O379-$H379)))))</f>
        <v xml:space="preserve"> </v>
      </c>
      <c r="BA379" s="267" t="str">
        <f>IF($A379="N/A"," ",(IF(MONTH(A379)&gt;=4,IF(MONTH(A379)&lt;=10,Inputs!$F$13,Inputs!$F$14),Inputs!$F$14))*$BW379)</f>
        <v xml:space="preserve"> </v>
      </c>
      <c r="BN379" s="405" t="str">
        <f>IF(A379="N/A"," ",(VLOOKUP(A379,PowerVolTable,(IF('Pricing Inputs'!$AT$3=2,7,IF('Pricing Inputs'!$AT$3=1,6,8))),FALSE)))</f>
        <v xml:space="preserve"> </v>
      </c>
      <c r="BO379" s="405" t="str">
        <f>IF(A379="N/A"," ",(VLOOKUP(A379,IntraPowerVol,(IF('Pricing Inputs'!$AT$3=2,3,IF('Pricing Inputs'!$AT$3=1,2,4))),FALSE)*VLOOKUP(MONTH($A379),Inputs!$A$28:$B$39,2)))</f>
        <v xml:space="preserve"> </v>
      </c>
      <c r="BP379" s="406" t="str">
        <f t="shared" si="436"/>
        <v xml:space="preserve"> </v>
      </c>
      <c r="BQ379" s="405" t="str">
        <f>IF($A379="N/A"," ",(VLOOKUP($A379,GasVolTable,(IF('Pricing Inputs'!$AT$3=2,6,IF('Pricing Inputs'!$AT$3=1,7,5))),FALSE)))</f>
        <v xml:space="preserve"> </v>
      </c>
      <c r="BR379" s="405" t="str">
        <f>IF($A379="N/A"," ",(VLOOKUP($A379,OmicronVol,(IF('Pricing Inputs'!$AT$3=2,3,IF('Pricing Inputs'!$AT$3=1,4,2))),FALSE)))</f>
        <v xml:space="preserve"> </v>
      </c>
      <c r="BS379" s="406" t="str">
        <f>IF($A379="N/A"," ",IF('Pricing Inputs'!$AN$3=1,(IF(DateToday&gt;$A379,$BR379,((($BQ379^2)*((($A379-1)-DateToday)/((EOMONTH($A379,0)+1)-DateToday-15)))+((($BR379)^2)*((15)/((EOMONTH($A379,0)+1)-DateToday-15))))^0.5)),0.0001))</f>
        <v xml:space="preserve"> </v>
      </c>
      <c r="BT379" s="405" t="str">
        <f>IF($A379="N/A"," ",IF('Pricing Inputs'!$AN$3=1,(VLOOKUP($A379,CorrelationTable,2,FALSE)),0))</f>
        <v xml:space="preserve"> </v>
      </c>
      <c r="BU379" s="407" t="str">
        <f>IF($A379="N/A"," ",F379+G379+(D379*(VLOOKUP($A379,'Gas Curves'!$B$17:$P$310,14,FALSE))))</f>
        <v xml:space="preserve"> </v>
      </c>
      <c r="BV379" s="405" t="str">
        <f>IF($A379="N/A"," ",IF('Pricing Inputs'!$AW$3=1,0,(VLOOKUP($A379,InterestRatesTable,2))))</f>
        <v xml:space="preserve"> </v>
      </c>
      <c r="BW379" s="408" t="str">
        <f t="shared" si="437"/>
        <v xml:space="preserve"> </v>
      </c>
    </row>
    <row r="380" spans="1:75">
      <c r="A380" s="248" t="str">
        <f>IF(A379="N/A","N/A",IF(EDATE(A379,1)&gt;Inputs!$K$3,"N/A",EDATE(A379,1)))</f>
        <v>N/A</v>
      </c>
      <c r="B380" s="262" t="str">
        <f t="shared" si="438"/>
        <v xml:space="preserve"> </v>
      </c>
      <c r="C380" s="249" t="str">
        <f t="shared" si="439"/>
        <v xml:space="preserve"> </v>
      </c>
      <c r="D380" s="250" t="str">
        <f>IF(A380="N/A"," ",(VLOOKUP(MONTH($A380),Inputs!$A$14:$B$25,2))/1000)</f>
        <v xml:space="preserve"> </v>
      </c>
      <c r="E380" s="304" t="str">
        <f t="shared" si="440"/>
        <v xml:space="preserve"> </v>
      </c>
      <c r="F380" s="251" t="str">
        <f>IF(A380="N/A"," ",Inputs!$F$6)</f>
        <v xml:space="preserve"> </v>
      </c>
      <c r="G380" s="251" t="str">
        <f>IF(A380="N/A"," ",Inputs!$F$9/IF(AND('Pricing Inputs'!$AQ$3&gt;=4,'Pricing Inputs'!$AQ$3&lt;=6),16,IF(AND('Pricing Inputs'!$AQ$3&gt;=7,'Pricing Inputs'!$AQ$3&lt;=9),8,24))/(BA380/BW380))</f>
        <v xml:space="preserve"> </v>
      </c>
      <c r="H380" s="252" t="str">
        <f t="shared" si="441"/>
        <v xml:space="preserve"> </v>
      </c>
      <c r="I380" s="255" t="str">
        <f>VLOOKUP(A380,ScaledPrice,(IF(AND('Pricing Inputs'!$AQ$3&gt;=1,'Pricing Inputs'!$AQ$3&lt;=6),2,4)))</f>
        <v xml:space="preserve"> </v>
      </c>
      <c r="J380" s="255" t="str">
        <f>IF(A380="N/A"," ",IF(AND('Pricing Inputs'!$AQ$3&gt;=1,'Pricing Inputs'!$AQ$3&lt;=6),I380,(VLOOKUP(A380,ScaledPrice,2))*(2-(VLOOKUP(A380,ScaledPrice,3)))))</f>
        <v xml:space="preserve"> </v>
      </c>
      <c r="K380" s="255" t="str">
        <f>IF(A380="N/A"," ",IF(OR('Pricing Inputs'!$AQ$3=2,'Pricing Inputs'!$AQ$3=3,'Pricing Inputs'!$AQ$3=5,'Pricing Inputs'!$AQ$3=6,'Pricing Inputs'!$AQ$3=8,'Pricing Inputs'!$AQ$3=9),VLOOKUP(A380,ScaledPrice,IF(AND('Pricing Inputs'!$AQ$3&gt;=2,'Pricing Inputs'!$AQ$3&lt;=6),5,6)),0))</f>
        <v xml:space="preserve"> </v>
      </c>
      <c r="L380" s="255" t="str">
        <f>IF(A380="N/A"," ",IF(OR('Pricing Inputs'!$AQ$3=2,'Pricing Inputs'!$AQ$3=3,'Pricing Inputs'!$AQ$3=5,'Pricing Inputs'!$AQ$3=6,'Pricing Inputs'!$AQ$3=8,'Pricing Inputs'!$AQ$3=9),IF(AND('Pricing Inputs'!$AQ$3&gt;=2,'Pricing Inputs'!$AQ$3&lt;=6),K380,(VLOOKUP(A380,ScaledPrice,5))*(2-(VLOOKUP(A380,ScaledPrice,3)))),0))</f>
        <v xml:space="preserve"> </v>
      </c>
      <c r="M380" s="255" t="str">
        <f>IF(A380="N/A"," ",IF(OR('Pricing Inputs'!$AQ$3=3,'Pricing Inputs'!$AQ$3=6,'Pricing Inputs'!$AQ$3=9),(VLOOKUP(A380,ScaledPrice,IF(AND('Pricing Inputs'!$AQ$3&gt;=3,'Pricing Inputs'!$AQ$3&lt;=6),7,8))),0))</f>
        <v xml:space="preserve"> </v>
      </c>
      <c r="N380" s="255" t="str">
        <f>IF(A380="N/A"," ",IF(OR('Pricing Inputs'!$AQ$3=3,'Pricing Inputs'!$AQ$3=6,'Pricing Inputs'!$AQ$3=9),IF(AND('Pricing Inputs'!$AQ$3&gt;=3,'Pricing Inputs'!$AQ$3&lt;=6),M380,(VLOOKUP(A380,ScaledPrice,7))*(2-(VLOOKUP(A380,ScaledPrice,3)))),0))</f>
        <v xml:space="preserve"> </v>
      </c>
      <c r="O380" s="255" t="str">
        <f>IF(A380="N/A"," ",IF(AND('Pricing Inputs'!$AQ$3&gt;=1,'Pricing Inputs'!$AQ$3&lt;=3),VLOOKUP(A380,ScaledPrice,9),0))</f>
        <v xml:space="preserve"> </v>
      </c>
      <c r="P380" s="320" t="str">
        <f>IF($A380="N/A"," ",IF('Pricing Inputs'!$AN$8=2,(I380-H380),IF('Pricing Inputs'!$AN$3=2,IF((I380-$H380)&gt;0,I380-$H380,0),(_xll.xSPRDOPT(I380,$E380,$BU380,0,$BP380,$BS380,$BT380,($A380-Inputs!$D$1)+15,1,0)))))</f>
        <v xml:space="preserve"> </v>
      </c>
      <c r="Q380" s="320" t="str">
        <f>IF($A380="N/A"," ",IF('Pricing Inputs'!$AN$8=2,(J380-$H380),IF('Pricing Inputs'!$AN$3=2,IF((J380-$H380)&gt;0,J380-$H380,0),(_xll.xSPRDOPT(J380,$E380,$BU380,0,$BP380,$BS380,$BT380,($A380-Inputs!$D$1)+15,1,0)))))</f>
        <v xml:space="preserve"> </v>
      </c>
      <c r="R380" s="320" t="str">
        <f>IF($A380="N/A"," ",IF('Pricing Inputs'!$AN$8=2,(K380-$H380),IF('Pricing Inputs'!$AN$3=2,IF((K380-$H380)&gt;0,K380-$H380,0),(_xll.xSPRDOPT(K380,$E380,$BU380,0,$BP380,$BS380,$BT380,($A380-Inputs!$D$1)+15,1,0)))))</f>
        <v xml:space="preserve"> </v>
      </c>
      <c r="S380" s="320" t="str">
        <f>IF($A380="N/A"," ",IF('Pricing Inputs'!$AN$8=2,(L380-$H380),IF('Pricing Inputs'!$AN$3=2,IF((L380-$H380)&gt;0,L380-$H380,0),(_xll.xSPRDOPT(L380,$E380,$BU380,0,$BP380,$BS380,$BT380,($A380-Inputs!$D$1)+15,1,0)))))</f>
        <v xml:space="preserve"> </v>
      </c>
      <c r="T380" s="320" t="str">
        <f>IF($A380="N/A"," ",IF('Pricing Inputs'!$AN$8=2,(M380-$H380),IF('Pricing Inputs'!$AN$3=2,IF((M380-$H380)&gt;0,M380-$H380,0),(_xll.xSPRDOPT(M380,$E380,$BU380,0,$BP380,$BS380,$BT380,($A380-Inputs!$D$1)+15,1,0)))))</f>
        <v xml:space="preserve"> </v>
      </c>
      <c r="U380" s="320" t="str">
        <f>IF($A380="N/A"," ",IF('Pricing Inputs'!$AN$8=2,(N380-$H380),IF('Pricing Inputs'!$AN$3=2,IF((N380-$H380)&gt;0,N380-$H380,0),(_xll.xSPRDOPT(N380,$E380,$BU380,0,$BP380,$BS380,$BT380,($A380-Inputs!$D$1)+15,1,0)))))</f>
        <v xml:space="preserve"> </v>
      </c>
      <c r="V380" s="259" t="str">
        <f>IF($A380="N/A"," ",(IF('Pricing Inputs'!$AN$8=2,(O380-$H380),IF((O380-$H380)&lt;=0,0,(O380-$H380)))))</f>
        <v xml:space="preserve"> </v>
      </c>
      <c r="BA380" s="267" t="str">
        <f>IF($A380="N/A"," ",(IF(MONTH(A380)&gt;=4,IF(MONTH(A380)&lt;=10,Inputs!$F$13,Inputs!$F$14),Inputs!$F$14))*$BW380)</f>
        <v xml:space="preserve"> </v>
      </c>
      <c r="BN380" s="405" t="str">
        <f>IF(A380="N/A"," ",(VLOOKUP(A380,PowerVolTable,(IF('Pricing Inputs'!$AT$3=2,7,IF('Pricing Inputs'!$AT$3=1,6,8))),FALSE)))</f>
        <v xml:space="preserve"> </v>
      </c>
      <c r="BO380" s="405" t="str">
        <f>IF(A380="N/A"," ",(VLOOKUP(A380,IntraPowerVol,(IF('Pricing Inputs'!$AT$3=2,3,IF('Pricing Inputs'!$AT$3=1,2,4))),FALSE)*VLOOKUP(MONTH($A380),Inputs!$A$28:$B$39,2)))</f>
        <v xml:space="preserve"> </v>
      </c>
      <c r="BP380" s="406" t="str">
        <f t="shared" si="436"/>
        <v xml:space="preserve"> </v>
      </c>
      <c r="BQ380" s="405" t="str">
        <f>IF($A380="N/A"," ",(VLOOKUP($A380,GasVolTable,(IF('Pricing Inputs'!$AT$3=2,6,IF('Pricing Inputs'!$AT$3=1,7,5))),FALSE)))</f>
        <v xml:space="preserve"> </v>
      </c>
      <c r="BR380" s="405" t="str">
        <f>IF($A380="N/A"," ",(VLOOKUP($A380,OmicronVol,(IF('Pricing Inputs'!$AT$3=2,3,IF('Pricing Inputs'!$AT$3=1,4,2))),FALSE)))</f>
        <v xml:space="preserve"> </v>
      </c>
      <c r="BS380" s="406" t="str">
        <f>IF($A380="N/A"," ",IF('Pricing Inputs'!$AN$3=1,(IF(DateToday&gt;$A380,$BR380,((($BQ380^2)*((($A380-1)-DateToday)/((EOMONTH($A380,0)+1)-DateToday-15)))+((($BR380)^2)*((15)/((EOMONTH($A380,0)+1)-DateToday-15))))^0.5)),0.0001))</f>
        <v xml:space="preserve"> </v>
      </c>
      <c r="BT380" s="405" t="str">
        <f>IF($A380="N/A"," ",IF('Pricing Inputs'!$AN$3=1,(VLOOKUP($A380,CorrelationTable,2,FALSE)),0))</f>
        <v xml:space="preserve"> </v>
      </c>
      <c r="BU380" s="407" t="str">
        <f>IF($A380="N/A"," ",F380+G380+(D380*(VLOOKUP($A380,'Gas Curves'!$B$17:$P$310,14,FALSE))))</f>
        <v xml:space="preserve"> </v>
      </c>
      <c r="BV380" s="405" t="str">
        <f>IF($A380="N/A"," ",IF('Pricing Inputs'!$AW$3=1,0,(VLOOKUP($A380,InterestRatesTable,2))))</f>
        <v xml:space="preserve"> </v>
      </c>
      <c r="BW380" s="408" t="str">
        <f t="shared" si="437"/>
        <v xml:space="preserve"> </v>
      </c>
    </row>
    <row r="381" spans="1:75">
      <c r="A381" s="248" t="str">
        <f>IF(A380="N/A","N/A",IF(EDATE(A380,1)&gt;Inputs!$K$3,"N/A",EDATE(A380,1)))</f>
        <v>N/A</v>
      </c>
      <c r="B381" s="262" t="str">
        <f t="shared" si="438"/>
        <v xml:space="preserve"> </v>
      </c>
      <c r="C381" s="249" t="str">
        <f t="shared" si="439"/>
        <v xml:space="preserve"> </v>
      </c>
      <c r="D381" s="250" t="str">
        <f>IF(A381="N/A"," ",(VLOOKUP(MONTH($A381),Inputs!$A$14:$B$25,2))/1000)</f>
        <v xml:space="preserve"> </v>
      </c>
      <c r="E381" s="304" t="str">
        <f t="shared" si="440"/>
        <v xml:space="preserve"> </v>
      </c>
      <c r="F381" s="251" t="str">
        <f>IF(A381="N/A"," ",Inputs!$F$6)</f>
        <v xml:space="preserve"> </v>
      </c>
      <c r="G381" s="251" t="str">
        <f>IF(A381="N/A"," ",Inputs!$F$9/IF(AND('Pricing Inputs'!$AQ$3&gt;=4,'Pricing Inputs'!$AQ$3&lt;=6),16,IF(AND('Pricing Inputs'!$AQ$3&gt;=7,'Pricing Inputs'!$AQ$3&lt;=9),8,24))/(BA381/BW381))</f>
        <v xml:space="preserve"> </v>
      </c>
      <c r="H381" s="252" t="str">
        <f t="shared" si="441"/>
        <v xml:space="preserve"> </v>
      </c>
      <c r="I381" s="255" t="str">
        <f>VLOOKUP(A381,ScaledPrice,(IF(AND('Pricing Inputs'!$AQ$3&gt;=1,'Pricing Inputs'!$AQ$3&lt;=6),2,4)))</f>
        <v xml:space="preserve"> </v>
      </c>
      <c r="J381" s="255" t="str">
        <f>IF(A381="N/A"," ",IF(AND('Pricing Inputs'!$AQ$3&gt;=1,'Pricing Inputs'!$AQ$3&lt;=6),I381,(VLOOKUP(A381,ScaledPrice,2))*(2-(VLOOKUP(A381,ScaledPrice,3)))))</f>
        <v xml:space="preserve"> </v>
      </c>
      <c r="K381" s="255" t="str">
        <f>IF(A381="N/A"," ",IF(OR('Pricing Inputs'!$AQ$3=2,'Pricing Inputs'!$AQ$3=3,'Pricing Inputs'!$AQ$3=5,'Pricing Inputs'!$AQ$3=6,'Pricing Inputs'!$AQ$3=8,'Pricing Inputs'!$AQ$3=9),VLOOKUP(A381,ScaledPrice,IF(AND('Pricing Inputs'!$AQ$3&gt;=2,'Pricing Inputs'!$AQ$3&lt;=6),5,6)),0))</f>
        <v xml:space="preserve"> </v>
      </c>
      <c r="L381" s="255" t="str">
        <f>IF(A381="N/A"," ",IF(OR('Pricing Inputs'!$AQ$3=2,'Pricing Inputs'!$AQ$3=3,'Pricing Inputs'!$AQ$3=5,'Pricing Inputs'!$AQ$3=6,'Pricing Inputs'!$AQ$3=8,'Pricing Inputs'!$AQ$3=9),IF(AND('Pricing Inputs'!$AQ$3&gt;=2,'Pricing Inputs'!$AQ$3&lt;=6),K381,(VLOOKUP(A381,ScaledPrice,5))*(2-(VLOOKUP(A381,ScaledPrice,3)))),0))</f>
        <v xml:space="preserve"> </v>
      </c>
      <c r="M381" s="255" t="str">
        <f>IF(A381="N/A"," ",IF(OR('Pricing Inputs'!$AQ$3=3,'Pricing Inputs'!$AQ$3=6,'Pricing Inputs'!$AQ$3=9),(VLOOKUP(A381,ScaledPrice,IF(AND('Pricing Inputs'!$AQ$3&gt;=3,'Pricing Inputs'!$AQ$3&lt;=6),7,8))),0))</f>
        <v xml:space="preserve"> </v>
      </c>
      <c r="N381" s="255" t="str">
        <f>IF(A381="N/A"," ",IF(OR('Pricing Inputs'!$AQ$3=3,'Pricing Inputs'!$AQ$3=6,'Pricing Inputs'!$AQ$3=9),IF(AND('Pricing Inputs'!$AQ$3&gt;=3,'Pricing Inputs'!$AQ$3&lt;=6),M381,(VLOOKUP(A381,ScaledPrice,7))*(2-(VLOOKUP(A381,ScaledPrice,3)))),0))</f>
        <v xml:space="preserve"> </v>
      </c>
      <c r="O381" s="255" t="str">
        <f>IF(A381="N/A"," ",IF(AND('Pricing Inputs'!$AQ$3&gt;=1,'Pricing Inputs'!$AQ$3&lt;=3),VLOOKUP(A381,ScaledPrice,9),0))</f>
        <v xml:space="preserve"> </v>
      </c>
      <c r="P381" s="320" t="str">
        <f>IF($A381="N/A"," ",IF('Pricing Inputs'!$AN$8=2,(I381-H381),IF('Pricing Inputs'!$AN$3=2,IF((I381-$H381)&gt;0,I381-$H381,0),(_xll.xSPRDOPT(I381,$E381,$BU381,0,$BP381,$BS381,$BT381,($A381-Inputs!$D$1)+15,1,0)))))</f>
        <v xml:space="preserve"> </v>
      </c>
      <c r="Q381" s="320" t="str">
        <f>IF($A381="N/A"," ",IF('Pricing Inputs'!$AN$8=2,(J381-$H381),IF('Pricing Inputs'!$AN$3=2,IF((J381-$H381)&gt;0,J381-$H381,0),(_xll.xSPRDOPT(J381,$E381,$BU381,0,$BP381,$BS381,$BT381,($A381-Inputs!$D$1)+15,1,0)))))</f>
        <v xml:space="preserve"> </v>
      </c>
      <c r="R381" s="320" t="str">
        <f>IF($A381="N/A"," ",IF('Pricing Inputs'!$AN$8=2,(K381-$H381),IF('Pricing Inputs'!$AN$3=2,IF((K381-$H381)&gt;0,K381-$H381,0),(_xll.xSPRDOPT(K381,$E381,$BU381,0,$BP381,$BS381,$BT381,($A381-Inputs!$D$1)+15,1,0)))))</f>
        <v xml:space="preserve"> </v>
      </c>
      <c r="S381" s="320" t="str">
        <f>IF($A381="N/A"," ",IF('Pricing Inputs'!$AN$8=2,(L381-$H381),IF('Pricing Inputs'!$AN$3=2,IF((L381-$H381)&gt;0,L381-$H381,0),(_xll.xSPRDOPT(L381,$E381,$BU381,0,$BP381,$BS381,$BT381,($A381-Inputs!$D$1)+15,1,0)))))</f>
        <v xml:space="preserve"> </v>
      </c>
      <c r="T381" s="320" t="str">
        <f>IF($A381="N/A"," ",IF('Pricing Inputs'!$AN$8=2,(M381-$H381),IF('Pricing Inputs'!$AN$3=2,IF((M381-$H381)&gt;0,M381-$H381,0),(_xll.xSPRDOPT(M381,$E381,$BU381,0,$BP381,$BS381,$BT381,($A381-Inputs!$D$1)+15,1,0)))))</f>
        <v xml:space="preserve"> </v>
      </c>
      <c r="U381" s="320" t="str">
        <f>IF($A381="N/A"," ",IF('Pricing Inputs'!$AN$8=2,(N381-$H381),IF('Pricing Inputs'!$AN$3=2,IF((N381-$H381)&gt;0,N381-$H381,0),(_xll.xSPRDOPT(N381,$E381,$BU381,0,$BP381,$BS381,$BT381,($A381-Inputs!$D$1)+15,1,0)))))</f>
        <v xml:space="preserve"> </v>
      </c>
      <c r="V381" s="259" t="str">
        <f>IF($A381="N/A"," ",(IF('Pricing Inputs'!$AN$8=2,(O381-$H381),IF((O381-$H381)&lt;=0,0,(O381-$H381)))))</f>
        <v xml:space="preserve"> </v>
      </c>
      <c r="BA381" s="267" t="str">
        <f>IF($A381="N/A"," ",(IF(MONTH(A381)&gt;=4,IF(MONTH(A381)&lt;=10,Inputs!$F$13,Inputs!$F$14),Inputs!$F$14))*$BW381)</f>
        <v xml:space="preserve"> </v>
      </c>
      <c r="BN381" s="405" t="str">
        <f>IF(A381="N/A"," ",(VLOOKUP(A381,PowerVolTable,(IF('Pricing Inputs'!$AT$3=2,7,IF('Pricing Inputs'!$AT$3=1,6,8))),FALSE)))</f>
        <v xml:space="preserve"> </v>
      </c>
      <c r="BO381" s="405" t="str">
        <f>IF(A381="N/A"," ",(VLOOKUP(A381,IntraPowerVol,(IF('Pricing Inputs'!$AT$3=2,3,IF('Pricing Inputs'!$AT$3=1,2,4))),FALSE)*VLOOKUP(MONTH($A381),Inputs!$A$28:$B$39,2)))</f>
        <v xml:space="preserve"> </v>
      </c>
      <c r="BP381" s="406" t="str">
        <f t="shared" si="436"/>
        <v xml:space="preserve"> </v>
      </c>
      <c r="BQ381" s="405" t="str">
        <f>IF($A381="N/A"," ",(VLOOKUP($A381,GasVolTable,(IF('Pricing Inputs'!$AT$3=2,6,IF('Pricing Inputs'!$AT$3=1,7,5))),FALSE)))</f>
        <v xml:space="preserve"> </v>
      </c>
      <c r="BR381" s="405" t="str">
        <f>IF($A381="N/A"," ",(VLOOKUP($A381,OmicronVol,(IF('Pricing Inputs'!$AT$3=2,3,IF('Pricing Inputs'!$AT$3=1,4,2))),FALSE)))</f>
        <v xml:space="preserve"> </v>
      </c>
      <c r="BS381" s="406" t="str">
        <f>IF($A381="N/A"," ",IF('Pricing Inputs'!$AN$3=1,(IF(DateToday&gt;$A381,$BR381,((($BQ381^2)*((($A381-1)-DateToday)/((EOMONTH($A381,0)+1)-DateToday-15)))+((($BR381)^2)*((15)/((EOMONTH($A381,0)+1)-DateToday-15))))^0.5)),0.0001))</f>
        <v xml:space="preserve"> </v>
      </c>
      <c r="BT381" s="405" t="str">
        <f>IF($A381="N/A"," ",IF('Pricing Inputs'!$AN$3=1,(VLOOKUP($A381,CorrelationTable,2,FALSE)),0))</f>
        <v xml:space="preserve"> </v>
      </c>
      <c r="BU381" s="407" t="str">
        <f>IF($A381="N/A"," ",F381+G381+(D381*(VLOOKUP($A381,'Gas Curves'!$B$17:$P$310,14,FALSE))))</f>
        <v xml:space="preserve"> </v>
      </c>
      <c r="BV381" s="405" t="str">
        <f>IF($A381="N/A"," ",IF('Pricing Inputs'!$AW$3=1,0,(VLOOKUP($A381,InterestRatesTable,2))))</f>
        <v xml:space="preserve"> </v>
      </c>
      <c r="BW381" s="408" t="str">
        <f t="shared" si="437"/>
        <v xml:space="preserve"> </v>
      </c>
    </row>
    <row r="382" spans="1:75">
      <c r="A382" s="248" t="str">
        <f>IF(A381="N/A","N/A",IF(EDATE(A381,1)&gt;Inputs!$K$3,"N/A",EDATE(A381,1)))</f>
        <v>N/A</v>
      </c>
      <c r="B382" s="262" t="str">
        <f t="shared" si="438"/>
        <v xml:space="preserve"> </v>
      </c>
      <c r="C382" s="249" t="str">
        <f t="shared" si="439"/>
        <v xml:space="preserve"> </v>
      </c>
      <c r="D382" s="250" t="str">
        <f>IF(A382="N/A"," ",(VLOOKUP(MONTH($A382),Inputs!$A$14:$B$25,2))/1000)</f>
        <v xml:space="preserve"> </v>
      </c>
      <c r="E382" s="304" t="str">
        <f t="shared" si="440"/>
        <v xml:space="preserve"> </v>
      </c>
      <c r="F382" s="251" t="str">
        <f>IF(A382="N/A"," ",Inputs!$F$6)</f>
        <v xml:space="preserve"> </v>
      </c>
      <c r="G382" s="251" t="str">
        <f>IF(A382="N/A"," ",Inputs!$F$9/IF(AND('Pricing Inputs'!$AQ$3&gt;=4,'Pricing Inputs'!$AQ$3&lt;=6),16,IF(AND('Pricing Inputs'!$AQ$3&gt;=7,'Pricing Inputs'!$AQ$3&lt;=9),8,24))/(BA382/BW382))</f>
        <v xml:space="preserve"> </v>
      </c>
      <c r="H382" s="252" t="str">
        <f t="shared" si="441"/>
        <v xml:space="preserve"> </v>
      </c>
      <c r="I382" s="255" t="str">
        <f>VLOOKUP(A382,ScaledPrice,(IF(AND('Pricing Inputs'!$AQ$3&gt;=1,'Pricing Inputs'!$AQ$3&lt;=6),2,4)))</f>
        <v xml:space="preserve"> </v>
      </c>
      <c r="J382" s="255" t="str">
        <f>IF(A382="N/A"," ",IF(AND('Pricing Inputs'!$AQ$3&gt;=1,'Pricing Inputs'!$AQ$3&lt;=6),I382,(VLOOKUP(A382,ScaledPrice,2))*(2-(VLOOKUP(A382,ScaledPrice,3)))))</f>
        <v xml:space="preserve"> </v>
      </c>
      <c r="K382" s="255" t="str">
        <f>IF(A382="N/A"," ",IF(OR('Pricing Inputs'!$AQ$3=2,'Pricing Inputs'!$AQ$3=3,'Pricing Inputs'!$AQ$3=5,'Pricing Inputs'!$AQ$3=6,'Pricing Inputs'!$AQ$3=8,'Pricing Inputs'!$AQ$3=9),VLOOKUP(A382,ScaledPrice,IF(AND('Pricing Inputs'!$AQ$3&gt;=2,'Pricing Inputs'!$AQ$3&lt;=6),5,6)),0))</f>
        <v xml:space="preserve"> </v>
      </c>
      <c r="L382" s="255" t="str">
        <f>IF(A382="N/A"," ",IF(OR('Pricing Inputs'!$AQ$3=2,'Pricing Inputs'!$AQ$3=3,'Pricing Inputs'!$AQ$3=5,'Pricing Inputs'!$AQ$3=6,'Pricing Inputs'!$AQ$3=8,'Pricing Inputs'!$AQ$3=9),IF(AND('Pricing Inputs'!$AQ$3&gt;=2,'Pricing Inputs'!$AQ$3&lt;=6),K382,(VLOOKUP(A382,ScaledPrice,5))*(2-(VLOOKUP(A382,ScaledPrice,3)))),0))</f>
        <v xml:space="preserve"> </v>
      </c>
      <c r="M382" s="255" t="str">
        <f>IF(A382="N/A"," ",IF(OR('Pricing Inputs'!$AQ$3=3,'Pricing Inputs'!$AQ$3=6,'Pricing Inputs'!$AQ$3=9),(VLOOKUP(A382,ScaledPrice,IF(AND('Pricing Inputs'!$AQ$3&gt;=3,'Pricing Inputs'!$AQ$3&lt;=6),7,8))),0))</f>
        <v xml:space="preserve"> </v>
      </c>
      <c r="N382" s="255" t="str">
        <f>IF(A382="N/A"," ",IF(OR('Pricing Inputs'!$AQ$3=3,'Pricing Inputs'!$AQ$3=6,'Pricing Inputs'!$AQ$3=9),IF(AND('Pricing Inputs'!$AQ$3&gt;=3,'Pricing Inputs'!$AQ$3&lt;=6),M382,(VLOOKUP(A382,ScaledPrice,7))*(2-(VLOOKUP(A382,ScaledPrice,3)))),0))</f>
        <v xml:space="preserve"> </v>
      </c>
      <c r="O382" s="255" t="str">
        <f>IF(A382="N/A"," ",IF(AND('Pricing Inputs'!$AQ$3&gt;=1,'Pricing Inputs'!$AQ$3&lt;=3),VLOOKUP(A382,ScaledPrice,9),0))</f>
        <v xml:space="preserve"> </v>
      </c>
      <c r="P382" s="320" t="str">
        <f>IF($A382="N/A"," ",IF('Pricing Inputs'!$AN$8=2,(I382-H382),IF('Pricing Inputs'!$AN$3=2,IF((I382-$H382)&gt;0,I382-$H382,0),(_xll.xSPRDOPT(I382,$E382,$BU382,0,$BP382,$BS382,$BT382,($A382-Inputs!$D$1)+15,1,0)))))</f>
        <v xml:space="preserve"> </v>
      </c>
      <c r="Q382" s="320" t="str">
        <f>IF($A382="N/A"," ",IF('Pricing Inputs'!$AN$8=2,(J382-$H382),IF('Pricing Inputs'!$AN$3=2,IF((J382-$H382)&gt;0,J382-$H382,0),(_xll.xSPRDOPT(J382,$E382,$BU382,0,$BP382,$BS382,$BT382,($A382-Inputs!$D$1)+15,1,0)))))</f>
        <v xml:space="preserve"> </v>
      </c>
      <c r="R382" s="320" t="str">
        <f>IF($A382="N/A"," ",IF('Pricing Inputs'!$AN$8=2,(K382-$H382),IF('Pricing Inputs'!$AN$3=2,IF((K382-$H382)&gt;0,K382-$H382,0),(_xll.xSPRDOPT(K382,$E382,$BU382,0,$BP382,$BS382,$BT382,($A382-Inputs!$D$1)+15,1,0)))))</f>
        <v xml:space="preserve"> </v>
      </c>
      <c r="S382" s="320" t="str">
        <f>IF($A382="N/A"," ",IF('Pricing Inputs'!$AN$8=2,(L382-$H382),IF('Pricing Inputs'!$AN$3=2,IF((L382-$H382)&gt;0,L382-$H382,0),(_xll.xSPRDOPT(L382,$E382,$BU382,0,$BP382,$BS382,$BT382,($A382-Inputs!$D$1)+15,1,0)))))</f>
        <v xml:space="preserve"> </v>
      </c>
      <c r="T382" s="320" t="str">
        <f>IF($A382="N/A"," ",IF('Pricing Inputs'!$AN$8=2,(M382-$H382),IF('Pricing Inputs'!$AN$3=2,IF((M382-$H382)&gt;0,M382-$H382,0),(_xll.xSPRDOPT(M382,$E382,$BU382,0,$BP382,$BS382,$BT382,($A382-Inputs!$D$1)+15,1,0)))))</f>
        <v xml:space="preserve"> </v>
      </c>
      <c r="U382" s="320" t="str">
        <f>IF($A382="N/A"," ",IF('Pricing Inputs'!$AN$8=2,(N382-$H382),IF('Pricing Inputs'!$AN$3=2,IF((N382-$H382)&gt;0,N382-$H382,0),(_xll.xSPRDOPT(N382,$E382,$BU382,0,$BP382,$BS382,$BT382,($A382-Inputs!$D$1)+15,1,0)))))</f>
        <v xml:space="preserve"> </v>
      </c>
      <c r="V382" s="259" t="str">
        <f>IF($A382="N/A"," ",(IF('Pricing Inputs'!$AN$8=2,(O382-$H382),IF((O382-$H382)&lt;=0,0,(O382-$H382)))))</f>
        <v xml:space="preserve"> </v>
      </c>
      <c r="BA382" s="267" t="str">
        <f>IF($A382="N/A"," ",(IF(MONTH(A382)&gt;=4,IF(MONTH(A382)&lt;=10,Inputs!$F$13,Inputs!$F$14),Inputs!$F$14))*$BW382)</f>
        <v xml:space="preserve"> </v>
      </c>
      <c r="BN382" s="405" t="str">
        <f>IF(A382="N/A"," ",(VLOOKUP(A382,PowerVolTable,(IF('Pricing Inputs'!$AT$3=2,7,IF('Pricing Inputs'!$AT$3=1,6,8))),FALSE)))</f>
        <v xml:space="preserve"> </v>
      </c>
      <c r="BO382" s="405" t="str">
        <f>IF(A382="N/A"," ",(VLOOKUP(A382,IntraPowerVol,(IF('Pricing Inputs'!$AT$3=2,3,IF('Pricing Inputs'!$AT$3=1,2,4))),FALSE)*VLOOKUP(MONTH($A382),Inputs!$A$28:$B$39,2)))</f>
        <v xml:space="preserve"> </v>
      </c>
      <c r="BP382" s="406" t="str">
        <f t="shared" si="436"/>
        <v xml:space="preserve"> </v>
      </c>
      <c r="BQ382" s="405" t="str">
        <f>IF($A382="N/A"," ",(VLOOKUP($A382,GasVolTable,(IF('Pricing Inputs'!$AT$3=2,6,IF('Pricing Inputs'!$AT$3=1,7,5))),FALSE)))</f>
        <v xml:space="preserve"> </v>
      </c>
      <c r="BR382" s="405" t="str">
        <f>IF($A382="N/A"," ",(VLOOKUP($A382,OmicronVol,(IF('Pricing Inputs'!$AT$3=2,3,IF('Pricing Inputs'!$AT$3=1,4,2))),FALSE)))</f>
        <v xml:space="preserve"> </v>
      </c>
      <c r="BS382" s="406" t="str">
        <f>IF($A382="N/A"," ",IF('Pricing Inputs'!$AN$3=1,(IF(DateToday&gt;$A382,$BR382,((($BQ382^2)*((($A382-1)-DateToday)/((EOMONTH($A382,0)+1)-DateToday-15)))+((($BR382)^2)*((15)/((EOMONTH($A382,0)+1)-DateToday-15))))^0.5)),0.0001))</f>
        <v xml:space="preserve"> </v>
      </c>
      <c r="BT382" s="405" t="str">
        <f>IF($A382="N/A"," ",IF('Pricing Inputs'!$AN$3=1,(VLOOKUP($A382,CorrelationTable,2,FALSE)),0))</f>
        <v xml:space="preserve"> </v>
      </c>
      <c r="BU382" s="407" t="str">
        <f>IF($A382="N/A"," ",F382+G382+(D382*(VLOOKUP($A382,'Gas Curves'!$B$17:$P$310,14,FALSE))))</f>
        <v xml:space="preserve"> </v>
      </c>
      <c r="BV382" s="405" t="str">
        <f>IF($A382="N/A"," ",IF('Pricing Inputs'!$AW$3=1,0,(VLOOKUP($A382,InterestRatesTable,2))))</f>
        <v xml:space="preserve"> </v>
      </c>
      <c r="BW382" s="408" t="str">
        <f t="shared" si="437"/>
        <v xml:space="preserve"> </v>
      </c>
    </row>
    <row r="383" spans="1:75">
      <c r="A383" s="248" t="str">
        <f>IF(A382="N/A","N/A",IF(EDATE(A382,1)&gt;Inputs!$K$3,"N/A",EDATE(A382,1)))</f>
        <v>N/A</v>
      </c>
      <c r="B383" s="262" t="str">
        <f t="shared" si="438"/>
        <v xml:space="preserve"> </v>
      </c>
      <c r="C383" s="249" t="str">
        <f t="shared" si="439"/>
        <v xml:space="preserve"> </v>
      </c>
      <c r="D383" s="250" t="str">
        <f>IF(A383="N/A"," ",(VLOOKUP(MONTH($A383),Inputs!$A$14:$B$25,2))/1000)</f>
        <v xml:space="preserve"> </v>
      </c>
      <c r="E383" s="304" t="str">
        <f t="shared" si="440"/>
        <v xml:space="preserve"> </v>
      </c>
      <c r="F383" s="251" t="str">
        <f>IF(A383="N/A"," ",Inputs!$F$6)</f>
        <v xml:space="preserve"> </v>
      </c>
      <c r="G383" s="251" t="str">
        <f>IF(A383="N/A"," ",Inputs!$F$9/IF(AND('Pricing Inputs'!$AQ$3&gt;=4,'Pricing Inputs'!$AQ$3&lt;=6),16,IF(AND('Pricing Inputs'!$AQ$3&gt;=7,'Pricing Inputs'!$AQ$3&lt;=9),8,24))/(BA383/BW383))</f>
        <v xml:space="preserve"> </v>
      </c>
      <c r="H383" s="252" t="str">
        <f t="shared" si="441"/>
        <v xml:space="preserve"> </v>
      </c>
      <c r="I383" s="255" t="str">
        <f>VLOOKUP(A383,ScaledPrice,(IF(AND('Pricing Inputs'!$AQ$3&gt;=1,'Pricing Inputs'!$AQ$3&lt;=6),2,4)))</f>
        <v xml:space="preserve"> </v>
      </c>
      <c r="J383" s="255" t="str">
        <f>IF(A383="N/A"," ",IF(AND('Pricing Inputs'!$AQ$3&gt;=1,'Pricing Inputs'!$AQ$3&lt;=6),I383,(VLOOKUP(A383,ScaledPrice,2))*(2-(VLOOKUP(A383,ScaledPrice,3)))))</f>
        <v xml:space="preserve"> </v>
      </c>
      <c r="K383" s="255" t="str">
        <f>IF(A383="N/A"," ",IF(OR('Pricing Inputs'!$AQ$3=2,'Pricing Inputs'!$AQ$3=3,'Pricing Inputs'!$AQ$3=5,'Pricing Inputs'!$AQ$3=6,'Pricing Inputs'!$AQ$3=8,'Pricing Inputs'!$AQ$3=9),VLOOKUP(A383,ScaledPrice,IF(AND('Pricing Inputs'!$AQ$3&gt;=2,'Pricing Inputs'!$AQ$3&lt;=6),5,6)),0))</f>
        <v xml:space="preserve"> </v>
      </c>
      <c r="L383" s="255" t="str">
        <f>IF(A383="N/A"," ",IF(OR('Pricing Inputs'!$AQ$3=2,'Pricing Inputs'!$AQ$3=3,'Pricing Inputs'!$AQ$3=5,'Pricing Inputs'!$AQ$3=6,'Pricing Inputs'!$AQ$3=8,'Pricing Inputs'!$AQ$3=9),IF(AND('Pricing Inputs'!$AQ$3&gt;=2,'Pricing Inputs'!$AQ$3&lt;=6),K383,(VLOOKUP(A383,ScaledPrice,5))*(2-(VLOOKUP(A383,ScaledPrice,3)))),0))</f>
        <v xml:space="preserve"> </v>
      </c>
      <c r="M383" s="255" t="str">
        <f>IF(A383="N/A"," ",IF(OR('Pricing Inputs'!$AQ$3=3,'Pricing Inputs'!$AQ$3=6,'Pricing Inputs'!$AQ$3=9),(VLOOKUP(A383,ScaledPrice,IF(AND('Pricing Inputs'!$AQ$3&gt;=3,'Pricing Inputs'!$AQ$3&lt;=6),7,8))),0))</f>
        <v xml:space="preserve"> </v>
      </c>
      <c r="N383" s="255" t="str">
        <f>IF(A383="N/A"," ",IF(OR('Pricing Inputs'!$AQ$3=3,'Pricing Inputs'!$AQ$3=6,'Pricing Inputs'!$AQ$3=9),IF(AND('Pricing Inputs'!$AQ$3&gt;=3,'Pricing Inputs'!$AQ$3&lt;=6),M383,(VLOOKUP(A383,ScaledPrice,7))*(2-(VLOOKUP(A383,ScaledPrice,3)))),0))</f>
        <v xml:space="preserve"> </v>
      </c>
      <c r="O383" s="255" t="str">
        <f>IF(A383="N/A"," ",IF(AND('Pricing Inputs'!$AQ$3&gt;=1,'Pricing Inputs'!$AQ$3&lt;=3),VLOOKUP(A383,ScaledPrice,9),0))</f>
        <v xml:space="preserve"> </v>
      </c>
      <c r="P383" s="320" t="str">
        <f>IF($A383="N/A"," ",IF('Pricing Inputs'!$AN$8=2,(I383-H383),IF('Pricing Inputs'!$AN$3=2,IF((I383-$H383)&gt;0,I383-$H383,0),(_xll.xSPRDOPT(I383,$E383,$BU383,0,$BP383,$BS383,$BT383,($A383-Inputs!$D$1)+15,1,0)))))</f>
        <v xml:space="preserve"> </v>
      </c>
      <c r="Q383" s="320" t="str">
        <f>IF($A383="N/A"," ",IF('Pricing Inputs'!$AN$8=2,(J383-$H383),IF('Pricing Inputs'!$AN$3=2,IF((J383-$H383)&gt;0,J383-$H383,0),(_xll.xSPRDOPT(J383,$E383,$BU383,0,$BP383,$BS383,$BT383,($A383-Inputs!$D$1)+15,1,0)))))</f>
        <v xml:space="preserve"> </v>
      </c>
      <c r="R383" s="320" t="str">
        <f>IF($A383="N/A"," ",IF('Pricing Inputs'!$AN$8=2,(K383-$H383),IF('Pricing Inputs'!$AN$3=2,IF((K383-$H383)&gt;0,K383-$H383,0),(_xll.xSPRDOPT(K383,$E383,$BU383,0,$BP383,$BS383,$BT383,($A383-Inputs!$D$1)+15,1,0)))))</f>
        <v xml:space="preserve"> </v>
      </c>
      <c r="S383" s="320" t="str">
        <f>IF($A383="N/A"," ",IF('Pricing Inputs'!$AN$8=2,(L383-$H383),IF('Pricing Inputs'!$AN$3=2,IF((L383-$H383)&gt;0,L383-$H383,0),(_xll.xSPRDOPT(L383,$E383,$BU383,0,$BP383,$BS383,$BT383,($A383-Inputs!$D$1)+15,1,0)))))</f>
        <v xml:space="preserve"> </v>
      </c>
      <c r="T383" s="320" t="str">
        <f>IF($A383="N/A"," ",IF('Pricing Inputs'!$AN$8=2,(M383-$H383),IF('Pricing Inputs'!$AN$3=2,IF((M383-$H383)&gt;0,M383-$H383,0),(_xll.xSPRDOPT(M383,$E383,$BU383,0,$BP383,$BS383,$BT383,($A383-Inputs!$D$1)+15,1,0)))))</f>
        <v xml:space="preserve"> </v>
      </c>
      <c r="U383" s="320" t="str">
        <f>IF($A383="N/A"," ",IF('Pricing Inputs'!$AN$8=2,(N383-$H383),IF('Pricing Inputs'!$AN$3=2,IF((N383-$H383)&gt;0,N383-$H383,0),(_xll.xSPRDOPT(N383,$E383,$BU383,0,$BP383,$BS383,$BT383,($A383-Inputs!$D$1)+15,1,0)))))</f>
        <v xml:space="preserve"> </v>
      </c>
      <c r="V383" s="259" t="str">
        <f>IF($A383="N/A"," ",(IF('Pricing Inputs'!$AN$8=2,(O383-$H383),IF((O383-$H383)&lt;=0,0,(O383-$H383)))))</f>
        <v xml:space="preserve"> </v>
      </c>
      <c r="BA383" s="267" t="str">
        <f>IF($A383="N/A"," ",(IF(MONTH(A383)&gt;=4,IF(MONTH(A383)&lt;=10,Inputs!$F$13,Inputs!$F$14),Inputs!$F$14))*$BW383)</f>
        <v xml:space="preserve"> </v>
      </c>
      <c r="BN383" s="405" t="str">
        <f>IF(A383="N/A"," ",(VLOOKUP(A383,PowerVolTable,(IF('Pricing Inputs'!$AT$3=2,7,IF('Pricing Inputs'!$AT$3=1,6,8))),FALSE)))</f>
        <v xml:space="preserve"> </v>
      </c>
      <c r="BO383" s="405" t="str">
        <f>IF(A383="N/A"," ",(VLOOKUP(A383,IntraPowerVol,(IF('Pricing Inputs'!$AT$3=2,3,IF('Pricing Inputs'!$AT$3=1,2,4))),FALSE)*VLOOKUP(MONTH($A383),Inputs!$A$28:$B$39,2)))</f>
        <v xml:space="preserve"> </v>
      </c>
      <c r="BP383" s="406" t="str">
        <f t="shared" si="436"/>
        <v xml:space="preserve"> </v>
      </c>
      <c r="BQ383" s="405" t="str">
        <f>IF($A383="N/A"," ",(VLOOKUP($A383,GasVolTable,(IF('Pricing Inputs'!$AT$3=2,6,IF('Pricing Inputs'!$AT$3=1,7,5))),FALSE)))</f>
        <v xml:space="preserve"> </v>
      </c>
      <c r="BR383" s="405" t="str">
        <f>IF($A383="N/A"," ",(VLOOKUP($A383,OmicronVol,(IF('Pricing Inputs'!$AT$3=2,3,IF('Pricing Inputs'!$AT$3=1,4,2))),FALSE)))</f>
        <v xml:space="preserve"> </v>
      </c>
      <c r="BS383" s="406" t="str">
        <f>IF($A383="N/A"," ",IF('Pricing Inputs'!$AN$3=1,(IF(DateToday&gt;$A383,$BR383,((($BQ383^2)*((($A383-1)-DateToday)/((EOMONTH($A383,0)+1)-DateToday-15)))+((($BR383)^2)*((15)/((EOMONTH($A383,0)+1)-DateToday-15))))^0.5)),0.0001))</f>
        <v xml:space="preserve"> </v>
      </c>
      <c r="BT383" s="405" t="str">
        <f>IF($A383="N/A"," ",IF('Pricing Inputs'!$AN$3=1,(VLOOKUP($A383,CorrelationTable,2,FALSE)),0))</f>
        <v xml:space="preserve"> </v>
      </c>
      <c r="BU383" s="407" t="str">
        <f>IF($A383="N/A"," ",F383+G383+(D383*(VLOOKUP($A383,'Gas Curves'!$B$17:$P$310,14,FALSE))))</f>
        <v xml:space="preserve"> </v>
      </c>
      <c r="BV383" s="405" t="str">
        <f>IF($A383="N/A"," ",IF('Pricing Inputs'!$AW$3=1,0,(VLOOKUP($A383,InterestRatesTable,2))))</f>
        <v xml:space="preserve"> </v>
      </c>
      <c r="BW383" s="408" t="str">
        <f t="shared" si="437"/>
        <v xml:space="preserve"> </v>
      </c>
    </row>
    <row r="384" spans="1:75">
      <c r="A384" s="248" t="str">
        <f>IF(A383="N/A","N/A",IF(EDATE(A383,1)&gt;Inputs!$K$3,"N/A",EDATE(A383,1)))</f>
        <v>N/A</v>
      </c>
      <c r="B384" s="262" t="str">
        <f t="shared" si="438"/>
        <v xml:space="preserve"> </v>
      </c>
      <c r="C384" s="249" t="str">
        <f t="shared" si="439"/>
        <v xml:space="preserve"> </v>
      </c>
      <c r="D384" s="250" t="str">
        <f>IF(A384="N/A"," ",(VLOOKUP(MONTH($A384),Inputs!$A$14:$B$25,2))/1000)</f>
        <v xml:space="preserve"> </v>
      </c>
      <c r="E384" s="304" t="str">
        <f t="shared" si="440"/>
        <v xml:space="preserve"> </v>
      </c>
      <c r="F384" s="251" t="str">
        <f>IF(A384="N/A"," ",Inputs!$F$6)</f>
        <v xml:space="preserve"> </v>
      </c>
      <c r="G384" s="251" t="str">
        <f>IF(A384="N/A"," ",Inputs!$F$9/IF(AND('Pricing Inputs'!$AQ$3&gt;=4,'Pricing Inputs'!$AQ$3&lt;=6),16,IF(AND('Pricing Inputs'!$AQ$3&gt;=7,'Pricing Inputs'!$AQ$3&lt;=9),8,24))/(BA384/BW384))</f>
        <v xml:space="preserve"> </v>
      </c>
      <c r="H384" s="252" t="str">
        <f t="shared" si="441"/>
        <v xml:space="preserve"> </v>
      </c>
      <c r="I384" s="255" t="str">
        <f>VLOOKUP(A384,ScaledPrice,(IF(AND('Pricing Inputs'!$AQ$3&gt;=1,'Pricing Inputs'!$AQ$3&lt;=6),2,4)))</f>
        <v xml:space="preserve"> </v>
      </c>
      <c r="J384" s="255" t="str">
        <f>IF(A384="N/A"," ",IF(AND('Pricing Inputs'!$AQ$3&gt;=1,'Pricing Inputs'!$AQ$3&lt;=6),I384,(VLOOKUP(A384,ScaledPrice,2))*(2-(VLOOKUP(A384,ScaledPrice,3)))))</f>
        <v xml:space="preserve"> </v>
      </c>
      <c r="K384" s="255" t="str">
        <f>IF(A384="N/A"," ",IF(OR('Pricing Inputs'!$AQ$3=2,'Pricing Inputs'!$AQ$3=3,'Pricing Inputs'!$AQ$3=5,'Pricing Inputs'!$AQ$3=6,'Pricing Inputs'!$AQ$3=8,'Pricing Inputs'!$AQ$3=9),VLOOKUP(A384,ScaledPrice,IF(AND('Pricing Inputs'!$AQ$3&gt;=2,'Pricing Inputs'!$AQ$3&lt;=6),5,6)),0))</f>
        <v xml:space="preserve"> </v>
      </c>
      <c r="L384" s="255" t="str">
        <f>IF(A384="N/A"," ",IF(OR('Pricing Inputs'!$AQ$3=2,'Pricing Inputs'!$AQ$3=3,'Pricing Inputs'!$AQ$3=5,'Pricing Inputs'!$AQ$3=6,'Pricing Inputs'!$AQ$3=8,'Pricing Inputs'!$AQ$3=9),IF(AND('Pricing Inputs'!$AQ$3&gt;=2,'Pricing Inputs'!$AQ$3&lt;=6),K384,(VLOOKUP(A384,ScaledPrice,5))*(2-(VLOOKUP(A384,ScaledPrice,3)))),0))</f>
        <v xml:space="preserve"> </v>
      </c>
      <c r="M384" s="255" t="str">
        <f>IF(A384="N/A"," ",IF(OR('Pricing Inputs'!$AQ$3=3,'Pricing Inputs'!$AQ$3=6,'Pricing Inputs'!$AQ$3=9),(VLOOKUP(A384,ScaledPrice,IF(AND('Pricing Inputs'!$AQ$3&gt;=3,'Pricing Inputs'!$AQ$3&lt;=6),7,8))),0))</f>
        <v xml:space="preserve"> </v>
      </c>
      <c r="N384" s="255" t="str">
        <f>IF(A384="N/A"," ",IF(OR('Pricing Inputs'!$AQ$3=3,'Pricing Inputs'!$AQ$3=6,'Pricing Inputs'!$AQ$3=9),IF(AND('Pricing Inputs'!$AQ$3&gt;=3,'Pricing Inputs'!$AQ$3&lt;=6),M384,(VLOOKUP(A384,ScaledPrice,7))*(2-(VLOOKUP(A384,ScaledPrice,3)))),0))</f>
        <v xml:space="preserve"> </v>
      </c>
      <c r="O384" s="255" t="str">
        <f>IF(A384="N/A"," ",IF(AND('Pricing Inputs'!$AQ$3&gt;=1,'Pricing Inputs'!$AQ$3&lt;=3),VLOOKUP(A384,ScaledPrice,9),0))</f>
        <v xml:space="preserve"> </v>
      </c>
      <c r="P384" s="320" t="str">
        <f>IF($A384="N/A"," ",IF('Pricing Inputs'!$AN$8=2,(I384-H384),IF('Pricing Inputs'!$AN$3=2,IF((I384-$H384)&gt;0,I384-$H384,0),(_xll.xSPRDOPT(I384,$E384,$BU384,0,$BP384,$BS384,$BT384,($A384-Inputs!$D$1)+15,1,0)))))</f>
        <v xml:space="preserve"> </v>
      </c>
      <c r="Q384" s="320" t="str">
        <f>IF($A384="N/A"," ",IF('Pricing Inputs'!$AN$8=2,(J384-$H384),IF('Pricing Inputs'!$AN$3=2,IF((J384-$H384)&gt;0,J384-$H384,0),(_xll.xSPRDOPT(J384,$E384,$BU384,0,$BP384,$BS384,$BT384,($A384-Inputs!$D$1)+15,1,0)))))</f>
        <v xml:space="preserve"> </v>
      </c>
      <c r="R384" s="320" t="str">
        <f>IF($A384="N/A"," ",IF('Pricing Inputs'!$AN$8=2,(K384-$H384),IF('Pricing Inputs'!$AN$3=2,IF((K384-$H384)&gt;0,K384-$H384,0),(_xll.xSPRDOPT(K384,$E384,$BU384,0,$BP384,$BS384,$BT384,($A384-Inputs!$D$1)+15,1,0)))))</f>
        <v xml:space="preserve"> </v>
      </c>
      <c r="S384" s="320" t="str">
        <f>IF($A384="N/A"," ",IF('Pricing Inputs'!$AN$8=2,(L384-$H384),IF('Pricing Inputs'!$AN$3=2,IF((L384-$H384)&gt;0,L384-$H384,0),(_xll.xSPRDOPT(L384,$E384,$BU384,0,$BP384,$BS384,$BT384,($A384-Inputs!$D$1)+15,1,0)))))</f>
        <v xml:space="preserve"> </v>
      </c>
      <c r="T384" s="320" t="str">
        <f>IF($A384="N/A"," ",IF('Pricing Inputs'!$AN$8=2,(M384-$H384),IF('Pricing Inputs'!$AN$3=2,IF((M384-$H384)&gt;0,M384-$H384,0),(_xll.xSPRDOPT(M384,$E384,$BU384,0,$BP384,$BS384,$BT384,($A384-Inputs!$D$1)+15,1,0)))))</f>
        <v xml:space="preserve"> </v>
      </c>
      <c r="U384" s="320" t="str">
        <f>IF($A384="N/A"," ",IF('Pricing Inputs'!$AN$8=2,(N384-$H384),IF('Pricing Inputs'!$AN$3=2,IF((N384-$H384)&gt;0,N384-$H384,0),(_xll.xSPRDOPT(N384,$E384,$BU384,0,$BP384,$BS384,$BT384,($A384-Inputs!$D$1)+15,1,0)))))</f>
        <v xml:space="preserve"> </v>
      </c>
      <c r="V384" s="259" t="str">
        <f>IF($A384="N/A"," ",(IF('Pricing Inputs'!$AN$8=2,(O384-$H384),IF((O384-$H384)&lt;=0,0,(O384-$H384)))))</f>
        <v xml:space="preserve"> </v>
      </c>
      <c r="BA384" s="267" t="str">
        <f>IF($A384="N/A"," ",(IF(MONTH(A384)&gt;=4,IF(MONTH(A384)&lt;=10,Inputs!$F$13,Inputs!$F$14),Inputs!$F$14))*$BW384)</f>
        <v xml:space="preserve"> </v>
      </c>
      <c r="BN384" s="405" t="str">
        <f>IF(A384="N/A"," ",(VLOOKUP(A384,PowerVolTable,(IF('Pricing Inputs'!$AT$3=2,7,IF('Pricing Inputs'!$AT$3=1,6,8))),FALSE)))</f>
        <v xml:space="preserve"> </v>
      </c>
      <c r="BO384" s="405" t="str">
        <f>IF(A384="N/A"," ",(VLOOKUP(A384,IntraPowerVol,(IF('Pricing Inputs'!$AT$3=2,3,IF('Pricing Inputs'!$AT$3=1,2,4))),FALSE)*VLOOKUP(MONTH($A384),Inputs!$A$28:$B$39,2)))</f>
        <v xml:space="preserve"> </v>
      </c>
      <c r="BP384" s="406" t="str">
        <f t="shared" si="436"/>
        <v xml:space="preserve"> </v>
      </c>
      <c r="BQ384" s="405" t="str">
        <f>IF($A384="N/A"," ",(VLOOKUP($A384,GasVolTable,(IF('Pricing Inputs'!$AT$3=2,6,IF('Pricing Inputs'!$AT$3=1,7,5))),FALSE)))</f>
        <v xml:space="preserve"> </v>
      </c>
      <c r="BR384" s="405" t="str">
        <f>IF($A384="N/A"," ",(VLOOKUP($A384,OmicronVol,(IF('Pricing Inputs'!$AT$3=2,3,IF('Pricing Inputs'!$AT$3=1,4,2))),FALSE)))</f>
        <v xml:space="preserve"> </v>
      </c>
      <c r="BS384" s="406" t="str">
        <f>IF($A384="N/A"," ",IF('Pricing Inputs'!$AN$3=1,(IF(DateToday&gt;$A384,$BR384,((($BQ384^2)*((($A384-1)-DateToday)/((EOMONTH($A384,0)+1)-DateToday-15)))+((($BR384)^2)*((15)/((EOMONTH($A384,0)+1)-DateToday-15))))^0.5)),0.0001))</f>
        <v xml:space="preserve"> </v>
      </c>
      <c r="BT384" s="405" t="str">
        <f>IF($A384="N/A"," ",IF('Pricing Inputs'!$AN$3=1,(VLOOKUP($A384,CorrelationTable,2,FALSE)),0))</f>
        <v xml:space="preserve"> </v>
      </c>
      <c r="BU384" s="407" t="str">
        <f>IF($A384="N/A"," ",F384+G384+(D384*(VLOOKUP($A384,'Gas Curves'!$B$17:$P$310,14,FALSE))))</f>
        <v xml:space="preserve"> </v>
      </c>
      <c r="BV384" s="405" t="str">
        <f>IF($A384="N/A"," ",IF('Pricing Inputs'!$AW$3=1,0,(VLOOKUP($A384,InterestRatesTable,2))))</f>
        <v xml:space="preserve"> </v>
      </c>
      <c r="BW384" s="408" t="str">
        <f t="shared" si="437"/>
        <v xml:space="preserve"> </v>
      </c>
    </row>
    <row r="385" spans="1:75">
      <c r="A385" s="248" t="str">
        <f>IF(A384="N/A","N/A",IF(EDATE(A384,1)&gt;Inputs!$K$3,"N/A",EDATE(A384,1)))</f>
        <v>N/A</v>
      </c>
      <c r="B385" s="262" t="str">
        <f t="shared" si="438"/>
        <v xml:space="preserve"> </v>
      </c>
      <c r="C385" s="249" t="str">
        <f t="shared" si="439"/>
        <v xml:space="preserve"> </v>
      </c>
      <c r="D385" s="250" t="str">
        <f>IF(A385="N/A"," ",(VLOOKUP(MONTH($A385),Inputs!$A$14:$B$25,2))/1000)</f>
        <v xml:space="preserve"> </v>
      </c>
      <c r="E385" s="304" t="str">
        <f t="shared" si="440"/>
        <v xml:space="preserve"> </v>
      </c>
      <c r="F385" s="251" t="str">
        <f>IF(A385="N/A"," ",Inputs!$F$6)</f>
        <v xml:space="preserve"> </v>
      </c>
      <c r="G385" s="251" t="str">
        <f>IF(A385="N/A"," ",Inputs!$F$9/IF(AND('Pricing Inputs'!$AQ$3&gt;=4,'Pricing Inputs'!$AQ$3&lt;=6),16,IF(AND('Pricing Inputs'!$AQ$3&gt;=7,'Pricing Inputs'!$AQ$3&lt;=9),8,24))/(BA385/BW385))</f>
        <v xml:space="preserve"> </v>
      </c>
      <c r="H385" s="252" t="str">
        <f t="shared" si="441"/>
        <v xml:space="preserve"> </v>
      </c>
      <c r="I385" s="255" t="str">
        <f>VLOOKUP(A385,ScaledPrice,(IF(AND('Pricing Inputs'!$AQ$3&gt;=1,'Pricing Inputs'!$AQ$3&lt;=6),2,4)))</f>
        <v xml:space="preserve"> </v>
      </c>
      <c r="J385" s="255" t="str">
        <f>IF(A385="N/A"," ",IF(AND('Pricing Inputs'!$AQ$3&gt;=1,'Pricing Inputs'!$AQ$3&lt;=6),I385,(VLOOKUP(A385,ScaledPrice,2))*(2-(VLOOKUP(A385,ScaledPrice,3)))))</f>
        <v xml:space="preserve"> </v>
      </c>
      <c r="K385" s="255" t="str">
        <f>IF(A385="N/A"," ",IF(OR('Pricing Inputs'!$AQ$3=2,'Pricing Inputs'!$AQ$3=3,'Pricing Inputs'!$AQ$3=5,'Pricing Inputs'!$AQ$3=6,'Pricing Inputs'!$AQ$3=8,'Pricing Inputs'!$AQ$3=9),VLOOKUP(A385,ScaledPrice,IF(AND('Pricing Inputs'!$AQ$3&gt;=2,'Pricing Inputs'!$AQ$3&lt;=6),5,6)),0))</f>
        <v xml:space="preserve"> </v>
      </c>
      <c r="L385" s="255" t="str">
        <f>IF(A385="N/A"," ",IF(OR('Pricing Inputs'!$AQ$3=2,'Pricing Inputs'!$AQ$3=3,'Pricing Inputs'!$AQ$3=5,'Pricing Inputs'!$AQ$3=6,'Pricing Inputs'!$AQ$3=8,'Pricing Inputs'!$AQ$3=9),IF(AND('Pricing Inputs'!$AQ$3&gt;=2,'Pricing Inputs'!$AQ$3&lt;=6),K385,(VLOOKUP(A385,ScaledPrice,5))*(2-(VLOOKUP(A385,ScaledPrice,3)))),0))</f>
        <v xml:space="preserve"> </v>
      </c>
      <c r="M385" s="255" t="str">
        <f>IF(A385="N/A"," ",IF(OR('Pricing Inputs'!$AQ$3=3,'Pricing Inputs'!$AQ$3=6,'Pricing Inputs'!$AQ$3=9),(VLOOKUP(A385,ScaledPrice,IF(AND('Pricing Inputs'!$AQ$3&gt;=3,'Pricing Inputs'!$AQ$3&lt;=6),7,8))),0))</f>
        <v xml:space="preserve"> </v>
      </c>
      <c r="N385" s="255" t="str">
        <f>IF(A385="N/A"," ",IF(OR('Pricing Inputs'!$AQ$3=3,'Pricing Inputs'!$AQ$3=6,'Pricing Inputs'!$AQ$3=9),IF(AND('Pricing Inputs'!$AQ$3&gt;=3,'Pricing Inputs'!$AQ$3&lt;=6),M385,(VLOOKUP(A385,ScaledPrice,7))*(2-(VLOOKUP(A385,ScaledPrice,3)))),0))</f>
        <v xml:space="preserve"> </v>
      </c>
      <c r="O385" s="255" t="str">
        <f>IF(A385="N/A"," ",IF(AND('Pricing Inputs'!$AQ$3&gt;=1,'Pricing Inputs'!$AQ$3&lt;=3),VLOOKUP(A385,ScaledPrice,9),0))</f>
        <v xml:space="preserve"> </v>
      </c>
      <c r="P385" s="320" t="str">
        <f>IF($A385="N/A"," ",IF('Pricing Inputs'!$AN$8=2,(I385-H385),IF('Pricing Inputs'!$AN$3=2,IF((I385-$H385)&gt;0,I385-$H385,0),(_xll.xSPRDOPT(I385,$E385,$BU385,0,$BP385,$BS385,$BT385,($A385-Inputs!$D$1)+15,1,0)))))</f>
        <v xml:space="preserve"> </v>
      </c>
      <c r="Q385" s="320" t="str">
        <f>IF($A385="N/A"," ",IF('Pricing Inputs'!$AN$8=2,(J385-$H385),IF('Pricing Inputs'!$AN$3=2,IF((J385-$H385)&gt;0,J385-$H385,0),(_xll.xSPRDOPT(J385,$E385,$BU385,0,$BP385,$BS385,$BT385,($A385-Inputs!$D$1)+15,1,0)))))</f>
        <v xml:space="preserve"> </v>
      </c>
      <c r="R385" s="320" t="str">
        <f>IF($A385="N/A"," ",IF('Pricing Inputs'!$AN$8=2,(K385-$H385),IF('Pricing Inputs'!$AN$3=2,IF((K385-$H385)&gt;0,K385-$H385,0),(_xll.xSPRDOPT(K385,$E385,$BU385,0,$BP385,$BS385,$BT385,($A385-Inputs!$D$1)+15,1,0)))))</f>
        <v xml:space="preserve"> </v>
      </c>
      <c r="S385" s="320" t="str">
        <f>IF($A385="N/A"," ",IF('Pricing Inputs'!$AN$8=2,(L385-$H385),IF('Pricing Inputs'!$AN$3=2,IF((L385-$H385)&gt;0,L385-$H385,0),(_xll.xSPRDOPT(L385,$E385,$BU385,0,$BP385,$BS385,$BT385,($A385-Inputs!$D$1)+15,1,0)))))</f>
        <v xml:space="preserve"> </v>
      </c>
      <c r="T385" s="320" t="str">
        <f>IF($A385="N/A"," ",IF('Pricing Inputs'!$AN$8=2,(M385-$H385),IF('Pricing Inputs'!$AN$3=2,IF((M385-$H385)&gt;0,M385-$H385,0),(_xll.xSPRDOPT(M385,$E385,$BU385,0,$BP385,$BS385,$BT385,($A385-Inputs!$D$1)+15,1,0)))))</f>
        <v xml:space="preserve"> </v>
      </c>
      <c r="U385" s="320" t="str">
        <f>IF($A385="N/A"," ",IF('Pricing Inputs'!$AN$8=2,(N385-$H385),IF('Pricing Inputs'!$AN$3=2,IF((N385-$H385)&gt;0,N385-$H385,0),(_xll.xSPRDOPT(N385,$E385,$BU385,0,$BP385,$BS385,$BT385,($A385-Inputs!$D$1)+15,1,0)))))</f>
        <v xml:space="preserve"> </v>
      </c>
      <c r="V385" s="259" t="str">
        <f>IF($A385="N/A"," ",(IF('Pricing Inputs'!$AN$8=2,(O385-$H385),IF((O385-$H385)&lt;=0,0,(O385-$H385)))))</f>
        <v xml:space="preserve"> </v>
      </c>
      <c r="BA385" s="267" t="str">
        <f>IF($A385="N/A"," ",(IF(MONTH(A385)&gt;=4,IF(MONTH(A385)&lt;=10,Inputs!$F$13,Inputs!$F$14),Inputs!$F$14))*$BW385)</f>
        <v xml:space="preserve"> </v>
      </c>
      <c r="BN385" s="405" t="str">
        <f>IF(A385="N/A"," ",(VLOOKUP(A385,PowerVolTable,(IF('Pricing Inputs'!$AT$3=2,7,IF('Pricing Inputs'!$AT$3=1,6,8))),FALSE)))</f>
        <v xml:space="preserve"> </v>
      </c>
      <c r="BO385" s="405" t="str">
        <f>IF(A385="N/A"," ",(VLOOKUP(A385,IntraPowerVol,(IF('Pricing Inputs'!$AT$3=2,3,IF('Pricing Inputs'!$AT$3=1,2,4))),FALSE)*VLOOKUP(MONTH($A385),Inputs!$A$28:$B$39,2)))</f>
        <v xml:space="preserve"> </v>
      </c>
      <c r="BP385" s="406" t="str">
        <f t="shared" si="436"/>
        <v xml:space="preserve"> </v>
      </c>
      <c r="BQ385" s="405" t="str">
        <f>IF($A385="N/A"," ",(VLOOKUP($A385,GasVolTable,(IF('Pricing Inputs'!$AT$3=2,6,IF('Pricing Inputs'!$AT$3=1,7,5))),FALSE)))</f>
        <v xml:space="preserve"> </v>
      </c>
      <c r="BR385" s="405" t="str">
        <f>IF($A385="N/A"," ",(VLOOKUP($A385,OmicronVol,(IF('Pricing Inputs'!$AT$3=2,3,IF('Pricing Inputs'!$AT$3=1,4,2))),FALSE)))</f>
        <v xml:space="preserve"> </v>
      </c>
      <c r="BS385" s="406" t="str">
        <f>IF($A385="N/A"," ",IF('Pricing Inputs'!$AN$3=1,(IF(DateToday&gt;$A385,$BR385,((($BQ385^2)*((($A385-1)-DateToday)/((EOMONTH($A385,0)+1)-DateToday-15)))+((($BR385)^2)*((15)/((EOMONTH($A385,0)+1)-DateToday-15))))^0.5)),0.0001))</f>
        <v xml:space="preserve"> </v>
      </c>
      <c r="BT385" s="405" t="str">
        <f>IF($A385="N/A"," ",IF('Pricing Inputs'!$AN$3=1,(VLOOKUP($A385,CorrelationTable,2,FALSE)),0))</f>
        <v xml:space="preserve"> </v>
      </c>
      <c r="BU385" s="407" t="str">
        <f>IF($A385="N/A"," ",F385+G385+(D385*(VLOOKUP($A385,'Gas Curves'!$B$17:$P$310,14,FALSE))))</f>
        <v xml:space="preserve"> </v>
      </c>
      <c r="BV385" s="405" t="str">
        <f>IF($A385="N/A"," ",IF('Pricing Inputs'!$AW$3=1,0,(VLOOKUP($A385,InterestRatesTable,2))))</f>
        <v xml:space="preserve"> </v>
      </c>
      <c r="BW385" s="408" t="str">
        <f t="shared" si="437"/>
        <v xml:space="preserve"> </v>
      </c>
    </row>
    <row r="386" spans="1:75">
      <c r="A386" s="248" t="str">
        <f>IF(A385="N/A","N/A",IF(EDATE(A385,1)&gt;Inputs!$K$3,"N/A",EDATE(A385,1)))</f>
        <v>N/A</v>
      </c>
      <c r="B386" s="262" t="str">
        <f t="shared" si="438"/>
        <v xml:space="preserve"> </v>
      </c>
      <c r="C386" s="249" t="str">
        <f t="shared" si="439"/>
        <v xml:space="preserve"> </v>
      </c>
      <c r="D386" s="250" t="str">
        <f>IF(A386="N/A"," ",(VLOOKUP(MONTH($A386),Inputs!$A$14:$B$25,2))/1000)</f>
        <v xml:space="preserve"> </v>
      </c>
      <c r="E386" s="304" t="str">
        <f t="shared" si="440"/>
        <v xml:space="preserve"> </v>
      </c>
      <c r="F386" s="251" t="str">
        <f>IF(A386="N/A"," ",Inputs!$F$6)</f>
        <v xml:space="preserve"> </v>
      </c>
      <c r="G386" s="251" t="str">
        <f>IF(A386="N/A"," ",Inputs!$F$9/IF(AND('Pricing Inputs'!$AQ$3&gt;=4,'Pricing Inputs'!$AQ$3&lt;=6),16,IF(AND('Pricing Inputs'!$AQ$3&gt;=7,'Pricing Inputs'!$AQ$3&lt;=9),8,24))/(BA386/BW386))</f>
        <v xml:space="preserve"> </v>
      </c>
      <c r="H386" s="252" t="str">
        <f t="shared" si="441"/>
        <v xml:space="preserve"> </v>
      </c>
      <c r="I386" s="255" t="str">
        <f>VLOOKUP(A386,ScaledPrice,(IF(AND('Pricing Inputs'!$AQ$3&gt;=1,'Pricing Inputs'!$AQ$3&lt;=6),2,4)))</f>
        <v xml:space="preserve"> </v>
      </c>
      <c r="J386" s="255" t="str">
        <f>IF(A386="N/A"," ",IF(AND('Pricing Inputs'!$AQ$3&gt;=1,'Pricing Inputs'!$AQ$3&lt;=6),I386,(VLOOKUP(A386,ScaledPrice,2))*(2-(VLOOKUP(A386,ScaledPrice,3)))))</f>
        <v xml:space="preserve"> </v>
      </c>
      <c r="K386" s="255" t="str">
        <f>IF(A386="N/A"," ",IF(OR('Pricing Inputs'!$AQ$3=2,'Pricing Inputs'!$AQ$3=3,'Pricing Inputs'!$AQ$3=5,'Pricing Inputs'!$AQ$3=6,'Pricing Inputs'!$AQ$3=8,'Pricing Inputs'!$AQ$3=9),VLOOKUP(A386,ScaledPrice,IF(AND('Pricing Inputs'!$AQ$3&gt;=2,'Pricing Inputs'!$AQ$3&lt;=6),5,6)),0))</f>
        <v xml:space="preserve"> </v>
      </c>
      <c r="L386" s="255" t="str">
        <f>IF(A386="N/A"," ",IF(OR('Pricing Inputs'!$AQ$3=2,'Pricing Inputs'!$AQ$3=3,'Pricing Inputs'!$AQ$3=5,'Pricing Inputs'!$AQ$3=6,'Pricing Inputs'!$AQ$3=8,'Pricing Inputs'!$AQ$3=9),IF(AND('Pricing Inputs'!$AQ$3&gt;=2,'Pricing Inputs'!$AQ$3&lt;=6),K386,(VLOOKUP(A386,ScaledPrice,5))*(2-(VLOOKUP(A386,ScaledPrice,3)))),0))</f>
        <v xml:space="preserve"> </v>
      </c>
      <c r="M386" s="255" t="str">
        <f>IF(A386="N/A"," ",IF(OR('Pricing Inputs'!$AQ$3=3,'Pricing Inputs'!$AQ$3=6,'Pricing Inputs'!$AQ$3=9),(VLOOKUP(A386,ScaledPrice,IF(AND('Pricing Inputs'!$AQ$3&gt;=3,'Pricing Inputs'!$AQ$3&lt;=6),7,8))),0))</f>
        <v xml:space="preserve"> </v>
      </c>
      <c r="N386" s="255" t="str">
        <f>IF(A386="N/A"," ",IF(OR('Pricing Inputs'!$AQ$3=3,'Pricing Inputs'!$AQ$3=6,'Pricing Inputs'!$AQ$3=9),IF(AND('Pricing Inputs'!$AQ$3&gt;=3,'Pricing Inputs'!$AQ$3&lt;=6),M386,(VLOOKUP(A386,ScaledPrice,7))*(2-(VLOOKUP(A386,ScaledPrice,3)))),0))</f>
        <v xml:space="preserve"> </v>
      </c>
      <c r="O386" s="255" t="str">
        <f>IF(A386="N/A"," ",IF(AND('Pricing Inputs'!$AQ$3&gt;=1,'Pricing Inputs'!$AQ$3&lt;=3),VLOOKUP(A386,ScaledPrice,9),0))</f>
        <v xml:space="preserve"> </v>
      </c>
      <c r="P386" s="320" t="str">
        <f>IF($A386="N/A"," ",IF('Pricing Inputs'!$AN$8=2,(I386-H386),IF('Pricing Inputs'!$AN$3=2,IF((I386-$H386)&gt;0,I386-$H386,0),(_xll.xSPRDOPT(I386,$E386,$BU386,0,$BP386,$BS386,$BT386,($A386-Inputs!$D$1)+15,1,0)))))</f>
        <v xml:space="preserve"> </v>
      </c>
      <c r="Q386" s="320" t="str">
        <f>IF($A386="N/A"," ",IF('Pricing Inputs'!$AN$8=2,(J386-$H386),IF('Pricing Inputs'!$AN$3=2,IF((J386-$H386)&gt;0,J386-$H386,0),(_xll.xSPRDOPT(J386,$E386,$BU386,0,$BP386,$BS386,$BT386,($A386-Inputs!$D$1)+15,1,0)))))</f>
        <v xml:space="preserve"> </v>
      </c>
      <c r="R386" s="320" t="str">
        <f>IF($A386="N/A"," ",IF('Pricing Inputs'!$AN$8=2,(K386-$H386),IF('Pricing Inputs'!$AN$3=2,IF((K386-$H386)&gt;0,K386-$H386,0),(_xll.xSPRDOPT(K386,$E386,$BU386,0,$BP386,$BS386,$BT386,($A386-Inputs!$D$1)+15,1,0)))))</f>
        <v xml:space="preserve"> </v>
      </c>
      <c r="S386" s="320" t="str">
        <f>IF($A386="N/A"," ",IF('Pricing Inputs'!$AN$8=2,(L386-$H386),IF('Pricing Inputs'!$AN$3=2,IF((L386-$H386)&gt;0,L386-$H386,0),(_xll.xSPRDOPT(L386,$E386,$BU386,0,$BP386,$BS386,$BT386,($A386-Inputs!$D$1)+15,1,0)))))</f>
        <v xml:space="preserve"> </v>
      </c>
      <c r="T386" s="320" t="str">
        <f>IF($A386="N/A"," ",IF('Pricing Inputs'!$AN$8=2,(M386-$H386),IF('Pricing Inputs'!$AN$3=2,IF((M386-$H386)&gt;0,M386-$H386,0),(_xll.xSPRDOPT(M386,$E386,$BU386,0,$BP386,$BS386,$BT386,($A386-Inputs!$D$1)+15,1,0)))))</f>
        <v xml:space="preserve"> </v>
      </c>
      <c r="U386" s="320" t="str">
        <f>IF($A386="N/A"," ",IF('Pricing Inputs'!$AN$8=2,(N386-$H386),IF('Pricing Inputs'!$AN$3=2,IF((N386-$H386)&gt;0,N386-$H386,0),(_xll.xSPRDOPT(N386,$E386,$BU386,0,$BP386,$BS386,$BT386,($A386-Inputs!$D$1)+15,1,0)))))</f>
        <v xml:space="preserve"> </v>
      </c>
      <c r="V386" s="259" t="str">
        <f>IF($A386="N/A"," ",(IF('Pricing Inputs'!$AN$8=2,(O386-$H386),IF((O386-$H386)&lt;=0,0,(O386-$H386)))))</f>
        <v xml:space="preserve"> </v>
      </c>
      <c r="BA386" s="267" t="str">
        <f>IF($A386="N/A"," ",(IF(MONTH(A386)&gt;=4,IF(MONTH(A386)&lt;=10,Inputs!$F$13,Inputs!$F$14),Inputs!$F$14))*$BW386)</f>
        <v xml:space="preserve"> </v>
      </c>
      <c r="BN386" s="405" t="str">
        <f>IF(A386="N/A"," ",(VLOOKUP(A386,PowerVolTable,(IF('Pricing Inputs'!$AT$3=2,7,IF('Pricing Inputs'!$AT$3=1,6,8))),FALSE)))</f>
        <v xml:space="preserve"> </v>
      </c>
      <c r="BO386" s="405" t="str">
        <f>IF(A386="N/A"," ",(VLOOKUP(A386,IntraPowerVol,(IF('Pricing Inputs'!$AT$3=2,3,IF('Pricing Inputs'!$AT$3=1,2,4))),FALSE)*VLOOKUP(MONTH($A386),Inputs!$A$28:$B$39,2)))</f>
        <v xml:space="preserve"> </v>
      </c>
      <c r="BP386" s="406" t="str">
        <f t="shared" si="436"/>
        <v xml:space="preserve"> </v>
      </c>
      <c r="BQ386" s="405" t="str">
        <f>IF($A386="N/A"," ",(VLOOKUP($A386,GasVolTable,(IF('Pricing Inputs'!$AT$3=2,6,IF('Pricing Inputs'!$AT$3=1,7,5))),FALSE)))</f>
        <v xml:space="preserve"> </v>
      </c>
      <c r="BR386" s="405" t="str">
        <f>IF($A386="N/A"," ",(VLOOKUP($A386,OmicronVol,(IF('Pricing Inputs'!$AT$3=2,3,IF('Pricing Inputs'!$AT$3=1,4,2))),FALSE)))</f>
        <v xml:space="preserve"> </v>
      </c>
      <c r="BS386" s="406" t="str">
        <f>IF($A386="N/A"," ",IF('Pricing Inputs'!$AN$3=1,(IF(DateToday&gt;$A386,$BR386,((($BQ386^2)*((($A386-1)-DateToday)/((EOMONTH($A386,0)+1)-DateToday-15)))+((($BR386)^2)*((15)/((EOMONTH($A386,0)+1)-DateToday-15))))^0.5)),0.0001))</f>
        <v xml:space="preserve"> </v>
      </c>
      <c r="BT386" s="405" t="str">
        <f>IF($A386="N/A"," ",IF('Pricing Inputs'!$AN$3=1,(VLOOKUP($A386,CorrelationTable,2,FALSE)),0))</f>
        <v xml:space="preserve"> </v>
      </c>
      <c r="BU386" s="407" t="str">
        <f>IF($A386="N/A"," ",F386+G386+(D386*(VLOOKUP($A386,'Gas Curves'!$B$17:$P$310,14,FALSE))))</f>
        <v xml:space="preserve"> </v>
      </c>
      <c r="BV386" s="405" t="str">
        <f>IF($A386="N/A"," ",IF('Pricing Inputs'!$AW$3=1,0,(VLOOKUP($A386,InterestRatesTable,2))))</f>
        <v xml:space="preserve"> </v>
      </c>
      <c r="BW386" s="408" t="str">
        <f t="shared" si="437"/>
        <v xml:space="preserve"> </v>
      </c>
    </row>
    <row r="387" spans="1:75">
      <c r="A387" s="248" t="str">
        <f>IF(A386="N/A","N/A",IF(EDATE(A386,1)&gt;Inputs!$K$3,"N/A",EDATE(A386,1)))</f>
        <v>N/A</v>
      </c>
      <c r="B387" s="262" t="str">
        <f t="shared" si="438"/>
        <v xml:space="preserve"> </v>
      </c>
      <c r="C387" s="249" t="str">
        <f t="shared" si="439"/>
        <v xml:space="preserve"> </v>
      </c>
      <c r="D387" s="250" t="str">
        <f>IF(A387="N/A"," ",(VLOOKUP(MONTH($A387),Inputs!$A$14:$B$25,2))/1000)</f>
        <v xml:space="preserve"> </v>
      </c>
      <c r="E387" s="304" t="str">
        <f t="shared" si="440"/>
        <v xml:space="preserve"> </v>
      </c>
      <c r="F387" s="251" t="str">
        <f>IF(A387="N/A"," ",Inputs!$F$6)</f>
        <v xml:space="preserve"> </v>
      </c>
      <c r="G387" s="251" t="str">
        <f>IF(A387="N/A"," ",Inputs!$F$9/IF(AND('Pricing Inputs'!$AQ$3&gt;=4,'Pricing Inputs'!$AQ$3&lt;=6),16,IF(AND('Pricing Inputs'!$AQ$3&gt;=7,'Pricing Inputs'!$AQ$3&lt;=9),8,24))/(BA387/BW387))</f>
        <v xml:space="preserve"> </v>
      </c>
      <c r="H387" s="252" t="str">
        <f t="shared" si="441"/>
        <v xml:space="preserve"> </v>
      </c>
      <c r="I387" s="255" t="str">
        <f>VLOOKUP(A387,ScaledPrice,(IF(AND('Pricing Inputs'!$AQ$3&gt;=1,'Pricing Inputs'!$AQ$3&lt;=6),2,4)))</f>
        <v xml:space="preserve"> </v>
      </c>
      <c r="J387" s="255" t="str">
        <f>IF(A387="N/A"," ",IF(AND('Pricing Inputs'!$AQ$3&gt;=1,'Pricing Inputs'!$AQ$3&lt;=6),I387,(VLOOKUP(A387,ScaledPrice,2))*(2-(VLOOKUP(A387,ScaledPrice,3)))))</f>
        <v xml:space="preserve"> </v>
      </c>
      <c r="K387" s="255" t="str">
        <f>IF(A387="N/A"," ",IF(OR('Pricing Inputs'!$AQ$3=2,'Pricing Inputs'!$AQ$3=3,'Pricing Inputs'!$AQ$3=5,'Pricing Inputs'!$AQ$3=6,'Pricing Inputs'!$AQ$3=8,'Pricing Inputs'!$AQ$3=9),VLOOKUP(A387,ScaledPrice,IF(AND('Pricing Inputs'!$AQ$3&gt;=2,'Pricing Inputs'!$AQ$3&lt;=6),5,6)),0))</f>
        <v xml:space="preserve"> </v>
      </c>
      <c r="L387" s="255" t="str">
        <f>IF(A387="N/A"," ",IF(OR('Pricing Inputs'!$AQ$3=2,'Pricing Inputs'!$AQ$3=3,'Pricing Inputs'!$AQ$3=5,'Pricing Inputs'!$AQ$3=6,'Pricing Inputs'!$AQ$3=8,'Pricing Inputs'!$AQ$3=9),IF(AND('Pricing Inputs'!$AQ$3&gt;=2,'Pricing Inputs'!$AQ$3&lt;=6),K387,(VLOOKUP(A387,ScaledPrice,5))*(2-(VLOOKUP(A387,ScaledPrice,3)))),0))</f>
        <v xml:space="preserve"> </v>
      </c>
      <c r="M387" s="255" t="str">
        <f>IF(A387="N/A"," ",IF(OR('Pricing Inputs'!$AQ$3=3,'Pricing Inputs'!$AQ$3=6,'Pricing Inputs'!$AQ$3=9),(VLOOKUP(A387,ScaledPrice,IF(AND('Pricing Inputs'!$AQ$3&gt;=3,'Pricing Inputs'!$AQ$3&lt;=6),7,8))),0))</f>
        <v xml:space="preserve"> </v>
      </c>
      <c r="N387" s="255" t="str">
        <f>IF(A387="N/A"," ",IF(OR('Pricing Inputs'!$AQ$3=3,'Pricing Inputs'!$AQ$3=6,'Pricing Inputs'!$AQ$3=9),IF(AND('Pricing Inputs'!$AQ$3&gt;=3,'Pricing Inputs'!$AQ$3&lt;=6),M387,(VLOOKUP(A387,ScaledPrice,7))*(2-(VLOOKUP(A387,ScaledPrice,3)))),0))</f>
        <v xml:space="preserve"> </v>
      </c>
      <c r="O387" s="255" t="str">
        <f>IF(A387="N/A"," ",IF(AND('Pricing Inputs'!$AQ$3&gt;=1,'Pricing Inputs'!$AQ$3&lt;=3),VLOOKUP(A387,ScaledPrice,9),0))</f>
        <v xml:space="preserve"> </v>
      </c>
      <c r="P387" s="320" t="str">
        <f>IF($A387="N/A"," ",IF('Pricing Inputs'!$AN$8=2,(I387-H387),IF('Pricing Inputs'!$AN$3=2,IF((I387-$H387)&gt;0,I387-$H387,0),(_xll.xSPRDOPT(I387,$E387,$BU387,0,$BP387,$BS387,$BT387,($A387-Inputs!$D$1)+15,1,0)))))</f>
        <v xml:space="preserve"> </v>
      </c>
      <c r="Q387" s="320" t="str">
        <f>IF($A387="N/A"," ",IF('Pricing Inputs'!$AN$8=2,(J387-$H387),IF('Pricing Inputs'!$AN$3=2,IF((J387-$H387)&gt;0,J387-$H387,0),(_xll.xSPRDOPT(J387,$E387,$BU387,0,$BP387,$BS387,$BT387,($A387-Inputs!$D$1)+15,1,0)))))</f>
        <v xml:space="preserve"> </v>
      </c>
      <c r="R387" s="320" t="str">
        <f>IF($A387="N/A"," ",IF('Pricing Inputs'!$AN$8=2,(K387-$H387),IF('Pricing Inputs'!$AN$3=2,IF((K387-$H387)&gt;0,K387-$H387,0),(_xll.xSPRDOPT(K387,$E387,$BU387,0,$BP387,$BS387,$BT387,($A387-Inputs!$D$1)+15,1,0)))))</f>
        <v xml:space="preserve"> </v>
      </c>
      <c r="S387" s="320" t="str">
        <f>IF($A387="N/A"," ",IF('Pricing Inputs'!$AN$8=2,(L387-$H387),IF('Pricing Inputs'!$AN$3=2,IF((L387-$H387)&gt;0,L387-$H387,0),(_xll.xSPRDOPT(L387,$E387,$BU387,0,$BP387,$BS387,$BT387,($A387-Inputs!$D$1)+15,1,0)))))</f>
        <v xml:space="preserve"> </v>
      </c>
      <c r="T387" s="320" t="str">
        <f>IF($A387="N/A"," ",IF('Pricing Inputs'!$AN$8=2,(M387-$H387),IF('Pricing Inputs'!$AN$3=2,IF((M387-$H387)&gt;0,M387-$H387,0),(_xll.xSPRDOPT(M387,$E387,$BU387,0,$BP387,$BS387,$BT387,($A387-Inputs!$D$1)+15,1,0)))))</f>
        <v xml:space="preserve"> </v>
      </c>
      <c r="U387" s="320" t="str">
        <f>IF($A387="N/A"," ",IF('Pricing Inputs'!$AN$8=2,(N387-$H387),IF('Pricing Inputs'!$AN$3=2,IF((N387-$H387)&gt;0,N387-$H387,0),(_xll.xSPRDOPT(N387,$E387,$BU387,0,$BP387,$BS387,$BT387,($A387-Inputs!$D$1)+15,1,0)))))</f>
        <v xml:space="preserve"> </v>
      </c>
      <c r="V387" s="259" t="str">
        <f>IF($A387="N/A"," ",(IF('Pricing Inputs'!$AN$8=2,(O387-$H387),IF((O387-$H387)&lt;=0,0,(O387-$H387)))))</f>
        <v xml:space="preserve"> </v>
      </c>
      <c r="BA387" s="267" t="str">
        <f>IF($A387="N/A"," ",(IF(MONTH(A387)&gt;=4,IF(MONTH(A387)&lt;=10,Inputs!$F$13,Inputs!$F$14),Inputs!$F$14))*$BW387)</f>
        <v xml:space="preserve"> </v>
      </c>
      <c r="BN387" s="405" t="str">
        <f>IF(A387="N/A"," ",(VLOOKUP(A387,PowerVolTable,(IF('Pricing Inputs'!$AT$3=2,7,IF('Pricing Inputs'!$AT$3=1,6,8))),FALSE)))</f>
        <v xml:space="preserve"> </v>
      </c>
      <c r="BO387" s="405" t="str">
        <f>IF(A387="N/A"," ",(VLOOKUP(A387,IntraPowerVol,(IF('Pricing Inputs'!$AT$3=2,3,IF('Pricing Inputs'!$AT$3=1,2,4))),FALSE)*VLOOKUP(MONTH($A387),Inputs!$A$28:$B$39,2)))</f>
        <v xml:space="preserve"> </v>
      </c>
      <c r="BP387" s="406" t="str">
        <f t="shared" si="436"/>
        <v xml:space="preserve"> </v>
      </c>
      <c r="BQ387" s="405" t="str">
        <f>IF($A387="N/A"," ",(VLOOKUP($A387,GasVolTable,(IF('Pricing Inputs'!$AT$3=2,6,IF('Pricing Inputs'!$AT$3=1,7,5))),FALSE)))</f>
        <v xml:space="preserve"> </v>
      </c>
      <c r="BR387" s="405" t="str">
        <f>IF($A387="N/A"," ",(VLOOKUP($A387,OmicronVol,(IF('Pricing Inputs'!$AT$3=2,3,IF('Pricing Inputs'!$AT$3=1,4,2))),FALSE)))</f>
        <v xml:space="preserve"> </v>
      </c>
      <c r="BS387" s="406" t="str">
        <f>IF($A387="N/A"," ",IF('Pricing Inputs'!$AN$3=1,(IF(DateToday&gt;$A387,$BR387,((($BQ387^2)*((($A387-1)-DateToday)/((EOMONTH($A387,0)+1)-DateToday-15)))+((($BR387)^2)*((15)/((EOMONTH($A387,0)+1)-DateToday-15))))^0.5)),0.0001))</f>
        <v xml:space="preserve"> </v>
      </c>
      <c r="BT387" s="405" t="str">
        <f>IF($A387="N/A"," ",IF('Pricing Inputs'!$AN$3=1,(VLOOKUP($A387,CorrelationTable,2,FALSE)),0))</f>
        <v xml:space="preserve"> </v>
      </c>
      <c r="BU387" s="407" t="str">
        <f>IF($A387="N/A"," ",F387+G387+(D387*(VLOOKUP($A387,'Gas Curves'!$B$17:$P$310,14,FALSE))))</f>
        <v xml:space="preserve"> </v>
      </c>
      <c r="BV387" s="405" t="str">
        <f>IF($A387="N/A"," ",IF('Pricing Inputs'!$AW$3=1,0,(VLOOKUP($A387,InterestRatesTable,2))))</f>
        <v xml:space="preserve"> </v>
      </c>
      <c r="BW387" s="408" t="str">
        <f t="shared" si="437"/>
        <v xml:space="preserve"> </v>
      </c>
    </row>
    <row r="388" spans="1:75">
      <c r="A388" s="207"/>
      <c r="B388" s="207"/>
      <c r="N388" s="4"/>
      <c r="O388" s="256"/>
    </row>
    <row r="389" spans="1:75">
      <c r="A389" s="207"/>
      <c r="B389" s="207"/>
      <c r="N389" s="4"/>
      <c r="O389" s="256"/>
    </row>
    <row r="390" spans="1:75">
      <c r="A390" s="207"/>
      <c r="B390" s="207"/>
      <c r="N390" s="4"/>
      <c r="O390" s="256"/>
    </row>
    <row r="391" spans="1:75">
      <c r="A391" s="207"/>
      <c r="B391" s="207"/>
      <c r="N391" s="4"/>
      <c r="O391" s="256"/>
    </row>
    <row r="392" spans="1:75">
      <c r="A392" s="207"/>
      <c r="B392" s="207"/>
      <c r="N392" s="4"/>
      <c r="O392" s="256"/>
    </row>
    <row r="393" spans="1:75">
      <c r="A393" s="207"/>
      <c r="B393" s="207"/>
      <c r="N393" s="4"/>
      <c r="O393" s="256"/>
    </row>
    <row r="394" spans="1:75">
      <c r="A394" s="207"/>
      <c r="B394" s="207"/>
      <c r="N394" s="4"/>
      <c r="O394" s="256"/>
    </row>
    <row r="395" spans="1:75">
      <c r="A395" s="207"/>
      <c r="B395" s="207"/>
      <c r="N395" s="4"/>
      <c r="O395" s="256"/>
    </row>
    <row r="396" spans="1:75">
      <c r="A396" s="207"/>
      <c r="B396" s="207"/>
      <c r="N396" s="4"/>
      <c r="O396" s="256"/>
    </row>
    <row r="397" spans="1:75">
      <c r="A397" s="207"/>
      <c r="B397" s="207"/>
      <c r="N397" s="4"/>
      <c r="O397" s="256"/>
    </row>
    <row r="398" spans="1:75">
      <c r="A398" s="207"/>
      <c r="B398" s="207"/>
      <c r="N398" s="4"/>
      <c r="O398" s="256"/>
    </row>
    <row r="399" spans="1:75">
      <c r="A399" s="207"/>
      <c r="B399" s="207"/>
      <c r="N399" s="4"/>
      <c r="O399" s="256"/>
    </row>
    <row r="400" spans="1:75">
      <c r="A400" s="207"/>
      <c r="B400" s="207"/>
      <c r="N400" s="4"/>
      <c r="O400" s="256"/>
    </row>
    <row r="401" spans="1:15">
      <c r="A401" s="207"/>
      <c r="B401" s="207"/>
      <c r="N401" s="4"/>
      <c r="O401" s="256"/>
    </row>
    <row r="402" spans="1:15">
      <c r="A402" s="207"/>
      <c r="B402" s="207"/>
      <c r="N402" s="4"/>
      <c r="O402" s="256"/>
    </row>
    <row r="403" spans="1:15">
      <c r="A403" s="207"/>
      <c r="B403" s="207"/>
      <c r="N403" s="4"/>
      <c r="O403" s="256"/>
    </row>
    <row r="404" spans="1:15">
      <c r="A404" s="207"/>
      <c r="B404" s="207"/>
      <c r="N404" s="4"/>
      <c r="O404" s="256"/>
    </row>
    <row r="405" spans="1:15">
      <c r="A405" s="207"/>
      <c r="B405" s="207"/>
      <c r="N405" s="4"/>
      <c r="O405" s="256"/>
    </row>
    <row r="406" spans="1:15">
      <c r="A406" s="207"/>
      <c r="B406" s="207"/>
      <c r="N406" s="4"/>
      <c r="O406" s="256"/>
    </row>
    <row r="407" spans="1:15">
      <c r="A407" s="207"/>
      <c r="B407" s="207"/>
      <c r="N407" s="4"/>
      <c r="O407" s="256"/>
    </row>
    <row r="408" spans="1:15">
      <c r="A408" s="207"/>
      <c r="B408" s="207"/>
      <c r="N408" s="4"/>
      <c r="O408" s="256"/>
    </row>
    <row r="409" spans="1:15">
      <c r="A409" s="207"/>
      <c r="B409" s="207"/>
      <c r="N409" s="4"/>
      <c r="O409" s="256"/>
    </row>
    <row r="410" spans="1:15">
      <c r="A410" s="207"/>
      <c r="B410" s="207"/>
      <c r="N410" s="4"/>
      <c r="O410" s="256"/>
    </row>
    <row r="411" spans="1:15">
      <c r="A411" s="207"/>
      <c r="B411" s="207"/>
      <c r="N411" s="4"/>
      <c r="O411" s="256"/>
    </row>
    <row r="412" spans="1:15">
      <c r="A412" s="207"/>
      <c r="B412" s="207"/>
      <c r="N412" s="4"/>
      <c r="O412" s="256"/>
    </row>
    <row r="413" spans="1:15">
      <c r="A413" s="207"/>
      <c r="B413" s="207"/>
      <c r="N413" s="4"/>
      <c r="O413" s="256"/>
    </row>
    <row r="414" spans="1:15">
      <c r="A414" s="207"/>
      <c r="B414" s="207"/>
      <c r="N414" s="4"/>
      <c r="O414" s="256"/>
    </row>
    <row r="415" spans="1:15">
      <c r="A415" s="207"/>
      <c r="B415" s="207"/>
      <c r="N415" s="4"/>
      <c r="O415" s="256"/>
    </row>
    <row r="416" spans="1:15">
      <c r="A416" s="207"/>
      <c r="B416" s="207"/>
      <c r="N416" s="4"/>
      <c r="O416" s="256"/>
    </row>
    <row r="417" spans="1:15">
      <c r="A417" s="207"/>
      <c r="B417" s="207"/>
      <c r="N417" s="4"/>
      <c r="O417" s="256"/>
    </row>
    <row r="418" spans="1:15">
      <c r="A418" s="207"/>
      <c r="B418" s="207"/>
      <c r="N418" s="4"/>
      <c r="O418" s="256"/>
    </row>
    <row r="419" spans="1:15">
      <c r="A419" s="207"/>
      <c r="B419" s="207"/>
      <c r="N419" s="4"/>
      <c r="O419" s="256"/>
    </row>
    <row r="420" spans="1:15">
      <c r="A420" s="207"/>
      <c r="B420" s="207"/>
      <c r="N420" s="4"/>
      <c r="O420" s="256"/>
    </row>
    <row r="421" spans="1:15">
      <c r="A421" s="207"/>
      <c r="B421" s="207"/>
      <c r="N421" s="4"/>
      <c r="O421" s="256"/>
    </row>
    <row r="422" spans="1:15">
      <c r="A422" s="207"/>
      <c r="B422" s="207"/>
      <c r="N422" s="4"/>
      <c r="O422" s="256"/>
    </row>
    <row r="423" spans="1:15">
      <c r="A423" s="207"/>
      <c r="B423" s="207"/>
      <c r="N423" s="4"/>
      <c r="O423" s="256"/>
    </row>
    <row r="424" spans="1:15">
      <c r="A424" s="207"/>
      <c r="B424" s="207"/>
      <c r="N424" s="4"/>
      <c r="O424" s="256"/>
    </row>
    <row r="425" spans="1:15">
      <c r="A425" s="207"/>
      <c r="B425" s="207"/>
      <c r="N425" s="4"/>
      <c r="O425" s="256"/>
    </row>
    <row r="426" spans="1:15">
      <c r="A426" s="207"/>
      <c r="B426" s="207"/>
      <c r="N426" s="4"/>
      <c r="O426" s="256"/>
    </row>
    <row r="427" spans="1:15">
      <c r="A427" s="207"/>
      <c r="B427" s="207"/>
      <c r="N427" s="4"/>
      <c r="O427" s="256"/>
    </row>
    <row r="428" spans="1:15">
      <c r="A428" s="207"/>
      <c r="B428" s="207"/>
      <c r="N428" s="4"/>
      <c r="O428" s="256"/>
    </row>
    <row r="429" spans="1:15">
      <c r="A429" s="207"/>
      <c r="B429" s="207"/>
      <c r="N429" s="4"/>
      <c r="O429" s="256"/>
    </row>
    <row r="430" spans="1:15">
      <c r="A430" s="207"/>
      <c r="B430" s="207"/>
      <c r="N430" s="4"/>
      <c r="O430" s="256"/>
    </row>
    <row r="431" spans="1:15">
      <c r="A431" s="207"/>
      <c r="B431" s="207"/>
      <c r="N431" s="4"/>
      <c r="O431" s="256"/>
    </row>
    <row r="432" spans="1:15">
      <c r="A432" s="207"/>
      <c r="B432" s="207"/>
      <c r="N432" s="4"/>
      <c r="O432" s="256"/>
    </row>
    <row r="433" spans="1:15">
      <c r="A433" s="207"/>
      <c r="B433" s="207"/>
      <c r="N433" s="4"/>
      <c r="O433" s="256"/>
    </row>
    <row r="434" spans="1:15">
      <c r="A434" s="207"/>
      <c r="B434" s="207"/>
      <c r="N434" s="4"/>
      <c r="O434" s="256"/>
    </row>
    <row r="435" spans="1:15">
      <c r="A435" s="207"/>
      <c r="B435" s="207"/>
      <c r="N435" s="4"/>
      <c r="O435" s="256"/>
    </row>
    <row r="436" spans="1:15">
      <c r="A436" s="207"/>
      <c r="B436" s="207"/>
      <c r="N436" s="4"/>
      <c r="O436" s="256"/>
    </row>
    <row r="437" spans="1:15">
      <c r="A437" s="207"/>
      <c r="B437" s="207"/>
      <c r="N437" s="4"/>
      <c r="O437" s="256"/>
    </row>
    <row r="438" spans="1:15">
      <c r="A438" s="207"/>
      <c r="B438" s="207"/>
      <c r="N438" s="4"/>
      <c r="O438" s="256"/>
    </row>
    <row r="439" spans="1:15">
      <c r="A439" s="207"/>
      <c r="B439" s="207"/>
      <c r="N439" s="4"/>
      <c r="O439" s="256"/>
    </row>
    <row r="440" spans="1:15">
      <c r="A440" s="207"/>
      <c r="B440" s="207"/>
      <c r="N440" s="4"/>
      <c r="O440" s="256"/>
    </row>
    <row r="441" spans="1:15">
      <c r="A441" s="207"/>
      <c r="B441" s="207"/>
      <c r="N441" s="4"/>
      <c r="O441" s="256"/>
    </row>
    <row r="442" spans="1:15">
      <c r="A442" s="207"/>
      <c r="B442" s="207"/>
      <c r="N442" s="4"/>
      <c r="O442" s="256"/>
    </row>
    <row r="443" spans="1:15">
      <c r="A443" s="207"/>
      <c r="B443" s="207"/>
      <c r="N443" s="4"/>
      <c r="O443" s="256"/>
    </row>
    <row r="444" spans="1:15">
      <c r="A444" s="207"/>
      <c r="B444" s="207"/>
      <c r="N444" s="4"/>
      <c r="O444" s="256"/>
    </row>
    <row r="445" spans="1:15">
      <c r="A445" s="207"/>
      <c r="B445" s="207"/>
      <c r="N445" s="4"/>
      <c r="O445" s="256"/>
    </row>
    <row r="446" spans="1:15">
      <c r="A446" s="207"/>
      <c r="B446" s="207"/>
      <c r="N446" s="4"/>
      <c r="O446" s="256"/>
    </row>
    <row r="447" spans="1:15">
      <c r="A447" s="207"/>
      <c r="B447" s="207"/>
      <c r="N447" s="4"/>
      <c r="O447" s="256"/>
    </row>
    <row r="448" spans="1:15">
      <c r="A448" s="207"/>
      <c r="B448" s="207"/>
      <c r="N448" s="4"/>
      <c r="O448" s="256"/>
    </row>
    <row r="449" spans="1:15">
      <c r="A449" s="207"/>
      <c r="B449" s="207"/>
      <c r="N449" s="4"/>
      <c r="O449" s="256"/>
    </row>
    <row r="450" spans="1:15">
      <c r="A450" s="207"/>
      <c r="B450" s="207"/>
      <c r="N450" s="4"/>
      <c r="O450" s="256"/>
    </row>
    <row r="451" spans="1:15">
      <c r="A451" s="207"/>
      <c r="B451" s="207"/>
      <c r="N451" s="4"/>
      <c r="O451" s="256"/>
    </row>
    <row r="452" spans="1:15">
      <c r="A452" s="207"/>
      <c r="B452" s="207"/>
      <c r="N452" s="4"/>
      <c r="O452" s="256"/>
    </row>
    <row r="453" spans="1:15">
      <c r="A453" s="207"/>
      <c r="B453" s="207"/>
      <c r="N453" s="4"/>
      <c r="O453" s="256"/>
    </row>
    <row r="454" spans="1:15">
      <c r="A454" s="207"/>
      <c r="B454" s="207"/>
      <c r="N454" s="4"/>
      <c r="O454" s="256"/>
    </row>
    <row r="455" spans="1:15">
      <c r="A455" s="207"/>
      <c r="B455" s="207"/>
      <c r="N455" s="4"/>
      <c r="O455" s="256"/>
    </row>
    <row r="456" spans="1:15">
      <c r="A456" s="207"/>
      <c r="B456" s="207"/>
      <c r="N456" s="4"/>
      <c r="O456" s="256"/>
    </row>
    <row r="457" spans="1:15">
      <c r="A457" s="207"/>
      <c r="B457" s="207"/>
      <c r="N457" s="4"/>
      <c r="O457" s="256"/>
    </row>
    <row r="458" spans="1:15">
      <c r="A458" s="207"/>
      <c r="B458" s="207"/>
      <c r="N458" s="4"/>
      <c r="O458" s="256"/>
    </row>
    <row r="459" spans="1:15">
      <c r="A459" s="207"/>
      <c r="B459" s="207"/>
      <c r="N459" s="4"/>
      <c r="O459" s="256"/>
    </row>
    <row r="460" spans="1:15">
      <c r="A460" s="207"/>
      <c r="B460" s="207"/>
      <c r="N460" s="4"/>
      <c r="O460" s="256"/>
    </row>
    <row r="461" spans="1:15">
      <c r="A461" s="207"/>
      <c r="B461" s="207"/>
      <c r="N461" s="4"/>
      <c r="O461" s="256"/>
    </row>
    <row r="462" spans="1:15">
      <c r="A462" s="207"/>
      <c r="B462" s="207"/>
      <c r="N462" s="4"/>
      <c r="O462" s="256"/>
    </row>
    <row r="463" spans="1:15">
      <c r="A463" s="207"/>
      <c r="B463" s="207"/>
      <c r="N463" s="4"/>
      <c r="O463" s="256"/>
    </row>
    <row r="464" spans="1:15">
      <c r="A464" s="207"/>
      <c r="B464" s="207"/>
      <c r="N464" s="4"/>
      <c r="O464" s="256"/>
    </row>
    <row r="465" spans="1:15">
      <c r="A465" s="207"/>
      <c r="B465" s="207"/>
      <c r="N465" s="4"/>
      <c r="O465" s="256"/>
    </row>
    <row r="466" spans="1:15">
      <c r="A466" s="207"/>
      <c r="B466" s="207"/>
      <c r="N466" s="4"/>
      <c r="O466" s="256"/>
    </row>
    <row r="467" spans="1:15">
      <c r="A467" s="207"/>
      <c r="B467" s="207"/>
      <c r="N467" s="4"/>
      <c r="O467" s="256"/>
    </row>
    <row r="468" spans="1:15">
      <c r="A468" s="207"/>
      <c r="B468" s="207"/>
      <c r="N468" s="4"/>
      <c r="O468" s="256"/>
    </row>
    <row r="469" spans="1:15">
      <c r="A469" s="207"/>
      <c r="B469" s="207"/>
      <c r="N469" s="4"/>
      <c r="O469" s="256"/>
    </row>
    <row r="470" spans="1:15">
      <c r="A470" s="207"/>
      <c r="B470" s="207"/>
      <c r="N470" s="4"/>
      <c r="O470" s="256"/>
    </row>
    <row r="471" spans="1:15">
      <c r="A471" s="207"/>
      <c r="B471" s="207"/>
      <c r="N471" s="4"/>
      <c r="O471" s="256"/>
    </row>
    <row r="472" spans="1:15">
      <c r="A472" s="207"/>
      <c r="B472" s="207"/>
      <c r="N472" s="4"/>
      <c r="O472" s="256"/>
    </row>
    <row r="473" spans="1:15">
      <c r="A473" s="207"/>
      <c r="B473" s="207"/>
      <c r="N473" s="4"/>
      <c r="O473" s="256"/>
    </row>
    <row r="474" spans="1:15">
      <c r="A474" s="207"/>
      <c r="B474" s="207"/>
      <c r="N474" s="4"/>
      <c r="O474" s="256"/>
    </row>
    <row r="475" spans="1:15">
      <c r="A475" s="207"/>
      <c r="B475" s="207"/>
      <c r="N475" s="4"/>
      <c r="O475" s="256"/>
    </row>
    <row r="476" spans="1:15">
      <c r="A476" s="207"/>
      <c r="B476" s="207"/>
      <c r="N476" s="4"/>
      <c r="O476" s="256"/>
    </row>
    <row r="477" spans="1:15">
      <c r="A477" s="207"/>
      <c r="B477" s="207"/>
      <c r="N477" s="4"/>
      <c r="O477" s="256"/>
    </row>
    <row r="478" spans="1:15">
      <c r="A478" s="207"/>
      <c r="B478" s="207"/>
      <c r="N478" s="4"/>
      <c r="O478" s="256"/>
    </row>
    <row r="479" spans="1:15">
      <c r="A479" s="207"/>
      <c r="B479" s="207"/>
      <c r="N479" s="4"/>
      <c r="O479" s="256"/>
    </row>
    <row r="480" spans="1:15">
      <c r="A480" s="207"/>
      <c r="B480" s="207"/>
      <c r="N480" s="4"/>
      <c r="O480" s="256"/>
    </row>
    <row r="481" spans="1:15">
      <c r="A481" s="207"/>
      <c r="B481" s="207"/>
      <c r="N481" s="4"/>
      <c r="O481" s="256"/>
    </row>
    <row r="482" spans="1:15">
      <c r="A482" s="207"/>
      <c r="B482" s="207"/>
      <c r="N482" s="4"/>
      <c r="O482" s="256"/>
    </row>
    <row r="483" spans="1:15">
      <c r="A483" s="207"/>
      <c r="B483" s="207"/>
      <c r="N483" s="4"/>
      <c r="O483" s="256"/>
    </row>
    <row r="484" spans="1:15">
      <c r="A484" s="207"/>
      <c r="B484" s="207"/>
      <c r="N484" s="4"/>
      <c r="O484" s="256"/>
    </row>
    <row r="485" spans="1:15">
      <c r="A485" s="207"/>
      <c r="B485" s="207"/>
      <c r="N485" s="4"/>
      <c r="O485" s="256"/>
    </row>
    <row r="486" spans="1:15">
      <c r="A486" s="207"/>
      <c r="B486" s="207"/>
      <c r="N486" s="4"/>
      <c r="O486" s="256"/>
    </row>
    <row r="487" spans="1:15">
      <c r="A487" s="207"/>
      <c r="B487" s="207"/>
      <c r="N487" s="4"/>
      <c r="O487" s="256"/>
    </row>
    <row r="488" spans="1:15">
      <c r="A488" s="207"/>
      <c r="B488" s="207"/>
      <c r="N488" s="4"/>
      <c r="O488" s="256"/>
    </row>
    <row r="489" spans="1:15">
      <c r="A489" s="207"/>
      <c r="B489" s="207"/>
      <c r="N489" s="4"/>
      <c r="O489" s="256"/>
    </row>
    <row r="490" spans="1:15">
      <c r="A490" s="207"/>
      <c r="B490" s="207"/>
      <c r="N490" s="4"/>
      <c r="O490" s="256"/>
    </row>
    <row r="491" spans="1:15">
      <c r="A491" s="207"/>
      <c r="B491" s="207"/>
      <c r="N491" s="4"/>
      <c r="O491" s="256"/>
    </row>
    <row r="492" spans="1:15">
      <c r="A492" s="207"/>
      <c r="B492" s="207"/>
      <c r="N492" s="4"/>
      <c r="O492" s="256"/>
    </row>
    <row r="493" spans="1:15">
      <c r="A493" s="207"/>
      <c r="B493" s="207"/>
      <c r="N493" s="4"/>
      <c r="O493" s="256"/>
    </row>
    <row r="494" spans="1:15">
      <c r="A494" s="207"/>
      <c r="B494" s="207"/>
      <c r="N494" s="4"/>
      <c r="O494" s="256"/>
    </row>
    <row r="495" spans="1:15">
      <c r="A495" s="207"/>
      <c r="B495" s="207"/>
      <c r="N495" s="4"/>
      <c r="O495" s="256"/>
    </row>
    <row r="496" spans="1:15">
      <c r="A496" s="207"/>
      <c r="B496" s="207"/>
      <c r="N496" s="4"/>
      <c r="O496" s="256"/>
    </row>
    <row r="497" spans="1:15">
      <c r="A497" s="207"/>
      <c r="B497" s="207"/>
      <c r="N497" s="4"/>
      <c r="O497" s="256"/>
    </row>
    <row r="498" spans="1:15">
      <c r="A498" s="207"/>
      <c r="B498" s="207"/>
      <c r="N498" s="4"/>
      <c r="O498" s="256"/>
    </row>
    <row r="499" spans="1:15">
      <c r="A499" s="207"/>
      <c r="B499" s="207"/>
      <c r="N499" s="4"/>
      <c r="O499" s="256"/>
    </row>
    <row r="500" spans="1:15">
      <c r="A500" s="207"/>
      <c r="B500" s="207"/>
      <c r="N500" s="4"/>
      <c r="O500" s="256"/>
    </row>
    <row r="501" spans="1:15">
      <c r="A501" s="207"/>
      <c r="B501" s="207"/>
      <c r="N501" s="4"/>
      <c r="O501" s="256"/>
    </row>
    <row r="502" spans="1:15">
      <c r="A502" s="207"/>
      <c r="B502" s="207"/>
      <c r="N502" s="4"/>
      <c r="O502" s="256"/>
    </row>
    <row r="503" spans="1:15">
      <c r="A503" s="207"/>
      <c r="B503" s="207"/>
      <c r="N503" s="4"/>
      <c r="O503" s="256"/>
    </row>
    <row r="504" spans="1:15">
      <c r="A504" s="207"/>
      <c r="B504" s="207"/>
      <c r="N504" s="4"/>
      <c r="O504" s="256"/>
    </row>
    <row r="505" spans="1:15">
      <c r="A505" s="207"/>
      <c r="B505" s="207"/>
      <c r="N505" s="4"/>
      <c r="O505" s="256"/>
    </row>
    <row r="506" spans="1:15">
      <c r="A506" s="207"/>
      <c r="B506" s="207"/>
      <c r="N506" s="4"/>
      <c r="O506" s="256"/>
    </row>
    <row r="507" spans="1:15">
      <c r="A507" s="207"/>
      <c r="B507" s="207"/>
      <c r="N507" s="4"/>
      <c r="O507" s="256"/>
    </row>
    <row r="508" spans="1:15">
      <c r="A508" s="207"/>
      <c r="B508" s="207"/>
      <c r="N508" s="4"/>
      <c r="O508" s="256"/>
    </row>
    <row r="509" spans="1:15">
      <c r="A509" s="207"/>
      <c r="B509" s="207"/>
      <c r="N509" s="4"/>
      <c r="O509" s="256"/>
    </row>
    <row r="510" spans="1:15">
      <c r="A510" s="207"/>
      <c r="B510" s="207"/>
      <c r="N510" s="4"/>
      <c r="O510" s="256"/>
    </row>
    <row r="511" spans="1:15">
      <c r="A511" s="207"/>
      <c r="B511" s="207"/>
      <c r="N511" s="4"/>
      <c r="O511" s="256"/>
    </row>
    <row r="512" spans="1:15">
      <c r="A512" s="207"/>
      <c r="B512" s="207"/>
      <c r="N512" s="4"/>
      <c r="O512" s="256"/>
    </row>
    <row r="513" spans="1:15">
      <c r="A513" s="207"/>
      <c r="B513" s="207"/>
      <c r="N513" s="4"/>
      <c r="O513" s="256"/>
    </row>
    <row r="514" spans="1:15">
      <c r="A514" s="207"/>
      <c r="B514" s="207"/>
      <c r="N514" s="4"/>
      <c r="O514" s="256"/>
    </row>
    <row r="515" spans="1:15">
      <c r="A515" s="207"/>
      <c r="B515" s="207"/>
      <c r="N515" s="4"/>
      <c r="O515" s="256"/>
    </row>
    <row r="516" spans="1:15">
      <c r="A516" s="207"/>
      <c r="B516" s="207"/>
      <c r="N516" s="4"/>
      <c r="O516" s="256"/>
    </row>
    <row r="517" spans="1:15">
      <c r="A517" s="207"/>
      <c r="B517" s="207"/>
      <c r="N517" s="4"/>
      <c r="O517" s="256"/>
    </row>
    <row r="518" spans="1:15">
      <c r="A518" s="207"/>
      <c r="B518" s="207"/>
      <c r="N518" s="4"/>
      <c r="O518" s="256"/>
    </row>
    <row r="519" spans="1:15">
      <c r="A519" s="207"/>
      <c r="B519" s="207"/>
      <c r="N519" s="4"/>
      <c r="O519" s="256"/>
    </row>
    <row r="520" spans="1:15">
      <c r="A520" s="207"/>
      <c r="B520" s="207"/>
      <c r="N520" s="4"/>
      <c r="O520" s="256"/>
    </row>
    <row r="521" spans="1:15">
      <c r="A521" s="207"/>
      <c r="B521" s="207"/>
      <c r="N521" s="4"/>
      <c r="O521" s="256"/>
    </row>
    <row r="522" spans="1:15">
      <c r="A522" s="207"/>
      <c r="B522" s="207"/>
      <c r="N522" s="4"/>
      <c r="O522" s="256"/>
    </row>
    <row r="523" spans="1:15">
      <c r="A523" s="207"/>
      <c r="B523" s="207"/>
      <c r="N523" s="4"/>
      <c r="O523" s="256"/>
    </row>
    <row r="524" spans="1:15">
      <c r="A524" s="207"/>
      <c r="B524" s="207"/>
      <c r="N524" s="4"/>
      <c r="O524" s="256"/>
    </row>
    <row r="525" spans="1:15">
      <c r="A525" s="207"/>
      <c r="B525" s="207"/>
      <c r="N525" s="4"/>
      <c r="O525" s="256"/>
    </row>
    <row r="526" spans="1:15">
      <c r="A526" s="207"/>
      <c r="B526" s="207"/>
      <c r="N526" s="4"/>
      <c r="O526" s="256"/>
    </row>
    <row r="527" spans="1:15">
      <c r="A527" s="207"/>
      <c r="B527" s="207"/>
      <c r="N527" s="4"/>
      <c r="O527" s="256"/>
    </row>
    <row r="528" spans="1:15">
      <c r="A528" s="207"/>
      <c r="B528" s="207"/>
      <c r="N528" s="4"/>
      <c r="O528" s="256"/>
    </row>
    <row r="529" spans="1:15">
      <c r="A529" s="207"/>
      <c r="B529" s="207"/>
      <c r="N529" s="4"/>
      <c r="O529" s="256"/>
    </row>
    <row r="530" spans="1:15">
      <c r="A530" s="207"/>
      <c r="B530" s="207"/>
      <c r="N530" s="4"/>
      <c r="O530" s="256"/>
    </row>
    <row r="531" spans="1:15">
      <c r="A531" s="207"/>
      <c r="B531" s="207"/>
      <c r="N531" s="4"/>
      <c r="O531" s="256"/>
    </row>
    <row r="532" spans="1:15">
      <c r="A532" s="207"/>
      <c r="B532" s="207"/>
      <c r="N532" s="4"/>
      <c r="O532" s="256"/>
    </row>
    <row r="533" spans="1:15">
      <c r="A533" s="207"/>
      <c r="B533" s="207"/>
      <c r="N533" s="4"/>
      <c r="O533" s="256"/>
    </row>
    <row r="534" spans="1:15">
      <c r="A534" s="207"/>
      <c r="B534" s="207"/>
      <c r="N534" s="4"/>
      <c r="O534" s="256"/>
    </row>
    <row r="535" spans="1:15">
      <c r="A535" s="207"/>
      <c r="B535" s="207"/>
      <c r="N535" s="4"/>
      <c r="O535" s="256"/>
    </row>
    <row r="536" spans="1:15">
      <c r="A536" s="207"/>
      <c r="B536" s="207"/>
      <c r="N536" s="4"/>
      <c r="O536" s="256"/>
    </row>
    <row r="537" spans="1:15">
      <c r="A537" s="207"/>
      <c r="B537" s="207"/>
      <c r="N537" s="4"/>
      <c r="O537" s="256"/>
    </row>
    <row r="538" spans="1:15">
      <c r="A538" s="207"/>
      <c r="B538" s="207"/>
      <c r="N538" s="4"/>
      <c r="O538" s="256"/>
    </row>
    <row r="539" spans="1:15">
      <c r="A539" s="207"/>
      <c r="B539" s="207"/>
      <c r="N539" s="4"/>
      <c r="O539" s="256"/>
    </row>
    <row r="540" spans="1:15">
      <c r="A540" s="207"/>
      <c r="B540" s="207"/>
      <c r="N540" s="4"/>
      <c r="O540" s="256"/>
    </row>
    <row r="541" spans="1:15">
      <c r="A541" s="207"/>
      <c r="B541" s="207"/>
      <c r="N541" s="4"/>
      <c r="O541" s="256"/>
    </row>
    <row r="542" spans="1:15">
      <c r="A542" s="207"/>
      <c r="B542" s="207"/>
      <c r="N542" s="4"/>
      <c r="O542" s="256"/>
    </row>
    <row r="543" spans="1:15">
      <c r="A543" s="207"/>
      <c r="B543" s="207"/>
      <c r="N543" s="4"/>
      <c r="O543" s="256"/>
    </row>
    <row r="544" spans="1:15">
      <c r="A544" s="207"/>
      <c r="B544" s="207"/>
      <c r="N544" s="4"/>
      <c r="O544" s="256"/>
    </row>
    <row r="545" spans="1:15">
      <c r="A545" s="207"/>
      <c r="B545" s="207"/>
      <c r="N545" s="4"/>
      <c r="O545" s="256"/>
    </row>
    <row r="546" spans="1:15">
      <c r="A546" s="207"/>
      <c r="B546" s="207"/>
      <c r="N546" s="4"/>
      <c r="O546" s="256"/>
    </row>
    <row r="547" spans="1:15">
      <c r="A547" s="207"/>
      <c r="B547" s="207"/>
      <c r="N547" s="4"/>
      <c r="O547" s="256"/>
    </row>
    <row r="548" spans="1:15">
      <c r="A548" s="207"/>
      <c r="B548" s="207"/>
      <c r="N548" s="4"/>
      <c r="O548" s="256"/>
    </row>
    <row r="549" spans="1:15">
      <c r="A549" s="207"/>
      <c r="B549" s="207"/>
      <c r="N549" s="4"/>
      <c r="O549" s="256"/>
    </row>
    <row r="550" spans="1:15">
      <c r="A550" s="207"/>
      <c r="B550" s="207"/>
      <c r="N550" s="4"/>
      <c r="O550" s="256"/>
    </row>
    <row r="551" spans="1:15">
      <c r="A551" s="207"/>
      <c r="B551" s="207"/>
      <c r="N551" s="4"/>
      <c r="O551" s="256"/>
    </row>
    <row r="552" spans="1:15">
      <c r="A552" s="207"/>
      <c r="B552" s="207"/>
      <c r="N552" s="4"/>
      <c r="O552" s="256"/>
    </row>
    <row r="553" spans="1:15">
      <c r="A553" s="207"/>
      <c r="B553" s="207"/>
      <c r="N553" s="4"/>
      <c r="O553" s="256"/>
    </row>
    <row r="554" spans="1:15">
      <c r="A554" s="207"/>
      <c r="B554" s="207"/>
      <c r="N554" s="4"/>
      <c r="O554" s="256"/>
    </row>
    <row r="555" spans="1:15">
      <c r="A555" s="207"/>
      <c r="B555" s="207"/>
      <c r="N555" s="4"/>
      <c r="O555" s="256"/>
    </row>
    <row r="556" spans="1:15">
      <c r="A556" s="207"/>
      <c r="B556" s="207"/>
      <c r="N556" s="4"/>
      <c r="O556" s="256"/>
    </row>
    <row r="557" spans="1:15">
      <c r="A557" s="207"/>
      <c r="B557" s="207"/>
      <c r="N557" s="4"/>
      <c r="O557" s="256"/>
    </row>
    <row r="558" spans="1:15">
      <c r="A558" s="207"/>
      <c r="B558" s="207"/>
      <c r="N558" s="4"/>
      <c r="O558" s="256"/>
    </row>
    <row r="559" spans="1:15">
      <c r="A559" s="207"/>
      <c r="B559" s="207"/>
      <c r="N559" s="4"/>
      <c r="O559" s="256"/>
    </row>
    <row r="560" spans="1:15">
      <c r="A560" s="207"/>
      <c r="B560" s="207"/>
      <c r="N560" s="4"/>
      <c r="O560" s="256"/>
    </row>
    <row r="561" spans="1:15">
      <c r="A561" s="207"/>
      <c r="B561" s="207"/>
      <c r="N561" s="4"/>
      <c r="O561" s="256"/>
    </row>
    <row r="562" spans="1:15">
      <c r="A562" s="207"/>
      <c r="B562" s="207"/>
      <c r="N562" s="4"/>
      <c r="O562" s="256"/>
    </row>
    <row r="563" spans="1:15">
      <c r="A563" s="207"/>
      <c r="B563" s="207"/>
      <c r="N563" s="4"/>
      <c r="O563" s="256"/>
    </row>
    <row r="564" spans="1:15">
      <c r="A564" s="207"/>
      <c r="B564" s="207"/>
      <c r="N564" s="4"/>
      <c r="O564" s="256"/>
    </row>
    <row r="565" spans="1:15">
      <c r="A565" s="207"/>
      <c r="B565" s="207"/>
      <c r="N565" s="4"/>
      <c r="O565" s="256"/>
    </row>
    <row r="566" spans="1:15">
      <c r="A566" s="207"/>
      <c r="B566" s="207"/>
      <c r="N566" s="4"/>
      <c r="O566" s="256"/>
    </row>
    <row r="567" spans="1:15">
      <c r="A567" s="207"/>
      <c r="B567" s="207"/>
      <c r="N567" s="4"/>
      <c r="O567" s="256"/>
    </row>
    <row r="568" spans="1:15">
      <c r="A568" s="207"/>
      <c r="B568" s="207"/>
      <c r="N568" s="4"/>
      <c r="O568" s="256"/>
    </row>
    <row r="569" spans="1:15">
      <c r="A569" s="207"/>
      <c r="B569" s="207"/>
      <c r="N569" s="4"/>
      <c r="O569" s="256"/>
    </row>
    <row r="570" spans="1:15">
      <c r="A570" s="207"/>
      <c r="B570" s="207"/>
      <c r="N570" s="4"/>
      <c r="O570" s="256"/>
    </row>
    <row r="571" spans="1:15">
      <c r="A571" s="207"/>
      <c r="B571" s="207"/>
      <c r="N571" s="4"/>
      <c r="O571" s="256"/>
    </row>
    <row r="572" spans="1:15">
      <c r="A572" s="207"/>
      <c r="B572" s="207"/>
      <c r="N572" s="4"/>
      <c r="O572" s="256"/>
    </row>
    <row r="573" spans="1:15">
      <c r="A573" s="207"/>
      <c r="B573" s="207"/>
      <c r="N573" s="4"/>
      <c r="O573" s="256"/>
    </row>
    <row r="574" spans="1:15">
      <c r="A574" s="207"/>
      <c r="B574" s="207"/>
      <c r="N574" s="4"/>
      <c r="O574" s="256"/>
    </row>
    <row r="575" spans="1:15">
      <c r="A575" s="207"/>
      <c r="B575" s="207"/>
      <c r="N575" s="4"/>
      <c r="O575" s="256"/>
    </row>
    <row r="576" spans="1:15">
      <c r="A576" s="207"/>
      <c r="B576" s="207"/>
      <c r="N576" s="4"/>
      <c r="O576" s="256"/>
    </row>
    <row r="577" spans="1:15">
      <c r="A577" s="207"/>
      <c r="B577" s="207"/>
      <c r="N577" s="4"/>
      <c r="O577" s="256"/>
    </row>
    <row r="578" spans="1:15">
      <c r="A578" s="207"/>
      <c r="B578" s="207"/>
      <c r="N578" s="4"/>
      <c r="O578" s="256"/>
    </row>
    <row r="579" spans="1:15">
      <c r="A579" s="207"/>
      <c r="B579" s="207"/>
      <c r="N579" s="4"/>
      <c r="O579" s="256"/>
    </row>
    <row r="580" spans="1:15">
      <c r="A580" s="207"/>
      <c r="B580" s="207"/>
      <c r="N580" s="4"/>
      <c r="O580" s="256"/>
    </row>
    <row r="581" spans="1:15">
      <c r="A581" s="207"/>
      <c r="B581" s="207"/>
      <c r="N581" s="4"/>
      <c r="O581" s="256"/>
    </row>
    <row r="582" spans="1:15">
      <c r="A582" s="207"/>
      <c r="B582" s="207"/>
      <c r="N582" s="4"/>
      <c r="O582" s="256"/>
    </row>
    <row r="583" spans="1:15">
      <c r="A583" s="207"/>
      <c r="B583" s="207"/>
      <c r="N583" s="4"/>
      <c r="O583" s="256"/>
    </row>
    <row r="584" spans="1:15">
      <c r="A584" s="207"/>
      <c r="B584" s="207"/>
      <c r="N584" s="4"/>
      <c r="O584" s="256"/>
    </row>
    <row r="585" spans="1:15">
      <c r="A585" s="207"/>
      <c r="B585" s="207"/>
      <c r="N585" s="4"/>
      <c r="O585" s="256"/>
    </row>
    <row r="586" spans="1:15">
      <c r="A586" s="207"/>
      <c r="B586" s="207"/>
      <c r="N586" s="4"/>
      <c r="O586" s="256"/>
    </row>
    <row r="587" spans="1:15">
      <c r="A587" s="207"/>
      <c r="B587" s="207"/>
      <c r="N587" s="4"/>
      <c r="O587" s="256"/>
    </row>
    <row r="588" spans="1:15">
      <c r="A588" s="207"/>
      <c r="B588" s="207"/>
      <c r="N588" s="4"/>
      <c r="O588" s="256"/>
    </row>
    <row r="589" spans="1:15">
      <c r="A589" s="207"/>
      <c r="B589" s="207"/>
      <c r="N589" s="4"/>
      <c r="O589" s="256"/>
    </row>
    <row r="590" spans="1:15">
      <c r="A590" s="207"/>
      <c r="B590" s="207"/>
      <c r="N590" s="4"/>
      <c r="O590" s="256"/>
    </row>
    <row r="591" spans="1:15">
      <c r="A591" s="207"/>
      <c r="B591" s="207"/>
      <c r="N591" s="4"/>
      <c r="O591" s="256"/>
    </row>
    <row r="592" spans="1:15">
      <c r="A592" s="207"/>
      <c r="B592" s="207"/>
      <c r="N592" s="4"/>
      <c r="O592" s="256"/>
    </row>
    <row r="593" spans="1:15">
      <c r="A593" s="207"/>
      <c r="B593" s="207"/>
      <c r="N593" s="4"/>
      <c r="O593" s="256"/>
    </row>
    <row r="594" spans="1:15">
      <c r="A594" s="207"/>
      <c r="B594" s="207"/>
      <c r="N594" s="4"/>
      <c r="O594" s="256"/>
    </row>
    <row r="595" spans="1:15">
      <c r="A595" s="207"/>
      <c r="B595" s="207"/>
      <c r="N595" s="4"/>
      <c r="O595" s="256"/>
    </row>
    <row r="596" spans="1:15">
      <c r="A596" s="207"/>
      <c r="B596" s="207"/>
      <c r="N596" s="4"/>
      <c r="O596" s="256"/>
    </row>
    <row r="597" spans="1:15">
      <c r="A597" s="207"/>
      <c r="B597" s="207"/>
      <c r="N597" s="4"/>
      <c r="O597" s="256"/>
    </row>
    <row r="598" spans="1:15">
      <c r="A598" s="207"/>
      <c r="B598" s="207"/>
      <c r="N598" s="4"/>
      <c r="O598" s="256"/>
    </row>
    <row r="599" spans="1:15">
      <c r="A599" s="207"/>
      <c r="B599" s="207"/>
      <c r="N599" s="4"/>
      <c r="O599" s="256"/>
    </row>
    <row r="600" spans="1:15">
      <c r="A600" s="207"/>
      <c r="B600" s="207"/>
      <c r="N600" s="4"/>
      <c r="O600" s="256"/>
    </row>
    <row r="601" spans="1:15">
      <c r="A601" s="207"/>
      <c r="B601" s="207"/>
      <c r="N601" s="4"/>
      <c r="O601" s="256"/>
    </row>
    <row r="602" spans="1:15">
      <c r="A602" s="207"/>
      <c r="B602" s="207"/>
      <c r="N602" s="4"/>
      <c r="O602" s="256"/>
    </row>
    <row r="603" spans="1:15">
      <c r="A603" s="207"/>
      <c r="B603" s="207"/>
      <c r="N603" s="4"/>
      <c r="O603" s="256"/>
    </row>
    <row r="604" spans="1:15">
      <c r="A604" s="207"/>
      <c r="B604" s="207"/>
      <c r="N604" s="4"/>
      <c r="O604" s="256"/>
    </row>
    <row r="605" spans="1:15">
      <c r="A605" s="207"/>
      <c r="B605" s="207"/>
      <c r="N605" s="4"/>
      <c r="O605" s="256"/>
    </row>
    <row r="606" spans="1:15">
      <c r="A606" s="207"/>
      <c r="B606" s="207"/>
      <c r="N606" s="4"/>
      <c r="O606" s="256"/>
    </row>
    <row r="607" spans="1:15">
      <c r="A607" s="207"/>
      <c r="B607" s="207"/>
      <c r="N607" s="4"/>
      <c r="O607" s="256"/>
    </row>
    <row r="608" spans="1:15">
      <c r="A608" s="207"/>
      <c r="B608" s="207"/>
      <c r="N608" s="4"/>
      <c r="O608" s="256"/>
    </row>
    <row r="609" spans="1:15">
      <c r="A609" s="207"/>
      <c r="B609" s="207"/>
      <c r="N609" s="4"/>
      <c r="O609" s="256"/>
    </row>
    <row r="610" spans="1:15">
      <c r="A610" s="207"/>
      <c r="B610" s="207"/>
      <c r="N610" s="4"/>
      <c r="O610" s="256"/>
    </row>
    <row r="611" spans="1:15">
      <c r="A611" s="207"/>
      <c r="B611" s="207"/>
      <c r="N611" s="4"/>
      <c r="O611" s="256"/>
    </row>
    <row r="612" spans="1:15">
      <c r="A612" s="207"/>
      <c r="B612" s="207"/>
      <c r="N612" s="4"/>
      <c r="O612" s="256"/>
    </row>
    <row r="613" spans="1:15">
      <c r="A613" s="207"/>
      <c r="B613" s="207"/>
      <c r="N613" s="4"/>
      <c r="O613" s="256"/>
    </row>
    <row r="614" spans="1:15">
      <c r="A614" s="207"/>
      <c r="B614" s="207"/>
      <c r="N614" s="4"/>
      <c r="O614" s="256"/>
    </row>
    <row r="615" spans="1:15">
      <c r="A615" s="207"/>
      <c r="B615" s="207"/>
      <c r="N615" s="4"/>
      <c r="O615" s="256"/>
    </row>
    <row r="616" spans="1:15">
      <c r="A616" s="207"/>
      <c r="B616" s="207"/>
      <c r="N616" s="4"/>
      <c r="O616" s="256"/>
    </row>
    <row r="617" spans="1:15">
      <c r="A617" s="207"/>
      <c r="B617" s="207"/>
      <c r="N617" s="4"/>
      <c r="O617" s="256"/>
    </row>
    <row r="618" spans="1:15">
      <c r="A618" s="207"/>
      <c r="B618" s="207"/>
      <c r="N618" s="4"/>
      <c r="O618" s="256"/>
    </row>
    <row r="619" spans="1:15">
      <c r="A619" s="207"/>
      <c r="B619" s="207"/>
      <c r="N619" s="4"/>
      <c r="O619" s="256"/>
    </row>
    <row r="620" spans="1:15">
      <c r="A620" s="207"/>
      <c r="B620" s="207"/>
      <c r="N620" s="4"/>
      <c r="O620" s="256"/>
    </row>
    <row r="621" spans="1:15">
      <c r="A621" s="207"/>
      <c r="B621" s="207"/>
      <c r="N621" s="4"/>
      <c r="O621" s="256"/>
    </row>
    <row r="622" spans="1:15">
      <c r="A622" s="207"/>
      <c r="B622" s="207"/>
      <c r="N622" s="4"/>
      <c r="O622" s="256"/>
    </row>
    <row r="623" spans="1:15">
      <c r="A623" s="207"/>
      <c r="B623" s="207"/>
      <c r="N623" s="4"/>
      <c r="O623" s="256"/>
    </row>
    <row r="624" spans="1:15">
      <c r="A624" s="207"/>
      <c r="B624" s="207"/>
      <c r="N624" s="4"/>
      <c r="O624" s="256"/>
    </row>
    <row r="625" spans="1:15">
      <c r="A625" s="207"/>
      <c r="B625" s="207"/>
      <c r="N625" s="4"/>
      <c r="O625" s="256"/>
    </row>
    <row r="626" spans="1:15">
      <c r="A626" s="207"/>
      <c r="B626" s="207"/>
      <c r="N626" s="4"/>
      <c r="O626" s="256"/>
    </row>
    <row r="627" spans="1:15">
      <c r="A627" s="207"/>
      <c r="B627" s="207"/>
      <c r="N627" s="4"/>
      <c r="O627" s="256"/>
    </row>
    <row r="628" spans="1:15">
      <c r="A628" s="207"/>
      <c r="B628" s="207"/>
      <c r="N628" s="4"/>
      <c r="O628" s="256"/>
    </row>
    <row r="629" spans="1:15">
      <c r="A629" s="207"/>
      <c r="B629" s="207"/>
      <c r="N629" s="4"/>
      <c r="O629" s="256"/>
    </row>
    <row r="630" spans="1:15">
      <c r="A630" s="207"/>
      <c r="B630" s="207"/>
      <c r="N630" s="4"/>
      <c r="O630" s="256"/>
    </row>
    <row r="631" spans="1:15">
      <c r="A631" s="207"/>
      <c r="B631" s="207"/>
      <c r="N631" s="4"/>
      <c r="O631" s="256"/>
    </row>
    <row r="632" spans="1:15">
      <c r="A632" s="207"/>
      <c r="B632" s="207"/>
      <c r="N632" s="4"/>
      <c r="O632" s="256"/>
    </row>
    <row r="633" spans="1:15">
      <c r="A633" s="207"/>
      <c r="B633" s="207"/>
      <c r="N633" s="4"/>
      <c r="O633" s="256"/>
    </row>
    <row r="634" spans="1:15">
      <c r="A634" s="207"/>
      <c r="B634" s="207"/>
      <c r="N634" s="4"/>
      <c r="O634" s="256"/>
    </row>
    <row r="635" spans="1:15">
      <c r="A635" s="207"/>
      <c r="B635" s="207"/>
      <c r="N635" s="4"/>
      <c r="O635" s="256"/>
    </row>
    <row r="636" spans="1:15">
      <c r="A636" s="207"/>
      <c r="B636" s="207"/>
      <c r="N636" s="4"/>
      <c r="O636" s="256"/>
    </row>
    <row r="637" spans="1:15">
      <c r="A637" s="207"/>
      <c r="B637" s="207"/>
      <c r="N637" s="4"/>
      <c r="O637" s="256"/>
    </row>
    <row r="638" spans="1:15">
      <c r="A638" s="207"/>
      <c r="B638" s="207"/>
      <c r="N638" s="4"/>
      <c r="O638" s="256"/>
    </row>
    <row r="639" spans="1:15">
      <c r="A639" s="207"/>
      <c r="B639" s="207"/>
      <c r="N639" s="4"/>
      <c r="O639" s="256"/>
    </row>
    <row r="640" spans="1:15">
      <c r="A640" s="207"/>
      <c r="B640" s="207"/>
      <c r="N640" s="4"/>
      <c r="O640" s="256"/>
    </row>
    <row r="641" spans="1:15">
      <c r="A641" s="207"/>
      <c r="B641" s="207"/>
      <c r="N641" s="4"/>
      <c r="O641" s="256"/>
    </row>
    <row r="642" spans="1:15">
      <c r="A642" s="207"/>
      <c r="B642" s="207"/>
      <c r="N642" s="4"/>
      <c r="O642" s="256"/>
    </row>
    <row r="643" spans="1:15">
      <c r="A643" s="207"/>
      <c r="B643" s="207"/>
      <c r="N643" s="4"/>
      <c r="O643" s="256"/>
    </row>
    <row r="644" spans="1:15">
      <c r="A644" s="207"/>
      <c r="B644" s="207"/>
      <c r="N644" s="4"/>
      <c r="O644" s="256"/>
    </row>
    <row r="645" spans="1:15">
      <c r="A645" s="207"/>
      <c r="B645" s="207"/>
      <c r="N645" s="4"/>
      <c r="O645" s="256"/>
    </row>
    <row r="646" spans="1:15">
      <c r="A646" s="207"/>
      <c r="B646" s="207"/>
      <c r="N646" s="4"/>
      <c r="O646" s="256"/>
    </row>
    <row r="647" spans="1:15">
      <c r="A647" s="207"/>
      <c r="B647" s="207"/>
      <c r="N647" s="4"/>
      <c r="O647" s="256"/>
    </row>
    <row r="648" spans="1:15">
      <c r="A648" s="207"/>
      <c r="B648" s="207"/>
      <c r="N648" s="4"/>
      <c r="O648" s="256"/>
    </row>
    <row r="649" spans="1:15">
      <c r="A649" s="207"/>
      <c r="B649" s="207"/>
      <c r="N649" s="4"/>
      <c r="O649" s="256"/>
    </row>
    <row r="650" spans="1:15">
      <c r="A650" s="207"/>
      <c r="B650" s="207"/>
      <c r="N650" s="4"/>
      <c r="O650" s="256"/>
    </row>
    <row r="651" spans="1:15">
      <c r="A651" s="207"/>
      <c r="B651" s="207"/>
      <c r="N651" s="4"/>
      <c r="O651" s="256"/>
    </row>
    <row r="652" spans="1:15">
      <c r="A652" s="207"/>
      <c r="B652" s="207"/>
      <c r="N652" s="4"/>
      <c r="O652" s="256"/>
    </row>
    <row r="653" spans="1:15">
      <c r="A653" s="207"/>
      <c r="B653" s="207"/>
      <c r="N653" s="4"/>
      <c r="O653" s="256"/>
    </row>
    <row r="654" spans="1:15">
      <c r="A654" s="207"/>
      <c r="B654" s="207"/>
      <c r="N654" s="4"/>
      <c r="O654" s="256"/>
    </row>
    <row r="655" spans="1:15">
      <c r="A655" s="207"/>
      <c r="B655" s="207"/>
      <c r="N655" s="4"/>
      <c r="O655" s="256"/>
    </row>
    <row r="656" spans="1:15">
      <c r="A656" s="207"/>
      <c r="B656" s="207"/>
      <c r="N656" s="4"/>
      <c r="O656" s="256"/>
    </row>
    <row r="657" spans="1:15">
      <c r="A657" s="207"/>
      <c r="B657" s="207"/>
      <c r="N657" s="4"/>
      <c r="O657" s="256"/>
    </row>
    <row r="658" spans="1:15">
      <c r="A658" s="207"/>
      <c r="B658" s="207"/>
      <c r="N658" s="4"/>
      <c r="O658" s="256"/>
    </row>
    <row r="659" spans="1:15">
      <c r="A659" s="207"/>
      <c r="B659" s="207"/>
      <c r="N659" s="4"/>
      <c r="O659" s="256"/>
    </row>
    <row r="660" spans="1:15">
      <c r="A660" s="207"/>
      <c r="B660" s="207"/>
      <c r="N660" s="4"/>
      <c r="O660" s="256"/>
    </row>
    <row r="661" spans="1:15">
      <c r="A661" s="207"/>
      <c r="B661" s="207"/>
      <c r="N661" s="4"/>
      <c r="O661" s="256"/>
    </row>
    <row r="662" spans="1:15">
      <c r="A662" s="207"/>
      <c r="B662" s="207"/>
      <c r="N662" s="4"/>
      <c r="O662" s="256"/>
    </row>
    <row r="663" spans="1:15">
      <c r="A663" s="207"/>
      <c r="B663" s="207"/>
      <c r="N663" s="4"/>
      <c r="O663" s="256"/>
    </row>
    <row r="664" spans="1:15">
      <c r="A664" s="207"/>
      <c r="B664" s="207"/>
      <c r="N664" s="4"/>
      <c r="O664" s="256"/>
    </row>
    <row r="665" spans="1:15">
      <c r="A665" s="207"/>
      <c r="B665" s="207"/>
      <c r="N665" s="4"/>
      <c r="O665" s="256"/>
    </row>
    <row r="666" spans="1:15">
      <c r="A666" s="207"/>
      <c r="B666" s="207"/>
      <c r="N666" s="4"/>
      <c r="O666" s="256"/>
    </row>
    <row r="667" spans="1:15">
      <c r="A667" s="207"/>
      <c r="B667" s="207"/>
      <c r="N667" s="4"/>
      <c r="O667" s="256"/>
    </row>
    <row r="668" spans="1:15">
      <c r="A668" s="207"/>
      <c r="B668" s="207"/>
      <c r="N668" s="4"/>
      <c r="O668" s="256"/>
    </row>
    <row r="669" spans="1:15">
      <c r="A669" s="207"/>
      <c r="B669" s="207"/>
      <c r="N669" s="4"/>
      <c r="O669" s="256"/>
    </row>
    <row r="670" spans="1:15">
      <c r="A670" s="207"/>
      <c r="B670" s="207"/>
      <c r="N670" s="4"/>
      <c r="O670" s="256"/>
    </row>
    <row r="671" spans="1:15">
      <c r="A671" s="207"/>
      <c r="B671" s="207"/>
      <c r="N671" s="4"/>
      <c r="O671" s="256"/>
    </row>
    <row r="672" spans="1:15">
      <c r="A672" s="207"/>
      <c r="B672" s="207"/>
      <c r="N672" s="4"/>
      <c r="O672" s="256"/>
    </row>
    <row r="673" spans="1:15">
      <c r="A673" s="207"/>
      <c r="B673" s="207"/>
      <c r="N673" s="4"/>
      <c r="O673" s="256"/>
    </row>
    <row r="674" spans="1:15">
      <c r="A674" s="207"/>
      <c r="B674" s="207"/>
      <c r="N674" s="4"/>
      <c r="O674" s="256"/>
    </row>
    <row r="675" spans="1:15">
      <c r="A675" s="207"/>
      <c r="B675" s="207"/>
      <c r="N675" s="4"/>
      <c r="O675" s="256"/>
    </row>
    <row r="676" spans="1:15">
      <c r="A676" s="207"/>
      <c r="B676" s="207"/>
      <c r="N676" s="4"/>
      <c r="O676" s="256"/>
    </row>
    <row r="677" spans="1:15">
      <c r="A677" s="207"/>
      <c r="B677" s="207"/>
      <c r="N677" s="4"/>
      <c r="O677" s="256"/>
    </row>
    <row r="678" spans="1:15">
      <c r="A678" s="207"/>
      <c r="B678" s="207"/>
      <c r="N678" s="4"/>
      <c r="O678" s="256"/>
    </row>
    <row r="679" spans="1:15">
      <c r="A679" s="207"/>
      <c r="B679" s="207"/>
      <c r="N679" s="4"/>
      <c r="O679" s="256"/>
    </row>
    <row r="680" spans="1:15">
      <c r="A680" s="207"/>
      <c r="B680" s="207"/>
      <c r="N680" s="4"/>
      <c r="O680" s="256"/>
    </row>
    <row r="681" spans="1:15">
      <c r="A681" s="207"/>
      <c r="B681" s="207"/>
      <c r="N681" s="4"/>
      <c r="O681" s="256"/>
    </row>
    <row r="682" spans="1:15">
      <c r="A682" s="207"/>
      <c r="B682" s="207"/>
      <c r="N682" s="4"/>
      <c r="O682" s="256"/>
    </row>
    <row r="683" spans="1:15">
      <c r="A683" s="207"/>
      <c r="B683" s="207"/>
      <c r="N683" s="4"/>
      <c r="O683" s="256"/>
    </row>
    <row r="684" spans="1:15">
      <c r="A684" s="207"/>
      <c r="B684" s="207"/>
      <c r="N684" s="4"/>
      <c r="O684" s="256"/>
    </row>
    <row r="685" spans="1:15">
      <c r="A685" s="207"/>
      <c r="B685" s="207"/>
      <c r="N685" s="4"/>
      <c r="O685" s="256"/>
    </row>
    <row r="686" spans="1:15">
      <c r="A686" s="207"/>
      <c r="B686" s="207"/>
      <c r="N686" s="4"/>
      <c r="O686" s="256"/>
    </row>
    <row r="687" spans="1:15">
      <c r="A687" s="207"/>
      <c r="B687" s="207"/>
      <c r="N687" s="4"/>
      <c r="O687" s="256"/>
    </row>
    <row r="688" spans="1:15">
      <c r="A688" s="207"/>
      <c r="B688" s="207"/>
      <c r="N688" s="4"/>
      <c r="O688" s="256"/>
    </row>
    <row r="689" spans="1:15">
      <c r="A689" s="207"/>
      <c r="B689" s="207"/>
      <c r="N689" s="4"/>
      <c r="O689" s="256"/>
    </row>
    <row r="690" spans="1:15">
      <c r="A690" s="207"/>
      <c r="B690" s="207"/>
      <c r="N690" s="4"/>
      <c r="O690" s="256"/>
    </row>
    <row r="691" spans="1:15">
      <c r="A691" s="207"/>
      <c r="B691" s="207"/>
      <c r="N691" s="4"/>
      <c r="O691" s="256"/>
    </row>
    <row r="692" spans="1:15">
      <c r="A692" s="207"/>
      <c r="B692" s="207"/>
      <c r="N692" s="4"/>
      <c r="O692" s="256"/>
    </row>
    <row r="693" spans="1:15">
      <c r="A693" s="207"/>
      <c r="B693" s="207"/>
      <c r="N693" s="4"/>
      <c r="O693" s="256"/>
    </row>
    <row r="694" spans="1:15">
      <c r="A694" s="207"/>
      <c r="B694" s="207"/>
      <c r="N694" s="4"/>
      <c r="O694" s="256"/>
    </row>
    <row r="695" spans="1:15">
      <c r="A695" s="207"/>
      <c r="B695" s="207"/>
      <c r="N695" s="4"/>
      <c r="O695" s="256"/>
    </row>
    <row r="696" spans="1:15">
      <c r="A696" s="207"/>
      <c r="B696" s="207"/>
      <c r="N696" s="4"/>
      <c r="O696" s="256"/>
    </row>
    <row r="697" spans="1:15">
      <c r="A697" s="207"/>
      <c r="B697" s="207"/>
      <c r="N697" s="4"/>
      <c r="O697" s="256"/>
    </row>
    <row r="698" spans="1:15">
      <c r="A698" s="207"/>
      <c r="B698" s="207"/>
      <c r="N698" s="4"/>
      <c r="O698" s="256"/>
    </row>
    <row r="699" spans="1:15">
      <c r="A699" s="207"/>
      <c r="B699" s="207"/>
      <c r="N699" s="4"/>
      <c r="O699" s="256"/>
    </row>
    <row r="700" spans="1:15">
      <c r="A700" s="207"/>
      <c r="B700" s="207"/>
      <c r="N700" s="4"/>
      <c r="O700" s="256"/>
    </row>
    <row r="701" spans="1:15">
      <c r="A701" s="207"/>
      <c r="B701" s="207"/>
      <c r="N701" s="4"/>
      <c r="O701" s="256"/>
    </row>
    <row r="702" spans="1:15">
      <c r="A702" s="207"/>
      <c r="B702" s="207"/>
      <c r="N702" s="4"/>
      <c r="O702" s="256"/>
    </row>
    <row r="703" spans="1:15">
      <c r="A703" s="207"/>
      <c r="B703" s="207"/>
      <c r="N703" s="4"/>
      <c r="O703" s="256"/>
    </row>
    <row r="704" spans="1:15">
      <c r="A704" s="207"/>
      <c r="B704" s="207"/>
      <c r="N704" s="4"/>
      <c r="O704" s="256"/>
    </row>
    <row r="705" spans="1:15">
      <c r="A705" s="207"/>
      <c r="B705" s="207"/>
      <c r="N705" s="4"/>
      <c r="O705" s="256"/>
    </row>
    <row r="706" spans="1:15">
      <c r="A706" s="207"/>
      <c r="B706" s="207"/>
      <c r="N706" s="4"/>
      <c r="O706" s="256"/>
    </row>
    <row r="707" spans="1:15">
      <c r="A707" s="207"/>
      <c r="B707" s="207"/>
      <c r="N707" s="4"/>
      <c r="O707" s="256"/>
    </row>
    <row r="708" spans="1:15">
      <c r="A708" s="207"/>
      <c r="B708" s="207"/>
      <c r="N708" s="4"/>
      <c r="O708" s="256"/>
    </row>
    <row r="709" spans="1:15">
      <c r="A709" s="207"/>
      <c r="B709" s="207"/>
      <c r="N709" s="4"/>
      <c r="O709" s="256"/>
    </row>
    <row r="710" spans="1:15">
      <c r="A710" s="207"/>
      <c r="B710" s="207"/>
      <c r="N710" s="4"/>
      <c r="O710" s="256"/>
    </row>
    <row r="711" spans="1:15">
      <c r="A711" s="207"/>
      <c r="B711" s="207"/>
      <c r="N711" s="4"/>
      <c r="O711" s="256"/>
    </row>
    <row r="712" spans="1:15">
      <c r="A712" s="207"/>
      <c r="B712" s="207"/>
      <c r="N712" s="4"/>
      <c r="O712" s="256"/>
    </row>
    <row r="713" spans="1:15">
      <c r="A713" s="207"/>
      <c r="B713" s="207"/>
      <c r="N713" s="4"/>
      <c r="O713" s="256"/>
    </row>
    <row r="714" spans="1:15">
      <c r="A714" s="207"/>
      <c r="B714" s="207"/>
      <c r="N714" s="4"/>
      <c r="O714" s="256"/>
    </row>
    <row r="715" spans="1:15">
      <c r="A715" s="207"/>
      <c r="B715" s="207"/>
      <c r="N715" s="4"/>
      <c r="O715" s="256"/>
    </row>
    <row r="716" spans="1:15">
      <c r="A716" s="207"/>
      <c r="B716" s="207"/>
      <c r="N716" s="4"/>
      <c r="O716" s="256"/>
    </row>
    <row r="717" spans="1:15">
      <c r="A717" s="207"/>
      <c r="B717" s="207"/>
      <c r="N717" s="4"/>
      <c r="O717" s="256"/>
    </row>
    <row r="718" spans="1:15">
      <c r="A718" s="207"/>
      <c r="B718" s="207"/>
      <c r="N718" s="4"/>
      <c r="O718" s="256"/>
    </row>
    <row r="719" spans="1:15">
      <c r="A719" s="207"/>
      <c r="B719" s="207"/>
      <c r="N719" s="4"/>
      <c r="O719" s="256"/>
    </row>
    <row r="720" spans="1:15">
      <c r="A720" s="207"/>
      <c r="B720" s="207"/>
      <c r="N720" s="4"/>
      <c r="O720" s="256"/>
    </row>
    <row r="721" spans="1:15">
      <c r="A721" s="207"/>
      <c r="B721" s="207"/>
      <c r="N721" s="4"/>
      <c r="O721" s="256"/>
    </row>
    <row r="722" spans="1:15">
      <c r="A722" s="207"/>
      <c r="B722" s="207"/>
      <c r="N722" s="4"/>
      <c r="O722" s="256"/>
    </row>
    <row r="723" spans="1:15">
      <c r="A723" s="207"/>
      <c r="B723" s="207"/>
      <c r="N723" s="4"/>
      <c r="O723" s="256"/>
    </row>
    <row r="724" spans="1:15">
      <c r="A724" s="207"/>
      <c r="B724" s="207"/>
      <c r="N724" s="4"/>
      <c r="O724" s="256"/>
    </row>
    <row r="725" spans="1:15">
      <c r="A725" s="207"/>
      <c r="B725" s="207"/>
      <c r="N725" s="4"/>
      <c r="O725" s="256"/>
    </row>
    <row r="726" spans="1:15">
      <c r="A726" s="207"/>
      <c r="B726" s="207"/>
      <c r="N726" s="4"/>
      <c r="O726" s="256"/>
    </row>
    <row r="727" spans="1:15">
      <c r="A727" s="207"/>
      <c r="B727" s="207"/>
      <c r="N727" s="4"/>
      <c r="O727" s="256"/>
    </row>
    <row r="728" spans="1:15">
      <c r="A728" s="207"/>
      <c r="B728" s="207"/>
      <c r="N728" s="4"/>
      <c r="O728" s="256"/>
    </row>
    <row r="729" spans="1:15">
      <c r="A729" s="207"/>
      <c r="B729" s="207"/>
      <c r="N729" s="4"/>
      <c r="O729" s="256"/>
    </row>
    <row r="730" spans="1:15">
      <c r="A730" s="207"/>
      <c r="B730" s="207"/>
      <c r="N730" s="4"/>
      <c r="O730" s="256"/>
    </row>
    <row r="731" spans="1:15">
      <c r="A731" s="207"/>
      <c r="B731" s="207"/>
      <c r="N731" s="4"/>
      <c r="O731" s="256"/>
    </row>
    <row r="732" spans="1:15">
      <c r="A732" s="207"/>
      <c r="B732" s="207"/>
      <c r="N732" s="4"/>
      <c r="O732" s="256"/>
    </row>
    <row r="733" spans="1:15">
      <c r="A733" s="207"/>
      <c r="B733" s="207"/>
      <c r="N733" s="4"/>
      <c r="O733" s="256"/>
    </row>
    <row r="734" spans="1:15">
      <c r="A734" s="207"/>
      <c r="B734" s="207"/>
      <c r="N734" s="4"/>
      <c r="O734" s="256"/>
    </row>
    <row r="735" spans="1:15">
      <c r="A735" s="207"/>
      <c r="B735" s="207"/>
      <c r="N735" s="4"/>
      <c r="O735" s="256"/>
    </row>
    <row r="736" spans="1:15">
      <c r="A736" s="207"/>
      <c r="B736" s="207"/>
      <c r="N736" s="4"/>
      <c r="O736" s="256"/>
    </row>
    <row r="737" spans="1:15">
      <c r="A737" s="207"/>
      <c r="B737" s="207"/>
      <c r="N737" s="4"/>
      <c r="O737" s="256"/>
    </row>
    <row r="738" spans="1:15">
      <c r="A738" s="207"/>
      <c r="B738" s="207"/>
      <c r="N738" s="4"/>
      <c r="O738" s="256"/>
    </row>
    <row r="739" spans="1:15">
      <c r="A739" s="207"/>
      <c r="B739" s="207"/>
      <c r="N739" s="4"/>
      <c r="O739" s="256"/>
    </row>
    <row r="740" spans="1:15">
      <c r="A740" s="207"/>
      <c r="B740" s="207"/>
      <c r="N740" s="4"/>
      <c r="O740" s="256"/>
    </row>
    <row r="741" spans="1:15">
      <c r="A741" s="207"/>
      <c r="B741" s="207"/>
      <c r="N741" s="4"/>
      <c r="O741" s="256"/>
    </row>
    <row r="742" spans="1:15">
      <c r="A742" s="207"/>
      <c r="B742" s="207"/>
      <c r="N742" s="4"/>
      <c r="O742" s="256"/>
    </row>
    <row r="743" spans="1:15">
      <c r="A743" s="207"/>
      <c r="B743" s="207"/>
      <c r="N743" s="4"/>
      <c r="O743" s="256"/>
    </row>
    <row r="744" spans="1:15">
      <c r="A744" s="207"/>
      <c r="B744" s="207"/>
      <c r="N744" s="4"/>
      <c r="O744" s="256"/>
    </row>
    <row r="745" spans="1:15">
      <c r="A745" s="207"/>
      <c r="B745" s="207"/>
      <c r="N745" s="4"/>
      <c r="O745" s="256"/>
    </row>
    <row r="746" spans="1:15">
      <c r="A746" s="207"/>
      <c r="B746" s="207"/>
      <c r="N746" s="4"/>
      <c r="O746" s="256"/>
    </row>
    <row r="747" spans="1:15">
      <c r="A747" s="207"/>
      <c r="B747" s="207"/>
      <c r="N747" s="4"/>
      <c r="O747" s="256"/>
    </row>
    <row r="748" spans="1:15">
      <c r="A748" s="207"/>
      <c r="B748" s="207"/>
      <c r="N748" s="4"/>
      <c r="O748" s="256"/>
    </row>
    <row r="749" spans="1:15">
      <c r="A749" s="207"/>
      <c r="B749" s="207"/>
      <c r="N749" s="4"/>
      <c r="O749" s="256"/>
    </row>
    <row r="750" spans="1:15">
      <c r="A750" s="207"/>
      <c r="B750" s="207"/>
      <c r="N750" s="4"/>
      <c r="O750" s="256"/>
    </row>
    <row r="751" spans="1:15">
      <c r="A751" s="207"/>
      <c r="B751" s="207"/>
      <c r="N751" s="4"/>
      <c r="O751" s="256"/>
    </row>
    <row r="752" spans="1:15">
      <c r="A752" s="207"/>
      <c r="B752" s="207"/>
      <c r="N752" s="4"/>
      <c r="O752" s="256"/>
    </row>
    <row r="753" spans="1:15">
      <c r="A753" s="207"/>
      <c r="B753" s="207"/>
      <c r="N753" s="4"/>
      <c r="O753" s="256"/>
    </row>
    <row r="754" spans="1:15">
      <c r="A754" s="207"/>
      <c r="B754" s="207"/>
      <c r="N754" s="4"/>
      <c r="O754" s="256"/>
    </row>
    <row r="755" spans="1:15">
      <c r="A755" s="207"/>
      <c r="B755" s="207"/>
      <c r="N755" s="4"/>
      <c r="O755" s="256"/>
    </row>
    <row r="756" spans="1:15">
      <c r="A756" s="207"/>
      <c r="B756" s="207"/>
      <c r="N756" s="4"/>
      <c r="O756" s="256"/>
    </row>
    <row r="757" spans="1:15">
      <c r="A757" s="207"/>
      <c r="B757" s="207"/>
      <c r="N757" s="4"/>
      <c r="O757" s="256"/>
    </row>
    <row r="758" spans="1:15">
      <c r="A758" s="207"/>
      <c r="B758" s="207"/>
      <c r="N758" s="4"/>
      <c r="O758" s="256"/>
    </row>
    <row r="759" spans="1:15">
      <c r="A759" s="207"/>
      <c r="B759" s="207"/>
      <c r="N759" s="4"/>
      <c r="O759" s="256"/>
    </row>
    <row r="760" spans="1:15">
      <c r="A760" s="207"/>
      <c r="B760" s="207"/>
      <c r="N760" s="4"/>
      <c r="O760" s="256"/>
    </row>
    <row r="761" spans="1:15">
      <c r="A761" s="207"/>
      <c r="B761" s="207"/>
      <c r="N761" s="4"/>
      <c r="O761" s="256"/>
    </row>
    <row r="762" spans="1:15">
      <c r="A762" s="207"/>
      <c r="B762" s="207"/>
      <c r="N762" s="4"/>
      <c r="O762" s="256"/>
    </row>
    <row r="763" spans="1:15">
      <c r="A763" s="207"/>
      <c r="B763" s="207"/>
      <c r="N763" s="4"/>
      <c r="O763" s="256"/>
    </row>
    <row r="764" spans="1:15">
      <c r="A764" s="207"/>
      <c r="B764" s="207"/>
      <c r="N764" s="4"/>
      <c r="O764" s="256"/>
    </row>
    <row r="765" spans="1:15">
      <c r="A765" s="207"/>
      <c r="B765" s="207"/>
      <c r="N765" s="4"/>
      <c r="O765" s="256"/>
    </row>
    <row r="766" spans="1:15">
      <c r="A766" s="207"/>
      <c r="B766" s="207"/>
      <c r="N766" s="4"/>
      <c r="O766" s="256"/>
    </row>
    <row r="767" spans="1:15">
      <c r="A767" s="207"/>
      <c r="B767" s="207"/>
      <c r="N767" s="4"/>
      <c r="O767" s="256"/>
    </row>
    <row r="768" spans="1:15">
      <c r="A768" s="207"/>
      <c r="B768" s="207"/>
      <c r="N768" s="4"/>
      <c r="O768" s="256"/>
    </row>
    <row r="769" spans="1:15">
      <c r="A769" s="207"/>
      <c r="B769" s="207"/>
      <c r="N769" s="4"/>
      <c r="O769" s="256"/>
    </row>
    <row r="770" spans="1:15">
      <c r="A770" s="207"/>
      <c r="B770" s="207"/>
      <c r="N770" s="4"/>
      <c r="O770" s="256"/>
    </row>
    <row r="771" spans="1:15">
      <c r="A771" s="207"/>
      <c r="B771" s="207"/>
      <c r="N771" s="4"/>
      <c r="O771" s="256"/>
    </row>
    <row r="772" spans="1:15">
      <c r="A772" s="207"/>
      <c r="B772" s="207"/>
      <c r="N772" s="4"/>
      <c r="O772" s="256"/>
    </row>
    <row r="773" spans="1:15">
      <c r="A773" s="207"/>
      <c r="B773" s="207"/>
      <c r="N773" s="4"/>
      <c r="O773" s="256"/>
    </row>
    <row r="774" spans="1:15">
      <c r="A774" s="207"/>
      <c r="B774" s="207"/>
      <c r="N774" s="4"/>
      <c r="O774" s="256"/>
    </row>
    <row r="775" spans="1:15">
      <c r="A775" s="207"/>
      <c r="B775" s="207"/>
      <c r="N775" s="4"/>
      <c r="O775" s="256"/>
    </row>
    <row r="776" spans="1:15">
      <c r="A776" s="207"/>
      <c r="B776" s="207"/>
      <c r="N776" s="4"/>
      <c r="O776" s="256"/>
    </row>
    <row r="777" spans="1:15">
      <c r="A777" s="207"/>
      <c r="B777" s="207"/>
      <c r="N777" s="4"/>
      <c r="O777" s="256"/>
    </row>
    <row r="778" spans="1:15">
      <c r="A778" s="207"/>
      <c r="B778" s="207"/>
      <c r="N778" s="4"/>
      <c r="O778" s="256"/>
    </row>
    <row r="779" spans="1:15">
      <c r="A779" s="207"/>
      <c r="B779" s="207"/>
      <c r="N779" s="4"/>
      <c r="O779" s="256"/>
    </row>
    <row r="780" spans="1:15">
      <c r="A780" s="207"/>
      <c r="B780" s="207"/>
      <c r="N780" s="4"/>
      <c r="O780" s="256"/>
    </row>
    <row r="781" spans="1:15">
      <c r="A781" s="207"/>
      <c r="B781" s="207"/>
      <c r="N781" s="4"/>
      <c r="O781" s="256"/>
    </row>
    <row r="782" spans="1:15">
      <c r="A782" s="207"/>
      <c r="B782" s="207"/>
      <c r="N782" s="4"/>
      <c r="O782" s="256"/>
    </row>
    <row r="783" spans="1:15">
      <c r="A783" s="207"/>
      <c r="B783" s="207"/>
      <c r="N783" s="4"/>
      <c r="O783" s="256"/>
    </row>
    <row r="784" spans="1:15">
      <c r="A784" s="207"/>
      <c r="B784" s="207"/>
      <c r="N784" s="4"/>
      <c r="O784" s="256"/>
    </row>
    <row r="785" spans="1:15">
      <c r="A785" s="207"/>
      <c r="B785" s="207"/>
      <c r="N785" s="4"/>
      <c r="O785" s="256"/>
    </row>
    <row r="786" spans="1:15">
      <c r="A786" s="207"/>
      <c r="B786" s="207"/>
      <c r="N786" s="4"/>
      <c r="O786" s="256"/>
    </row>
    <row r="787" spans="1:15">
      <c r="A787" s="207"/>
      <c r="B787" s="207"/>
      <c r="N787" s="4"/>
      <c r="O787" s="256"/>
    </row>
    <row r="788" spans="1:15">
      <c r="A788" s="207"/>
      <c r="B788" s="207"/>
      <c r="N788" s="4"/>
      <c r="O788" s="256"/>
    </row>
    <row r="789" spans="1:15">
      <c r="A789" s="207"/>
      <c r="B789" s="207"/>
      <c r="N789" s="4"/>
      <c r="O789" s="256"/>
    </row>
    <row r="790" spans="1:15">
      <c r="A790" s="207"/>
      <c r="B790" s="207"/>
      <c r="N790" s="4"/>
      <c r="O790" s="256"/>
    </row>
    <row r="791" spans="1:15">
      <c r="A791" s="207"/>
      <c r="B791" s="207"/>
      <c r="N791" s="4"/>
      <c r="O791" s="256"/>
    </row>
    <row r="792" spans="1:15">
      <c r="A792" s="207"/>
      <c r="B792" s="207"/>
      <c r="N792" s="4"/>
      <c r="O792" s="256"/>
    </row>
    <row r="793" spans="1:15">
      <c r="A793" s="207"/>
      <c r="B793" s="207"/>
      <c r="N793" s="4"/>
      <c r="O793" s="256"/>
    </row>
    <row r="794" spans="1:15">
      <c r="A794" s="207"/>
      <c r="B794" s="207"/>
      <c r="N794" s="4"/>
      <c r="O794" s="256"/>
    </row>
    <row r="795" spans="1:15">
      <c r="A795" s="207"/>
      <c r="B795" s="207"/>
      <c r="N795" s="4"/>
      <c r="O795" s="256"/>
    </row>
    <row r="796" spans="1:15">
      <c r="A796" s="207"/>
      <c r="B796" s="207"/>
      <c r="N796" s="4"/>
      <c r="O796" s="256"/>
    </row>
    <row r="797" spans="1:15">
      <c r="A797" s="207"/>
      <c r="B797" s="207"/>
      <c r="N797" s="4"/>
      <c r="O797" s="256"/>
    </row>
    <row r="798" spans="1:15">
      <c r="A798" s="207"/>
      <c r="B798" s="207"/>
      <c r="N798" s="4"/>
      <c r="O798" s="256"/>
    </row>
    <row r="799" spans="1:15">
      <c r="A799" s="207"/>
      <c r="B799" s="207"/>
      <c r="N799" s="4"/>
      <c r="O799" s="256"/>
    </row>
    <row r="800" spans="1:15">
      <c r="A800" s="207"/>
      <c r="B800" s="207"/>
      <c r="N800" s="4"/>
      <c r="O800" s="256"/>
    </row>
    <row r="801" spans="1:15">
      <c r="A801" s="207"/>
      <c r="B801" s="207"/>
      <c r="N801" s="4"/>
      <c r="O801" s="256"/>
    </row>
    <row r="802" spans="1:15">
      <c r="A802" s="207"/>
      <c r="B802" s="207"/>
      <c r="N802" s="4"/>
      <c r="O802" s="256"/>
    </row>
    <row r="803" spans="1:15">
      <c r="A803" s="207"/>
      <c r="B803" s="207"/>
      <c r="N803" s="4"/>
      <c r="O803" s="256"/>
    </row>
    <row r="804" spans="1:15">
      <c r="A804" s="207"/>
      <c r="B804" s="207"/>
      <c r="N804" s="4"/>
      <c r="O804" s="256"/>
    </row>
    <row r="805" spans="1:15">
      <c r="A805" s="207"/>
      <c r="B805" s="207"/>
      <c r="N805" s="4"/>
      <c r="O805" s="256"/>
    </row>
    <row r="806" spans="1:15">
      <c r="A806" s="207"/>
      <c r="B806" s="207"/>
      <c r="N806" s="4"/>
      <c r="O806" s="256"/>
    </row>
    <row r="807" spans="1:15">
      <c r="A807" s="207"/>
      <c r="B807" s="207"/>
      <c r="N807" s="4"/>
      <c r="O807" s="256"/>
    </row>
    <row r="808" spans="1:15">
      <c r="A808" s="207"/>
      <c r="B808" s="207"/>
      <c r="N808" s="4"/>
      <c r="O808" s="256"/>
    </row>
    <row r="809" spans="1:15">
      <c r="A809" s="207"/>
      <c r="B809" s="207"/>
      <c r="N809" s="4"/>
      <c r="O809" s="256"/>
    </row>
    <row r="810" spans="1:15">
      <c r="A810" s="207"/>
      <c r="B810" s="207"/>
      <c r="N810" s="4"/>
      <c r="O810" s="256"/>
    </row>
    <row r="811" spans="1:15">
      <c r="A811" s="207"/>
      <c r="B811" s="207"/>
      <c r="N811" s="4"/>
      <c r="O811" s="256"/>
    </row>
    <row r="812" spans="1:15">
      <c r="A812" s="207"/>
      <c r="B812" s="207"/>
      <c r="N812" s="4"/>
      <c r="O812" s="256"/>
    </row>
    <row r="813" spans="1:15">
      <c r="A813" s="207"/>
      <c r="B813" s="207"/>
      <c r="N813" s="4"/>
      <c r="O813" s="256"/>
    </row>
    <row r="814" spans="1:15">
      <c r="A814" s="207"/>
      <c r="B814" s="207"/>
      <c r="N814" s="4"/>
      <c r="O814" s="256"/>
    </row>
    <row r="815" spans="1:15">
      <c r="A815" s="207"/>
      <c r="B815" s="207"/>
      <c r="N815" s="4"/>
      <c r="O815" s="256"/>
    </row>
    <row r="816" spans="1:15">
      <c r="A816" s="207"/>
      <c r="B816" s="207"/>
      <c r="N816" s="4"/>
      <c r="O816" s="256"/>
    </row>
    <row r="817" spans="1:15">
      <c r="A817" s="207"/>
      <c r="B817" s="207"/>
      <c r="N817" s="4"/>
      <c r="O817" s="256"/>
    </row>
    <row r="818" spans="1:15">
      <c r="A818" s="207"/>
      <c r="B818" s="207"/>
      <c r="N818" s="4"/>
      <c r="O818" s="256"/>
    </row>
    <row r="819" spans="1:15">
      <c r="A819" s="207"/>
      <c r="B819" s="207"/>
      <c r="N819" s="4"/>
      <c r="O819" s="256"/>
    </row>
    <row r="820" spans="1:15">
      <c r="A820" s="207"/>
      <c r="B820" s="207"/>
      <c r="N820" s="4"/>
      <c r="O820" s="256"/>
    </row>
    <row r="821" spans="1:15">
      <c r="A821" s="207"/>
      <c r="B821" s="207"/>
      <c r="N821" s="4"/>
      <c r="O821" s="256"/>
    </row>
    <row r="822" spans="1:15">
      <c r="A822" s="207"/>
      <c r="B822" s="207"/>
      <c r="N822" s="4"/>
      <c r="O822" s="256"/>
    </row>
    <row r="823" spans="1:15">
      <c r="A823" s="207"/>
      <c r="B823" s="207"/>
      <c r="N823" s="4"/>
      <c r="O823" s="256"/>
    </row>
    <row r="824" spans="1:15">
      <c r="A824" s="207"/>
      <c r="B824" s="207"/>
      <c r="N824" s="4"/>
      <c r="O824" s="256"/>
    </row>
    <row r="825" spans="1:15">
      <c r="A825" s="207"/>
      <c r="B825" s="207"/>
      <c r="N825" s="4"/>
      <c r="O825" s="256"/>
    </row>
    <row r="826" spans="1:15">
      <c r="A826" s="207"/>
      <c r="B826" s="207"/>
      <c r="N826" s="4"/>
      <c r="O826" s="256"/>
    </row>
    <row r="827" spans="1:15">
      <c r="A827" s="207"/>
      <c r="B827" s="207"/>
      <c r="N827" s="4"/>
      <c r="O827" s="256"/>
    </row>
    <row r="828" spans="1:15">
      <c r="A828" s="207"/>
      <c r="B828" s="207"/>
      <c r="N828" s="4"/>
      <c r="O828" s="256"/>
    </row>
    <row r="829" spans="1:15">
      <c r="A829" s="207"/>
      <c r="B829" s="207"/>
      <c r="N829" s="4"/>
      <c r="O829" s="256"/>
    </row>
    <row r="830" spans="1:15">
      <c r="A830" s="207"/>
      <c r="B830" s="207"/>
      <c r="N830" s="4"/>
      <c r="O830" s="256"/>
    </row>
    <row r="831" spans="1:15">
      <c r="A831" s="207"/>
      <c r="B831" s="207"/>
      <c r="N831" s="4"/>
      <c r="O831" s="256"/>
    </row>
    <row r="832" spans="1:15">
      <c r="A832" s="207"/>
      <c r="B832" s="207"/>
      <c r="N832" s="4"/>
      <c r="O832" s="256"/>
    </row>
    <row r="833" spans="1:15">
      <c r="A833" s="207"/>
      <c r="B833" s="207"/>
      <c r="N833" s="4"/>
      <c r="O833" s="256"/>
    </row>
    <row r="834" spans="1:15">
      <c r="A834" s="207"/>
      <c r="B834" s="207"/>
      <c r="N834" s="4"/>
      <c r="O834" s="256"/>
    </row>
    <row r="835" spans="1:15">
      <c r="A835" s="207"/>
      <c r="B835" s="207"/>
      <c r="N835" s="4"/>
      <c r="O835" s="256"/>
    </row>
    <row r="836" spans="1:15">
      <c r="A836" s="207"/>
      <c r="B836" s="207"/>
      <c r="N836" s="4"/>
      <c r="O836" s="256"/>
    </row>
    <row r="837" spans="1:15">
      <c r="A837" s="207"/>
      <c r="B837" s="207"/>
      <c r="N837" s="4"/>
      <c r="O837" s="256"/>
    </row>
    <row r="838" spans="1:15">
      <c r="A838" s="207"/>
      <c r="B838" s="207"/>
      <c r="N838" s="4"/>
      <c r="O838" s="256"/>
    </row>
    <row r="839" spans="1:15">
      <c r="A839" s="207"/>
      <c r="B839" s="207"/>
      <c r="N839" s="4"/>
      <c r="O839" s="256"/>
    </row>
    <row r="840" spans="1:15">
      <c r="A840" s="207"/>
      <c r="B840" s="207"/>
      <c r="N840" s="4"/>
      <c r="O840" s="256"/>
    </row>
    <row r="841" spans="1:15">
      <c r="A841" s="207"/>
      <c r="B841" s="207"/>
      <c r="N841" s="4"/>
      <c r="O841" s="256"/>
    </row>
    <row r="842" spans="1:15">
      <c r="A842" s="207"/>
      <c r="B842" s="207"/>
      <c r="N842" s="4"/>
      <c r="O842" s="256"/>
    </row>
    <row r="843" spans="1:15">
      <c r="A843" s="207"/>
      <c r="B843" s="207"/>
      <c r="N843" s="4"/>
      <c r="O843" s="256"/>
    </row>
    <row r="844" spans="1:15">
      <c r="A844" s="207"/>
      <c r="B844" s="207"/>
      <c r="N844" s="4"/>
      <c r="O844" s="256"/>
    </row>
    <row r="845" spans="1:15">
      <c r="A845" s="207"/>
      <c r="B845" s="207"/>
      <c r="N845" s="4"/>
      <c r="O845" s="256"/>
    </row>
    <row r="846" spans="1:15">
      <c r="A846" s="207"/>
      <c r="B846" s="207"/>
      <c r="N846" s="4"/>
      <c r="O846" s="256"/>
    </row>
    <row r="847" spans="1:15">
      <c r="A847" s="207"/>
      <c r="B847" s="207"/>
      <c r="N847" s="4"/>
      <c r="O847" s="256"/>
    </row>
    <row r="848" spans="1:15">
      <c r="A848" s="207"/>
      <c r="B848" s="207"/>
      <c r="N848" s="4"/>
      <c r="O848" s="256"/>
    </row>
    <row r="849" spans="1:15">
      <c r="A849" s="207"/>
      <c r="B849" s="207"/>
      <c r="N849" s="4"/>
      <c r="O849" s="256"/>
    </row>
    <row r="850" spans="1:15">
      <c r="A850" s="207"/>
      <c r="B850" s="207"/>
      <c r="N850" s="4"/>
      <c r="O850" s="256"/>
    </row>
    <row r="851" spans="1:15">
      <c r="A851" s="207"/>
      <c r="B851" s="207"/>
      <c r="N851" s="4"/>
      <c r="O851" s="256"/>
    </row>
    <row r="852" spans="1:15">
      <c r="A852" s="207"/>
      <c r="B852" s="207"/>
      <c r="N852" s="4"/>
      <c r="O852" s="256"/>
    </row>
    <row r="853" spans="1:15">
      <c r="A853" s="207"/>
      <c r="B853" s="207"/>
      <c r="N853" s="4"/>
      <c r="O853" s="256"/>
    </row>
    <row r="854" spans="1:15">
      <c r="A854" s="207"/>
      <c r="B854" s="207"/>
      <c r="N854" s="4"/>
      <c r="O854" s="256"/>
    </row>
    <row r="855" spans="1:15">
      <c r="A855" s="207"/>
      <c r="B855" s="207"/>
      <c r="N855" s="4"/>
      <c r="O855" s="256"/>
    </row>
    <row r="856" spans="1:15">
      <c r="A856" s="207"/>
      <c r="B856" s="207"/>
      <c r="N856" s="4"/>
      <c r="O856" s="256"/>
    </row>
    <row r="857" spans="1:15">
      <c r="A857" s="207"/>
      <c r="B857" s="207"/>
      <c r="N857" s="4"/>
      <c r="O857" s="256"/>
    </row>
    <row r="858" spans="1:15">
      <c r="A858" s="207"/>
      <c r="B858" s="207"/>
      <c r="N858" s="4"/>
      <c r="O858" s="256"/>
    </row>
    <row r="859" spans="1:15">
      <c r="A859" s="207"/>
      <c r="B859" s="207"/>
      <c r="N859" s="4"/>
      <c r="O859" s="256"/>
    </row>
    <row r="860" spans="1:15">
      <c r="A860" s="207"/>
      <c r="B860" s="207"/>
      <c r="N860" s="4"/>
      <c r="O860" s="256"/>
    </row>
    <row r="861" spans="1:15">
      <c r="A861" s="207"/>
      <c r="B861" s="207"/>
      <c r="N861" s="4"/>
      <c r="O861" s="256"/>
    </row>
    <row r="862" spans="1:15">
      <c r="A862" s="207"/>
      <c r="B862" s="207"/>
      <c r="N862" s="4"/>
      <c r="O862" s="256"/>
    </row>
    <row r="863" spans="1:15">
      <c r="A863" s="207"/>
      <c r="B863" s="207"/>
      <c r="N863" s="4"/>
      <c r="O863" s="256"/>
    </row>
    <row r="864" spans="1:15">
      <c r="A864" s="207"/>
      <c r="B864" s="207"/>
      <c r="N864" s="4"/>
      <c r="O864" s="256"/>
    </row>
    <row r="865" spans="1:15">
      <c r="A865" s="207"/>
      <c r="B865" s="207"/>
      <c r="N865" s="4"/>
      <c r="O865" s="256"/>
    </row>
    <row r="866" spans="1:15">
      <c r="A866" s="207"/>
      <c r="B866" s="207"/>
      <c r="N866" s="4"/>
      <c r="O866" s="256"/>
    </row>
    <row r="867" spans="1:15">
      <c r="A867" s="207"/>
      <c r="B867" s="207"/>
      <c r="N867" s="4"/>
      <c r="O867" s="256"/>
    </row>
    <row r="868" spans="1:15">
      <c r="A868" s="207"/>
      <c r="B868" s="207"/>
      <c r="N868" s="4"/>
      <c r="O868" s="256"/>
    </row>
    <row r="869" spans="1:15">
      <c r="A869" s="207"/>
      <c r="B869" s="207"/>
      <c r="N869" s="4"/>
      <c r="O869" s="256"/>
    </row>
    <row r="870" spans="1:15">
      <c r="A870" s="207"/>
      <c r="B870" s="207"/>
      <c r="N870" s="4"/>
      <c r="O870" s="256"/>
    </row>
    <row r="871" spans="1:15">
      <c r="A871" s="207"/>
      <c r="B871" s="207"/>
      <c r="N871" s="4"/>
      <c r="O871" s="256"/>
    </row>
    <row r="872" spans="1:15">
      <c r="A872" s="207"/>
      <c r="B872" s="207"/>
      <c r="N872" s="4"/>
      <c r="O872" s="256"/>
    </row>
    <row r="873" spans="1:15">
      <c r="A873" s="207"/>
      <c r="B873" s="207"/>
      <c r="N873" s="4"/>
      <c r="O873" s="256"/>
    </row>
    <row r="874" spans="1:15">
      <c r="A874" s="207"/>
      <c r="B874" s="207"/>
      <c r="N874" s="4"/>
      <c r="O874" s="256"/>
    </row>
    <row r="875" spans="1:15">
      <c r="A875" s="207"/>
      <c r="B875" s="207"/>
      <c r="N875" s="4"/>
      <c r="O875" s="256"/>
    </row>
    <row r="876" spans="1:15">
      <c r="A876" s="207"/>
      <c r="B876" s="207"/>
      <c r="N876" s="4"/>
      <c r="O876" s="256"/>
    </row>
    <row r="877" spans="1:15">
      <c r="A877" s="207"/>
      <c r="B877" s="207"/>
      <c r="N877" s="4"/>
      <c r="O877" s="256"/>
    </row>
    <row r="878" spans="1:15">
      <c r="A878" s="207"/>
      <c r="B878" s="207"/>
      <c r="N878" s="4"/>
      <c r="O878" s="256"/>
    </row>
    <row r="879" spans="1:15">
      <c r="A879" s="207"/>
      <c r="B879" s="207"/>
      <c r="N879" s="4"/>
      <c r="O879" s="256"/>
    </row>
    <row r="880" spans="1:15">
      <c r="A880" s="207"/>
      <c r="B880" s="207"/>
      <c r="N880" s="4"/>
      <c r="O880" s="256"/>
    </row>
    <row r="881" spans="1:15">
      <c r="A881" s="207"/>
      <c r="B881" s="207"/>
      <c r="N881" s="4"/>
      <c r="O881" s="256"/>
    </row>
    <row r="882" spans="1:15">
      <c r="A882" s="207"/>
      <c r="B882" s="207"/>
      <c r="N882" s="4"/>
      <c r="O882" s="256"/>
    </row>
    <row r="883" spans="1:15">
      <c r="A883" s="207"/>
      <c r="B883" s="207"/>
      <c r="N883" s="4"/>
      <c r="O883" s="256"/>
    </row>
    <row r="884" spans="1:15">
      <c r="A884" s="207"/>
      <c r="B884" s="207"/>
      <c r="N884" s="4"/>
      <c r="O884" s="256"/>
    </row>
    <row r="885" spans="1:15">
      <c r="A885" s="207"/>
      <c r="B885" s="207"/>
      <c r="N885" s="4"/>
      <c r="O885" s="256"/>
    </row>
    <row r="886" spans="1:15">
      <c r="A886" s="207"/>
      <c r="B886" s="207"/>
      <c r="N886" s="4"/>
      <c r="O886" s="256"/>
    </row>
    <row r="887" spans="1:15">
      <c r="A887" s="207"/>
      <c r="B887" s="207"/>
      <c r="N887" s="4"/>
      <c r="O887" s="256"/>
    </row>
    <row r="888" spans="1:15">
      <c r="A888" s="207"/>
      <c r="B888" s="207"/>
      <c r="N888" s="4"/>
      <c r="O888" s="256"/>
    </row>
    <row r="889" spans="1:15">
      <c r="A889" s="207"/>
      <c r="B889" s="207"/>
      <c r="N889" s="4"/>
      <c r="O889" s="256"/>
    </row>
    <row r="890" spans="1:15">
      <c r="A890" s="207"/>
      <c r="B890" s="207"/>
      <c r="N890" s="4"/>
      <c r="O890" s="256"/>
    </row>
    <row r="891" spans="1:15">
      <c r="A891" s="207"/>
      <c r="B891" s="207"/>
      <c r="N891" s="4"/>
      <c r="O891" s="256"/>
    </row>
    <row r="892" spans="1:15">
      <c r="A892" s="207"/>
      <c r="B892" s="207"/>
      <c r="N892" s="4"/>
      <c r="O892" s="256"/>
    </row>
    <row r="893" spans="1:15">
      <c r="A893" s="207"/>
      <c r="B893" s="207"/>
      <c r="N893" s="4"/>
      <c r="O893" s="256"/>
    </row>
    <row r="894" spans="1:15">
      <c r="A894" s="207"/>
      <c r="B894" s="207"/>
      <c r="N894" s="4"/>
      <c r="O894" s="256"/>
    </row>
    <row r="895" spans="1:15">
      <c r="A895" s="207"/>
      <c r="B895" s="207"/>
      <c r="N895" s="4"/>
      <c r="O895" s="256"/>
    </row>
    <row r="896" spans="1:15">
      <c r="A896" s="207"/>
      <c r="B896" s="207"/>
      <c r="N896" s="4"/>
      <c r="O896" s="256"/>
    </row>
    <row r="897" spans="1:15">
      <c r="A897" s="207"/>
      <c r="B897" s="207"/>
      <c r="N897" s="4"/>
      <c r="O897" s="256"/>
    </row>
    <row r="898" spans="1:15">
      <c r="A898" s="207"/>
      <c r="B898" s="207"/>
      <c r="N898" s="4"/>
      <c r="O898" s="256"/>
    </row>
    <row r="899" spans="1:15">
      <c r="A899" s="207"/>
      <c r="B899" s="207"/>
      <c r="N899" s="4"/>
      <c r="O899" s="256"/>
    </row>
    <row r="900" spans="1:15">
      <c r="A900" s="207"/>
      <c r="B900" s="207"/>
      <c r="N900" s="4"/>
      <c r="O900" s="256"/>
    </row>
    <row r="901" spans="1:15">
      <c r="A901" s="207"/>
      <c r="B901" s="207"/>
      <c r="N901" s="4"/>
      <c r="O901" s="256"/>
    </row>
    <row r="902" spans="1:15">
      <c r="A902" s="207"/>
      <c r="B902" s="207"/>
      <c r="N902" s="4"/>
      <c r="O902" s="256"/>
    </row>
    <row r="903" spans="1:15">
      <c r="A903" s="207"/>
      <c r="B903" s="207"/>
      <c r="N903" s="4"/>
      <c r="O903" s="256"/>
    </row>
    <row r="904" spans="1:15">
      <c r="A904" s="207"/>
      <c r="B904" s="207"/>
      <c r="N904" s="4"/>
      <c r="O904" s="256"/>
    </row>
    <row r="905" spans="1:15">
      <c r="A905" s="207"/>
      <c r="B905" s="207"/>
      <c r="N905" s="4"/>
      <c r="O905" s="256"/>
    </row>
    <row r="906" spans="1:15">
      <c r="A906" s="207"/>
      <c r="B906" s="207"/>
      <c r="N906" s="4"/>
      <c r="O906" s="256"/>
    </row>
    <row r="907" spans="1:15">
      <c r="A907" s="207"/>
      <c r="B907" s="207"/>
      <c r="N907" s="4"/>
      <c r="O907" s="256"/>
    </row>
    <row r="908" spans="1:15">
      <c r="A908" s="207"/>
      <c r="B908" s="207"/>
      <c r="N908" s="4"/>
      <c r="O908" s="256"/>
    </row>
    <row r="909" spans="1:15">
      <c r="A909" s="207"/>
      <c r="B909" s="207"/>
      <c r="N909" s="4"/>
      <c r="O909" s="256"/>
    </row>
    <row r="910" spans="1:15">
      <c r="A910" s="207"/>
      <c r="B910" s="207"/>
      <c r="N910" s="4"/>
      <c r="O910" s="256"/>
    </row>
    <row r="911" spans="1:15">
      <c r="A911" s="207"/>
      <c r="B911" s="207"/>
      <c r="N911" s="4"/>
      <c r="O911" s="256"/>
    </row>
    <row r="912" spans="1:15">
      <c r="A912" s="207"/>
      <c r="B912" s="207"/>
      <c r="N912" s="4"/>
      <c r="O912" s="256"/>
    </row>
    <row r="913" spans="1:15">
      <c r="A913" s="207"/>
      <c r="B913" s="207"/>
      <c r="N913" s="4"/>
      <c r="O913" s="256"/>
    </row>
    <row r="914" spans="1:15">
      <c r="A914" s="207"/>
      <c r="B914" s="207"/>
      <c r="N914" s="4"/>
      <c r="O914" s="256"/>
    </row>
    <row r="915" spans="1:15">
      <c r="A915" s="207"/>
      <c r="B915" s="207"/>
      <c r="N915" s="4"/>
      <c r="O915" s="256"/>
    </row>
    <row r="916" spans="1:15">
      <c r="A916" s="207"/>
      <c r="B916" s="207"/>
      <c r="N916" s="4"/>
      <c r="O916" s="256"/>
    </row>
    <row r="917" spans="1:15">
      <c r="A917" s="207"/>
      <c r="B917" s="207"/>
      <c r="N917" s="4"/>
      <c r="O917" s="256"/>
    </row>
    <row r="918" spans="1:15">
      <c r="A918" s="207"/>
      <c r="B918" s="207"/>
      <c r="N918" s="4"/>
      <c r="O918" s="256"/>
    </row>
    <row r="919" spans="1:15">
      <c r="A919" s="207"/>
      <c r="B919" s="207"/>
      <c r="N919" s="4"/>
      <c r="O919" s="256"/>
    </row>
    <row r="920" spans="1:15">
      <c r="A920" s="207"/>
      <c r="B920" s="207"/>
      <c r="N920" s="4"/>
      <c r="O920" s="256"/>
    </row>
    <row r="921" spans="1:15">
      <c r="A921" s="207"/>
      <c r="B921" s="207"/>
      <c r="N921" s="4"/>
      <c r="O921" s="256"/>
    </row>
    <row r="922" spans="1:15">
      <c r="A922" s="207"/>
      <c r="B922" s="207"/>
      <c r="N922" s="4"/>
      <c r="O922" s="256"/>
    </row>
    <row r="923" spans="1:15">
      <c r="A923" s="207"/>
      <c r="B923" s="207"/>
      <c r="N923" s="4"/>
      <c r="O923" s="256"/>
    </row>
    <row r="924" spans="1:15">
      <c r="A924" s="207"/>
      <c r="B924" s="207"/>
      <c r="N924" s="4"/>
      <c r="O924" s="256"/>
    </row>
    <row r="925" spans="1:15">
      <c r="A925" s="207"/>
      <c r="B925" s="207"/>
      <c r="N925" s="4"/>
      <c r="O925" s="256"/>
    </row>
    <row r="926" spans="1:15">
      <c r="A926" s="207"/>
      <c r="B926" s="207"/>
      <c r="N926" s="4"/>
      <c r="O926" s="256"/>
    </row>
    <row r="927" spans="1:15">
      <c r="A927" s="207"/>
      <c r="B927" s="207"/>
      <c r="N927" s="4"/>
      <c r="O927" s="256"/>
    </row>
    <row r="928" spans="1:15">
      <c r="A928" s="207"/>
      <c r="B928" s="207"/>
      <c r="N928" s="4"/>
      <c r="O928" s="256"/>
    </row>
    <row r="929" spans="1:15">
      <c r="A929" s="207"/>
      <c r="B929" s="207"/>
      <c r="N929" s="4"/>
      <c r="O929" s="256"/>
    </row>
    <row r="930" spans="1:15">
      <c r="A930" s="207"/>
      <c r="B930" s="207"/>
      <c r="N930" s="4"/>
      <c r="O930" s="256"/>
    </row>
    <row r="931" spans="1:15">
      <c r="A931" s="207"/>
      <c r="B931" s="207"/>
      <c r="N931" s="4"/>
      <c r="O931" s="256"/>
    </row>
    <row r="932" spans="1:15">
      <c r="A932" s="207"/>
      <c r="B932" s="207"/>
      <c r="N932" s="4"/>
      <c r="O932" s="256"/>
    </row>
    <row r="933" spans="1:15">
      <c r="A933" s="207"/>
      <c r="B933" s="207"/>
      <c r="N933" s="4"/>
      <c r="O933" s="256"/>
    </row>
    <row r="934" spans="1:15">
      <c r="A934" s="207"/>
      <c r="B934" s="207"/>
      <c r="N934" s="4"/>
      <c r="O934" s="256"/>
    </row>
    <row r="935" spans="1:15">
      <c r="A935" s="207"/>
      <c r="B935" s="207"/>
      <c r="N935" s="4"/>
      <c r="O935" s="256"/>
    </row>
    <row r="936" spans="1:15">
      <c r="A936" s="207"/>
      <c r="B936" s="207"/>
      <c r="N936" s="4"/>
      <c r="O936" s="256"/>
    </row>
    <row r="937" spans="1:15">
      <c r="A937" s="207"/>
      <c r="B937" s="207"/>
      <c r="N937" s="4"/>
      <c r="O937" s="256"/>
    </row>
    <row r="938" spans="1:15">
      <c r="A938" s="207"/>
      <c r="B938" s="207"/>
      <c r="N938" s="4"/>
      <c r="O938" s="256"/>
    </row>
    <row r="939" spans="1:15">
      <c r="A939" s="207"/>
      <c r="B939" s="207"/>
      <c r="N939" s="4"/>
      <c r="O939" s="256"/>
    </row>
    <row r="940" spans="1:15">
      <c r="A940" s="207"/>
      <c r="B940" s="207"/>
      <c r="N940" s="4"/>
      <c r="O940" s="256"/>
    </row>
    <row r="941" spans="1:15">
      <c r="A941" s="207"/>
      <c r="B941" s="207"/>
      <c r="N941" s="4"/>
      <c r="O941" s="256"/>
    </row>
    <row r="942" spans="1:15">
      <c r="A942" s="207"/>
      <c r="B942" s="207"/>
      <c r="N942" s="4"/>
      <c r="O942" s="256"/>
    </row>
    <row r="943" spans="1:15">
      <c r="A943" s="207"/>
      <c r="B943" s="207"/>
      <c r="N943" s="4"/>
      <c r="O943" s="256"/>
    </row>
    <row r="944" spans="1:15">
      <c r="A944" s="207"/>
      <c r="B944" s="207"/>
      <c r="N944" s="4"/>
      <c r="O944" s="256"/>
    </row>
    <row r="945" spans="1:15">
      <c r="A945" s="207"/>
      <c r="B945" s="207"/>
      <c r="N945" s="4"/>
      <c r="O945" s="256"/>
    </row>
    <row r="946" spans="1:15">
      <c r="A946" s="207"/>
      <c r="B946" s="207"/>
      <c r="N946" s="4"/>
      <c r="O946" s="256"/>
    </row>
    <row r="947" spans="1:15">
      <c r="A947" s="207"/>
      <c r="B947" s="207"/>
      <c r="N947" s="4"/>
      <c r="O947" s="256"/>
    </row>
    <row r="948" spans="1:15">
      <c r="A948" s="207"/>
      <c r="B948" s="207"/>
      <c r="N948" s="4"/>
      <c r="O948" s="256"/>
    </row>
    <row r="949" spans="1:15">
      <c r="A949" s="207"/>
      <c r="B949" s="207"/>
      <c r="N949" s="4"/>
      <c r="O949" s="256"/>
    </row>
    <row r="950" spans="1:15">
      <c r="A950" s="207"/>
      <c r="B950" s="207"/>
      <c r="N950" s="4"/>
      <c r="O950" s="256"/>
    </row>
    <row r="951" spans="1:15">
      <c r="A951" s="207"/>
      <c r="B951" s="207"/>
      <c r="N951" s="4"/>
      <c r="O951" s="256"/>
    </row>
    <row r="952" spans="1:15">
      <c r="A952" s="207"/>
      <c r="B952" s="207"/>
      <c r="N952" s="4"/>
      <c r="O952" s="256"/>
    </row>
    <row r="953" spans="1:15">
      <c r="A953" s="207"/>
      <c r="B953" s="207"/>
      <c r="N953" s="4"/>
      <c r="O953" s="256"/>
    </row>
    <row r="954" spans="1:15">
      <c r="A954" s="207"/>
      <c r="B954" s="207"/>
      <c r="N954" s="4"/>
      <c r="O954" s="256"/>
    </row>
    <row r="955" spans="1:15">
      <c r="A955" s="207"/>
      <c r="B955" s="207"/>
      <c r="N955" s="4"/>
      <c r="O955" s="256"/>
    </row>
    <row r="956" spans="1:15">
      <c r="A956" s="207"/>
      <c r="B956" s="207"/>
      <c r="N956" s="4"/>
      <c r="O956" s="256"/>
    </row>
    <row r="957" spans="1:15">
      <c r="A957" s="207"/>
      <c r="B957" s="207"/>
      <c r="N957" s="4"/>
      <c r="O957" s="256"/>
    </row>
    <row r="958" spans="1:15">
      <c r="A958" s="207"/>
      <c r="B958" s="207"/>
      <c r="N958" s="4"/>
      <c r="O958" s="256"/>
    </row>
    <row r="959" spans="1:15">
      <c r="A959" s="207"/>
      <c r="B959" s="207"/>
      <c r="N959" s="4"/>
      <c r="O959" s="256"/>
    </row>
    <row r="960" spans="1:15">
      <c r="A960" s="207"/>
      <c r="B960" s="207"/>
      <c r="N960" s="4"/>
      <c r="O960" s="256"/>
    </row>
    <row r="961" spans="1:15">
      <c r="A961" s="207"/>
      <c r="B961" s="207"/>
      <c r="N961" s="4"/>
      <c r="O961" s="256"/>
    </row>
    <row r="962" spans="1:15">
      <c r="A962" s="207"/>
      <c r="B962" s="207"/>
      <c r="N962" s="4"/>
      <c r="O962" s="256"/>
    </row>
    <row r="963" spans="1:15">
      <c r="A963" s="207"/>
      <c r="B963" s="207"/>
      <c r="N963" s="4"/>
      <c r="O963" s="256"/>
    </row>
    <row r="964" spans="1:15">
      <c r="A964" s="207"/>
      <c r="B964" s="207"/>
      <c r="N964" s="4"/>
      <c r="O964" s="256"/>
    </row>
    <row r="965" spans="1:15">
      <c r="A965" s="207"/>
      <c r="B965" s="207"/>
      <c r="N965" s="4"/>
      <c r="O965" s="256"/>
    </row>
    <row r="966" spans="1:15">
      <c r="A966" s="207"/>
      <c r="B966" s="207"/>
      <c r="N966" s="4"/>
      <c r="O966" s="256"/>
    </row>
    <row r="967" spans="1:15">
      <c r="A967" s="207"/>
      <c r="B967" s="207"/>
      <c r="N967" s="4"/>
      <c r="O967" s="256"/>
    </row>
    <row r="968" spans="1:15">
      <c r="A968" s="207"/>
      <c r="B968" s="207"/>
      <c r="N968" s="4"/>
      <c r="O968" s="256"/>
    </row>
    <row r="969" spans="1:15">
      <c r="A969" s="207"/>
      <c r="B969" s="207"/>
      <c r="N969" s="4"/>
      <c r="O969" s="256"/>
    </row>
    <row r="970" spans="1:15">
      <c r="A970" s="207"/>
      <c r="B970" s="207"/>
      <c r="N970" s="4"/>
      <c r="O970" s="256"/>
    </row>
    <row r="971" spans="1:15">
      <c r="A971" s="207"/>
      <c r="B971" s="207"/>
      <c r="N971" s="4"/>
      <c r="O971" s="256"/>
    </row>
    <row r="972" spans="1:15">
      <c r="A972" s="207"/>
      <c r="B972" s="207"/>
      <c r="N972" s="4"/>
      <c r="O972" s="256"/>
    </row>
    <row r="973" spans="1:15">
      <c r="A973" s="207"/>
      <c r="B973" s="207"/>
      <c r="N973" s="4"/>
      <c r="O973" s="256"/>
    </row>
    <row r="974" spans="1:15">
      <c r="A974" s="207"/>
      <c r="B974" s="207"/>
      <c r="N974" s="4"/>
      <c r="O974" s="256"/>
    </row>
    <row r="975" spans="1:15">
      <c r="A975" s="207"/>
      <c r="B975" s="207"/>
      <c r="N975" s="4"/>
      <c r="O975" s="256"/>
    </row>
    <row r="976" spans="1:15">
      <c r="A976" s="207"/>
      <c r="B976" s="207"/>
      <c r="N976" s="4"/>
      <c r="O976" s="256"/>
    </row>
    <row r="977" spans="1:15">
      <c r="A977" s="207"/>
      <c r="B977" s="207"/>
      <c r="N977" s="4"/>
      <c r="O977" s="256"/>
    </row>
    <row r="978" spans="1:15">
      <c r="A978" s="207"/>
      <c r="B978" s="207"/>
      <c r="N978" s="4"/>
      <c r="O978" s="256"/>
    </row>
    <row r="979" spans="1:15">
      <c r="A979" s="207"/>
      <c r="B979" s="207"/>
      <c r="N979" s="4"/>
      <c r="O979" s="256"/>
    </row>
    <row r="980" spans="1:15">
      <c r="A980" s="207"/>
      <c r="B980" s="207"/>
      <c r="N980" s="4"/>
      <c r="O980" s="256"/>
    </row>
    <row r="981" spans="1:15">
      <c r="A981" s="207"/>
      <c r="B981" s="207"/>
      <c r="N981" s="4"/>
      <c r="O981" s="256"/>
    </row>
    <row r="982" spans="1:15">
      <c r="A982" s="207"/>
      <c r="B982" s="207"/>
      <c r="N982" s="4"/>
      <c r="O982" s="256"/>
    </row>
    <row r="983" spans="1:15">
      <c r="A983" s="207"/>
      <c r="B983" s="207"/>
      <c r="N983" s="4"/>
      <c r="O983" s="256"/>
    </row>
    <row r="984" spans="1:15">
      <c r="A984" s="207"/>
      <c r="B984" s="207"/>
      <c r="N984" s="4"/>
      <c r="O984" s="256"/>
    </row>
    <row r="985" spans="1:15">
      <c r="A985" s="207"/>
      <c r="B985" s="207"/>
      <c r="N985" s="4"/>
      <c r="O985" s="256"/>
    </row>
    <row r="986" spans="1:15">
      <c r="A986" s="207"/>
      <c r="B986" s="207"/>
      <c r="N986" s="4"/>
      <c r="O986" s="256"/>
    </row>
    <row r="987" spans="1:15">
      <c r="A987" s="207"/>
      <c r="B987" s="207"/>
      <c r="N987" s="4"/>
      <c r="O987" s="256"/>
    </row>
    <row r="988" spans="1:15">
      <c r="A988" s="207"/>
      <c r="B988" s="207"/>
      <c r="N988" s="4"/>
      <c r="O988" s="256"/>
    </row>
    <row r="989" spans="1:15">
      <c r="A989" s="207"/>
      <c r="B989" s="207"/>
      <c r="N989" s="4"/>
      <c r="O989" s="256"/>
    </row>
    <row r="990" spans="1:15">
      <c r="A990" s="207"/>
      <c r="B990" s="207"/>
      <c r="N990" s="4"/>
      <c r="O990" s="256"/>
    </row>
    <row r="991" spans="1:15">
      <c r="A991" s="207"/>
      <c r="B991" s="207"/>
      <c r="N991" s="4"/>
      <c r="O991" s="256"/>
    </row>
    <row r="992" spans="1:15">
      <c r="A992" s="207"/>
      <c r="B992" s="207"/>
      <c r="N992" s="4"/>
      <c r="O992" s="256"/>
    </row>
    <row r="993" spans="1:15">
      <c r="A993" s="207"/>
      <c r="B993" s="207"/>
      <c r="N993" s="4"/>
      <c r="O993" s="256"/>
    </row>
    <row r="994" spans="1:15">
      <c r="A994" s="207"/>
      <c r="B994" s="207"/>
      <c r="N994" s="4"/>
      <c r="O994" s="256"/>
    </row>
    <row r="995" spans="1:15">
      <c r="A995" s="207"/>
      <c r="B995" s="207"/>
      <c r="N995" s="4"/>
      <c r="O995" s="256"/>
    </row>
    <row r="996" spans="1:15">
      <c r="A996" s="207"/>
      <c r="B996" s="207"/>
      <c r="N996" s="4"/>
      <c r="O996" s="256"/>
    </row>
    <row r="997" spans="1:15">
      <c r="A997" s="207"/>
      <c r="B997" s="207"/>
      <c r="N997" s="4"/>
      <c r="O997" s="256"/>
    </row>
    <row r="998" spans="1:15">
      <c r="A998" s="207"/>
      <c r="B998" s="207"/>
      <c r="N998" s="4"/>
      <c r="O998" s="256"/>
    </row>
    <row r="999" spans="1:15">
      <c r="A999" s="207"/>
      <c r="B999" s="207"/>
      <c r="N999" s="4"/>
      <c r="O999" s="256"/>
    </row>
    <row r="1000" spans="1:15">
      <c r="A1000" s="207"/>
      <c r="B1000" s="207"/>
      <c r="N1000" s="4"/>
      <c r="O1000" s="256"/>
    </row>
    <row r="1001" spans="1:15">
      <c r="A1001" s="207"/>
      <c r="B1001" s="207"/>
      <c r="N1001" s="4"/>
      <c r="O1001" s="256"/>
    </row>
    <row r="1002" spans="1:15">
      <c r="A1002" s="207"/>
      <c r="B1002" s="207"/>
      <c r="N1002" s="4"/>
      <c r="O1002" s="256"/>
    </row>
    <row r="1003" spans="1:15">
      <c r="A1003" s="207"/>
      <c r="B1003" s="207"/>
      <c r="N1003" s="4"/>
      <c r="O1003" s="256"/>
    </row>
    <row r="1004" spans="1:15">
      <c r="A1004" s="207"/>
      <c r="B1004" s="207"/>
      <c r="N1004" s="4"/>
      <c r="O1004" s="256"/>
    </row>
    <row r="1005" spans="1:15">
      <c r="A1005" s="207"/>
      <c r="B1005" s="207"/>
      <c r="N1005" s="4"/>
      <c r="O1005" s="256"/>
    </row>
    <row r="1006" spans="1:15">
      <c r="A1006" s="207"/>
      <c r="B1006" s="207"/>
      <c r="N1006" s="4"/>
      <c r="O1006" s="256"/>
    </row>
    <row r="1007" spans="1:15">
      <c r="A1007" s="207"/>
      <c r="B1007" s="207"/>
      <c r="N1007" s="4"/>
      <c r="O1007" s="256"/>
    </row>
    <row r="1008" spans="1:15">
      <c r="A1008" s="207"/>
      <c r="B1008" s="207"/>
      <c r="N1008" s="4"/>
      <c r="O1008" s="256"/>
    </row>
    <row r="1009" spans="1:15">
      <c r="A1009" s="207"/>
      <c r="B1009" s="207"/>
      <c r="N1009" s="4"/>
      <c r="O1009" s="256"/>
    </row>
    <row r="1010" spans="1:15">
      <c r="A1010" s="207"/>
      <c r="B1010" s="207"/>
      <c r="N1010" s="4"/>
      <c r="O1010" s="256"/>
    </row>
    <row r="1011" spans="1:15">
      <c r="A1011" s="207"/>
      <c r="B1011" s="207"/>
      <c r="N1011" s="4"/>
      <c r="O1011" s="256"/>
    </row>
    <row r="1012" spans="1:15">
      <c r="A1012" s="207"/>
      <c r="B1012" s="207"/>
      <c r="N1012" s="4"/>
      <c r="O1012" s="256"/>
    </row>
    <row r="1013" spans="1:15">
      <c r="A1013" s="207"/>
      <c r="B1013" s="207"/>
      <c r="N1013" s="4"/>
      <c r="O1013" s="256"/>
    </row>
    <row r="1014" spans="1:15">
      <c r="A1014" s="207"/>
      <c r="B1014" s="207"/>
      <c r="N1014" s="4"/>
      <c r="O1014" s="256"/>
    </row>
    <row r="1015" spans="1:15">
      <c r="A1015" s="207"/>
      <c r="B1015" s="207"/>
      <c r="N1015" s="4"/>
      <c r="O1015" s="256"/>
    </row>
    <row r="1016" spans="1:15">
      <c r="A1016" s="207"/>
      <c r="B1016" s="207"/>
      <c r="N1016" s="4"/>
      <c r="O1016" s="256"/>
    </row>
    <row r="1017" spans="1:15">
      <c r="A1017" s="207"/>
      <c r="B1017" s="207"/>
      <c r="N1017" s="4"/>
      <c r="O1017" s="256"/>
    </row>
    <row r="1018" spans="1:15">
      <c r="A1018" s="207"/>
      <c r="B1018" s="207"/>
      <c r="N1018" s="4"/>
      <c r="O1018" s="256"/>
    </row>
    <row r="1019" spans="1:15">
      <c r="A1019" s="207"/>
      <c r="B1019" s="207"/>
      <c r="N1019" s="4"/>
      <c r="O1019" s="256"/>
    </row>
    <row r="1020" spans="1:15">
      <c r="A1020" s="207"/>
      <c r="B1020" s="207"/>
      <c r="N1020" s="4"/>
      <c r="O1020" s="256"/>
    </row>
    <row r="1021" spans="1:15">
      <c r="A1021" s="207"/>
      <c r="B1021" s="207"/>
      <c r="N1021" s="4"/>
      <c r="O1021" s="256"/>
    </row>
    <row r="1022" spans="1:15">
      <c r="A1022" s="207"/>
      <c r="B1022" s="207"/>
      <c r="N1022" s="4"/>
      <c r="O1022" s="256"/>
    </row>
    <row r="1023" spans="1:15">
      <c r="A1023" s="207"/>
      <c r="B1023" s="207"/>
      <c r="N1023" s="4"/>
      <c r="O1023" s="256"/>
    </row>
    <row r="1024" spans="1:15">
      <c r="A1024" s="207"/>
      <c r="B1024" s="207"/>
      <c r="N1024" s="4"/>
      <c r="O1024" s="256"/>
    </row>
    <row r="1025" spans="1:15">
      <c r="A1025" s="207"/>
      <c r="B1025" s="207"/>
      <c r="N1025" s="4"/>
      <c r="O1025" s="256"/>
    </row>
    <row r="1026" spans="1:15">
      <c r="A1026" s="207"/>
      <c r="B1026" s="207"/>
      <c r="N1026" s="4"/>
      <c r="O1026" s="256"/>
    </row>
    <row r="1027" spans="1:15">
      <c r="A1027" s="207"/>
      <c r="B1027" s="207"/>
      <c r="N1027" s="4"/>
      <c r="O1027" s="256"/>
    </row>
    <row r="1028" spans="1:15">
      <c r="A1028" s="207"/>
      <c r="B1028" s="207"/>
      <c r="N1028" s="4"/>
      <c r="O1028" s="256"/>
    </row>
    <row r="1029" spans="1:15">
      <c r="A1029" s="207"/>
      <c r="B1029" s="207"/>
      <c r="N1029" s="4"/>
      <c r="O1029" s="256"/>
    </row>
    <row r="1030" spans="1:15">
      <c r="A1030" s="207"/>
      <c r="B1030" s="207"/>
      <c r="N1030" s="4"/>
      <c r="O1030" s="256"/>
    </row>
    <row r="1031" spans="1:15">
      <c r="A1031" s="207"/>
      <c r="B1031" s="207"/>
      <c r="N1031" s="4"/>
      <c r="O1031" s="256"/>
    </row>
    <row r="1032" spans="1:15">
      <c r="A1032" s="207"/>
      <c r="B1032" s="207"/>
      <c r="N1032" s="4"/>
      <c r="O1032" s="256"/>
    </row>
    <row r="1033" spans="1:15">
      <c r="A1033" s="207"/>
      <c r="B1033" s="207"/>
      <c r="N1033" s="4"/>
      <c r="O1033" s="256"/>
    </row>
    <row r="1034" spans="1:15">
      <c r="A1034" s="207"/>
      <c r="B1034" s="207"/>
      <c r="N1034" s="4"/>
      <c r="O1034" s="256"/>
    </row>
    <row r="1035" spans="1:15">
      <c r="A1035" s="207"/>
      <c r="B1035" s="207"/>
      <c r="N1035" s="4"/>
      <c r="O1035" s="256"/>
    </row>
    <row r="1036" spans="1:15">
      <c r="A1036" s="207"/>
      <c r="B1036" s="207"/>
      <c r="N1036" s="4"/>
      <c r="O1036" s="256"/>
    </row>
    <row r="1037" spans="1:15">
      <c r="A1037" s="207"/>
      <c r="B1037" s="207"/>
      <c r="N1037" s="4"/>
      <c r="O1037" s="256"/>
    </row>
    <row r="1038" spans="1:15">
      <c r="A1038" s="207"/>
      <c r="B1038" s="207"/>
      <c r="N1038" s="4"/>
      <c r="O1038" s="256"/>
    </row>
    <row r="1039" spans="1:15">
      <c r="A1039" s="207"/>
      <c r="B1039" s="207"/>
      <c r="N1039" s="4"/>
      <c r="O1039" s="256"/>
    </row>
    <row r="1040" spans="1:15">
      <c r="A1040" s="207"/>
      <c r="B1040" s="207"/>
      <c r="N1040" s="4"/>
      <c r="O1040" s="256"/>
    </row>
    <row r="1041" spans="1:15">
      <c r="A1041" s="207"/>
      <c r="B1041" s="207"/>
      <c r="N1041" s="4"/>
      <c r="O1041" s="256"/>
    </row>
    <row r="1042" spans="1:15">
      <c r="A1042" s="207"/>
      <c r="B1042" s="207"/>
      <c r="N1042" s="4"/>
      <c r="O1042" s="256"/>
    </row>
    <row r="1043" spans="1:15">
      <c r="A1043" s="207"/>
      <c r="B1043" s="207"/>
      <c r="N1043" s="4"/>
      <c r="O1043" s="256"/>
    </row>
    <row r="1044" spans="1:15">
      <c r="A1044" s="207"/>
      <c r="B1044" s="207"/>
      <c r="N1044" s="4"/>
      <c r="O1044" s="256"/>
    </row>
    <row r="1045" spans="1:15">
      <c r="A1045" s="207"/>
      <c r="B1045" s="207"/>
      <c r="N1045" s="4"/>
      <c r="O1045" s="256"/>
    </row>
    <row r="1046" spans="1:15">
      <c r="A1046" s="207"/>
      <c r="B1046" s="207"/>
      <c r="N1046" s="4"/>
      <c r="O1046" s="256"/>
    </row>
    <row r="1047" spans="1:15">
      <c r="A1047" s="207"/>
      <c r="B1047" s="207"/>
      <c r="N1047" s="4"/>
      <c r="O1047" s="256"/>
    </row>
    <row r="1048" spans="1:15">
      <c r="A1048" s="207"/>
      <c r="B1048" s="207"/>
      <c r="N1048" s="4"/>
      <c r="O1048" s="256"/>
    </row>
    <row r="1049" spans="1:15">
      <c r="A1049" s="207"/>
      <c r="B1049" s="207"/>
      <c r="N1049" s="4"/>
      <c r="O1049" s="256"/>
    </row>
    <row r="1050" spans="1:15">
      <c r="A1050" s="207"/>
      <c r="B1050" s="207"/>
      <c r="N1050" s="4"/>
      <c r="O1050" s="256"/>
    </row>
    <row r="1051" spans="1:15">
      <c r="A1051" s="207"/>
      <c r="B1051" s="207"/>
      <c r="N1051" s="4"/>
      <c r="O1051" s="256"/>
    </row>
    <row r="1052" spans="1:15">
      <c r="A1052" s="207"/>
      <c r="B1052" s="207"/>
      <c r="N1052" s="4"/>
      <c r="O1052" s="256"/>
    </row>
    <row r="1053" spans="1:15">
      <c r="A1053" s="207"/>
      <c r="B1053" s="207"/>
      <c r="N1053" s="4"/>
      <c r="O1053" s="256"/>
    </row>
    <row r="1054" spans="1:15">
      <c r="A1054" s="207"/>
      <c r="B1054" s="207"/>
      <c r="N1054" s="4"/>
      <c r="O1054" s="256"/>
    </row>
    <row r="1055" spans="1:15">
      <c r="A1055" s="207"/>
      <c r="B1055" s="207"/>
      <c r="N1055" s="4"/>
      <c r="O1055" s="256"/>
    </row>
    <row r="1056" spans="1:15">
      <c r="A1056" s="207"/>
      <c r="B1056" s="207"/>
      <c r="N1056" s="4"/>
      <c r="O1056" s="256"/>
    </row>
    <row r="1057" spans="1:15">
      <c r="A1057" s="207"/>
      <c r="B1057" s="207"/>
      <c r="N1057" s="4"/>
      <c r="O1057" s="256"/>
    </row>
    <row r="1058" spans="1:15">
      <c r="A1058" s="207"/>
      <c r="B1058" s="207"/>
      <c r="N1058" s="4"/>
      <c r="O1058" s="256"/>
    </row>
    <row r="1059" spans="1:15">
      <c r="A1059" s="207"/>
      <c r="B1059" s="207"/>
      <c r="N1059" s="4"/>
      <c r="O1059" s="256"/>
    </row>
    <row r="1060" spans="1:15">
      <c r="A1060" s="207"/>
      <c r="B1060" s="207"/>
      <c r="N1060" s="4"/>
      <c r="O1060" s="256"/>
    </row>
    <row r="1061" spans="1:15">
      <c r="A1061" s="207"/>
      <c r="B1061" s="207"/>
      <c r="N1061" s="4"/>
      <c r="O1061" s="256"/>
    </row>
    <row r="1062" spans="1:15">
      <c r="A1062" s="207"/>
      <c r="B1062" s="207"/>
      <c r="N1062" s="4"/>
      <c r="O1062" s="256"/>
    </row>
    <row r="1063" spans="1:15">
      <c r="A1063" s="207"/>
      <c r="B1063" s="207"/>
      <c r="N1063" s="4"/>
      <c r="O1063" s="256"/>
    </row>
    <row r="1064" spans="1:15">
      <c r="A1064" s="207"/>
      <c r="B1064" s="207"/>
      <c r="N1064" s="4"/>
      <c r="O1064" s="256"/>
    </row>
    <row r="1065" spans="1:15">
      <c r="A1065" s="207"/>
      <c r="B1065" s="207"/>
      <c r="N1065" s="4"/>
      <c r="O1065" s="256"/>
    </row>
    <row r="1066" spans="1:15">
      <c r="A1066" s="207"/>
      <c r="B1066" s="207"/>
      <c r="N1066" s="4"/>
      <c r="O1066" s="256"/>
    </row>
    <row r="1067" spans="1:15">
      <c r="A1067" s="207"/>
      <c r="B1067" s="207"/>
      <c r="N1067" s="4"/>
      <c r="O1067" s="256"/>
    </row>
    <row r="1068" spans="1:15">
      <c r="A1068" s="207"/>
      <c r="B1068" s="207"/>
      <c r="N1068" s="4"/>
      <c r="O1068" s="256"/>
    </row>
    <row r="1069" spans="1:15">
      <c r="A1069" s="207"/>
      <c r="B1069" s="207"/>
      <c r="N1069" s="4"/>
      <c r="O1069" s="256"/>
    </row>
    <row r="1070" spans="1:15">
      <c r="A1070" s="207"/>
      <c r="B1070" s="207"/>
      <c r="N1070" s="4"/>
      <c r="O1070" s="256"/>
    </row>
    <row r="1071" spans="1:15">
      <c r="A1071" s="207"/>
      <c r="B1071" s="207"/>
      <c r="N1071" s="4"/>
      <c r="O1071" s="256"/>
    </row>
    <row r="1072" spans="1:15">
      <c r="A1072" s="207"/>
      <c r="B1072" s="207"/>
      <c r="N1072" s="4"/>
      <c r="O1072" s="256"/>
    </row>
    <row r="1073" spans="1:15">
      <c r="A1073" s="207"/>
      <c r="B1073" s="207"/>
      <c r="N1073" s="4"/>
      <c r="O1073" s="256"/>
    </row>
    <row r="1074" spans="1:15">
      <c r="A1074" s="207"/>
      <c r="B1074" s="207"/>
      <c r="N1074" s="4"/>
      <c r="O1074" s="256"/>
    </row>
    <row r="1075" spans="1:15">
      <c r="A1075" s="207"/>
      <c r="B1075" s="207"/>
      <c r="N1075" s="4"/>
      <c r="O1075" s="256"/>
    </row>
    <row r="1076" spans="1:15">
      <c r="A1076" s="207"/>
      <c r="B1076" s="207"/>
      <c r="N1076" s="4"/>
      <c r="O1076" s="256"/>
    </row>
    <row r="1077" spans="1:15">
      <c r="A1077" s="207"/>
      <c r="B1077" s="207"/>
      <c r="N1077" s="4"/>
      <c r="O1077" s="256"/>
    </row>
    <row r="1078" spans="1:15">
      <c r="A1078" s="207"/>
      <c r="B1078" s="207"/>
      <c r="N1078" s="4"/>
      <c r="O1078" s="256"/>
    </row>
    <row r="1079" spans="1:15">
      <c r="A1079" s="207"/>
      <c r="B1079" s="207"/>
      <c r="N1079" s="4"/>
      <c r="O1079" s="256"/>
    </row>
    <row r="1080" spans="1:15">
      <c r="A1080" s="207"/>
      <c r="B1080" s="207"/>
      <c r="N1080" s="4"/>
      <c r="O1080" s="256"/>
    </row>
    <row r="1081" spans="1:15">
      <c r="A1081" s="207"/>
      <c r="B1081" s="207"/>
      <c r="N1081" s="4"/>
      <c r="O1081" s="256"/>
    </row>
    <row r="1082" spans="1:15">
      <c r="A1082" s="207"/>
      <c r="B1082" s="207"/>
      <c r="N1082" s="4"/>
      <c r="O1082" s="256"/>
    </row>
    <row r="1083" spans="1:15">
      <c r="A1083" s="207"/>
      <c r="B1083" s="207"/>
      <c r="N1083" s="4"/>
      <c r="O1083" s="256"/>
    </row>
    <row r="1084" spans="1:15">
      <c r="A1084" s="207"/>
      <c r="B1084" s="207"/>
      <c r="N1084" s="4"/>
      <c r="O1084" s="256"/>
    </row>
    <row r="1085" spans="1:15">
      <c r="A1085" s="207"/>
      <c r="B1085" s="207"/>
      <c r="N1085" s="4"/>
      <c r="O1085" s="256"/>
    </row>
    <row r="1086" spans="1:15">
      <c r="A1086" s="207"/>
      <c r="B1086" s="207"/>
      <c r="N1086" s="4"/>
      <c r="O1086" s="256"/>
    </row>
    <row r="1087" spans="1:15">
      <c r="A1087" s="207"/>
      <c r="B1087" s="207"/>
      <c r="N1087" s="4"/>
      <c r="O1087" s="256"/>
    </row>
    <row r="1088" spans="1:15">
      <c r="A1088" s="207"/>
      <c r="B1088" s="207"/>
      <c r="N1088" s="4"/>
      <c r="O1088" s="256"/>
    </row>
    <row r="1089" spans="1:15">
      <c r="A1089" s="207"/>
      <c r="B1089" s="207"/>
      <c r="N1089" s="4"/>
      <c r="O1089" s="256"/>
    </row>
    <row r="1090" spans="1:15">
      <c r="A1090" s="207"/>
      <c r="B1090" s="207"/>
      <c r="N1090" s="4"/>
      <c r="O1090" s="256"/>
    </row>
    <row r="1091" spans="1:15">
      <c r="A1091" s="207"/>
      <c r="B1091" s="207"/>
      <c r="N1091" s="4"/>
      <c r="O1091" s="256"/>
    </row>
    <row r="1092" spans="1:15">
      <c r="A1092" s="207"/>
      <c r="B1092" s="207"/>
      <c r="N1092" s="4"/>
      <c r="O1092" s="256"/>
    </row>
    <row r="1093" spans="1:15">
      <c r="A1093" s="207"/>
      <c r="B1093" s="207"/>
      <c r="N1093" s="4"/>
      <c r="O1093" s="256"/>
    </row>
    <row r="1094" spans="1:15">
      <c r="A1094" s="207"/>
      <c r="B1094" s="207"/>
      <c r="N1094" s="4"/>
      <c r="O1094" s="256"/>
    </row>
    <row r="1095" spans="1:15">
      <c r="A1095" s="207"/>
      <c r="B1095" s="207"/>
      <c r="N1095" s="4"/>
      <c r="O1095" s="256"/>
    </row>
    <row r="1096" spans="1:15">
      <c r="A1096" s="207"/>
      <c r="B1096" s="207"/>
      <c r="N1096" s="4"/>
      <c r="O1096" s="256"/>
    </row>
    <row r="1097" spans="1:15">
      <c r="A1097" s="207"/>
      <c r="B1097" s="207"/>
      <c r="N1097" s="4"/>
      <c r="O1097" s="256"/>
    </row>
    <row r="1098" spans="1:15">
      <c r="A1098" s="207"/>
      <c r="B1098" s="207"/>
      <c r="N1098" s="4"/>
      <c r="O1098" s="256"/>
    </row>
    <row r="1099" spans="1:15">
      <c r="A1099" s="207"/>
      <c r="B1099" s="207"/>
      <c r="N1099" s="4"/>
      <c r="O1099" s="256"/>
    </row>
    <row r="1100" spans="1:15">
      <c r="A1100" s="207"/>
      <c r="B1100" s="207"/>
      <c r="N1100" s="4"/>
      <c r="O1100" s="256"/>
    </row>
    <row r="1101" spans="1:15">
      <c r="A1101" s="207"/>
      <c r="B1101" s="207"/>
      <c r="N1101" s="4"/>
      <c r="O1101" s="256"/>
    </row>
    <row r="1102" spans="1:15">
      <c r="A1102" s="207"/>
      <c r="B1102" s="207"/>
      <c r="N1102" s="4"/>
      <c r="O1102" s="256"/>
    </row>
    <row r="1103" spans="1:15">
      <c r="A1103" s="207"/>
      <c r="B1103" s="207"/>
      <c r="N1103" s="4"/>
      <c r="O1103" s="256"/>
    </row>
    <row r="1104" spans="1:15">
      <c r="A1104" s="207"/>
      <c r="B1104" s="207"/>
      <c r="N1104" s="4"/>
      <c r="O1104" s="256"/>
    </row>
    <row r="1105" spans="1:15">
      <c r="A1105" s="207"/>
      <c r="B1105" s="207"/>
      <c r="N1105" s="4"/>
      <c r="O1105" s="256"/>
    </row>
    <row r="1106" spans="1:15">
      <c r="A1106" s="207"/>
      <c r="B1106" s="207"/>
      <c r="N1106" s="4"/>
      <c r="O1106" s="256"/>
    </row>
    <row r="1107" spans="1:15">
      <c r="A1107" s="207"/>
      <c r="B1107" s="207"/>
      <c r="N1107" s="4"/>
      <c r="O1107" s="256"/>
    </row>
    <row r="1108" spans="1:15">
      <c r="A1108" s="207"/>
      <c r="B1108" s="207"/>
      <c r="N1108" s="4"/>
      <c r="O1108" s="256"/>
    </row>
    <row r="1109" spans="1:15">
      <c r="A1109" s="207"/>
      <c r="B1109" s="207"/>
      <c r="N1109" s="4"/>
      <c r="O1109" s="256"/>
    </row>
    <row r="1110" spans="1:15">
      <c r="A1110" s="207"/>
      <c r="B1110" s="207"/>
      <c r="N1110" s="4"/>
      <c r="O1110" s="256"/>
    </row>
    <row r="1111" spans="1:15">
      <c r="A1111" s="207"/>
      <c r="B1111" s="207"/>
      <c r="N1111" s="4"/>
      <c r="O1111" s="256"/>
    </row>
    <row r="1112" spans="1:15">
      <c r="A1112" s="207"/>
      <c r="B1112" s="207"/>
      <c r="N1112" s="4"/>
      <c r="O1112" s="256"/>
    </row>
    <row r="1113" spans="1:15">
      <c r="A1113" s="207"/>
      <c r="B1113" s="207"/>
      <c r="N1113" s="4"/>
      <c r="O1113" s="256"/>
    </row>
    <row r="1114" spans="1:15">
      <c r="A1114" s="207"/>
      <c r="B1114" s="207"/>
      <c r="N1114" s="4"/>
      <c r="O1114" s="256"/>
    </row>
    <row r="1115" spans="1:15">
      <c r="A1115" s="207"/>
      <c r="B1115" s="207"/>
      <c r="N1115" s="4"/>
      <c r="O1115" s="256"/>
    </row>
    <row r="1116" spans="1:15">
      <c r="A1116" s="207"/>
      <c r="B1116" s="207"/>
      <c r="N1116" s="4"/>
      <c r="O1116" s="256"/>
    </row>
    <row r="1117" spans="1:15">
      <c r="A1117" s="207"/>
      <c r="B1117" s="207"/>
      <c r="N1117" s="4"/>
      <c r="O1117" s="256"/>
    </row>
    <row r="1118" spans="1:15">
      <c r="A1118" s="207"/>
      <c r="B1118" s="207"/>
      <c r="N1118" s="4"/>
      <c r="O1118" s="256"/>
    </row>
    <row r="1119" spans="1:15">
      <c r="A1119" s="207"/>
      <c r="B1119" s="207"/>
      <c r="N1119" s="4"/>
      <c r="O1119" s="256"/>
    </row>
    <row r="1120" spans="1:15">
      <c r="A1120" s="207"/>
      <c r="B1120" s="207"/>
      <c r="N1120" s="4"/>
      <c r="O1120" s="256"/>
    </row>
    <row r="1121" spans="1:15">
      <c r="A1121" s="207"/>
      <c r="B1121" s="207"/>
      <c r="N1121" s="4"/>
      <c r="O1121" s="256"/>
    </row>
    <row r="1122" spans="1:15">
      <c r="A1122" s="207"/>
      <c r="B1122" s="207"/>
      <c r="N1122" s="4"/>
      <c r="O1122" s="256"/>
    </row>
    <row r="1123" spans="1:15">
      <c r="A1123" s="207"/>
      <c r="B1123" s="207"/>
      <c r="N1123" s="4"/>
      <c r="O1123" s="256"/>
    </row>
    <row r="1124" spans="1:15">
      <c r="A1124" s="207"/>
      <c r="B1124" s="207"/>
      <c r="N1124" s="4"/>
      <c r="O1124" s="256"/>
    </row>
    <row r="1125" spans="1:15">
      <c r="A1125" s="207"/>
      <c r="B1125" s="207"/>
      <c r="N1125" s="4"/>
      <c r="O1125" s="256"/>
    </row>
    <row r="1126" spans="1:15">
      <c r="A1126" s="207"/>
      <c r="B1126" s="207"/>
      <c r="N1126" s="4"/>
      <c r="O1126" s="256"/>
    </row>
    <row r="1127" spans="1:15">
      <c r="A1127" s="207"/>
      <c r="B1127" s="207"/>
      <c r="N1127" s="4"/>
      <c r="O1127" s="256"/>
    </row>
    <row r="1128" spans="1:15">
      <c r="A1128" s="207"/>
      <c r="B1128" s="207"/>
      <c r="N1128" s="4"/>
      <c r="O1128" s="256"/>
    </row>
    <row r="1129" spans="1:15">
      <c r="A1129" s="207"/>
      <c r="B1129" s="207"/>
      <c r="N1129" s="4"/>
      <c r="O1129" s="256"/>
    </row>
    <row r="1130" spans="1:15">
      <c r="A1130" s="207"/>
      <c r="B1130" s="207"/>
      <c r="N1130" s="4"/>
      <c r="O1130" s="256"/>
    </row>
    <row r="1131" spans="1:15">
      <c r="A1131" s="207"/>
      <c r="B1131" s="207"/>
      <c r="N1131" s="4"/>
      <c r="O1131" s="256"/>
    </row>
    <row r="1132" spans="1:15">
      <c r="A1132" s="207"/>
      <c r="B1132" s="207"/>
      <c r="N1132" s="4"/>
      <c r="O1132" s="256"/>
    </row>
    <row r="1133" spans="1:15">
      <c r="A1133" s="207"/>
      <c r="B1133" s="207"/>
      <c r="N1133" s="4"/>
      <c r="O1133" s="256"/>
    </row>
    <row r="1134" spans="1:15">
      <c r="A1134" s="207"/>
      <c r="B1134" s="207"/>
      <c r="N1134" s="4"/>
      <c r="O1134" s="256"/>
    </row>
    <row r="1135" spans="1:15">
      <c r="A1135" s="207"/>
      <c r="B1135" s="207"/>
      <c r="N1135" s="4"/>
      <c r="O1135" s="256"/>
    </row>
    <row r="1136" spans="1:15">
      <c r="A1136" s="207"/>
      <c r="B1136" s="207"/>
      <c r="N1136" s="4"/>
      <c r="O1136" s="256"/>
    </row>
    <row r="1137" spans="1:15">
      <c r="A1137" s="207"/>
      <c r="B1137" s="207"/>
      <c r="N1137" s="4"/>
      <c r="O1137" s="256"/>
    </row>
    <row r="1138" spans="1:15">
      <c r="A1138" s="207"/>
      <c r="B1138" s="207"/>
      <c r="N1138" s="4"/>
      <c r="O1138" s="256"/>
    </row>
    <row r="1139" spans="1:15">
      <c r="A1139" s="207"/>
      <c r="B1139" s="207"/>
      <c r="N1139" s="4"/>
      <c r="O1139" s="256"/>
    </row>
    <row r="1140" spans="1:15">
      <c r="A1140" s="207"/>
      <c r="B1140" s="207"/>
      <c r="N1140" s="4"/>
      <c r="O1140" s="256"/>
    </row>
    <row r="1141" spans="1:15">
      <c r="A1141" s="207"/>
      <c r="B1141" s="207"/>
      <c r="N1141" s="4"/>
      <c r="O1141" s="256"/>
    </row>
    <row r="1142" spans="1:15">
      <c r="A1142" s="207"/>
      <c r="B1142" s="207"/>
      <c r="N1142" s="4"/>
      <c r="O1142" s="256"/>
    </row>
    <row r="1143" spans="1:15">
      <c r="A1143" s="207"/>
      <c r="B1143" s="207"/>
      <c r="N1143" s="4"/>
      <c r="O1143" s="256"/>
    </row>
    <row r="1144" spans="1:15">
      <c r="A1144" s="207"/>
      <c r="B1144" s="207"/>
      <c r="N1144" s="4"/>
      <c r="O1144" s="256"/>
    </row>
    <row r="1145" spans="1:15">
      <c r="A1145" s="207"/>
      <c r="B1145" s="207"/>
      <c r="N1145" s="4"/>
      <c r="O1145" s="256"/>
    </row>
    <row r="1146" spans="1:15">
      <c r="A1146" s="207"/>
      <c r="B1146" s="207"/>
      <c r="N1146" s="4"/>
      <c r="O1146" s="256"/>
    </row>
    <row r="1147" spans="1:15">
      <c r="A1147" s="207"/>
      <c r="B1147" s="207"/>
      <c r="N1147" s="4"/>
      <c r="O1147" s="256"/>
    </row>
    <row r="1148" spans="1:15">
      <c r="A1148" s="207"/>
      <c r="B1148" s="207"/>
      <c r="N1148" s="4"/>
      <c r="O1148" s="256"/>
    </row>
    <row r="1149" spans="1:15">
      <c r="A1149" s="207"/>
      <c r="B1149" s="207"/>
      <c r="N1149" s="4"/>
      <c r="O1149" s="256"/>
    </row>
    <row r="1150" spans="1:15">
      <c r="A1150" s="207"/>
      <c r="B1150" s="207"/>
      <c r="N1150" s="4"/>
      <c r="O1150" s="256"/>
    </row>
    <row r="1151" spans="1:15">
      <c r="A1151" s="207"/>
      <c r="B1151" s="207"/>
      <c r="N1151" s="4"/>
      <c r="O1151" s="256"/>
    </row>
    <row r="1152" spans="1:15">
      <c r="A1152" s="207"/>
      <c r="B1152" s="207"/>
      <c r="N1152" s="4"/>
      <c r="O1152" s="256"/>
    </row>
    <row r="1153" spans="1:15">
      <c r="A1153" s="207"/>
      <c r="B1153" s="207"/>
      <c r="N1153" s="4"/>
      <c r="O1153" s="256"/>
    </row>
    <row r="1154" spans="1:15">
      <c r="A1154" s="207"/>
      <c r="B1154" s="207"/>
      <c r="N1154" s="4"/>
      <c r="O1154" s="256"/>
    </row>
    <row r="1155" spans="1:15">
      <c r="A1155" s="207"/>
      <c r="B1155" s="207"/>
      <c r="N1155" s="4"/>
      <c r="O1155" s="256"/>
    </row>
    <row r="1156" spans="1:15">
      <c r="A1156" s="207"/>
      <c r="B1156" s="207"/>
      <c r="N1156" s="4"/>
      <c r="O1156" s="256"/>
    </row>
    <row r="1157" spans="1:15">
      <c r="A1157" s="207"/>
      <c r="B1157" s="207"/>
      <c r="N1157" s="4"/>
      <c r="O1157" s="256"/>
    </row>
    <row r="1158" spans="1:15">
      <c r="A1158" s="207"/>
      <c r="B1158" s="207"/>
      <c r="N1158" s="4"/>
      <c r="O1158" s="256"/>
    </row>
    <row r="1159" spans="1:15">
      <c r="A1159" s="207"/>
      <c r="B1159" s="207"/>
      <c r="N1159" s="4"/>
      <c r="O1159" s="256"/>
    </row>
    <row r="1160" spans="1:15">
      <c r="A1160" s="207"/>
      <c r="B1160" s="207"/>
      <c r="N1160" s="4"/>
      <c r="O1160" s="256"/>
    </row>
    <row r="1161" spans="1:15">
      <c r="A1161" s="207"/>
      <c r="B1161" s="207"/>
      <c r="N1161" s="4"/>
      <c r="O1161" s="256"/>
    </row>
    <row r="1162" spans="1:15">
      <c r="A1162" s="207"/>
      <c r="B1162" s="207"/>
      <c r="N1162" s="4"/>
      <c r="O1162" s="256"/>
    </row>
    <row r="1163" spans="1:15">
      <c r="A1163" s="207"/>
      <c r="B1163" s="207"/>
      <c r="N1163" s="4"/>
      <c r="O1163" s="256"/>
    </row>
    <row r="1164" spans="1:15">
      <c r="A1164" s="207"/>
      <c r="B1164" s="207"/>
      <c r="N1164" s="4"/>
      <c r="O1164" s="256"/>
    </row>
    <row r="1165" spans="1:15">
      <c r="A1165" s="207"/>
      <c r="B1165" s="207"/>
      <c r="N1165" s="4"/>
      <c r="O1165" s="256"/>
    </row>
    <row r="1166" spans="1:15">
      <c r="A1166" s="207"/>
      <c r="B1166" s="207"/>
      <c r="N1166" s="4"/>
      <c r="O1166" s="256"/>
    </row>
    <row r="1167" spans="1:15">
      <c r="A1167" s="207"/>
      <c r="B1167" s="207"/>
      <c r="N1167" s="4"/>
      <c r="O1167" s="256"/>
    </row>
    <row r="1168" spans="1:15">
      <c r="A1168" s="207"/>
      <c r="B1168" s="207"/>
      <c r="N1168" s="4"/>
      <c r="O1168" s="256"/>
    </row>
    <row r="1169" spans="1:15">
      <c r="A1169" s="207"/>
      <c r="B1169" s="207"/>
      <c r="N1169" s="4"/>
      <c r="O1169" s="256"/>
    </row>
    <row r="1170" spans="1:15">
      <c r="A1170" s="207"/>
      <c r="B1170" s="207"/>
      <c r="N1170" s="4"/>
      <c r="O1170" s="256"/>
    </row>
    <row r="1171" spans="1:15">
      <c r="A1171" s="207"/>
      <c r="B1171" s="207"/>
      <c r="N1171" s="4"/>
      <c r="O1171" s="256"/>
    </row>
    <row r="1172" spans="1:15">
      <c r="A1172" s="207"/>
      <c r="B1172" s="207"/>
      <c r="N1172" s="4"/>
      <c r="O1172" s="256"/>
    </row>
    <row r="1173" spans="1:15">
      <c r="A1173" s="207"/>
      <c r="B1173" s="207"/>
      <c r="N1173" s="4"/>
      <c r="O1173" s="256"/>
    </row>
    <row r="1174" spans="1:15">
      <c r="A1174" s="207"/>
      <c r="B1174" s="207"/>
      <c r="N1174" s="4"/>
      <c r="O1174" s="256"/>
    </row>
    <row r="1175" spans="1:15">
      <c r="A1175" s="207"/>
      <c r="B1175" s="207"/>
      <c r="N1175" s="4"/>
      <c r="O1175" s="256"/>
    </row>
    <row r="1176" spans="1:15">
      <c r="A1176" s="207"/>
      <c r="B1176" s="207"/>
      <c r="N1176" s="4"/>
      <c r="O1176" s="256"/>
    </row>
    <row r="1177" spans="1:15">
      <c r="A1177" s="207"/>
      <c r="B1177" s="207"/>
      <c r="N1177" s="4"/>
      <c r="O1177" s="256"/>
    </row>
    <row r="1178" spans="1:15">
      <c r="A1178" s="207"/>
      <c r="B1178" s="207"/>
      <c r="N1178" s="4"/>
      <c r="O1178" s="256"/>
    </row>
    <row r="1179" spans="1:15">
      <c r="A1179" s="207"/>
      <c r="B1179" s="207"/>
      <c r="N1179" s="4"/>
      <c r="O1179" s="256"/>
    </row>
    <row r="1180" spans="1:15">
      <c r="A1180" s="207"/>
      <c r="B1180" s="207"/>
      <c r="N1180" s="4"/>
      <c r="O1180" s="256"/>
    </row>
    <row r="1181" spans="1:15">
      <c r="A1181" s="207"/>
      <c r="B1181" s="207"/>
      <c r="N1181" s="4"/>
      <c r="O1181" s="256"/>
    </row>
    <row r="1182" spans="1:15">
      <c r="A1182" s="207"/>
      <c r="B1182" s="207"/>
      <c r="N1182" s="4"/>
      <c r="O1182" s="256"/>
    </row>
    <row r="1183" spans="1:15">
      <c r="A1183" s="207"/>
      <c r="B1183" s="207"/>
      <c r="N1183" s="4"/>
      <c r="O1183" s="256"/>
    </row>
    <row r="1184" spans="1:15">
      <c r="A1184" s="207"/>
      <c r="B1184" s="207"/>
      <c r="N1184" s="4"/>
      <c r="O1184" s="256"/>
    </row>
    <row r="1185" spans="1:15">
      <c r="A1185" s="207"/>
      <c r="B1185" s="207"/>
      <c r="N1185" s="4"/>
      <c r="O1185" s="256"/>
    </row>
    <row r="1186" spans="1:15">
      <c r="A1186" s="207"/>
      <c r="B1186" s="207"/>
      <c r="N1186" s="4"/>
      <c r="O1186" s="256"/>
    </row>
    <row r="1187" spans="1:15">
      <c r="A1187" s="207"/>
      <c r="B1187" s="207"/>
      <c r="N1187" s="4"/>
      <c r="O1187" s="256"/>
    </row>
    <row r="1188" spans="1:15">
      <c r="A1188" s="207"/>
      <c r="B1188" s="207"/>
      <c r="N1188" s="4"/>
      <c r="O1188" s="256"/>
    </row>
    <row r="1189" spans="1:15">
      <c r="A1189" s="207"/>
      <c r="B1189" s="207"/>
      <c r="N1189" s="4"/>
      <c r="O1189" s="256"/>
    </row>
    <row r="1190" spans="1:15">
      <c r="A1190" s="207"/>
      <c r="B1190" s="207"/>
      <c r="N1190" s="4"/>
      <c r="O1190" s="256"/>
    </row>
    <row r="1191" spans="1:15">
      <c r="A1191" s="207"/>
      <c r="B1191" s="207"/>
      <c r="N1191" s="4"/>
      <c r="O1191" s="256"/>
    </row>
    <row r="1192" spans="1:15">
      <c r="A1192" s="207"/>
      <c r="B1192" s="207"/>
      <c r="N1192" s="4"/>
      <c r="O1192" s="256"/>
    </row>
    <row r="1193" spans="1:15">
      <c r="A1193" s="207"/>
      <c r="B1193" s="207"/>
      <c r="N1193" s="4"/>
      <c r="O1193" s="256"/>
    </row>
    <row r="1194" spans="1:15">
      <c r="A1194" s="207"/>
      <c r="B1194" s="207"/>
      <c r="N1194" s="4"/>
      <c r="O1194" s="256"/>
    </row>
    <row r="1195" spans="1:15">
      <c r="A1195" s="207"/>
      <c r="B1195" s="207"/>
      <c r="N1195" s="4"/>
      <c r="O1195" s="256"/>
    </row>
    <row r="1196" spans="1:15">
      <c r="A1196" s="207"/>
      <c r="B1196" s="207"/>
      <c r="N1196" s="4"/>
      <c r="O1196" s="256"/>
    </row>
    <row r="1197" spans="1:15">
      <c r="A1197" s="207"/>
      <c r="B1197" s="207"/>
      <c r="N1197" s="4"/>
      <c r="O1197" s="256"/>
    </row>
    <row r="1198" spans="1:15">
      <c r="A1198" s="207"/>
      <c r="B1198" s="207"/>
      <c r="N1198" s="4"/>
      <c r="O1198" s="256"/>
    </row>
    <row r="1199" spans="1:15">
      <c r="A1199" s="207"/>
      <c r="B1199" s="207"/>
      <c r="N1199" s="4"/>
      <c r="O1199" s="256"/>
    </row>
    <row r="1200" spans="1:15">
      <c r="A1200" s="207"/>
      <c r="B1200" s="207"/>
      <c r="N1200" s="4"/>
      <c r="O1200" s="256"/>
    </row>
    <row r="1201" spans="1:15">
      <c r="A1201" s="207"/>
      <c r="B1201" s="207"/>
      <c r="N1201" s="4"/>
      <c r="O1201" s="256"/>
    </row>
    <row r="1202" spans="1:15">
      <c r="A1202" s="207"/>
      <c r="B1202" s="207"/>
      <c r="N1202" s="4"/>
      <c r="O1202" s="256"/>
    </row>
    <row r="1203" spans="1:15">
      <c r="A1203" s="207"/>
      <c r="B1203" s="207"/>
      <c r="N1203" s="4"/>
      <c r="O1203" s="256"/>
    </row>
    <row r="1204" spans="1:15">
      <c r="A1204" s="207"/>
      <c r="B1204" s="207"/>
      <c r="N1204" s="4"/>
      <c r="O1204" s="256"/>
    </row>
    <row r="1205" spans="1:15">
      <c r="A1205" s="207"/>
      <c r="B1205" s="207"/>
      <c r="N1205" s="4"/>
      <c r="O1205" s="256"/>
    </row>
    <row r="1206" spans="1:15">
      <c r="A1206" s="207"/>
      <c r="B1206" s="207"/>
      <c r="N1206" s="4"/>
      <c r="O1206" s="256"/>
    </row>
    <row r="1207" spans="1:15">
      <c r="A1207" s="207"/>
      <c r="B1207" s="207"/>
      <c r="N1207" s="4"/>
      <c r="O1207" s="256"/>
    </row>
    <row r="1208" spans="1:15">
      <c r="A1208" s="207"/>
      <c r="B1208" s="207"/>
      <c r="N1208" s="4"/>
      <c r="O1208" s="256"/>
    </row>
    <row r="1209" spans="1:15">
      <c r="A1209" s="207"/>
      <c r="B1209" s="207"/>
      <c r="N1209" s="4"/>
      <c r="O1209" s="256"/>
    </row>
    <row r="1210" spans="1:15">
      <c r="A1210" s="207"/>
      <c r="B1210" s="207"/>
      <c r="N1210" s="4"/>
      <c r="O1210" s="256"/>
    </row>
    <row r="1211" spans="1:15">
      <c r="A1211" s="207"/>
      <c r="B1211" s="207"/>
      <c r="N1211" s="4"/>
      <c r="O1211" s="256"/>
    </row>
    <row r="1212" spans="1:15">
      <c r="A1212" s="207"/>
      <c r="B1212" s="207"/>
      <c r="N1212" s="4"/>
      <c r="O1212" s="256"/>
    </row>
    <row r="1213" spans="1:15">
      <c r="A1213" s="207"/>
      <c r="B1213" s="207"/>
      <c r="N1213" s="4"/>
      <c r="O1213" s="256"/>
    </row>
    <row r="1214" spans="1:15">
      <c r="A1214" s="207"/>
      <c r="B1214" s="207"/>
      <c r="N1214" s="4"/>
      <c r="O1214" s="256"/>
    </row>
    <row r="1215" spans="1:15">
      <c r="A1215" s="207"/>
      <c r="B1215" s="207"/>
      <c r="N1215" s="4"/>
      <c r="O1215" s="256"/>
    </row>
    <row r="1216" spans="1:15">
      <c r="A1216" s="207"/>
      <c r="B1216" s="207"/>
      <c r="N1216" s="4"/>
      <c r="O1216" s="256"/>
    </row>
    <row r="1217" spans="1:15">
      <c r="A1217" s="207"/>
      <c r="B1217" s="207"/>
      <c r="N1217" s="4"/>
      <c r="O1217" s="256"/>
    </row>
    <row r="1218" spans="1:15">
      <c r="A1218" s="207"/>
      <c r="B1218" s="207"/>
      <c r="N1218" s="4"/>
      <c r="O1218" s="256"/>
    </row>
    <row r="1219" spans="1:15">
      <c r="A1219" s="207"/>
      <c r="B1219" s="207"/>
      <c r="N1219" s="4"/>
      <c r="O1219" s="256"/>
    </row>
    <row r="1220" spans="1:15">
      <c r="A1220" s="207"/>
      <c r="B1220" s="207"/>
      <c r="N1220" s="4"/>
      <c r="O1220" s="256"/>
    </row>
    <row r="1221" spans="1:15">
      <c r="A1221" s="207"/>
      <c r="B1221" s="207"/>
      <c r="N1221" s="4"/>
      <c r="O1221" s="256"/>
    </row>
    <row r="1222" spans="1:15">
      <c r="A1222" s="207"/>
      <c r="B1222" s="207"/>
      <c r="N1222" s="4"/>
      <c r="O1222" s="256"/>
    </row>
    <row r="1223" spans="1:15">
      <c r="A1223" s="207"/>
      <c r="B1223" s="207"/>
      <c r="N1223" s="4"/>
      <c r="O1223" s="256"/>
    </row>
    <row r="1224" spans="1:15">
      <c r="A1224" s="207"/>
      <c r="B1224" s="207"/>
      <c r="N1224" s="4"/>
      <c r="O1224" s="256"/>
    </row>
    <row r="1225" spans="1:15">
      <c r="A1225" s="207"/>
      <c r="B1225" s="207"/>
      <c r="N1225" s="4"/>
      <c r="O1225" s="256"/>
    </row>
    <row r="1226" spans="1:15">
      <c r="A1226" s="207"/>
      <c r="B1226" s="207"/>
      <c r="N1226" s="4"/>
      <c r="O1226" s="256"/>
    </row>
    <row r="1227" spans="1:15">
      <c r="A1227" s="207"/>
      <c r="B1227" s="207"/>
      <c r="N1227" s="4"/>
      <c r="O1227" s="256"/>
    </row>
    <row r="1228" spans="1:15">
      <c r="A1228" s="207"/>
      <c r="B1228" s="207"/>
      <c r="N1228" s="4"/>
      <c r="O1228" s="256"/>
    </row>
    <row r="1229" spans="1:15">
      <c r="A1229" s="207"/>
      <c r="B1229" s="207"/>
      <c r="N1229" s="4"/>
      <c r="O1229" s="256"/>
    </row>
    <row r="1230" spans="1:15">
      <c r="A1230" s="207"/>
      <c r="B1230" s="207"/>
      <c r="N1230" s="4"/>
      <c r="O1230" s="256"/>
    </row>
    <row r="1231" spans="1:15">
      <c r="A1231" s="207"/>
      <c r="B1231" s="207"/>
      <c r="N1231" s="4"/>
      <c r="O1231" s="256"/>
    </row>
    <row r="1232" spans="1:15">
      <c r="A1232" s="207"/>
      <c r="B1232" s="207"/>
      <c r="N1232" s="4"/>
      <c r="O1232" s="256"/>
    </row>
    <row r="1233" spans="1:15">
      <c r="A1233" s="207"/>
      <c r="B1233" s="207"/>
      <c r="N1233" s="4"/>
      <c r="O1233" s="256"/>
    </row>
    <row r="1234" spans="1:15">
      <c r="A1234" s="207"/>
      <c r="B1234" s="207"/>
      <c r="N1234" s="4"/>
      <c r="O1234" s="256"/>
    </row>
    <row r="1235" spans="1:15">
      <c r="A1235" s="207"/>
      <c r="B1235" s="207"/>
      <c r="N1235" s="4"/>
      <c r="O1235" s="256"/>
    </row>
    <row r="1236" spans="1:15">
      <c r="A1236" s="207"/>
      <c r="B1236" s="207"/>
      <c r="N1236" s="4"/>
      <c r="O1236" s="256"/>
    </row>
    <row r="1237" spans="1:15">
      <c r="A1237" s="207"/>
      <c r="B1237" s="207"/>
      <c r="N1237" s="4"/>
      <c r="O1237" s="256"/>
    </row>
    <row r="1238" spans="1:15">
      <c r="A1238" s="207"/>
      <c r="B1238" s="207"/>
      <c r="N1238" s="4"/>
      <c r="O1238" s="256"/>
    </row>
    <row r="1239" spans="1:15">
      <c r="A1239" s="207"/>
      <c r="B1239" s="207"/>
      <c r="N1239" s="4"/>
      <c r="O1239" s="256"/>
    </row>
    <row r="1240" spans="1:15">
      <c r="A1240" s="207"/>
      <c r="B1240" s="207"/>
      <c r="N1240" s="4"/>
      <c r="O1240" s="256"/>
    </row>
    <row r="1241" spans="1:15">
      <c r="A1241" s="207"/>
      <c r="B1241" s="207"/>
      <c r="N1241" s="4"/>
      <c r="O1241" s="256"/>
    </row>
    <row r="1242" spans="1:15">
      <c r="A1242" s="207"/>
      <c r="B1242" s="207"/>
      <c r="N1242" s="4"/>
      <c r="O1242" s="256"/>
    </row>
    <row r="1243" spans="1:15">
      <c r="A1243" s="207"/>
      <c r="B1243" s="207"/>
      <c r="N1243" s="4"/>
      <c r="O1243" s="256"/>
    </row>
    <row r="1244" spans="1:15">
      <c r="A1244" s="207"/>
      <c r="B1244" s="207"/>
      <c r="N1244" s="4"/>
      <c r="O1244" s="256"/>
    </row>
    <row r="1245" spans="1:15">
      <c r="A1245" s="207"/>
      <c r="B1245" s="207"/>
      <c r="N1245" s="4"/>
      <c r="O1245" s="256"/>
    </row>
    <row r="1246" spans="1:15">
      <c r="A1246" s="207"/>
      <c r="B1246" s="207"/>
      <c r="N1246" s="4"/>
      <c r="O1246" s="256"/>
    </row>
    <row r="1247" spans="1:15">
      <c r="A1247" s="207"/>
      <c r="B1247" s="207"/>
      <c r="N1247" s="4"/>
      <c r="O1247" s="256"/>
    </row>
    <row r="1248" spans="1:15">
      <c r="A1248" s="207"/>
      <c r="B1248" s="207"/>
      <c r="N1248" s="4"/>
      <c r="O1248" s="256"/>
    </row>
    <row r="1249" spans="1:15">
      <c r="A1249" s="207"/>
      <c r="B1249" s="207"/>
      <c r="N1249" s="4"/>
      <c r="O1249" s="256"/>
    </row>
    <row r="1250" spans="1:15">
      <c r="A1250" s="207"/>
      <c r="B1250" s="207"/>
      <c r="N1250" s="4"/>
      <c r="O1250" s="256"/>
    </row>
    <row r="1251" spans="1:15">
      <c r="A1251" s="207"/>
      <c r="B1251" s="207"/>
      <c r="N1251" s="4"/>
      <c r="O1251" s="256"/>
    </row>
    <row r="1252" spans="1:15">
      <c r="A1252" s="207"/>
      <c r="B1252" s="207"/>
      <c r="N1252" s="4"/>
      <c r="O1252" s="256"/>
    </row>
    <row r="1253" spans="1:15">
      <c r="A1253" s="207"/>
      <c r="B1253" s="207"/>
      <c r="N1253" s="4"/>
      <c r="O1253" s="256"/>
    </row>
    <row r="1254" spans="1:15">
      <c r="A1254" s="207"/>
      <c r="B1254" s="207"/>
      <c r="N1254" s="4"/>
      <c r="O1254" s="256"/>
    </row>
    <row r="1255" spans="1:15">
      <c r="A1255" s="207"/>
      <c r="B1255" s="207"/>
      <c r="N1255" s="4"/>
      <c r="O1255" s="256"/>
    </row>
    <row r="1256" spans="1:15">
      <c r="A1256" s="207"/>
      <c r="B1256" s="207"/>
      <c r="N1256" s="4"/>
      <c r="O1256" s="256"/>
    </row>
    <row r="1257" spans="1:15">
      <c r="A1257" s="207"/>
      <c r="B1257" s="207"/>
      <c r="N1257" s="4"/>
      <c r="O1257" s="256"/>
    </row>
    <row r="1258" spans="1:15">
      <c r="A1258" s="207"/>
      <c r="B1258" s="207"/>
      <c r="N1258" s="4"/>
      <c r="O1258" s="256"/>
    </row>
    <row r="1259" spans="1:15">
      <c r="A1259" s="207"/>
      <c r="B1259" s="207"/>
      <c r="N1259" s="4"/>
      <c r="O1259" s="256"/>
    </row>
    <row r="1260" spans="1:15">
      <c r="A1260" s="207"/>
      <c r="B1260" s="207"/>
      <c r="N1260" s="4"/>
      <c r="O1260" s="256"/>
    </row>
    <row r="1261" spans="1:15">
      <c r="A1261" s="207"/>
      <c r="B1261" s="207"/>
      <c r="N1261" s="4"/>
      <c r="O1261" s="256"/>
    </row>
    <row r="1262" spans="1:15">
      <c r="A1262" s="207"/>
      <c r="B1262" s="207"/>
      <c r="N1262" s="4"/>
      <c r="O1262" s="256"/>
    </row>
    <row r="1263" spans="1:15">
      <c r="A1263" s="207"/>
      <c r="B1263" s="207"/>
      <c r="N1263" s="4"/>
      <c r="O1263" s="256"/>
    </row>
    <row r="1264" spans="1:15">
      <c r="A1264" s="207"/>
      <c r="B1264" s="207"/>
      <c r="N1264" s="4"/>
      <c r="O1264" s="256"/>
    </row>
    <row r="1265" spans="1:15">
      <c r="A1265" s="207"/>
      <c r="B1265" s="207"/>
      <c r="N1265" s="4"/>
      <c r="O1265" s="256"/>
    </row>
    <row r="1266" spans="1:15">
      <c r="A1266" s="207"/>
      <c r="B1266" s="207"/>
      <c r="N1266" s="4"/>
      <c r="O1266" s="256"/>
    </row>
    <row r="1267" spans="1:15">
      <c r="A1267" s="207"/>
      <c r="B1267" s="207"/>
      <c r="N1267" s="4"/>
      <c r="O1267" s="256"/>
    </row>
    <row r="1268" spans="1:15">
      <c r="A1268" s="207"/>
      <c r="B1268" s="207"/>
      <c r="N1268" s="4"/>
      <c r="O1268" s="256"/>
    </row>
    <row r="1269" spans="1:15">
      <c r="A1269" s="207"/>
      <c r="B1269" s="207"/>
      <c r="N1269" s="4"/>
      <c r="O1269" s="256"/>
    </row>
    <row r="1270" spans="1:15">
      <c r="A1270" s="207"/>
      <c r="B1270" s="207"/>
      <c r="N1270" s="4"/>
      <c r="O1270" s="256"/>
    </row>
    <row r="1271" spans="1:15">
      <c r="A1271" s="207"/>
      <c r="B1271" s="207"/>
      <c r="N1271" s="4"/>
      <c r="O1271" s="256"/>
    </row>
    <row r="1272" spans="1:15">
      <c r="A1272" s="207"/>
      <c r="B1272" s="207"/>
      <c r="N1272" s="4"/>
      <c r="O1272" s="256"/>
    </row>
    <row r="1273" spans="1:15">
      <c r="A1273" s="207"/>
      <c r="B1273" s="207"/>
      <c r="N1273" s="4"/>
      <c r="O1273" s="256"/>
    </row>
    <row r="1274" spans="1:15">
      <c r="A1274" s="207"/>
      <c r="B1274" s="207"/>
      <c r="N1274" s="4"/>
      <c r="O1274" s="256"/>
    </row>
    <row r="1275" spans="1:15">
      <c r="A1275" s="207"/>
      <c r="B1275" s="207"/>
      <c r="N1275" s="4"/>
      <c r="O1275" s="256"/>
    </row>
    <row r="1276" spans="1:15">
      <c r="A1276" s="207"/>
      <c r="B1276" s="207"/>
      <c r="N1276" s="4"/>
      <c r="O1276" s="256"/>
    </row>
    <row r="1277" spans="1:15">
      <c r="A1277" s="207"/>
      <c r="B1277" s="207"/>
      <c r="N1277" s="4"/>
      <c r="O1277" s="256"/>
    </row>
    <row r="1278" spans="1:15">
      <c r="A1278" s="207"/>
      <c r="B1278" s="207"/>
      <c r="N1278" s="4"/>
      <c r="O1278" s="256"/>
    </row>
    <row r="1279" spans="1:15">
      <c r="A1279" s="207"/>
      <c r="B1279" s="207"/>
      <c r="N1279" s="4"/>
      <c r="O1279" s="256"/>
    </row>
    <row r="1280" spans="1:15">
      <c r="A1280" s="207"/>
      <c r="B1280" s="207"/>
      <c r="N1280" s="4"/>
      <c r="O1280" s="256"/>
    </row>
    <row r="1281" spans="1:15">
      <c r="A1281" s="207"/>
      <c r="B1281" s="207"/>
      <c r="N1281" s="4"/>
      <c r="O1281" s="256"/>
    </row>
    <row r="1282" spans="1:15">
      <c r="A1282" s="207"/>
      <c r="B1282" s="207"/>
      <c r="N1282" s="4"/>
      <c r="O1282" s="256"/>
    </row>
    <row r="1283" spans="1:15">
      <c r="A1283" s="207"/>
      <c r="B1283" s="207"/>
      <c r="N1283" s="4"/>
      <c r="O1283" s="256"/>
    </row>
    <row r="1284" spans="1:15">
      <c r="A1284" s="207"/>
      <c r="B1284" s="207"/>
      <c r="N1284" s="4"/>
      <c r="O1284" s="256"/>
    </row>
    <row r="1285" spans="1:15">
      <c r="A1285" s="207"/>
      <c r="B1285" s="207"/>
      <c r="N1285" s="4"/>
      <c r="O1285" s="256"/>
    </row>
    <row r="1286" spans="1:15">
      <c r="A1286" s="207"/>
      <c r="B1286" s="207"/>
      <c r="N1286" s="4"/>
      <c r="O1286" s="256"/>
    </row>
    <row r="1287" spans="1:15">
      <c r="A1287" s="207"/>
      <c r="B1287" s="207"/>
      <c r="N1287" s="4"/>
      <c r="O1287" s="256"/>
    </row>
    <row r="1288" spans="1:15">
      <c r="A1288" s="207"/>
      <c r="B1288" s="207"/>
      <c r="N1288" s="4"/>
      <c r="O1288" s="256"/>
    </row>
    <row r="1289" spans="1:15">
      <c r="A1289" s="207"/>
      <c r="B1289" s="207"/>
      <c r="N1289" s="4"/>
      <c r="O1289" s="256"/>
    </row>
    <row r="1290" spans="1:15">
      <c r="A1290" s="207"/>
      <c r="B1290" s="207"/>
      <c r="N1290" s="4"/>
      <c r="O1290" s="256"/>
    </row>
    <row r="1291" spans="1:15">
      <c r="A1291" s="207"/>
      <c r="B1291" s="207"/>
      <c r="N1291" s="4"/>
      <c r="O1291" s="256"/>
    </row>
    <row r="1292" spans="1:15">
      <c r="A1292" s="207"/>
      <c r="B1292" s="207"/>
      <c r="N1292" s="4"/>
      <c r="O1292" s="256"/>
    </row>
    <row r="1293" spans="1:15">
      <c r="A1293" s="207"/>
      <c r="B1293" s="207"/>
      <c r="N1293" s="4"/>
      <c r="O1293" s="256"/>
    </row>
    <row r="1294" spans="1:15">
      <c r="A1294" s="207"/>
      <c r="B1294" s="207"/>
      <c r="N1294" s="4"/>
      <c r="O1294" s="256"/>
    </row>
    <row r="1295" spans="1:15">
      <c r="A1295" s="207"/>
      <c r="B1295" s="207"/>
      <c r="N1295" s="4"/>
      <c r="O1295" s="256"/>
    </row>
    <row r="1296" spans="1:15">
      <c r="A1296" s="207"/>
      <c r="B1296" s="207"/>
      <c r="N1296" s="4"/>
      <c r="O1296" s="256"/>
    </row>
    <row r="1297" spans="1:15">
      <c r="A1297" s="207"/>
      <c r="B1297" s="207"/>
      <c r="N1297" s="4"/>
      <c r="O1297" s="256"/>
    </row>
    <row r="1298" spans="1:15">
      <c r="A1298" s="207"/>
      <c r="B1298" s="207"/>
      <c r="N1298" s="4"/>
      <c r="O1298" s="256"/>
    </row>
    <row r="1299" spans="1:15">
      <c r="A1299" s="207"/>
      <c r="B1299" s="207"/>
      <c r="N1299" s="4"/>
      <c r="O1299" s="256"/>
    </row>
    <row r="1300" spans="1:15">
      <c r="A1300" s="207"/>
      <c r="B1300" s="207"/>
      <c r="N1300" s="4"/>
      <c r="O1300" s="256"/>
    </row>
    <row r="1301" spans="1:15">
      <c r="A1301" s="207"/>
      <c r="B1301" s="207"/>
      <c r="N1301" s="4"/>
      <c r="O1301" s="256"/>
    </row>
    <row r="1302" spans="1:15">
      <c r="A1302" s="207"/>
      <c r="B1302" s="207"/>
      <c r="N1302" s="4"/>
      <c r="O1302" s="256"/>
    </row>
    <row r="1303" spans="1:15">
      <c r="A1303" s="207"/>
      <c r="B1303" s="207"/>
      <c r="N1303" s="4"/>
      <c r="O1303" s="256"/>
    </row>
    <row r="1304" spans="1:15">
      <c r="A1304" s="207"/>
      <c r="B1304" s="207"/>
      <c r="N1304" s="4"/>
      <c r="O1304" s="256"/>
    </row>
    <row r="1305" spans="1:15">
      <c r="A1305" s="207"/>
      <c r="B1305" s="207"/>
      <c r="N1305" s="4"/>
      <c r="O1305" s="256"/>
    </row>
    <row r="1306" spans="1:15">
      <c r="A1306" s="207"/>
      <c r="B1306" s="207"/>
      <c r="N1306" s="4"/>
      <c r="O1306" s="256"/>
    </row>
    <row r="1307" spans="1:15">
      <c r="A1307" s="207"/>
      <c r="B1307" s="207"/>
      <c r="N1307" s="4"/>
      <c r="O1307" s="256"/>
    </row>
    <row r="1308" spans="1:15">
      <c r="A1308" s="207"/>
      <c r="B1308" s="207"/>
      <c r="N1308" s="4"/>
      <c r="O1308" s="256"/>
    </row>
    <row r="1309" spans="1:15">
      <c r="A1309" s="207"/>
      <c r="B1309" s="207"/>
      <c r="N1309" s="4"/>
      <c r="O1309" s="256"/>
    </row>
    <row r="1310" spans="1:15">
      <c r="A1310" s="207"/>
      <c r="B1310" s="207"/>
      <c r="N1310" s="4"/>
      <c r="O1310" s="256"/>
    </row>
    <row r="1311" spans="1:15">
      <c r="A1311" s="207"/>
      <c r="B1311" s="207"/>
      <c r="N1311" s="4"/>
      <c r="O1311" s="256"/>
    </row>
    <row r="1312" spans="1:15">
      <c r="A1312" s="207"/>
      <c r="B1312" s="207"/>
      <c r="N1312" s="4"/>
      <c r="O1312" s="256"/>
    </row>
    <row r="1313" spans="1:15">
      <c r="A1313" s="207"/>
      <c r="B1313" s="207"/>
      <c r="N1313" s="4"/>
      <c r="O1313" s="256"/>
    </row>
    <row r="1314" spans="1:15">
      <c r="A1314" s="207"/>
      <c r="B1314" s="207"/>
      <c r="N1314" s="4"/>
      <c r="O1314" s="256"/>
    </row>
    <row r="1315" spans="1:15">
      <c r="A1315" s="207"/>
      <c r="B1315" s="207"/>
      <c r="N1315" s="4"/>
      <c r="O1315" s="256"/>
    </row>
    <row r="1316" spans="1:15">
      <c r="A1316" s="207"/>
      <c r="B1316" s="207"/>
      <c r="N1316" s="4"/>
      <c r="O1316" s="256"/>
    </row>
    <row r="1317" spans="1:15">
      <c r="A1317" s="207"/>
      <c r="B1317" s="207"/>
      <c r="N1317" s="4"/>
      <c r="O1317" s="256"/>
    </row>
    <row r="1318" spans="1:15">
      <c r="A1318" s="207"/>
      <c r="B1318" s="207"/>
      <c r="N1318" s="4"/>
      <c r="O1318" s="256"/>
    </row>
    <row r="1319" spans="1:15">
      <c r="A1319" s="207"/>
      <c r="B1319" s="207"/>
      <c r="N1319" s="4"/>
      <c r="O1319" s="256"/>
    </row>
    <row r="1320" spans="1:15">
      <c r="A1320" s="207"/>
      <c r="B1320" s="207"/>
      <c r="N1320" s="4"/>
      <c r="O1320" s="256"/>
    </row>
    <row r="1321" spans="1:15">
      <c r="A1321" s="207"/>
      <c r="B1321" s="207"/>
      <c r="N1321" s="4"/>
      <c r="O1321" s="256"/>
    </row>
    <row r="1322" spans="1:15">
      <c r="A1322" s="207"/>
      <c r="B1322" s="207"/>
      <c r="N1322" s="4"/>
      <c r="O1322" s="256"/>
    </row>
    <row r="1323" spans="1:15">
      <c r="A1323" s="207"/>
      <c r="B1323" s="207"/>
      <c r="N1323" s="4"/>
      <c r="O1323" s="256"/>
    </row>
    <row r="1324" spans="1:15">
      <c r="A1324" s="207"/>
      <c r="B1324" s="207"/>
      <c r="N1324" s="4"/>
      <c r="O1324" s="256"/>
    </row>
    <row r="1325" spans="1:15">
      <c r="A1325" s="207"/>
      <c r="B1325" s="207"/>
      <c r="N1325" s="4"/>
      <c r="O1325" s="256"/>
    </row>
    <row r="1326" spans="1:15">
      <c r="A1326" s="207"/>
      <c r="B1326" s="207"/>
      <c r="N1326" s="4"/>
      <c r="O1326" s="256"/>
    </row>
    <row r="1327" spans="1:15">
      <c r="A1327" s="207"/>
      <c r="B1327" s="207"/>
      <c r="N1327" s="4"/>
      <c r="O1327" s="256"/>
    </row>
    <row r="1328" spans="1:15">
      <c r="A1328" s="207"/>
      <c r="B1328" s="207"/>
      <c r="N1328" s="4"/>
      <c r="O1328" s="256"/>
    </row>
    <row r="1329" spans="1:15">
      <c r="A1329" s="207"/>
      <c r="B1329" s="207"/>
      <c r="N1329" s="4"/>
      <c r="O1329" s="256"/>
    </row>
    <row r="1330" spans="1:15">
      <c r="A1330" s="207"/>
      <c r="B1330" s="207"/>
      <c r="N1330" s="4"/>
      <c r="O1330" s="256"/>
    </row>
    <row r="1331" spans="1:15">
      <c r="A1331" s="207"/>
      <c r="B1331" s="207"/>
      <c r="N1331" s="4"/>
      <c r="O1331" s="256"/>
    </row>
    <row r="1332" spans="1:15">
      <c r="A1332" s="207"/>
      <c r="B1332" s="207"/>
      <c r="N1332" s="4"/>
      <c r="O1332" s="256"/>
    </row>
    <row r="1333" spans="1:15">
      <c r="A1333" s="207"/>
      <c r="B1333" s="207"/>
      <c r="N1333" s="4"/>
      <c r="O1333" s="256"/>
    </row>
    <row r="1334" spans="1:15">
      <c r="A1334" s="207"/>
      <c r="B1334" s="207"/>
      <c r="N1334" s="4"/>
      <c r="O1334" s="256"/>
    </row>
    <row r="1335" spans="1:15">
      <c r="A1335" s="207"/>
      <c r="B1335" s="207"/>
      <c r="N1335" s="4"/>
      <c r="O1335" s="256"/>
    </row>
    <row r="1336" spans="1:15">
      <c r="A1336" s="207"/>
      <c r="B1336" s="207"/>
      <c r="N1336" s="4"/>
      <c r="O1336" s="256"/>
    </row>
    <row r="1337" spans="1:15">
      <c r="A1337" s="207"/>
      <c r="B1337" s="207"/>
      <c r="N1337" s="4"/>
      <c r="O1337" s="256"/>
    </row>
    <row r="1338" spans="1:15">
      <c r="A1338" s="207"/>
      <c r="B1338" s="207"/>
      <c r="N1338" s="4"/>
      <c r="O1338" s="256"/>
    </row>
    <row r="1339" spans="1:15">
      <c r="A1339" s="207"/>
      <c r="B1339" s="207"/>
      <c r="N1339" s="4"/>
      <c r="O1339" s="256"/>
    </row>
    <row r="1340" spans="1:15">
      <c r="A1340" s="207"/>
      <c r="B1340" s="207"/>
      <c r="N1340" s="4"/>
      <c r="O1340" s="256"/>
    </row>
    <row r="1341" spans="1:15">
      <c r="A1341" s="207"/>
      <c r="B1341" s="207"/>
      <c r="N1341" s="4"/>
      <c r="O1341" s="256"/>
    </row>
    <row r="1342" spans="1:15">
      <c r="A1342" s="207"/>
      <c r="B1342" s="207"/>
      <c r="N1342" s="4"/>
      <c r="O1342" s="256"/>
    </row>
    <row r="1343" spans="1:15">
      <c r="A1343" s="207"/>
      <c r="B1343" s="207"/>
      <c r="N1343" s="4"/>
      <c r="O1343" s="256"/>
    </row>
    <row r="1344" spans="1:15">
      <c r="A1344" s="207"/>
      <c r="B1344" s="207"/>
      <c r="N1344" s="4"/>
      <c r="O1344" s="256"/>
    </row>
    <row r="1345" spans="1:15">
      <c r="A1345" s="207"/>
      <c r="B1345" s="207"/>
      <c r="N1345" s="4"/>
      <c r="O1345" s="256"/>
    </row>
    <row r="1346" spans="1:15">
      <c r="A1346" s="207"/>
      <c r="B1346" s="207"/>
      <c r="N1346" s="4"/>
      <c r="O1346" s="256"/>
    </row>
    <row r="1347" spans="1:15">
      <c r="A1347" s="207"/>
      <c r="B1347" s="207"/>
      <c r="N1347" s="4"/>
      <c r="O1347" s="256"/>
    </row>
    <row r="1348" spans="1:15">
      <c r="A1348" s="207"/>
      <c r="B1348" s="207"/>
      <c r="N1348" s="4"/>
      <c r="O1348" s="256"/>
    </row>
    <row r="1349" spans="1:15">
      <c r="A1349" s="207"/>
      <c r="B1349" s="207"/>
      <c r="N1349" s="4"/>
      <c r="O1349" s="256"/>
    </row>
    <row r="1350" spans="1:15">
      <c r="A1350" s="207"/>
      <c r="B1350" s="207"/>
      <c r="N1350" s="4"/>
      <c r="O1350" s="256"/>
    </row>
    <row r="1351" spans="1:15">
      <c r="A1351" s="207"/>
      <c r="B1351" s="207"/>
      <c r="N1351" s="4"/>
      <c r="O1351" s="256"/>
    </row>
    <row r="1352" spans="1:15">
      <c r="A1352" s="207"/>
      <c r="B1352" s="207"/>
      <c r="N1352" s="4"/>
      <c r="O1352" s="256"/>
    </row>
    <row r="1353" spans="1:15">
      <c r="A1353" s="207"/>
      <c r="B1353" s="207"/>
      <c r="N1353" s="4"/>
      <c r="O1353" s="256"/>
    </row>
    <row r="1354" spans="1:15">
      <c r="A1354" s="207"/>
      <c r="B1354" s="207"/>
      <c r="N1354" s="4"/>
      <c r="O1354" s="256"/>
    </row>
    <row r="1355" spans="1:15">
      <c r="A1355" s="207"/>
      <c r="B1355" s="207"/>
      <c r="N1355" s="4"/>
      <c r="O1355" s="256"/>
    </row>
    <row r="1356" spans="1:15">
      <c r="A1356" s="207"/>
      <c r="B1356" s="207"/>
      <c r="N1356" s="4"/>
      <c r="O1356" s="256"/>
    </row>
    <row r="1357" spans="1:15">
      <c r="A1357" s="207"/>
      <c r="B1357" s="207"/>
      <c r="N1357" s="4"/>
      <c r="O1357" s="256"/>
    </row>
    <row r="1358" spans="1:15">
      <c r="A1358" s="207"/>
      <c r="B1358" s="207"/>
      <c r="N1358" s="4"/>
      <c r="O1358" s="256"/>
    </row>
    <row r="1359" spans="1:15">
      <c r="A1359" s="207"/>
      <c r="B1359" s="207"/>
      <c r="N1359" s="4"/>
      <c r="O1359" s="256"/>
    </row>
    <row r="1360" spans="1:15">
      <c r="A1360" s="207"/>
      <c r="B1360" s="207"/>
      <c r="N1360" s="4"/>
      <c r="O1360" s="256"/>
    </row>
    <row r="1361" spans="1:15">
      <c r="A1361" s="207"/>
      <c r="B1361" s="207"/>
      <c r="N1361" s="4"/>
      <c r="O1361" s="256"/>
    </row>
    <row r="1362" spans="1:15">
      <c r="A1362" s="207"/>
      <c r="B1362" s="207"/>
      <c r="N1362" s="4"/>
      <c r="O1362" s="256"/>
    </row>
    <row r="1363" spans="1:15">
      <c r="A1363" s="207"/>
      <c r="B1363" s="207"/>
      <c r="N1363" s="4"/>
      <c r="O1363" s="256"/>
    </row>
    <row r="1364" spans="1:15">
      <c r="A1364" s="207"/>
      <c r="B1364" s="207"/>
      <c r="N1364" s="4"/>
      <c r="O1364" s="256"/>
    </row>
    <row r="1365" spans="1:15">
      <c r="A1365" s="207"/>
      <c r="B1365" s="207"/>
      <c r="N1365" s="4"/>
      <c r="O1365" s="256"/>
    </row>
    <row r="1366" spans="1:15">
      <c r="A1366" s="207"/>
      <c r="B1366" s="207"/>
      <c r="N1366" s="4"/>
      <c r="O1366" s="256"/>
    </row>
    <row r="1367" spans="1:15">
      <c r="A1367" s="207"/>
      <c r="B1367" s="207"/>
      <c r="N1367" s="4"/>
      <c r="O1367" s="256"/>
    </row>
    <row r="1368" spans="1:15">
      <c r="A1368" s="207"/>
      <c r="B1368" s="207"/>
      <c r="N1368" s="4"/>
      <c r="O1368" s="256"/>
    </row>
    <row r="1369" spans="1:15">
      <c r="A1369" s="207"/>
      <c r="B1369" s="207"/>
      <c r="N1369" s="4"/>
      <c r="O1369" s="256"/>
    </row>
    <row r="1370" spans="1:15">
      <c r="A1370" s="207"/>
      <c r="B1370" s="207"/>
      <c r="N1370" s="4"/>
      <c r="O1370" s="256"/>
    </row>
    <row r="1371" spans="1:15">
      <c r="A1371" s="207"/>
      <c r="B1371" s="207"/>
      <c r="N1371" s="4"/>
      <c r="O1371" s="256"/>
    </row>
    <row r="1372" spans="1:15">
      <c r="A1372" s="207"/>
      <c r="B1372" s="207"/>
      <c r="N1372" s="4"/>
      <c r="O1372" s="256"/>
    </row>
    <row r="1373" spans="1:15">
      <c r="A1373" s="207"/>
      <c r="B1373" s="207"/>
      <c r="N1373" s="4"/>
      <c r="O1373" s="256"/>
    </row>
    <row r="1374" spans="1:15">
      <c r="A1374" s="207"/>
      <c r="B1374" s="207"/>
      <c r="N1374" s="4"/>
      <c r="O1374" s="256"/>
    </row>
    <row r="1375" spans="1:15">
      <c r="A1375" s="207"/>
      <c r="B1375" s="207"/>
      <c r="N1375" s="4"/>
      <c r="O1375" s="256"/>
    </row>
    <row r="1376" spans="1:15">
      <c r="A1376" s="207"/>
      <c r="B1376" s="207"/>
      <c r="N1376" s="4"/>
      <c r="O1376" s="256"/>
    </row>
    <row r="1377" spans="1:15">
      <c r="A1377" s="207"/>
      <c r="B1377" s="207"/>
      <c r="N1377" s="4"/>
      <c r="O1377" s="256"/>
    </row>
    <row r="1378" spans="1:15">
      <c r="A1378" s="207"/>
      <c r="B1378" s="207"/>
      <c r="N1378" s="4"/>
      <c r="O1378" s="256"/>
    </row>
    <row r="1379" spans="1:15">
      <c r="A1379" s="207"/>
      <c r="B1379" s="207"/>
      <c r="N1379" s="4"/>
      <c r="O1379" s="256"/>
    </row>
    <row r="1380" spans="1:15">
      <c r="A1380" s="207"/>
      <c r="B1380" s="207"/>
      <c r="N1380" s="4"/>
      <c r="O1380" s="256"/>
    </row>
    <row r="1381" spans="1:15">
      <c r="A1381" s="207"/>
      <c r="B1381" s="207"/>
      <c r="N1381" s="4"/>
      <c r="O1381" s="256"/>
    </row>
    <row r="1382" spans="1:15">
      <c r="A1382" s="207"/>
      <c r="B1382" s="207"/>
      <c r="N1382" s="4"/>
      <c r="O1382" s="256"/>
    </row>
    <row r="1383" spans="1:15">
      <c r="A1383" s="207"/>
      <c r="B1383" s="207"/>
      <c r="N1383" s="4"/>
      <c r="O1383" s="256"/>
    </row>
    <row r="1384" spans="1:15">
      <c r="A1384" s="207"/>
      <c r="B1384" s="207"/>
      <c r="N1384" s="4"/>
      <c r="O1384" s="256"/>
    </row>
    <row r="1385" spans="1:15">
      <c r="A1385" s="207"/>
      <c r="B1385" s="207"/>
      <c r="N1385" s="4"/>
      <c r="O1385" s="256"/>
    </row>
    <row r="1386" spans="1:15">
      <c r="A1386" s="207"/>
      <c r="B1386" s="207"/>
      <c r="N1386" s="4"/>
      <c r="O1386" s="256"/>
    </row>
    <row r="1387" spans="1:15">
      <c r="A1387" s="207"/>
      <c r="B1387" s="207"/>
      <c r="N1387" s="4"/>
      <c r="O1387" s="256"/>
    </row>
    <row r="1388" spans="1:15">
      <c r="A1388" s="207"/>
      <c r="B1388" s="207"/>
      <c r="N1388" s="4"/>
      <c r="O1388" s="256"/>
    </row>
    <row r="1389" spans="1:15">
      <c r="A1389" s="207"/>
      <c r="B1389" s="207"/>
      <c r="N1389" s="4"/>
      <c r="O1389" s="256"/>
    </row>
    <row r="1390" spans="1:15">
      <c r="A1390" s="207"/>
      <c r="B1390" s="207"/>
      <c r="N1390" s="4"/>
      <c r="O1390" s="256"/>
    </row>
    <row r="1391" spans="1:15">
      <c r="A1391" s="207"/>
      <c r="B1391" s="207"/>
      <c r="N1391" s="4"/>
      <c r="O1391" s="256"/>
    </row>
    <row r="1392" spans="1:15">
      <c r="A1392" s="207"/>
      <c r="B1392" s="207"/>
      <c r="N1392" s="4"/>
      <c r="O1392" s="256"/>
    </row>
    <row r="1393" spans="1:15">
      <c r="A1393" s="207"/>
      <c r="B1393" s="207"/>
      <c r="N1393" s="4"/>
      <c r="O1393" s="256"/>
    </row>
    <row r="1394" spans="1:15">
      <c r="A1394" s="207"/>
      <c r="B1394" s="207"/>
      <c r="N1394" s="4"/>
      <c r="O1394" s="256"/>
    </row>
    <row r="1395" spans="1:15">
      <c r="A1395" s="207"/>
      <c r="B1395" s="207"/>
      <c r="N1395" s="4"/>
      <c r="O1395" s="256"/>
    </row>
    <row r="1396" spans="1:15">
      <c r="A1396" s="207"/>
      <c r="B1396" s="207"/>
      <c r="N1396" s="4"/>
      <c r="O1396" s="256"/>
    </row>
    <row r="1397" spans="1:15">
      <c r="A1397" s="207"/>
      <c r="B1397" s="207"/>
      <c r="N1397" s="4"/>
      <c r="O1397" s="256"/>
    </row>
    <row r="1398" spans="1:15">
      <c r="A1398" s="207"/>
      <c r="B1398" s="207"/>
      <c r="N1398" s="4"/>
      <c r="O1398" s="256"/>
    </row>
    <row r="1399" spans="1:15">
      <c r="A1399" s="207"/>
      <c r="B1399" s="207"/>
      <c r="N1399" s="4"/>
      <c r="O1399" s="256"/>
    </row>
    <row r="1400" spans="1:15">
      <c r="A1400" s="207"/>
      <c r="B1400" s="207"/>
      <c r="N1400" s="4"/>
      <c r="O1400" s="256"/>
    </row>
    <row r="1401" spans="1:15">
      <c r="A1401" s="207"/>
      <c r="B1401" s="207"/>
      <c r="N1401" s="4"/>
      <c r="O1401" s="256"/>
    </row>
    <row r="1402" spans="1:15">
      <c r="A1402" s="207"/>
      <c r="B1402" s="207"/>
      <c r="N1402" s="4"/>
      <c r="O1402" s="256"/>
    </row>
    <row r="1403" spans="1:15">
      <c r="A1403" s="207"/>
      <c r="B1403" s="207"/>
      <c r="N1403" s="4"/>
      <c r="O1403" s="256"/>
    </row>
    <row r="1404" spans="1:15">
      <c r="A1404" s="207"/>
      <c r="B1404" s="207"/>
      <c r="N1404" s="4"/>
      <c r="O1404" s="256"/>
    </row>
    <row r="1405" spans="1:15">
      <c r="A1405" s="207"/>
      <c r="B1405" s="207"/>
      <c r="N1405" s="4"/>
      <c r="O1405" s="256"/>
    </row>
    <row r="1406" spans="1:15">
      <c r="A1406" s="207"/>
      <c r="B1406" s="207"/>
      <c r="N1406" s="4"/>
      <c r="O1406" s="256"/>
    </row>
    <row r="1407" spans="1:15">
      <c r="A1407" s="207"/>
      <c r="B1407" s="207"/>
      <c r="N1407" s="4"/>
      <c r="O1407" s="256"/>
    </row>
    <row r="1408" spans="1:15">
      <c r="A1408" s="207"/>
      <c r="B1408" s="207"/>
      <c r="N1408" s="4"/>
      <c r="O1408" s="256"/>
    </row>
    <row r="1409" spans="1:15">
      <c r="A1409" s="207"/>
      <c r="B1409" s="207"/>
      <c r="N1409" s="4"/>
      <c r="O1409" s="256"/>
    </row>
    <row r="1410" spans="1:15">
      <c r="A1410" s="207"/>
      <c r="B1410" s="207"/>
      <c r="N1410" s="4"/>
      <c r="O1410" s="256"/>
    </row>
    <row r="1411" spans="1:15">
      <c r="A1411" s="207"/>
      <c r="B1411" s="207"/>
      <c r="N1411" s="4"/>
      <c r="O1411" s="256"/>
    </row>
    <row r="1412" spans="1:15">
      <c r="A1412" s="207"/>
      <c r="B1412" s="207"/>
      <c r="N1412" s="4"/>
      <c r="O1412" s="256"/>
    </row>
    <row r="1413" spans="1:15">
      <c r="A1413" s="207"/>
      <c r="B1413" s="207"/>
      <c r="N1413" s="4"/>
      <c r="O1413" s="256"/>
    </row>
    <row r="1414" spans="1:15">
      <c r="A1414" s="207"/>
      <c r="B1414" s="207"/>
      <c r="N1414" s="4"/>
      <c r="O1414" s="256"/>
    </row>
    <row r="1415" spans="1:15">
      <c r="A1415" s="207"/>
      <c r="B1415" s="207"/>
      <c r="N1415" s="4"/>
      <c r="O1415" s="256"/>
    </row>
    <row r="1416" spans="1:15">
      <c r="A1416" s="207"/>
      <c r="B1416" s="207"/>
      <c r="N1416" s="4"/>
      <c r="O1416" s="256"/>
    </row>
    <row r="1417" spans="1:15">
      <c r="A1417" s="207"/>
      <c r="B1417" s="207"/>
      <c r="N1417" s="4"/>
      <c r="O1417" s="256"/>
    </row>
    <row r="1418" spans="1:15">
      <c r="A1418" s="207"/>
      <c r="B1418" s="207"/>
      <c r="N1418" s="4"/>
      <c r="O1418" s="256"/>
    </row>
    <row r="1419" spans="1:15">
      <c r="A1419" s="207"/>
      <c r="B1419" s="207"/>
      <c r="N1419" s="4"/>
      <c r="O1419" s="256"/>
    </row>
    <row r="1420" spans="1:15">
      <c r="A1420" s="207"/>
      <c r="B1420" s="207"/>
      <c r="N1420" s="4"/>
      <c r="O1420" s="256"/>
    </row>
    <row r="1421" spans="1:15">
      <c r="A1421" s="207"/>
      <c r="B1421" s="207"/>
      <c r="N1421" s="4"/>
      <c r="O1421" s="256"/>
    </row>
    <row r="1422" spans="1:15">
      <c r="A1422" s="207"/>
      <c r="B1422" s="207"/>
      <c r="N1422" s="4"/>
      <c r="O1422" s="256"/>
    </row>
    <row r="1423" spans="1:15">
      <c r="A1423" s="207"/>
      <c r="B1423" s="207"/>
      <c r="N1423" s="4"/>
      <c r="O1423" s="256"/>
    </row>
    <row r="1424" spans="1:15">
      <c r="A1424" s="207"/>
      <c r="B1424" s="207"/>
      <c r="N1424" s="4"/>
      <c r="O1424" s="256"/>
    </row>
    <row r="1425" spans="1:15">
      <c r="A1425" s="207"/>
      <c r="B1425" s="207"/>
      <c r="N1425" s="4"/>
      <c r="O1425" s="256"/>
    </row>
    <row r="1426" spans="1:15">
      <c r="A1426" s="207"/>
      <c r="B1426" s="207"/>
      <c r="N1426" s="4"/>
      <c r="O1426" s="256"/>
    </row>
    <row r="1427" spans="1:15">
      <c r="A1427" s="207"/>
      <c r="B1427" s="207"/>
      <c r="N1427" s="4"/>
      <c r="O1427" s="256"/>
    </row>
    <row r="1428" spans="1:15">
      <c r="A1428" s="207"/>
      <c r="B1428" s="207"/>
      <c r="N1428" s="4"/>
      <c r="O1428" s="256"/>
    </row>
    <row r="1429" spans="1:15">
      <c r="A1429" s="207"/>
      <c r="B1429" s="207"/>
      <c r="N1429" s="4"/>
      <c r="O1429" s="256"/>
    </row>
    <row r="1430" spans="1:15">
      <c r="A1430" s="207"/>
      <c r="B1430" s="207"/>
      <c r="N1430" s="4"/>
      <c r="O1430" s="256"/>
    </row>
    <row r="1431" spans="1:15">
      <c r="A1431" s="207"/>
      <c r="B1431" s="207"/>
      <c r="N1431" s="4"/>
      <c r="O1431" s="256"/>
    </row>
    <row r="1432" spans="1:15">
      <c r="A1432" s="207"/>
      <c r="B1432" s="207"/>
      <c r="N1432" s="4"/>
      <c r="O1432" s="256"/>
    </row>
    <row r="1433" spans="1:15">
      <c r="A1433" s="207"/>
      <c r="B1433" s="207"/>
      <c r="N1433" s="4"/>
      <c r="O1433" s="256"/>
    </row>
    <row r="1434" spans="1:15">
      <c r="A1434" s="207"/>
      <c r="B1434" s="207"/>
      <c r="N1434" s="4"/>
      <c r="O1434" s="256"/>
    </row>
    <row r="1435" spans="1:15">
      <c r="A1435" s="207"/>
      <c r="B1435" s="207"/>
      <c r="N1435" s="4"/>
      <c r="O1435" s="256"/>
    </row>
    <row r="1436" spans="1:15">
      <c r="A1436" s="207"/>
      <c r="B1436" s="207"/>
      <c r="N1436" s="4"/>
      <c r="O1436" s="256"/>
    </row>
    <row r="1437" spans="1:15">
      <c r="A1437" s="207"/>
      <c r="B1437" s="207"/>
      <c r="N1437" s="4"/>
      <c r="O1437" s="256"/>
    </row>
    <row r="1438" spans="1:15">
      <c r="A1438" s="207"/>
      <c r="B1438" s="207"/>
      <c r="N1438" s="4"/>
      <c r="O1438" s="256"/>
    </row>
    <row r="1439" spans="1:15">
      <c r="A1439" s="207"/>
      <c r="B1439" s="207"/>
      <c r="N1439" s="4"/>
      <c r="O1439" s="256"/>
    </row>
    <row r="1440" spans="1:15">
      <c r="A1440" s="207"/>
      <c r="B1440" s="207"/>
      <c r="N1440" s="4"/>
      <c r="O1440" s="256"/>
    </row>
    <row r="1441" spans="1:15">
      <c r="A1441" s="207"/>
      <c r="B1441" s="207"/>
      <c r="N1441" s="4"/>
      <c r="O1441" s="256"/>
    </row>
    <row r="1442" spans="1:15">
      <c r="A1442" s="207"/>
      <c r="B1442" s="207"/>
      <c r="N1442" s="4"/>
      <c r="O1442" s="256"/>
    </row>
    <row r="1443" spans="1:15">
      <c r="A1443" s="207"/>
      <c r="B1443" s="207"/>
      <c r="N1443" s="4"/>
      <c r="O1443" s="256"/>
    </row>
    <row r="1444" spans="1:15">
      <c r="A1444" s="207"/>
      <c r="B1444" s="207"/>
      <c r="N1444" s="4"/>
      <c r="O1444" s="256"/>
    </row>
    <row r="1445" spans="1:15">
      <c r="A1445" s="207"/>
      <c r="B1445" s="207"/>
      <c r="N1445" s="4"/>
      <c r="O1445" s="256"/>
    </row>
    <row r="1446" spans="1:15">
      <c r="A1446" s="207"/>
      <c r="B1446" s="207"/>
      <c r="N1446" s="4"/>
      <c r="O1446" s="256"/>
    </row>
    <row r="1447" spans="1:15">
      <c r="A1447" s="207"/>
      <c r="B1447" s="207"/>
      <c r="N1447" s="4"/>
      <c r="O1447" s="256"/>
    </row>
    <row r="1448" spans="1:15">
      <c r="A1448" s="207"/>
      <c r="B1448" s="207"/>
      <c r="N1448" s="4"/>
      <c r="O1448" s="256"/>
    </row>
    <row r="1449" spans="1:15">
      <c r="A1449" s="207"/>
      <c r="B1449" s="207"/>
      <c r="N1449" s="4"/>
      <c r="O1449" s="256"/>
    </row>
    <row r="1450" spans="1:15">
      <c r="A1450" s="207"/>
      <c r="B1450" s="207"/>
      <c r="N1450" s="4"/>
      <c r="O1450" s="256"/>
    </row>
    <row r="1451" spans="1:15">
      <c r="A1451" s="207"/>
      <c r="B1451" s="207"/>
      <c r="N1451" s="4"/>
      <c r="O1451" s="256"/>
    </row>
    <row r="1452" spans="1:15">
      <c r="A1452" s="207"/>
      <c r="B1452" s="207"/>
      <c r="N1452" s="4"/>
      <c r="O1452" s="256"/>
    </row>
    <row r="1453" spans="1:15">
      <c r="A1453" s="207"/>
      <c r="B1453" s="207"/>
      <c r="N1453" s="4"/>
      <c r="O1453" s="256"/>
    </row>
    <row r="1454" spans="1:15">
      <c r="A1454" s="207"/>
      <c r="B1454" s="207"/>
      <c r="N1454" s="4"/>
      <c r="O1454" s="256"/>
    </row>
    <row r="1455" spans="1:15">
      <c r="A1455" s="207"/>
      <c r="B1455" s="207"/>
      <c r="N1455" s="4"/>
      <c r="O1455" s="256"/>
    </row>
    <row r="1456" spans="1:15">
      <c r="A1456" s="207"/>
      <c r="B1456" s="207"/>
      <c r="N1456" s="4"/>
      <c r="O1456" s="256"/>
    </row>
    <row r="1457" spans="1:15">
      <c r="A1457" s="207"/>
      <c r="B1457" s="207"/>
      <c r="N1457" s="4"/>
      <c r="O1457" s="256"/>
    </row>
    <row r="1458" spans="1:15">
      <c r="A1458" s="207"/>
      <c r="B1458" s="207"/>
      <c r="N1458" s="4"/>
      <c r="O1458" s="256"/>
    </row>
    <row r="1459" spans="1:15">
      <c r="A1459" s="207"/>
      <c r="B1459" s="207"/>
      <c r="N1459" s="4"/>
      <c r="O1459" s="256"/>
    </row>
    <row r="1460" spans="1:15">
      <c r="A1460" s="207"/>
      <c r="B1460" s="207"/>
      <c r="N1460" s="4"/>
      <c r="O1460" s="256"/>
    </row>
    <row r="1461" spans="1:15">
      <c r="A1461" s="207"/>
      <c r="B1461" s="207"/>
      <c r="N1461" s="4"/>
      <c r="O1461" s="256"/>
    </row>
    <row r="1462" spans="1:15">
      <c r="A1462" s="207"/>
      <c r="B1462" s="207"/>
      <c r="N1462" s="4"/>
      <c r="O1462" s="256"/>
    </row>
    <row r="1463" spans="1:15">
      <c r="A1463" s="207"/>
      <c r="B1463" s="207"/>
      <c r="N1463" s="4"/>
      <c r="O1463" s="256"/>
    </row>
    <row r="1464" spans="1:15">
      <c r="A1464" s="207"/>
      <c r="B1464" s="207"/>
      <c r="N1464" s="4"/>
      <c r="O1464" s="256"/>
    </row>
    <row r="1465" spans="1:15">
      <c r="A1465" s="207"/>
      <c r="B1465" s="207"/>
      <c r="N1465" s="4"/>
      <c r="O1465" s="256"/>
    </row>
    <row r="1466" spans="1:15">
      <c r="A1466" s="207"/>
      <c r="B1466" s="207"/>
      <c r="N1466" s="4"/>
      <c r="O1466" s="256"/>
    </row>
    <row r="1467" spans="1:15">
      <c r="A1467" s="207"/>
      <c r="B1467" s="207"/>
      <c r="N1467" s="4"/>
      <c r="O1467" s="256"/>
    </row>
    <row r="1468" spans="1:15">
      <c r="A1468" s="207"/>
      <c r="B1468" s="207"/>
      <c r="N1468" s="4"/>
      <c r="O1468" s="256"/>
    </row>
    <row r="1469" spans="1:15">
      <c r="A1469" s="207"/>
      <c r="B1469" s="207"/>
      <c r="N1469" s="4"/>
      <c r="O1469" s="256"/>
    </row>
    <row r="1470" spans="1:15">
      <c r="A1470" s="207"/>
      <c r="B1470" s="207"/>
      <c r="N1470" s="4"/>
      <c r="O1470" s="256"/>
    </row>
    <row r="1471" spans="1:15">
      <c r="A1471" s="207"/>
      <c r="B1471" s="207"/>
      <c r="N1471" s="4"/>
      <c r="O1471" s="256"/>
    </row>
    <row r="1472" spans="1:15">
      <c r="A1472" s="207"/>
      <c r="B1472" s="207"/>
      <c r="N1472" s="4"/>
      <c r="O1472" s="256"/>
    </row>
    <row r="1473" spans="1:15">
      <c r="A1473" s="207"/>
      <c r="B1473" s="207"/>
      <c r="N1473" s="4"/>
      <c r="O1473" s="256"/>
    </row>
    <row r="1474" spans="1:15">
      <c r="A1474" s="207"/>
      <c r="B1474" s="207"/>
      <c r="N1474" s="4"/>
      <c r="O1474" s="256"/>
    </row>
    <row r="1475" spans="1:15">
      <c r="A1475" s="207"/>
      <c r="B1475" s="207"/>
      <c r="N1475" s="4"/>
      <c r="O1475" s="256"/>
    </row>
    <row r="1476" spans="1:15">
      <c r="A1476" s="207"/>
      <c r="B1476" s="207"/>
      <c r="N1476" s="4"/>
      <c r="O1476" s="256"/>
    </row>
    <row r="1477" spans="1:15">
      <c r="A1477" s="207"/>
      <c r="B1477" s="207"/>
      <c r="N1477" s="4"/>
      <c r="O1477" s="256"/>
    </row>
    <row r="1478" spans="1:15">
      <c r="A1478" s="207"/>
      <c r="B1478" s="207"/>
      <c r="N1478" s="4"/>
      <c r="O1478" s="256"/>
    </row>
    <row r="1479" spans="1:15">
      <c r="A1479" s="207"/>
      <c r="B1479" s="207"/>
      <c r="N1479" s="4"/>
      <c r="O1479" s="256"/>
    </row>
    <row r="1480" spans="1:15">
      <c r="A1480" s="207"/>
      <c r="B1480" s="207"/>
      <c r="N1480" s="4"/>
      <c r="O1480" s="256"/>
    </row>
    <row r="1481" spans="1:15">
      <c r="A1481" s="207"/>
      <c r="B1481" s="207"/>
      <c r="N1481" s="4"/>
      <c r="O1481" s="256"/>
    </row>
    <row r="1482" spans="1:15">
      <c r="A1482" s="207"/>
      <c r="B1482" s="207"/>
      <c r="N1482" s="4"/>
      <c r="O1482" s="256"/>
    </row>
    <row r="1483" spans="1:15">
      <c r="A1483" s="207"/>
      <c r="B1483" s="207"/>
      <c r="N1483" s="4"/>
      <c r="O1483" s="256"/>
    </row>
    <row r="1484" spans="1:15">
      <c r="A1484" s="207"/>
      <c r="B1484" s="207"/>
      <c r="N1484" s="4"/>
      <c r="O1484" s="256"/>
    </row>
    <row r="1485" spans="1:15">
      <c r="A1485" s="207"/>
      <c r="B1485" s="207"/>
      <c r="N1485" s="4"/>
      <c r="O1485" s="256"/>
    </row>
    <row r="1486" spans="1:15">
      <c r="A1486" s="207"/>
      <c r="B1486" s="207"/>
      <c r="N1486" s="4"/>
      <c r="O1486" s="256"/>
    </row>
    <row r="1487" spans="1:15">
      <c r="A1487" s="207"/>
      <c r="B1487" s="207"/>
      <c r="N1487" s="4"/>
      <c r="O1487" s="256"/>
    </row>
    <row r="1488" spans="1:15">
      <c r="A1488" s="207"/>
      <c r="B1488" s="207"/>
      <c r="N1488" s="4"/>
      <c r="O1488" s="256"/>
    </row>
    <row r="1489" spans="1:15">
      <c r="A1489" s="207"/>
      <c r="B1489" s="207"/>
      <c r="N1489" s="4"/>
      <c r="O1489" s="256"/>
    </row>
    <row r="1490" spans="1:15">
      <c r="A1490" s="207"/>
      <c r="B1490" s="207"/>
      <c r="N1490" s="4"/>
      <c r="O1490" s="256"/>
    </row>
    <row r="1491" spans="1:15">
      <c r="A1491" s="207"/>
      <c r="B1491" s="207"/>
      <c r="N1491" s="4"/>
      <c r="O1491" s="256"/>
    </row>
    <row r="1492" spans="1:15">
      <c r="A1492" s="207"/>
      <c r="B1492" s="207"/>
      <c r="N1492" s="4"/>
      <c r="O1492" s="256"/>
    </row>
    <row r="1493" spans="1:15">
      <c r="A1493" s="207"/>
      <c r="B1493" s="207"/>
      <c r="N1493" s="4"/>
      <c r="O1493" s="256"/>
    </row>
    <row r="1494" spans="1:15">
      <c r="A1494" s="207"/>
      <c r="B1494" s="207"/>
      <c r="N1494" s="4"/>
      <c r="O1494" s="256"/>
    </row>
    <row r="1495" spans="1:15">
      <c r="A1495" s="207"/>
      <c r="B1495" s="207"/>
      <c r="N1495" s="4"/>
      <c r="O1495" s="256"/>
    </row>
    <row r="1496" spans="1:15">
      <c r="A1496" s="207"/>
      <c r="B1496" s="207"/>
      <c r="N1496" s="4"/>
      <c r="O1496" s="256"/>
    </row>
    <row r="1497" spans="1:15">
      <c r="A1497" s="207"/>
      <c r="B1497" s="207"/>
      <c r="N1497" s="4"/>
      <c r="O1497" s="256"/>
    </row>
    <row r="1498" spans="1:15">
      <c r="A1498" s="207"/>
      <c r="B1498" s="207"/>
      <c r="N1498" s="4"/>
      <c r="O1498" s="256"/>
    </row>
    <row r="1499" spans="1:15">
      <c r="A1499" s="207"/>
      <c r="B1499" s="207"/>
      <c r="N1499" s="4"/>
      <c r="O1499" s="256"/>
    </row>
    <row r="1500" spans="1:15">
      <c r="A1500" s="207"/>
      <c r="B1500" s="207"/>
      <c r="N1500" s="4"/>
      <c r="O1500" s="256"/>
    </row>
    <row r="1501" spans="1:15">
      <c r="A1501" s="207"/>
      <c r="B1501" s="207"/>
      <c r="N1501" s="4"/>
      <c r="O1501" s="256"/>
    </row>
    <row r="1502" spans="1:15">
      <c r="A1502" s="207"/>
      <c r="B1502" s="207"/>
      <c r="N1502" s="4"/>
      <c r="O1502" s="256"/>
    </row>
    <row r="1503" spans="1:15">
      <c r="A1503" s="207"/>
      <c r="B1503" s="207"/>
      <c r="N1503" s="4"/>
      <c r="O1503" s="256"/>
    </row>
    <row r="1504" spans="1:15">
      <c r="A1504" s="207"/>
      <c r="B1504" s="207"/>
      <c r="N1504" s="4"/>
      <c r="O1504" s="256"/>
    </row>
    <row r="1505" spans="1:15">
      <c r="A1505" s="207"/>
      <c r="B1505" s="207"/>
      <c r="N1505" s="4"/>
      <c r="O1505" s="256"/>
    </row>
    <row r="1506" spans="1:15">
      <c r="A1506" s="207"/>
      <c r="B1506" s="207"/>
      <c r="N1506" s="4"/>
      <c r="O1506" s="256"/>
    </row>
    <row r="1507" spans="1:15">
      <c r="A1507" s="207"/>
      <c r="B1507" s="207"/>
      <c r="N1507" s="4"/>
      <c r="O1507" s="256"/>
    </row>
    <row r="1508" spans="1:15">
      <c r="A1508" s="207"/>
      <c r="B1508" s="207"/>
      <c r="N1508" s="4"/>
      <c r="O1508" s="256"/>
    </row>
    <row r="1509" spans="1:15">
      <c r="A1509" s="207"/>
      <c r="B1509" s="207"/>
      <c r="N1509" s="4"/>
      <c r="O1509" s="256"/>
    </row>
    <row r="1510" spans="1:15">
      <c r="A1510" s="207"/>
      <c r="B1510" s="207"/>
      <c r="N1510" s="4"/>
      <c r="O1510" s="256"/>
    </row>
    <row r="1511" spans="1:15">
      <c r="A1511" s="207"/>
      <c r="B1511" s="207"/>
      <c r="N1511" s="4"/>
      <c r="O1511" s="256"/>
    </row>
    <row r="1512" spans="1:15">
      <c r="A1512" s="207"/>
      <c r="B1512" s="207"/>
      <c r="N1512" s="4"/>
      <c r="O1512" s="256"/>
    </row>
    <row r="1513" spans="1:15">
      <c r="A1513" s="207"/>
      <c r="B1513" s="207"/>
      <c r="N1513" s="4"/>
      <c r="O1513" s="256"/>
    </row>
    <row r="1514" spans="1:15">
      <c r="A1514" s="207"/>
      <c r="B1514" s="207"/>
      <c r="N1514" s="4"/>
      <c r="O1514" s="256"/>
    </row>
    <row r="1515" spans="1:15">
      <c r="A1515" s="207"/>
      <c r="B1515" s="207"/>
      <c r="N1515" s="4"/>
      <c r="O1515" s="256"/>
    </row>
    <row r="1516" spans="1:15">
      <c r="A1516" s="207"/>
      <c r="B1516" s="207"/>
      <c r="N1516" s="4"/>
      <c r="O1516" s="256"/>
    </row>
    <row r="1517" spans="1:15">
      <c r="A1517" s="207"/>
      <c r="B1517" s="207"/>
      <c r="N1517" s="4"/>
      <c r="O1517" s="256"/>
    </row>
    <row r="1518" spans="1:15">
      <c r="A1518" s="207"/>
      <c r="B1518" s="207"/>
      <c r="N1518" s="4"/>
      <c r="O1518" s="256"/>
    </row>
    <row r="1519" spans="1:15">
      <c r="A1519" s="207"/>
      <c r="B1519" s="207"/>
      <c r="N1519" s="4"/>
      <c r="O1519" s="256"/>
    </row>
    <row r="1520" spans="1:15">
      <c r="A1520" s="207"/>
      <c r="B1520" s="207"/>
      <c r="N1520" s="4"/>
      <c r="O1520" s="256"/>
    </row>
    <row r="1521" spans="1:15">
      <c r="A1521" s="207"/>
      <c r="B1521" s="207"/>
      <c r="N1521" s="4"/>
      <c r="O1521" s="256"/>
    </row>
    <row r="1522" spans="1:15">
      <c r="A1522" s="207"/>
      <c r="B1522" s="207"/>
      <c r="N1522" s="4"/>
      <c r="O1522" s="256"/>
    </row>
    <row r="1523" spans="1:15">
      <c r="A1523" s="207"/>
      <c r="B1523" s="207"/>
      <c r="N1523" s="4"/>
      <c r="O1523" s="256"/>
    </row>
    <row r="1524" spans="1:15">
      <c r="A1524" s="207"/>
      <c r="B1524" s="207"/>
      <c r="N1524" s="4"/>
      <c r="O1524" s="256"/>
    </row>
    <row r="1525" spans="1:15">
      <c r="A1525" s="207"/>
      <c r="B1525" s="207"/>
      <c r="N1525" s="4"/>
      <c r="O1525" s="256"/>
    </row>
    <row r="1526" spans="1:15">
      <c r="A1526" s="207"/>
      <c r="B1526" s="207"/>
      <c r="N1526" s="4"/>
      <c r="O1526" s="256"/>
    </row>
    <row r="1527" spans="1:15">
      <c r="A1527" s="207"/>
      <c r="B1527" s="207"/>
      <c r="N1527" s="4"/>
      <c r="O1527" s="256"/>
    </row>
    <row r="1528" spans="1:15">
      <c r="A1528" s="207"/>
      <c r="B1528" s="207"/>
      <c r="N1528" s="4"/>
      <c r="O1528" s="256"/>
    </row>
    <row r="1529" spans="1:15">
      <c r="A1529" s="207"/>
      <c r="B1529" s="207"/>
      <c r="N1529" s="4"/>
      <c r="O1529" s="256"/>
    </row>
    <row r="1530" spans="1:15">
      <c r="A1530" s="207"/>
      <c r="B1530" s="207"/>
      <c r="N1530" s="4"/>
      <c r="O1530" s="256"/>
    </row>
    <row r="1531" spans="1:15">
      <c r="A1531" s="207"/>
      <c r="B1531" s="207"/>
      <c r="N1531" s="4"/>
      <c r="O1531" s="256"/>
    </row>
    <row r="1532" spans="1:15">
      <c r="A1532" s="207"/>
      <c r="B1532" s="207"/>
      <c r="N1532" s="4"/>
      <c r="O1532" s="256"/>
    </row>
    <row r="1533" spans="1:15">
      <c r="A1533" s="207"/>
      <c r="B1533" s="207"/>
      <c r="N1533" s="4"/>
      <c r="O1533" s="256"/>
    </row>
    <row r="1534" spans="1:15">
      <c r="A1534" s="207"/>
      <c r="B1534" s="207"/>
      <c r="N1534" s="4"/>
      <c r="O1534" s="256"/>
    </row>
    <row r="1535" spans="1:15">
      <c r="A1535" s="207"/>
      <c r="B1535" s="207"/>
      <c r="N1535" s="4"/>
      <c r="O1535" s="256"/>
    </row>
    <row r="1536" spans="1:15">
      <c r="A1536" s="207"/>
      <c r="B1536" s="207"/>
      <c r="N1536" s="4"/>
      <c r="O1536" s="256"/>
    </row>
    <row r="1537" spans="1:15">
      <c r="A1537" s="207"/>
      <c r="B1537" s="207"/>
      <c r="N1537" s="4"/>
      <c r="O1537" s="256"/>
    </row>
    <row r="1538" spans="1:15">
      <c r="A1538" s="207"/>
      <c r="B1538" s="207"/>
      <c r="N1538" s="4"/>
      <c r="O1538" s="256"/>
    </row>
    <row r="1539" spans="1:15">
      <c r="A1539" s="207"/>
      <c r="B1539" s="207"/>
      <c r="N1539" s="4"/>
      <c r="O1539" s="256"/>
    </row>
    <row r="1540" spans="1:15">
      <c r="A1540" s="207"/>
      <c r="B1540" s="207"/>
      <c r="N1540" s="4"/>
      <c r="O1540" s="256"/>
    </row>
    <row r="1541" spans="1:15">
      <c r="A1541" s="207"/>
      <c r="B1541" s="207"/>
      <c r="N1541" s="4"/>
      <c r="O1541" s="256"/>
    </row>
    <row r="1542" spans="1:15">
      <c r="A1542" s="207"/>
      <c r="B1542" s="207"/>
      <c r="N1542" s="4"/>
      <c r="O1542" s="256"/>
    </row>
    <row r="1543" spans="1:15">
      <c r="A1543" s="207"/>
      <c r="B1543" s="207"/>
      <c r="N1543" s="4"/>
      <c r="O1543" s="256"/>
    </row>
    <row r="1544" spans="1:15">
      <c r="A1544" s="207"/>
      <c r="B1544" s="207"/>
      <c r="N1544" s="4"/>
      <c r="O1544" s="256"/>
    </row>
    <row r="1545" spans="1:15">
      <c r="A1545" s="207"/>
      <c r="B1545" s="207"/>
      <c r="N1545" s="4"/>
      <c r="O1545" s="256"/>
    </row>
    <row r="1546" spans="1:15">
      <c r="A1546" s="207"/>
      <c r="B1546" s="207"/>
      <c r="N1546" s="4"/>
      <c r="O1546" s="256"/>
    </row>
    <row r="1547" spans="1:15">
      <c r="A1547" s="207"/>
      <c r="B1547" s="207"/>
      <c r="N1547" s="4"/>
      <c r="O1547" s="256"/>
    </row>
    <row r="1548" spans="1:15">
      <c r="A1548" s="207"/>
      <c r="B1548" s="207"/>
      <c r="N1548" s="4"/>
      <c r="O1548" s="256"/>
    </row>
    <row r="1549" spans="1:15">
      <c r="A1549" s="207"/>
      <c r="B1549" s="207"/>
      <c r="N1549" s="4"/>
      <c r="O1549" s="256"/>
    </row>
    <row r="1550" spans="1:15">
      <c r="A1550" s="207"/>
      <c r="B1550" s="207"/>
      <c r="N1550" s="4"/>
      <c r="O1550" s="256"/>
    </row>
    <row r="1551" spans="1:15">
      <c r="A1551" s="207"/>
      <c r="B1551" s="207"/>
      <c r="N1551" s="4"/>
      <c r="O1551" s="256"/>
    </row>
    <row r="1552" spans="1:15">
      <c r="A1552" s="207"/>
      <c r="B1552" s="207"/>
      <c r="N1552" s="4"/>
      <c r="O1552" s="256"/>
    </row>
    <row r="1553" spans="1:15">
      <c r="A1553" s="207"/>
      <c r="B1553" s="207"/>
      <c r="N1553" s="4"/>
      <c r="O1553" s="256"/>
    </row>
    <row r="1554" spans="1:15">
      <c r="A1554" s="207"/>
      <c r="B1554" s="207"/>
      <c r="N1554" s="4"/>
      <c r="O1554" s="256"/>
    </row>
    <row r="1555" spans="1:15">
      <c r="A1555" s="207"/>
      <c r="B1555" s="207"/>
      <c r="N1555" s="4"/>
      <c r="O1555" s="256"/>
    </row>
    <row r="1556" spans="1:15">
      <c r="A1556" s="207"/>
      <c r="B1556" s="207"/>
      <c r="N1556" s="4"/>
      <c r="O1556" s="256"/>
    </row>
    <row r="1557" spans="1:15">
      <c r="A1557" s="207"/>
      <c r="B1557" s="207"/>
      <c r="N1557" s="4"/>
      <c r="O1557" s="256"/>
    </row>
    <row r="1558" spans="1:15">
      <c r="A1558" s="207"/>
      <c r="B1558" s="207"/>
      <c r="N1558" s="4"/>
      <c r="O1558" s="256"/>
    </row>
    <row r="1559" spans="1:15">
      <c r="A1559" s="207"/>
      <c r="B1559" s="207"/>
      <c r="N1559" s="4"/>
      <c r="O1559" s="256"/>
    </row>
    <row r="1560" spans="1:15">
      <c r="A1560" s="207"/>
      <c r="B1560" s="207"/>
      <c r="N1560" s="4"/>
      <c r="O1560" s="256"/>
    </row>
    <row r="1561" spans="1:15">
      <c r="A1561" s="207"/>
      <c r="B1561" s="207"/>
      <c r="N1561" s="4"/>
      <c r="O1561" s="256"/>
    </row>
    <row r="1562" spans="1:15">
      <c r="A1562" s="207"/>
      <c r="B1562" s="207"/>
      <c r="N1562" s="4"/>
      <c r="O1562" s="256"/>
    </row>
    <row r="1563" spans="1:15">
      <c r="A1563" s="207"/>
      <c r="B1563" s="207"/>
      <c r="N1563" s="4"/>
      <c r="O1563" s="256"/>
    </row>
    <row r="1564" spans="1:15">
      <c r="A1564" s="207"/>
      <c r="B1564" s="207"/>
      <c r="N1564" s="4"/>
      <c r="O1564" s="256"/>
    </row>
    <row r="1565" spans="1:15">
      <c r="A1565" s="207"/>
      <c r="B1565" s="207"/>
      <c r="N1565" s="4"/>
      <c r="O1565" s="256"/>
    </row>
    <row r="1566" spans="1:15">
      <c r="A1566" s="207"/>
      <c r="B1566" s="207"/>
      <c r="N1566" s="4"/>
      <c r="O1566" s="256"/>
    </row>
    <row r="1567" spans="1:15">
      <c r="A1567" s="207"/>
      <c r="B1567" s="207"/>
      <c r="N1567" s="4"/>
      <c r="O1567" s="256"/>
    </row>
    <row r="1568" spans="1:15">
      <c r="A1568" s="207"/>
      <c r="B1568" s="207"/>
      <c r="N1568" s="4"/>
      <c r="O1568" s="256"/>
    </row>
    <row r="1569" spans="1:15">
      <c r="A1569" s="207"/>
      <c r="B1569" s="207"/>
      <c r="N1569" s="4"/>
      <c r="O1569" s="256"/>
    </row>
    <row r="1570" spans="1:15">
      <c r="A1570" s="207"/>
      <c r="B1570" s="207"/>
      <c r="N1570" s="4"/>
      <c r="O1570" s="256"/>
    </row>
    <row r="1571" spans="1:15">
      <c r="A1571" s="207"/>
      <c r="B1571" s="207"/>
      <c r="N1571" s="4"/>
      <c r="O1571" s="256"/>
    </row>
    <row r="1572" spans="1:15">
      <c r="A1572" s="207"/>
      <c r="B1572" s="207"/>
      <c r="N1572" s="4"/>
      <c r="O1572" s="256"/>
    </row>
    <row r="1573" spans="1:15">
      <c r="A1573" s="207"/>
      <c r="B1573" s="207"/>
      <c r="N1573" s="4"/>
      <c r="O1573" s="256"/>
    </row>
    <row r="1574" spans="1:15">
      <c r="A1574" s="207"/>
      <c r="B1574" s="207"/>
      <c r="N1574" s="4"/>
      <c r="O1574" s="256"/>
    </row>
    <row r="1575" spans="1:15">
      <c r="A1575" s="207"/>
      <c r="B1575" s="207"/>
      <c r="N1575" s="4"/>
      <c r="O1575" s="256"/>
    </row>
    <row r="1576" spans="1:15">
      <c r="A1576" s="207"/>
      <c r="B1576" s="207"/>
      <c r="N1576" s="4"/>
      <c r="O1576" s="256"/>
    </row>
    <row r="1577" spans="1:15">
      <c r="A1577" s="207"/>
      <c r="B1577" s="207"/>
      <c r="N1577" s="4"/>
      <c r="O1577" s="256"/>
    </row>
    <row r="1578" spans="1:15">
      <c r="A1578" s="207"/>
      <c r="B1578" s="207"/>
      <c r="N1578" s="4"/>
      <c r="O1578" s="256"/>
    </row>
    <row r="1579" spans="1:15">
      <c r="A1579" s="207"/>
      <c r="B1579" s="207"/>
      <c r="N1579" s="4"/>
      <c r="O1579" s="256"/>
    </row>
    <row r="1580" spans="1:15">
      <c r="A1580" s="207"/>
      <c r="B1580" s="207"/>
      <c r="N1580" s="4"/>
      <c r="O1580" s="256"/>
    </row>
    <row r="1581" spans="1:15">
      <c r="A1581" s="207"/>
      <c r="B1581" s="207"/>
      <c r="N1581" s="4"/>
      <c r="O1581" s="256"/>
    </row>
    <row r="1582" spans="1:15">
      <c r="A1582" s="207"/>
      <c r="B1582" s="207"/>
      <c r="N1582" s="4"/>
      <c r="O1582" s="256"/>
    </row>
    <row r="1583" spans="1:15">
      <c r="A1583" s="207"/>
      <c r="B1583" s="207"/>
      <c r="N1583" s="4"/>
      <c r="O1583" s="256"/>
    </row>
    <row r="1584" spans="1:15">
      <c r="A1584" s="207"/>
      <c r="B1584" s="207"/>
      <c r="N1584" s="4"/>
      <c r="O1584" s="256"/>
    </row>
    <row r="1585" spans="1:15">
      <c r="A1585" s="207"/>
      <c r="B1585" s="207"/>
      <c r="N1585" s="4"/>
      <c r="O1585" s="256"/>
    </row>
    <row r="1586" spans="1:15">
      <c r="A1586" s="207"/>
      <c r="B1586" s="207"/>
      <c r="N1586" s="4"/>
      <c r="O1586" s="256"/>
    </row>
    <row r="1587" spans="1:15">
      <c r="A1587" s="207"/>
      <c r="B1587" s="207"/>
      <c r="N1587" s="4"/>
      <c r="O1587" s="256"/>
    </row>
    <row r="1588" spans="1:15">
      <c r="A1588" s="207"/>
      <c r="B1588" s="207"/>
      <c r="N1588" s="4"/>
      <c r="O1588" s="256"/>
    </row>
    <row r="1589" spans="1:15">
      <c r="A1589" s="207"/>
      <c r="B1589" s="207"/>
      <c r="N1589" s="4"/>
      <c r="O1589" s="256"/>
    </row>
    <row r="1590" spans="1:15">
      <c r="A1590" s="207"/>
      <c r="B1590" s="207"/>
      <c r="N1590" s="4"/>
      <c r="O1590" s="256"/>
    </row>
    <row r="1591" spans="1:15">
      <c r="A1591" s="207"/>
      <c r="B1591" s="207"/>
      <c r="N1591" s="4"/>
      <c r="O1591" s="256"/>
    </row>
    <row r="1592" spans="1:15">
      <c r="A1592" s="207"/>
      <c r="B1592" s="207"/>
      <c r="N1592" s="4"/>
      <c r="O1592" s="256"/>
    </row>
    <row r="1593" spans="1:15">
      <c r="A1593" s="207"/>
      <c r="B1593" s="207"/>
      <c r="N1593" s="4"/>
      <c r="O1593" s="256"/>
    </row>
    <row r="1594" spans="1:15">
      <c r="A1594" s="207"/>
      <c r="B1594" s="207"/>
      <c r="N1594" s="4"/>
      <c r="O1594" s="256"/>
    </row>
    <row r="1595" spans="1:15">
      <c r="A1595" s="207"/>
      <c r="B1595" s="207"/>
      <c r="N1595" s="4"/>
      <c r="O1595" s="256"/>
    </row>
    <row r="1596" spans="1:15">
      <c r="A1596" s="207"/>
      <c r="B1596" s="207"/>
      <c r="N1596" s="4"/>
      <c r="O1596" s="256"/>
    </row>
    <row r="1597" spans="1:15">
      <c r="A1597" s="207"/>
      <c r="B1597" s="207"/>
      <c r="N1597" s="4"/>
      <c r="O1597" s="256"/>
    </row>
    <row r="1598" spans="1:15">
      <c r="A1598" s="207"/>
      <c r="B1598" s="207"/>
      <c r="N1598" s="4"/>
      <c r="O1598" s="256"/>
    </row>
    <row r="1599" spans="1:15">
      <c r="A1599" s="207"/>
      <c r="B1599" s="207"/>
      <c r="N1599" s="4"/>
      <c r="O1599" s="256"/>
    </row>
    <row r="1600" spans="1:15">
      <c r="A1600" s="207"/>
      <c r="B1600" s="207"/>
      <c r="N1600" s="4"/>
      <c r="O1600" s="256"/>
    </row>
    <row r="1601" spans="1:15">
      <c r="A1601" s="207"/>
      <c r="B1601" s="207"/>
      <c r="N1601" s="4"/>
      <c r="O1601" s="256"/>
    </row>
    <row r="1602" spans="1:15">
      <c r="A1602" s="207"/>
      <c r="B1602" s="207"/>
      <c r="N1602" s="4"/>
      <c r="O1602" s="256"/>
    </row>
    <row r="1603" spans="1:15">
      <c r="A1603" s="207"/>
      <c r="B1603" s="207"/>
      <c r="N1603" s="4"/>
      <c r="O1603" s="256"/>
    </row>
    <row r="1604" spans="1:15">
      <c r="A1604" s="207"/>
      <c r="B1604" s="207"/>
      <c r="N1604" s="4"/>
      <c r="O1604" s="256"/>
    </row>
    <row r="1605" spans="1:15">
      <c r="A1605" s="207"/>
      <c r="B1605" s="207"/>
      <c r="N1605" s="4"/>
      <c r="O1605" s="256"/>
    </row>
    <row r="1606" spans="1:15">
      <c r="A1606" s="207"/>
      <c r="B1606" s="207"/>
      <c r="N1606" s="4"/>
      <c r="O1606" s="256"/>
    </row>
    <row r="1607" spans="1:15">
      <c r="A1607" s="207"/>
      <c r="B1607" s="207"/>
      <c r="N1607" s="4"/>
      <c r="O1607" s="256"/>
    </row>
    <row r="1608" spans="1:15">
      <c r="A1608" s="207"/>
      <c r="B1608" s="207"/>
      <c r="N1608" s="4"/>
      <c r="O1608" s="256"/>
    </row>
    <row r="1609" spans="1:15">
      <c r="A1609" s="207"/>
      <c r="B1609" s="207"/>
      <c r="N1609" s="4"/>
      <c r="O1609" s="256"/>
    </row>
    <row r="1610" spans="1:15">
      <c r="A1610" s="207"/>
      <c r="B1610" s="207"/>
      <c r="N1610" s="4"/>
      <c r="O1610" s="256"/>
    </row>
    <row r="1611" spans="1:15">
      <c r="A1611" s="207"/>
      <c r="B1611" s="207"/>
      <c r="N1611" s="4"/>
      <c r="O1611" s="256"/>
    </row>
    <row r="1612" spans="1:15">
      <c r="A1612" s="207"/>
      <c r="B1612" s="207"/>
      <c r="N1612" s="4"/>
      <c r="O1612" s="256"/>
    </row>
    <row r="1613" spans="1:15">
      <c r="A1613" s="207"/>
      <c r="B1613" s="207"/>
      <c r="N1613" s="4"/>
      <c r="O1613" s="256"/>
    </row>
    <row r="1614" spans="1:15">
      <c r="A1614" s="207"/>
      <c r="B1614" s="207"/>
      <c r="N1614" s="4"/>
      <c r="O1614" s="256"/>
    </row>
    <row r="1615" spans="1:15">
      <c r="A1615" s="207"/>
      <c r="B1615" s="207"/>
      <c r="N1615" s="4"/>
      <c r="O1615" s="256"/>
    </row>
    <row r="1616" spans="1:15">
      <c r="A1616" s="207"/>
      <c r="B1616" s="207"/>
      <c r="N1616" s="4"/>
      <c r="O1616" s="256"/>
    </row>
    <row r="1617" spans="1:15">
      <c r="A1617" s="207"/>
      <c r="B1617" s="207"/>
      <c r="N1617" s="4"/>
      <c r="O1617" s="256"/>
    </row>
    <row r="1618" spans="1:15">
      <c r="A1618" s="207"/>
      <c r="B1618" s="207"/>
      <c r="N1618" s="4"/>
      <c r="O1618" s="256"/>
    </row>
    <row r="1619" spans="1:15">
      <c r="A1619" s="207"/>
      <c r="B1619" s="207"/>
      <c r="N1619" s="4"/>
      <c r="O1619" s="256"/>
    </row>
    <row r="1620" spans="1:15">
      <c r="A1620" s="207"/>
      <c r="B1620" s="207"/>
      <c r="N1620" s="4"/>
      <c r="O1620" s="256"/>
    </row>
    <row r="1621" spans="1:15">
      <c r="A1621" s="207"/>
      <c r="B1621" s="207"/>
      <c r="N1621" s="4"/>
      <c r="O1621" s="256"/>
    </row>
    <row r="1622" spans="1:15">
      <c r="A1622" s="207"/>
      <c r="B1622" s="207"/>
      <c r="N1622" s="4"/>
      <c r="O1622" s="256"/>
    </row>
    <row r="1623" spans="1:15">
      <c r="A1623" s="207"/>
      <c r="B1623" s="207"/>
      <c r="N1623" s="4"/>
      <c r="O1623" s="256"/>
    </row>
    <row r="1624" spans="1:15">
      <c r="A1624" s="207"/>
      <c r="B1624" s="207"/>
      <c r="N1624" s="4"/>
      <c r="O1624" s="256"/>
    </row>
    <row r="1625" spans="1:15">
      <c r="A1625" s="207"/>
      <c r="B1625" s="207"/>
      <c r="N1625" s="4"/>
      <c r="O1625" s="256"/>
    </row>
    <row r="1626" spans="1:15">
      <c r="A1626" s="207"/>
      <c r="B1626" s="207"/>
      <c r="N1626" s="4"/>
      <c r="O1626" s="256"/>
    </row>
    <row r="1627" spans="1:15">
      <c r="A1627" s="207"/>
      <c r="B1627" s="207"/>
      <c r="N1627" s="4"/>
      <c r="O1627" s="256"/>
    </row>
    <row r="1628" spans="1:15">
      <c r="A1628" s="207"/>
      <c r="B1628" s="207"/>
      <c r="N1628" s="4"/>
      <c r="O1628" s="256"/>
    </row>
    <row r="1629" spans="1:15">
      <c r="A1629" s="207"/>
      <c r="B1629" s="207"/>
      <c r="N1629" s="4"/>
      <c r="O1629" s="256"/>
    </row>
    <row r="1630" spans="1:15">
      <c r="A1630" s="207"/>
      <c r="B1630" s="207"/>
      <c r="N1630" s="4"/>
      <c r="O1630" s="256"/>
    </row>
    <row r="1631" spans="1:15">
      <c r="A1631" s="207"/>
      <c r="B1631" s="207"/>
      <c r="N1631" s="4"/>
      <c r="O1631" s="256"/>
    </row>
    <row r="1632" spans="1:15">
      <c r="A1632" s="207"/>
      <c r="B1632" s="207"/>
      <c r="N1632" s="4"/>
      <c r="O1632" s="256"/>
    </row>
    <row r="1633" spans="1:15">
      <c r="A1633" s="207"/>
      <c r="B1633" s="207"/>
      <c r="N1633" s="4"/>
      <c r="O1633" s="256"/>
    </row>
    <row r="1634" spans="1:15">
      <c r="A1634" s="207"/>
      <c r="B1634" s="207"/>
      <c r="N1634" s="4"/>
      <c r="O1634" s="256"/>
    </row>
    <row r="1635" spans="1:15">
      <c r="A1635" s="207"/>
      <c r="B1635" s="207"/>
      <c r="N1635" s="4"/>
      <c r="O1635" s="256"/>
    </row>
    <row r="1636" spans="1:15">
      <c r="A1636" s="207"/>
      <c r="B1636" s="207"/>
      <c r="N1636" s="4"/>
      <c r="O1636" s="256"/>
    </row>
    <row r="1637" spans="1:15">
      <c r="A1637" s="207"/>
      <c r="B1637" s="207"/>
      <c r="N1637" s="4"/>
      <c r="O1637" s="256"/>
    </row>
    <row r="1638" spans="1:15">
      <c r="A1638" s="207"/>
      <c r="B1638" s="207"/>
      <c r="N1638" s="4"/>
      <c r="O1638" s="256"/>
    </row>
    <row r="1639" spans="1:15">
      <c r="A1639" s="207"/>
      <c r="B1639" s="207"/>
      <c r="N1639" s="4"/>
      <c r="O1639" s="256"/>
    </row>
    <row r="1640" spans="1:15">
      <c r="A1640" s="207"/>
      <c r="B1640" s="207"/>
      <c r="N1640" s="4"/>
      <c r="O1640" s="256"/>
    </row>
    <row r="1641" spans="1:15">
      <c r="A1641" s="207"/>
      <c r="B1641" s="207"/>
      <c r="N1641" s="4"/>
      <c r="O1641" s="256"/>
    </row>
    <row r="1642" spans="1:15">
      <c r="A1642" s="207"/>
      <c r="B1642" s="207"/>
      <c r="N1642" s="4"/>
      <c r="O1642" s="256"/>
    </row>
    <row r="1643" spans="1:15">
      <c r="A1643" s="207"/>
      <c r="B1643" s="207"/>
      <c r="N1643" s="4"/>
      <c r="O1643" s="256"/>
    </row>
    <row r="1644" spans="1:15">
      <c r="A1644" s="207"/>
      <c r="B1644" s="207"/>
      <c r="N1644" s="4"/>
      <c r="O1644" s="256"/>
    </row>
    <row r="1645" spans="1:15">
      <c r="A1645" s="207"/>
      <c r="B1645" s="207"/>
      <c r="N1645" s="4"/>
      <c r="O1645" s="256"/>
    </row>
    <row r="1646" spans="1:15">
      <c r="A1646" s="207"/>
      <c r="B1646" s="207"/>
      <c r="N1646" s="4"/>
      <c r="O1646" s="256"/>
    </row>
    <row r="1647" spans="1:15">
      <c r="A1647" s="207"/>
      <c r="B1647" s="207"/>
      <c r="N1647" s="4"/>
      <c r="O1647" s="256"/>
    </row>
    <row r="1648" spans="1:15">
      <c r="A1648" s="207"/>
      <c r="B1648" s="207"/>
      <c r="N1648" s="4"/>
      <c r="O1648" s="256"/>
    </row>
    <row r="1649" spans="1:15">
      <c r="A1649" s="207"/>
      <c r="B1649" s="207"/>
      <c r="N1649" s="4"/>
      <c r="O1649" s="256"/>
    </row>
    <row r="1650" spans="1:15">
      <c r="A1650" s="207"/>
      <c r="B1650" s="207"/>
      <c r="N1650" s="4"/>
      <c r="O1650" s="256"/>
    </row>
    <row r="1651" spans="1:15">
      <c r="A1651" s="207"/>
      <c r="B1651" s="207"/>
      <c r="N1651" s="4"/>
      <c r="O1651" s="256"/>
    </row>
    <row r="1652" spans="1:15">
      <c r="A1652" s="207"/>
      <c r="B1652" s="207"/>
      <c r="N1652" s="4"/>
      <c r="O1652" s="256"/>
    </row>
    <row r="1653" spans="1:15">
      <c r="A1653" s="207"/>
      <c r="B1653" s="207"/>
      <c r="N1653" s="4"/>
      <c r="O1653" s="256"/>
    </row>
    <row r="1654" spans="1:15">
      <c r="A1654" s="207"/>
      <c r="B1654" s="207"/>
      <c r="N1654" s="4"/>
      <c r="O1654" s="256"/>
    </row>
    <row r="1655" spans="1:15">
      <c r="A1655" s="207"/>
      <c r="B1655" s="207"/>
      <c r="N1655" s="4"/>
      <c r="O1655" s="256"/>
    </row>
    <row r="1656" spans="1:15">
      <c r="A1656" s="207"/>
      <c r="B1656" s="207"/>
      <c r="N1656" s="4"/>
      <c r="O1656" s="256"/>
    </row>
    <row r="1657" spans="1:15">
      <c r="A1657" s="207"/>
      <c r="B1657" s="207"/>
      <c r="N1657" s="4"/>
      <c r="O1657" s="256"/>
    </row>
    <row r="1658" spans="1:15">
      <c r="A1658" s="207"/>
      <c r="B1658" s="207"/>
      <c r="N1658" s="4"/>
      <c r="O1658" s="256"/>
    </row>
    <row r="1659" spans="1:15">
      <c r="A1659" s="207"/>
      <c r="B1659" s="207"/>
      <c r="N1659" s="4"/>
      <c r="O1659" s="256"/>
    </row>
    <row r="1660" spans="1:15">
      <c r="A1660" s="207"/>
      <c r="B1660" s="207"/>
      <c r="N1660" s="4"/>
      <c r="O1660" s="256"/>
    </row>
    <row r="1661" spans="1:15">
      <c r="A1661" s="207"/>
      <c r="B1661" s="207"/>
      <c r="N1661" s="4"/>
      <c r="O1661" s="256"/>
    </row>
    <row r="1662" spans="1:15">
      <c r="A1662" s="207"/>
      <c r="B1662" s="207"/>
      <c r="N1662" s="4"/>
      <c r="O1662" s="256"/>
    </row>
    <row r="1663" spans="1:15">
      <c r="A1663" s="207"/>
      <c r="B1663" s="207"/>
      <c r="N1663" s="4"/>
      <c r="O1663" s="256"/>
    </row>
    <row r="1664" spans="1:15">
      <c r="A1664" s="207"/>
      <c r="B1664" s="207"/>
      <c r="N1664" s="4"/>
      <c r="O1664" s="256"/>
    </row>
    <row r="1665" spans="1:15">
      <c r="A1665" s="207"/>
      <c r="B1665" s="207"/>
      <c r="N1665" s="4"/>
      <c r="O1665" s="256"/>
    </row>
    <row r="1666" spans="1:15">
      <c r="A1666" s="207"/>
      <c r="B1666" s="207"/>
      <c r="N1666" s="4"/>
      <c r="O1666" s="256"/>
    </row>
    <row r="1667" spans="1:15">
      <c r="A1667" s="207"/>
      <c r="B1667" s="207"/>
      <c r="N1667" s="4"/>
      <c r="O1667" s="256"/>
    </row>
    <row r="1668" spans="1:15">
      <c r="A1668" s="207"/>
      <c r="B1668" s="207"/>
      <c r="N1668" s="4"/>
      <c r="O1668" s="256"/>
    </row>
    <row r="1669" spans="1:15">
      <c r="A1669" s="207"/>
      <c r="B1669" s="207"/>
      <c r="N1669" s="4"/>
      <c r="O1669" s="256"/>
    </row>
    <row r="1670" spans="1:15">
      <c r="A1670" s="207"/>
      <c r="B1670" s="207"/>
      <c r="N1670" s="4"/>
      <c r="O1670" s="256"/>
    </row>
    <row r="1671" spans="1:15">
      <c r="A1671" s="207"/>
      <c r="B1671" s="207"/>
      <c r="N1671" s="4"/>
      <c r="O1671" s="256"/>
    </row>
    <row r="1672" spans="1:15">
      <c r="A1672" s="207"/>
      <c r="B1672" s="207"/>
      <c r="N1672" s="4"/>
      <c r="O1672" s="256"/>
    </row>
    <row r="1673" spans="1:15">
      <c r="A1673" s="207"/>
      <c r="B1673" s="207"/>
      <c r="N1673" s="4"/>
      <c r="O1673" s="256"/>
    </row>
    <row r="1674" spans="1:15">
      <c r="A1674" s="207"/>
      <c r="B1674" s="207"/>
      <c r="N1674" s="4"/>
      <c r="O1674" s="256"/>
    </row>
    <row r="1675" spans="1:15">
      <c r="A1675" s="207"/>
      <c r="B1675" s="207"/>
      <c r="N1675" s="4"/>
      <c r="O1675" s="256"/>
    </row>
    <row r="1676" spans="1:15">
      <c r="A1676" s="207"/>
      <c r="B1676" s="207"/>
      <c r="N1676" s="4"/>
      <c r="O1676" s="256"/>
    </row>
    <row r="1677" spans="1:15">
      <c r="A1677" s="207"/>
      <c r="B1677" s="207"/>
      <c r="N1677" s="4"/>
      <c r="O1677" s="256"/>
    </row>
    <row r="1678" spans="1:15">
      <c r="A1678" s="207"/>
      <c r="B1678" s="207"/>
      <c r="N1678" s="4"/>
      <c r="O1678" s="256"/>
    </row>
    <row r="1679" spans="1:15">
      <c r="A1679" s="207"/>
      <c r="B1679" s="207"/>
      <c r="N1679" s="4"/>
      <c r="O1679" s="256"/>
    </row>
    <row r="1680" spans="1:15">
      <c r="A1680" s="207"/>
      <c r="B1680" s="207"/>
      <c r="N1680" s="4"/>
      <c r="O1680" s="256"/>
    </row>
    <row r="1681" spans="1:15">
      <c r="A1681" s="207"/>
      <c r="B1681" s="207"/>
      <c r="N1681" s="4"/>
      <c r="O1681" s="256"/>
    </row>
    <row r="1682" spans="1:15">
      <c r="A1682" s="207"/>
      <c r="B1682" s="207"/>
      <c r="N1682" s="4"/>
      <c r="O1682" s="256"/>
    </row>
    <row r="1683" spans="1:15">
      <c r="A1683" s="207"/>
      <c r="B1683" s="207"/>
      <c r="N1683" s="4"/>
      <c r="O1683" s="256"/>
    </row>
    <row r="1684" spans="1:15">
      <c r="A1684" s="207"/>
      <c r="B1684" s="207"/>
      <c r="N1684" s="4"/>
      <c r="O1684" s="256"/>
    </row>
    <row r="1685" spans="1:15">
      <c r="A1685" s="207"/>
      <c r="B1685" s="207"/>
      <c r="N1685" s="4"/>
      <c r="O1685" s="256"/>
    </row>
    <row r="1686" spans="1:15">
      <c r="A1686" s="207"/>
      <c r="B1686" s="207"/>
      <c r="N1686" s="4"/>
      <c r="O1686" s="256"/>
    </row>
    <row r="1687" spans="1:15">
      <c r="A1687" s="207"/>
      <c r="B1687" s="207"/>
      <c r="N1687" s="4"/>
      <c r="O1687" s="256"/>
    </row>
    <row r="1688" spans="1:15">
      <c r="A1688" s="207"/>
      <c r="B1688" s="207"/>
      <c r="N1688" s="4"/>
      <c r="O1688" s="256"/>
    </row>
    <row r="1689" spans="1:15">
      <c r="A1689" s="207"/>
      <c r="B1689" s="207"/>
      <c r="N1689" s="4"/>
      <c r="O1689" s="256"/>
    </row>
    <row r="1690" spans="1:15">
      <c r="A1690" s="207"/>
      <c r="B1690" s="207"/>
      <c r="N1690" s="4"/>
      <c r="O1690" s="256"/>
    </row>
    <row r="1691" spans="1:15">
      <c r="A1691" s="207"/>
      <c r="B1691" s="207"/>
      <c r="N1691" s="4"/>
      <c r="O1691" s="256"/>
    </row>
    <row r="1692" spans="1:15">
      <c r="A1692" s="207"/>
      <c r="B1692" s="207"/>
      <c r="N1692" s="4"/>
      <c r="O1692" s="256"/>
    </row>
    <row r="1693" spans="1:15">
      <c r="A1693" s="207"/>
      <c r="B1693" s="207"/>
      <c r="N1693" s="4"/>
      <c r="O1693" s="256"/>
    </row>
    <row r="1694" spans="1:15">
      <c r="A1694" s="207"/>
      <c r="B1694" s="207"/>
      <c r="N1694" s="4"/>
      <c r="O1694" s="256"/>
    </row>
    <row r="1695" spans="1:15">
      <c r="A1695" s="207"/>
      <c r="B1695" s="207"/>
      <c r="N1695" s="4"/>
      <c r="O1695" s="256"/>
    </row>
    <row r="1696" spans="1:15">
      <c r="A1696" s="207"/>
      <c r="B1696" s="207"/>
      <c r="N1696" s="4"/>
      <c r="O1696" s="256"/>
    </row>
    <row r="1697" spans="1:15">
      <c r="A1697" s="207"/>
      <c r="B1697" s="207"/>
      <c r="N1697" s="4"/>
      <c r="O1697" s="256"/>
    </row>
    <row r="1698" spans="1:15">
      <c r="A1698" s="207"/>
      <c r="B1698" s="207"/>
      <c r="N1698" s="4"/>
      <c r="O1698" s="256"/>
    </row>
    <row r="1699" spans="1:15">
      <c r="A1699" s="207"/>
      <c r="B1699" s="207"/>
      <c r="N1699" s="4"/>
      <c r="O1699" s="256"/>
    </row>
    <row r="1700" spans="1:15">
      <c r="A1700" s="207"/>
      <c r="B1700" s="207"/>
      <c r="N1700" s="4"/>
      <c r="O1700" s="256"/>
    </row>
    <row r="1701" spans="1:15">
      <c r="A1701" s="207"/>
      <c r="B1701" s="207"/>
      <c r="N1701" s="4"/>
      <c r="O1701" s="256"/>
    </row>
    <row r="1702" spans="1:15">
      <c r="A1702" s="207"/>
      <c r="B1702" s="207"/>
      <c r="N1702" s="4"/>
      <c r="O1702" s="256"/>
    </row>
    <row r="1703" spans="1:15">
      <c r="A1703" s="207"/>
      <c r="B1703" s="207"/>
      <c r="N1703" s="4"/>
      <c r="O1703" s="256"/>
    </row>
    <row r="1704" spans="1:15">
      <c r="A1704" s="207"/>
      <c r="B1704" s="207"/>
      <c r="N1704" s="4"/>
      <c r="O1704" s="256"/>
    </row>
    <row r="1705" spans="1:15">
      <c r="A1705" s="207"/>
      <c r="B1705" s="207"/>
      <c r="N1705" s="4"/>
      <c r="O1705" s="256"/>
    </row>
    <row r="1706" spans="1:15">
      <c r="A1706" s="207"/>
      <c r="B1706" s="207"/>
      <c r="N1706" s="4"/>
      <c r="O1706" s="256"/>
    </row>
    <row r="1707" spans="1:15">
      <c r="A1707" s="207"/>
      <c r="B1707" s="207"/>
      <c r="N1707" s="4"/>
      <c r="O1707" s="256"/>
    </row>
    <row r="1708" spans="1:15">
      <c r="A1708" s="207"/>
      <c r="B1708" s="207"/>
      <c r="N1708" s="4"/>
      <c r="O1708" s="256"/>
    </row>
    <row r="1709" spans="1:15">
      <c r="A1709" s="207"/>
      <c r="B1709" s="207"/>
      <c r="N1709" s="4"/>
      <c r="O1709" s="256"/>
    </row>
    <row r="1710" spans="1:15">
      <c r="A1710" s="207"/>
      <c r="B1710" s="207"/>
      <c r="N1710" s="4"/>
      <c r="O1710" s="256"/>
    </row>
    <row r="1711" spans="1:15">
      <c r="A1711" s="207"/>
      <c r="B1711" s="207"/>
      <c r="N1711" s="4"/>
      <c r="O1711" s="256"/>
    </row>
    <row r="1712" spans="1:15">
      <c r="A1712" s="207"/>
      <c r="B1712" s="207"/>
      <c r="N1712" s="4"/>
      <c r="O1712" s="256"/>
    </row>
    <row r="1713" spans="1:15">
      <c r="A1713" s="207"/>
      <c r="B1713" s="207"/>
      <c r="N1713" s="4"/>
      <c r="O1713" s="256"/>
    </row>
    <row r="1714" spans="1:15">
      <c r="A1714" s="207"/>
      <c r="B1714" s="207"/>
      <c r="N1714" s="4"/>
      <c r="O1714" s="256"/>
    </row>
    <row r="1715" spans="1:15">
      <c r="A1715" s="207"/>
      <c r="B1715" s="207"/>
      <c r="N1715" s="4"/>
      <c r="O1715" s="256"/>
    </row>
    <row r="1716" spans="1:15">
      <c r="A1716" s="207"/>
      <c r="B1716" s="207"/>
      <c r="N1716" s="4"/>
      <c r="O1716" s="256"/>
    </row>
    <row r="1717" spans="1:15">
      <c r="A1717" s="207"/>
      <c r="B1717" s="207"/>
      <c r="N1717" s="4"/>
      <c r="O1717" s="256"/>
    </row>
    <row r="1718" spans="1:15">
      <c r="A1718" s="207"/>
      <c r="B1718" s="207"/>
      <c r="N1718" s="4"/>
      <c r="O1718" s="256"/>
    </row>
    <row r="1719" spans="1:15">
      <c r="A1719" s="207"/>
      <c r="B1719" s="207"/>
      <c r="N1719" s="4"/>
      <c r="O1719" s="256"/>
    </row>
    <row r="1720" spans="1:15">
      <c r="A1720" s="207"/>
      <c r="B1720" s="207"/>
      <c r="N1720" s="4"/>
      <c r="O1720" s="256"/>
    </row>
    <row r="1721" spans="1:15">
      <c r="A1721" s="207"/>
      <c r="B1721" s="207"/>
      <c r="N1721" s="4"/>
      <c r="O1721" s="256"/>
    </row>
    <row r="1722" spans="1:15">
      <c r="A1722" s="207"/>
      <c r="B1722" s="207"/>
      <c r="N1722" s="4"/>
      <c r="O1722" s="256"/>
    </row>
    <row r="1723" spans="1:15">
      <c r="A1723" s="207"/>
      <c r="B1723" s="207"/>
      <c r="N1723" s="4"/>
      <c r="O1723" s="256"/>
    </row>
    <row r="1724" spans="1:15">
      <c r="A1724" s="207"/>
      <c r="B1724" s="207"/>
      <c r="N1724" s="4"/>
      <c r="O1724" s="256"/>
    </row>
    <row r="1725" spans="1:15">
      <c r="A1725" s="207"/>
      <c r="B1725" s="207"/>
      <c r="N1725" s="4"/>
      <c r="O1725" s="256"/>
    </row>
    <row r="1726" spans="1:15">
      <c r="A1726" s="207"/>
      <c r="B1726" s="207"/>
      <c r="N1726" s="4"/>
      <c r="O1726" s="256"/>
    </row>
    <row r="1727" spans="1:15">
      <c r="A1727" s="207"/>
      <c r="B1727" s="207"/>
      <c r="N1727" s="4"/>
      <c r="O1727" s="256"/>
    </row>
    <row r="1728" spans="1:15">
      <c r="A1728" s="207"/>
      <c r="B1728" s="207"/>
      <c r="N1728" s="4"/>
      <c r="O1728" s="256"/>
    </row>
    <row r="1729" spans="1:15">
      <c r="A1729" s="207"/>
      <c r="B1729" s="207"/>
      <c r="N1729" s="4"/>
      <c r="O1729" s="256"/>
    </row>
    <row r="1730" spans="1:15">
      <c r="A1730" s="207"/>
      <c r="B1730" s="207"/>
      <c r="N1730" s="4"/>
      <c r="O1730" s="256"/>
    </row>
    <row r="1731" spans="1:15">
      <c r="A1731" s="207"/>
      <c r="B1731" s="207"/>
      <c r="N1731" s="4"/>
      <c r="O1731" s="256"/>
    </row>
    <row r="1732" spans="1:15">
      <c r="A1732" s="207"/>
      <c r="B1732" s="207"/>
      <c r="N1732" s="4"/>
      <c r="O1732" s="256"/>
    </row>
    <row r="1733" spans="1:15">
      <c r="A1733" s="207"/>
      <c r="B1733" s="207"/>
      <c r="N1733" s="4"/>
      <c r="O1733" s="256"/>
    </row>
    <row r="1734" spans="1:15">
      <c r="A1734" s="207"/>
      <c r="B1734" s="207"/>
      <c r="N1734" s="4"/>
      <c r="O1734" s="256"/>
    </row>
    <row r="1735" spans="1:15">
      <c r="A1735" s="207"/>
      <c r="B1735" s="207"/>
      <c r="N1735" s="4"/>
      <c r="O1735" s="256"/>
    </row>
    <row r="1736" spans="1:15">
      <c r="A1736" s="207"/>
      <c r="B1736" s="207"/>
      <c r="N1736" s="4"/>
      <c r="O1736" s="256"/>
    </row>
    <row r="1737" spans="1:15">
      <c r="A1737" s="207"/>
      <c r="B1737" s="207"/>
      <c r="N1737" s="4"/>
      <c r="O1737" s="256"/>
    </row>
    <row r="1738" spans="1:15">
      <c r="A1738" s="207"/>
      <c r="B1738" s="207"/>
      <c r="N1738" s="4"/>
      <c r="O1738" s="256"/>
    </row>
    <row r="1739" spans="1:15">
      <c r="A1739" s="207"/>
      <c r="B1739" s="207"/>
      <c r="N1739" s="4"/>
      <c r="O1739" s="256"/>
    </row>
    <row r="1740" spans="1:15">
      <c r="A1740" s="207"/>
      <c r="B1740" s="207"/>
      <c r="N1740" s="4"/>
      <c r="O1740" s="256"/>
    </row>
    <row r="1741" spans="1:15">
      <c r="A1741" s="207"/>
      <c r="B1741" s="207"/>
      <c r="N1741" s="4"/>
      <c r="O1741" s="256"/>
    </row>
    <row r="1742" spans="1:15">
      <c r="A1742" s="207"/>
      <c r="B1742" s="207"/>
      <c r="N1742" s="4"/>
      <c r="O1742" s="256"/>
    </row>
    <row r="1743" spans="1:15">
      <c r="A1743" s="207"/>
      <c r="B1743" s="207"/>
      <c r="N1743" s="4"/>
      <c r="O1743" s="256"/>
    </row>
    <row r="1744" spans="1:15">
      <c r="A1744" s="207"/>
      <c r="B1744" s="207"/>
      <c r="N1744" s="4"/>
      <c r="O1744" s="256"/>
    </row>
    <row r="1745" spans="1:15">
      <c r="A1745" s="207"/>
      <c r="B1745" s="207"/>
      <c r="N1745" s="4"/>
      <c r="O1745" s="256"/>
    </row>
    <row r="1746" spans="1:15">
      <c r="A1746" s="207"/>
      <c r="B1746" s="207"/>
      <c r="N1746" s="4"/>
      <c r="O1746" s="256"/>
    </row>
    <row r="1747" spans="1:15">
      <c r="A1747" s="207"/>
      <c r="B1747" s="207"/>
      <c r="N1747" s="4"/>
      <c r="O1747" s="256"/>
    </row>
    <row r="1748" spans="1:15">
      <c r="A1748" s="207"/>
      <c r="B1748" s="207"/>
      <c r="N1748" s="4"/>
      <c r="O1748" s="256"/>
    </row>
    <row r="1749" spans="1:15">
      <c r="A1749" s="207"/>
      <c r="B1749" s="207"/>
      <c r="N1749" s="4"/>
      <c r="O1749" s="256"/>
    </row>
    <row r="1750" spans="1:15">
      <c r="A1750" s="207"/>
      <c r="B1750" s="207"/>
      <c r="N1750" s="4"/>
      <c r="O1750" s="256"/>
    </row>
    <row r="1751" spans="1:15">
      <c r="A1751" s="207"/>
      <c r="B1751" s="207"/>
      <c r="N1751" s="4"/>
      <c r="O1751" s="256"/>
    </row>
    <row r="1752" spans="1:15">
      <c r="A1752" s="207"/>
      <c r="B1752" s="207"/>
      <c r="N1752" s="4"/>
      <c r="O1752" s="256"/>
    </row>
    <row r="1753" spans="1:15">
      <c r="A1753" s="207"/>
      <c r="B1753" s="207"/>
      <c r="N1753" s="4"/>
      <c r="O1753" s="256"/>
    </row>
    <row r="1754" spans="1:15">
      <c r="A1754" s="207"/>
      <c r="B1754" s="207"/>
      <c r="N1754" s="4"/>
      <c r="O1754" s="256"/>
    </row>
    <row r="1755" spans="1:15">
      <c r="A1755" s="207"/>
      <c r="B1755" s="207"/>
      <c r="N1755" s="4"/>
      <c r="O1755" s="256"/>
    </row>
    <row r="1756" spans="1:15">
      <c r="A1756" s="207"/>
      <c r="B1756" s="207"/>
      <c r="N1756" s="4"/>
      <c r="O1756" s="256"/>
    </row>
    <row r="1757" spans="1:15">
      <c r="A1757" s="207"/>
      <c r="B1757" s="207"/>
      <c r="N1757" s="4"/>
      <c r="O1757" s="256"/>
    </row>
    <row r="1758" spans="1:15">
      <c r="A1758" s="207"/>
      <c r="B1758" s="207"/>
      <c r="N1758" s="4"/>
      <c r="O1758" s="256"/>
    </row>
    <row r="1759" spans="1:15">
      <c r="A1759" s="207"/>
      <c r="B1759" s="207"/>
      <c r="N1759" s="4"/>
      <c r="O1759" s="256"/>
    </row>
    <row r="1760" spans="1:15">
      <c r="A1760" s="207"/>
      <c r="B1760" s="207"/>
      <c r="N1760" s="4"/>
      <c r="O1760" s="256"/>
    </row>
    <row r="1761" spans="1:15">
      <c r="A1761" s="207"/>
      <c r="B1761" s="207"/>
      <c r="N1761" s="4"/>
      <c r="O1761" s="256"/>
    </row>
    <row r="1762" spans="1:15">
      <c r="A1762" s="207"/>
      <c r="B1762" s="207"/>
      <c r="N1762" s="4"/>
      <c r="O1762" s="256"/>
    </row>
    <row r="1763" spans="1:15">
      <c r="A1763" s="207"/>
      <c r="B1763" s="207"/>
      <c r="N1763" s="4"/>
      <c r="O1763" s="256"/>
    </row>
    <row r="1764" spans="1:15">
      <c r="A1764" s="207"/>
      <c r="B1764" s="207"/>
      <c r="N1764" s="4"/>
      <c r="O1764" s="256"/>
    </row>
    <row r="1765" spans="1:15">
      <c r="A1765" s="207"/>
      <c r="B1765" s="207"/>
      <c r="N1765" s="4"/>
      <c r="O1765" s="256"/>
    </row>
    <row r="1766" spans="1:15">
      <c r="A1766" s="207"/>
      <c r="B1766" s="207"/>
      <c r="N1766" s="4"/>
      <c r="O1766" s="256"/>
    </row>
    <row r="1767" spans="1:15">
      <c r="A1767" s="207"/>
      <c r="B1767" s="207"/>
      <c r="N1767" s="4"/>
      <c r="O1767" s="256"/>
    </row>
    <row r="1768" spans="1:15">
      <c r="A1768" s="207"/>
      <c r="B1768" s="207"/>
      <c r="N1768" s="4"/>
      <c r="O1768" s="256"/>
    </row>
    <row r="1769" spans="1:15">
      <c r="A1769" s="207"/>
      <c r="B1769" s="207"/>
      <c r="N1769" s="4"/>
      <c r="O1769" s="256"/>
    </row>
    <row r="1770" spans="1:15">
      <c r="A1770" s="207"/>
      <c r="B1770" s="207"/>
      <c r="N1770" s="4"/>
      <c r="O1770" s="256"/>
    </row>
    <row r="1771" spans="1:15">
      <c r="A1771" s="207"/>
      <c r="B1771" s="207"/>
      <c r="N1771" s="4"/>
      <c r="O1771" s="256"/>
    </row>
    <row r="1772" spans="1:15">
      <c r="A1772" s="207"/>
      <c r="B1772" s="207"/>
      <c r="N1772" s="4"/>
      <c r="O1772" s="256"/>
    </row>
    <row r="1773" spans="1:15">
      <c r="A1773" s="207"/>
      <c r="B1773" s="207"/>
      <c r="N1773" s="4"/>
      <c r="O1773" s="256"/>
    </row>
    <row r="1774" spans="1:15">
      <c r="A1774" s="207"/>
      <c r="B1774" s="207"/>
      <c r="N1774" s="4"/>
      <c r="O1774" s="256"/>
    </row>
    <row r="1775" spans="1:15">
      <c r="A1775" s="207"/>
      <c r="B1775" s="207"/>
      <c r="N1775" s="4"/>
      <c r="O1775" s="256"/>
    </row>
    <row r="1776" spans="1:15">
      <c r="A1776" s="207"/>
      <c r="B1776" s="207"/>
      <c r="N1776" s="4"/>
      <c r="O1776" s="256"/>
    </row>
    <row r="1777" spans="1:15">
      <c r="A1777" s="207"/>
      <c r="B1777" s="207"/>
      <c r="N1777" s="4"/>
      <c r="O1777" s="256"/>
    </row>
    <row r="1778" spans="1:15">
      <c r="A1778" s="207"/>
      <c r="B1778" s="207"/>
      <c r="N1778" s="4"/>
      <c r="O1778" s="256"/>
    </row>
    <row r="1779" spans="1:15">
      <c r="A1779" s="207"/>
      <c r="B1779" s="207"/>
      <c r="N1779" s="4"/>
      <c r="O1779" s="256"/>
    </row>
    <row r="1780" spans="1:15">
      <c r="A1780" s="207"/>
      <c r="B1780" s="207"/>
      <c r="N1780" s="4"/>
      <c r="O1780" s="256"/>
    </row>
    <row r="1781" spans="1:15">
      <c r="A1781" s="207"/>
      <c r="B1781" s="207"/>
      <c r="N1781" s="4"/>
      <c r="O1781" s="256"/>
    </row>
    <row r="1782" spans="1:15">
      <c r="A1782" s="207"/>
      <c r="B1782" s="207"/>
      <c r="N1782" s="4"/>
      <c r="O1782" s="256"/>
    </row>
    <row r="1783" spans="1:15">
      <c r="A1783" s="207"/>
      <c r="B1783" s="207"/>
      <c r="N1783" s="4"/>
      <c r="O1783" s="256"/>
    </row>
    <row r="1784" spans="1:15">
      <c r="A1784" s="207"/>
      <c r="B1784" s="207"/>
      <c r="N1784" s="4"/>
      <c r="O1784" s="256"/>
    </row>
    <row r="1785" spans="1:15">
      <c r="A1785" s="207"/>
      <c r="B1785" s="207"/>
      <c r="N1785" s="4"/>
      <c r="O1785" s="256"/>
    </row>
    <row r="1786" spans="1:15">
      <c r="A1786" s="207"/>
      <c r="B1786" s="207"/>
      <c r="N1786" s="4"/>
      <c r="O1786" s="256"/>
    </row>
    <row r="1787" spans="1:15">
      <c r="A1787" s="207"/>
      <c r="B1787" s="207"/>
      <c r="N1787" s="4"/>
      <c r="O1787" s="256"/>
    </row>
    <row r="1788" spans="1:15">
      <c r="A1788" s="207"/>
      <c r="B1788" s="207"/>
      <c r="N1788" s="4"/>
      <c r="O1788" s="256"/>
    </row>
    <row r="1789" spans="1:15">
      <c r="A1789" s="207"/>
      <c r="B1789" s="207"/>
      <c r="N1789" s="4"/>
      <c r="O1789" s="256"/>
    </row>
    <row r="1790" spans="1:15">
      <c r="A1790" s="207"/>
      <c r="B1790" s="207"/>
      <c r="N1790" s="4"/>
      <c r="O1790" s="256"/>
    </row>
    <row r="1791" spans="1:15">
      <c r="A1791" s="207"/>
      <c r="B1791" s="207"/>
      <c r="N1791" s="4"/>
      <c r="O1791" s="256"/>
    </row>
    <row r="1792" spans="1:15">
      <c r="A1792" s="207"/>
      <c r="B1792" s="207"/>
      <c r="N1792" s="4"/>
      <c r="O1792" s="256"/>
    </row>
    <row r="1793" spans="1:15">
      <c r="A1793" s="207"/>
      <c r="B1793" s="207"/>
      <c r="N1793" s="4"/>
      <c r="O1793" s="256"/>
    </row>
    <row r="1794" spans="1:15">
      <c r="A1794" s="207"/>
      <c r="B1794" s="207"/>
      <c r="N1794" s="4"/>
      <c r="O1794" s="256"/>
    </row>
    <row r="1795" spans="1:15">
      <c r="A1795" s="207"/>
      <c r="B1795" s="207"/>
      <c r="N1795" s="4"/>
      <c r="O1795" s="256"/>
    </row>
    <row r="1796" spans="1:15">
      <c r="A1796" s="207"/>
      <c r="B1796" s="207"/>
      <c r="N1796" s="4"/>
      <c r="O1796" s="256"/>
    </row>
    <row r="1797" spans="1:15">
      <c r="A1797" s="207"/>
      <c r="B1797" s="207"/>
      <c r="N1797" s="4"/>
      <c r="O1797" s="256"/>
    </row>
    <row r="1798" spans="1:15">
      <c r="A1798" s="207"/>
      <c r="B1798" s="207"/>
      <c r="N1798" s="4"/>
      <c r="O1798" s="256"/>
    </row>
    <row r="1799" spans="1:15">
      <c r="A1799" s="207"/>
      <c r="B1799" s="207"/>
      <c r="N1799" s="4"/>
      <c r="O1799" s="256"/>
    </row>
    <row r="1800" spans="1:15">
      <c r="A1800" s="207"/>
      <c r="B1800" s="207"/>
      <c r="N1800" s="4"/>
      <c r="O1800" s="256"/>
    </row>
    <row r="1801" spans="1:15">
      <c r="A1801" s="207"/>
      <c r="B1801" s="207"/>
      <c r="N1801" s="4"/>
      <c r="O1801" s="256"/>
    </row>
    <row r="1802" spans="1:15">
      <c r="A1802" s="207"/>
      <c r="B1802" s="207"/>
      <c r="N1802" s="4"/>
      <c r="O1802" s="256"/>
    </row>
    <row r="1803" spans="1:15">
      <c r="A1803" s="207"/>
      <c r="B1803" s="207"/>
      <c r="N1803" s="4"/>
      <c r="O1803" s="256"/>
    </row>
    <row r="1804" spans="1:15">
      <c r="A1804" s="207"/>
      <c r="B1804" s="207"/>
      <c r="N1804" s="4"/>
      <c r="O1804" s="256"/>
    </row>
    <row r="1805" spans="1:15">
      <c r="A1805" s="207"/>
      <c r="B1805" s="207"/>
      <c r="N1805" s="4"/>
      <c r="O1805" s="256"/>
    </row>
    <row r="1806" spans="1:15">
      <c r="A1806" s="207"/>
      <c r="B1806" s="207"/>
      <c r="N1806" s="4"/>
      <c r="O1806" s="256"/>
    </row>
    <row r="1807" spans="1:15">
      <c r="A1807" s="207"/>
      <c r="B1807" s="207"/>
      <c r="N1807" s="4"/>
      <c r="O1807" s="256"/>
    </row>
    <row r="1808" spans="1:15">
      <c r="A1808" s="207"/>
      <c r="B1808" s="207"/>
      <c r="N1808" s="4"/>
      <c r="O1808" s="256"/>
    </row>
    <row r="1809" spans="1:15">
      <c r="A1809" s="207"/>
      <c r="B1809" s="207"/>
      <c r="N1809" s="4"/>
      <c r="O1809" s="256"/>
    </row>
    <row r="1810" spans="1:15">
      <c r="A1810" s="207"/>
      <c r="B1810" s="207"/>
      <c r="N1810" s="4"/>
      <c r="O1810" s="256"/>
    </row>
    <row r="1811" spans="1:15">
      <c r="A1811" s="207"/>
      <c r="B1811" s="207"/>
      <c r="N1811" s="4"/>
      <c r="O1811" s="256"/>
    </row>
    <row r="1812" spans="1:15">
      <c r="A1812" s="207"/>
      <c r="B1812" s="207"/>
      <c r="N1812" s="4"/>
      <c r="O1812" s="256"/>
    </row>
    <row r="1813" spans="1:15">
      <c r="A1813" s="207"/>
      <c r="B1813" s="207"/>
      <c r="N1813" s="4"/>
      <c r="O1813" s="256"/>
    </row>
    <row r="1814" spans="1:15">
      <c r="A1814" s="207"/>
      <c r="B1814" s="207"/>
      <c r="N1814" s="4"/>
      <c r="O1814" s="256"/>
    </row>
    <row r="1815" spans="1:15">
      <c r="A1815" s="207"/>
      <c r="B1815" s="207"/>
      <c r="N1815" s="4"/>
      <c r="O1815" s="256"/>
    </row>
    <row r="1816" spans="1:15">
      <c r="A1816" s="207"/>
      <c r="B1816" s="207"/>
      <c r="N1816" s="4"/>
      <c r="O1816" s="256"/>
    </row>
    <row r="1817" spans="1:15">
      <c r="A1817" s="207"/>
      <c r="B1817" s="207"/>
      <c r="N1817" s="4"/>
      <c r="O1817" s="256"/>
    </row>
    <row r="1818" spans="1:15">
      <c r="A1818" s="207"/>
      <c r="B1818" s="207"/>
      <c r="N1818" s="4"/>
      <c r="O1818" s="256"/>
    </row>
    <row r="1819" spans="1:15">
      <c r="A1819" s="207"/>
      <c r="B1819" s="207"/>
      <c r="N1819" s="4"/>
      <c r="O1819" s="256"/>
    </row>
    <row r="1820" spans="1:15">
      <c r="A1820" s="207"/>
      <c r="B1820" s="207"/>
      <c r="N1820" s="4"/>
      <c r="O1820" s="256"/>
    </row>
    <row r="1821" spans="1:15">
      <c r="A1821" s="207"/>
      <c r="B1821" s="207"/>
      <c r="N1821" s="4"/>
      <c r="O1821" s="256"/>
    </row>
    <row r="1822" spans="1:15">
      <c r="A1822" s="207"/>
      <c r="B1822" s="207"/>
      <c r="N1822" s="4"/>
      <c r="O1822" s="256"/>
    </row>
    <row r="1823" spans="1:15">
      <c r="A1823" s="207"/>
      <c r="B1823" s="207"/>
      <c r="N1823" s="4"/>
      <c r="O1823" s="256"/>
    </row>
    <row r="1824" spans="1:15">
      <c r="A1824" s="207"/>
      <c r="B1824" s="207"/>
      <c r="N1824" s="4"/>
      <c r="O1824" s="256"/>
    </row>
    <row r="1825" spans="1:15">
      <c r="A1825" s="207"/>
      <c r="B1825" s="207"/>
      <c r="N1825" s="4"/>
      <c r="O1825" s="256"/>
    </row>
    <row r="1826" spans="1:15">
      <c r="A1826" s="207"/>
      <c r="B1826" s="207"/>
      <c r="N1826" s="4"/>
      <c r="O1826" s="256"/>
    </row>
    <row r="1827" spans="1:15">
      <c r="A1827" s="207"/>
      <c r="B1827" s="207"/>
      <c r="N1827" s="4"/>
      <c r="O1827" s="256"/>
    </row>
    <row r="1828" spans="1:15">
      <c r="A1828" s="207"/>
      <c r="B1828" s="207"/>
      <c r="N1828" s="4"/>
      <c r="O1828" s="256"/>
    </row>
    <row r="1829" spans="1:15">
      <c r="A1829" s="207"/>
      <c r="B1829" s="207"/>
      <c r="N1829" s="4"/>
      <c r="O1829" s="256"/>
    </row>
    <row r="1830" spans="1:15">
      <c r="A1830" s="207"/>
      <c r="B1830" s="207"/>
      <c r="N1830" s="4"/>
      <c r="O1830" s="256"/>
    </row>
    <row r="1831" spans="1:15">
      <c r="A1831" s="207"/>
      <c r="B1831" s="207"/>
      <c r="N1831" s="4"/>
      <c r="O1831" s="256"/>
    </row>
    <row r="1832" spans="1:15">
      <c r="A1832" s="207"/>
      <c r="B1832" s="207"/>
      <c r="N1832" s="4"/>
      <c r="O1832" s="256"/>
    </row>
    <row r="1833" spans="1:15">
      <c r="A1833" s="207"/>
      <c r="B1833" s="207"/>
      <c r="N1833" s="4"/>
      <c r="O1833" s="256"/>
    </row>
    <row r="1834" spans="1:15">
      <c r="A1834" s="207"/>
      <c r="B1834" s="207"/>
      <c r="N1834" s="4"/>
      <c r="O1834" s="256"/>
    </row>
    <row r="1835" spans="1:15">
      <c r="A1835" s="207"/>
      <c r="B1835" s="207"/>
      <c r="N1835" s="4"/>
      <c r="O1835" s="256"/>
    </row>
    <row r="1836" spans="1:15">
      <c r="A1836" s="207"/>
      <c r="B1836" s="207"/>
      <c r="N1836" s="4"/>
      <c r="O1836" s="256"/>
    </row>
    <row r="1837" spans="1:15">
      <c r="A1837" s="207"/>
      <c r="B1837" s="207"/>
      <c r="N1837" s="4"/>
      <c r="O1837" s="256"/>
    </row>
    <row r="1838" spans="1:15">
      <c r="A1838" s="207"/>
      <c r="B1838" s="207"/>
      <c r="N1838" s="4"/>
      <c r="O1838" s="256"/>
    </row>
    <row r="1839" spans="1:15">
      <c r="A1839" s="207"/>
      <c r="B1839" s="207"/>
      <c r="N1839" s="4"/>
      <c r="O1839" s="256"/>
    </row>
    <row r="1840" spans="1:15">
      <c r="A1840" s="207"/>
      <c r="B1840" s="207"/>
      <c r="N1840" s="4"/>
      <c r="O1840" s="256"/>
    </row>
    <row r="1841" spans="1:15">
      <c r="A1841" s="207"/>
      <c r="B1841" s="207"/>
      <c r="N1841" s="4"/>
      <c r="O1841" s="256"/>
    </row>
    <row r="1842" spans="1:15">
      <c r="A1842" s="207"/>
      <c r="B1842" s="207"/>
      <c r="N1842" s="4"/>
      <c r="O1842" s="256"/>
    </row>
    <row r="1843" spans="1:15">
      <c r="A1843" s="207"/>
      <c r="B1843" s="207"/>
      <c r="N1843" s="4"/>
      <c r="O1843" s="256"/>
    </row>
    <row r="1844" spans="1:15">
      <c r="A1844" s="207"/>
      <c r="B1844" s="207"/>
      <c r="N1844" s="4"/>
      <c r="O1844" s="256"/>
    </row>
    <row r="1845" spans="1:15">
      <c r="A1845" s="207"/>
      <c r="B1845" s="207"/>
      <c r="N1845" s="4"/>
      <c r="O1845" s="256"/>
    </row>
    <row r="1846" spans="1:15">
      <c r="A1846" s="207"/>
      <c r="B1846" s="207"/>
      <c r="N1846" s="4"/>
      <c r="O1846" s="256"/>
    </row>
    <row r="1847" spans="1:15">
      <c r="A1847" s="207"/>
      <c r="B1847" s="207"/>
      <c r="N1847" s="4"/>
      <c r="O1847" s="256"/>
    </row>
    <row r="1848" spans="1:15">
      <c r="A1848" s="207"/>
      <c r="B1848" s="207"/>
      <c r="N1848" s="4"/>
      <c r="O1848" s="256"/>
    </row>
    <row r="1849" spans="1:15">
      <c r="A1849" s="207"/>
      <c r="B1849" s="207"/>
      <c r="N1849" s="4"/>
      <c r="O1849" s="256"/>
    </row>
    <row r="1850" spans="1:15">
      <c r="A1850" s="207"/>
      <c r="B1850" s="207"/>
      <c r="N1850" s="4"/>
      <c r="O1850" s="256"/>
    </row>
    <row r="1851" spans="1:15">
      <c r="A1851" s="207"/>
      <c r="B1851" s="207"/>
      <c r="N1851" s="4"/>
      <c r="O1851" s="256"/>
    </row>
    <row r="1852" spans="1:15">
      <c r="A1852" s="207"/>
      <c r="B1852" s="207"/>
      <c r="N1852" s="4"/>
      <c r="O1852" s="256"/>
    </row>
    <row r="1853" spans="1:15">
      <c r="A1853" s="207"/>
      <c r="B1853" s="207"/>
      <c r="N1853" s="4"/>
      <c r="O1853" s="256"/>
    </row>
    <row r="1854" spans="1:15">
      <c r="A1854" s="207"/>
      <c r="B1854" s="207"/>
      <c r="N1854" s="4"/>
      <c r="O1854" s="256"/>
    </row>
    <row r="1855" spans="1:15">
      <c r="A1855" s="207"/>
      <c r="B1855" s="207"/>
      <c r="N1855" s="4"/>
      <c r="O1855" s="256"/>
    </row>
    <row r="1856" spans="1:15">
      <c r="A1856" s="207"/>
      <c r="B1856" s="207"/>
      <c r="N1856" s="4"/>
      <c r="O1856" s="256"/>
    </row>
    <row r="1857" spans="1:15">
      <c r="A1857" s="207"/>
      <c r="B1857" s="207"/>
      <c r="N1857" s="4"/>
      <c r="O1857" s="256"/>
    </row>
    <row r="1858" spans="1:15">
      <c r="A1858" s="207"/>
      <c r="B1858" s="207"/>
      <c r="N1858" s="4"/>
      <c r="O1858" s="256"/>
    </row>
    <row r="1859" spans="1:15">
      <c r="A1859" s="207"/>
      <c r="B1859" s="207"/>
      <c r="N1859" s="4"/>
      <c r="O1859" s="256"/>
    </row>
    <row r="1860" spans="1:15">
      <c r="A1860" s="207"/>
      <c r="B1860" s="207"/>
      <c r="N1860" s="4"/>
      <c r="O1860" s="256"/>
    </row>
    <row r="1861" spans="1:15">
      <c r="A1861" s="207"/>
      <c r="B1861" s="207"/>
      <c r="N1861" s="4"/>
      <c r="O1861" s="256"/>
    </row>
    <row r="1862" spans="1:15">
      <c r="A1862" s="207"/>
      <c r="B1862" s="207"/>
      <c r="N1862" s="4"/>
      <c r="O1862" s="256"/>
    </row>
    <row r="1863" spans="1:15">
      <c r="A1863" s="207"/>
      <c r="B1863" s="207"/>
      <c r="N1863" s="4"/>
      <c r="O1863" s="256"/>
    </row>
    <row r="1864" spans="1:15">
      <c r="A1864" s="207"/>
      <c r="B1864" s="207"/>
      <c r="N1864" s="4"/>
      <c r="O1864" s="256"/>
    </row>
    <row r="1865" spans="1:15">
      <c r="A1865" s="207"/>
      <c r="B1865" s="207"/>
      <c r="N1865" s="4"/>
      <c r="O1865" s="256"/>
    </row>
    <row r="1866" spans="1:15">
      <c r="A1866" s="207"/>
      <c r="B1866" s="207"/>
      <c r="N1866" s="4"/>
      <c r="O1866" s="256"/>
    </row>
    <row r="1867" spans="1:15">
      <c r="A1867" s="207"/>
      <c r="B1867" s="207"/>
      <c r="N1867" s="4"/>
      <c r="O1867" s="256"/>
    </row>
    <row r="1868" spans="1:15">
      <c r="A1868" s="207"/>
      <c r="B1868" s="207"/>
      <c r="N1868" s="4"/>
      <c r="O1868" s="256"/>
    </row>
    <row r="1869" spans="1:15">
      <c r="A1869" s="207"/>
      <c r="B1869" s="207"/>
      <c r="N1869" s="4"/>
      <c r="O1869" s="256"/>
    </row>
    <row r="1870" spans="1:15">
      <c r="A1870" s="207"/>
      <c r="B1870" s="207"/>
      <c r="N1870" s="4"/>
      <c r="O1870" s="256"/>
    </row>
    <row r="1871" spans="1:15">
      <c r="A1871" s="207"/>
      <c r="B1871" s="207"/>
      <c r="N1871" s="4"/>
      <c r="O1871" s="256"/>
    </row>
    <row r="1872" spans="1:15">
      <c r="A1872" s="207"/>
      <c r="B1872" s="207"/>
      <c r="N1872" s="4"/>
      <c r="O1872" s="256"/>
    </row>
    <row r="1873" spans="1:15">
      <c r="A1873" s="207"/>
      <c r="B1873" s="207"/>
      <c r="N1873" s="4"/>
      <c r="O1873" s="256"/>
    </row>
    <row r="1874" spans="1:15">
      <c r="A1874" s="207"/>
      <c r="B1874" s="207"/>
      <c r="N1874" s="4"/>
      <c r="O1874" s="256"/>
    </row>
    <row r="1875" spans="1:15">
      <c r="A1875" s="207"/>
      <c r="B1875" s="207"/>
      <c r="N1875" s="4"/>
      <c r="O1875" s="256"/>
    </row>
    <row r="1876" spans="1:15">
      <c r="A1876" s="207"/>
      <c r="B1876" s="207"/>
      <c r="N1876" s="4"/>
      <c r="O1876" s="256"/>
    </row>
    <row r="1877" spans="1:15">
      <c r="A1877" s="207"/>
      <c r="B1877" s="207"/>
      <c r="N1877" s="4"/>
      <c r="O1877" s="256"/>
    </row>
    <row r="1878" spans="1:15">
      <c r="A1878" s="207"/>
      <c r="B1878" s="207"/>
      <c r="N1878" s="4"/>
      <c r="O1878" s="256"/>
    </row>
    <row r="1879" spans="1:15">
      <c r="A1879" s="207"/>
      <c r="B1879" s="207"/>
      <c r="N1879" s="4"/>
      <c r="O1879" s="256"/>
    </row>
    <row r="1880" spans="1:15">
      <c r="A1880" s="207"/>
      <c r="B1880" s="207"/>
      <c r="N1880" s="4"/>
      <c r="O1880" s="256"/>
    </row>
    <row r="1881" spans="1:15">
      <c r="A1881" s="207"/>
      <c r="B1881" s="207"/>
      <c r="N1881" s="4"/>
      <c r="O1881" s="256"/>
    </row>
    <row r="1882" spans="1:15">
      <c r="A1882" s="207"/>
      <c r="B1882" s="207"/>
      <c r="N1882" s="4"/>
      <c r="O1882" s="256"/>
    </row>
    <row r="1883" spans="1:15">
      <c r="A1883" s="207"/>
      <c r="B1883" s="207"/>
      <c r="N1883" s="4"/>
      <c r="O1883" s="256"/>
    </row>
    <row r="1884" spans="1:15">
      <c r="A1884" s="207"/>
      <c r="B1884" s="207"/>
      <c r="N1884" s="4"/>
      <c r="O1884" s="256"/>
    </row>
    <row r="1885" spans="1:15">
      <c r="A1885" s="207"/>
      <c r="B1885" s="207"/>
      <c r="N1885" s="4"/>
      <c r="O1885" s="256"/>
    </row>
    <row r="1886" spans="1:15">
      <c r="A1886" s="207"/>
      <c r="B1886" s="207"/>
      <c r="N1886" s="4"/>
      <c r="O1886" s="256"/>
    </row>
    <row r="1887" spans="1:15">
      <c r="A1887" s="207"/>
      <c r="B1887" s="207"/>
      <c r="N1887" s="4"/>
      <c r="O1887" s="256"/>
    </row>
    <row r="1888" spans="1:15">
      <c r="A1888" s="207"/>
      <c r="B1888" s="207"/>
      <c r="N1888" s="4"/>
      <c r="O1888" s="256"/>
    </row>
    <row r="1889" spans="1:15">
      <c r="A1889" s="207"/>
      <c r="B1889" s="207"/>
      <c r="N1889" s="4"/>
      <c r="O1889" s="256"/>
    </row>
    <row r="1890" spans="1:15">
      <c r="A1890" s="207"/>
      <c r="B1890" s="207"/>
      <c r="N1890" s="4"/>
      <c r="O1890" s="256"/>
    </row>
    <row r="1891" spans="1:15">
      <c r="A1891" s="207"/>
      <c r="B1891" s="207"/>
      <c r="N1891" s="4"/>
      <c r="O1891" s="256"/>
    </row>
    <row r="1892" spans="1:15">
      <c r="A1892" s="207"/>
      <c r="B1892" s="207"/>
      <c r="N1892" s="4"/>
      <c r="O1892" s="256"/>
    </row>
    <row r="1893" spans="1:15">
      <c r="A1893" s="207"/>
      <c r="B1893" s="207"/>
      <c r="N1893" s="4"/>
      <c r="O1893" s="256"/>
    </row>
    <row r="1894" spans="1:15">
      <c r="A1894" s="207"/>
      <c r="B1894" s="207"/>
      <c r="N1894" s="4"/>
      <c r="O1894" s="256"/>
    </row>
    <row r="1895" spans="1:15">
      <c r="A1895" s="207"/>
      <c r="B1895" s="207"/>
      <c r="N1895" s="4"/>
      <c r="O1895" s="256"/>
    </row>
    <row r="1896" spans="1:15">
      <c r="A1896" s="207"/>
      <c r="B1896" s="207"/>
      <c r="N1896" s="4"/>
      <c r="O1896" s="256"/>
    </row>
    <row r="1897" spans="1:15">
      <c r="A1897" s="207"/>
      <c r="B1897" s="207"/>
      <c r="N1897" s="4"/>
      <c r="O1897" s="256"/>
    </row>
    <row r="1898" spans="1:15">
      <c r="A1898" s="207"/>
      <c r="B1898" s="207"/>
      <c r="N1898" s="4"/>
      <c r="O1898" s="256"/>
    </row>
    <row r="1899" spans="1:15">
      <c r="A1899" s="207"/>
      <c r="B1899" s="207"/>
      <c r="N1899" s="4"/>
      <c r="O1899" s="256"/>
    </row>
    <row r="1900" spans="1:15">
      <c r="A1900" s="207"/>
      <c r="B1900" s="207"/>
      <c r="N1900" s="4"/>
      <c r="O1900" s="256"/>
    </row>
    <row r="1901" spans="1:15">
      <c r="A1901" s="207"/>
      <c r="B1901" s="207"/>
      <c r="N1901" s="4"/>
      <c r="O1901" s="256"/>
    </row>
    <row r="1902" spans="1:15">
      <c r="A1902" s="207"/>
      <c r="B1902" s="207"/>
      <c r="N1902" s="4"/>
      <c r="O1902" s="256"/>
    </row>
    <row r="1903" spans="1:15">
      <c r="A1903" s="207"/>
      <c r="B1903" s="207"/>
      <c r="N1903" s="4"/>
      <c r="O1903" s="256"/>
    </row>
    <row r="1904" spans="1:15">
      <c r="A1904" s="207"/>
      <c r="B1904" s="207"/>
      <c r="N1904" s="4"/>
      <c r="O1904" s="256"/>
    </row>
    <row r="1905" spans="1:15">
      <c r="A1905" s="207"/>
      <c r="B1905" s="207"/>
      <c r="N1905" s="4"/>
      <c r="O1905" s="256"/>
    </row>
    <row r="1906" spans="1:15">
      <c r="A1906" s="207"/>
      <c r="B1906" s="207"/>
      <c r="N1906" s="4"/>
      <c r="O1906" s="256"/>
    </row>
    <row r="1907" spans="1:15">
      <c r="A1907" s="207"/>
      <c r="B1907" s="207"/>
      <c r="N1907" s="4"/>
      <c r="O1907" s="256"/>
    </row>
    <row r="1908" spans="1:15">
      <c r="A1908" s="207"/>
      <c r="B1908" s="207"/>
      <c r="N1908" s="4"/>
      <c r="O1908" s="256"/>
    </row>
    <row r="1909" spans="1:15">
      <c r="A1909" s="207"/>
      <c r="B1909" s="207"/>
      <c r="N1909" s="4"/>
      <c r="O1909" s="256"/>
    </row>
    <row r="1910" spans="1:15">
      <c r="A1910" s="207"/>
      <c r="B1910" s="207"/>
      <c r="N1910" s="4"/>
      <c r="O1910" s="256"/>
    </row>
    <row r="1911" spans="1:15">
      <c r="A1911" s="207"/>
      <c r="B1911" s="207"/>
      <c r="N1911" s="4"/>
      <c r="O1911" s="256"/>
    </row>
    <row r="1912" spans="1:15">
      <c r="A1912" s="207"/>
      <c r="B1912" s="207"/>
      <c r="N1912" s="4"/>
      <c r="O1912" s="256"/>
    </row>
    <row r="1913" spans="1:15">
      <c r="A1913" s="207"/>
      <c r="B1913" s="207"/>
      <c r="N1913" s="4"/>
      <c r="O1913" s="256"/>
    </row>
    <row r="1914" spans="1:15">
      <c r="A1914" s="207"/>
      <c r="B1914" s="207"/>
      <c r="N1914" s="4"/>
      <c r="O1914" s="256"/>
    </row>
    <row r="1915" spans="1:15">
      <c r="A1915" s="207"/>
      <c r="B1915" s="207"/>
      <c r="N1915" s="4"/>
      <c r="O1915" s="256"/>
    </row>
    <row r="1916" spans="1:15">
      <c r="A1916" s="207"/>
      <c r="B1916" s="207"/>
      <c r="N1916" s="4"/>
      <c r="O1916" s="256"/>
    </row>
    <row r="1917" spans="1:15">
      <c r="A1917" s="207"/>
      <c r="B1917" s="207"/>
      <c r="N1917" s="4"/>
      <c r="O1917" s="256"/>
    </row>
    <row r="1918" spans="1:15">
      <c r="A1918" s="207"/>
      <c r="B1918" s="207"/>
      <c r="N1918" s="4"/>
      <c r="O1918" s="256"/>
    </row>
    <row r="1919" spans="1:15">
      <c r="A1919" s="207"/>
      <c r="B1919" s="207"/>
      <c r="N1919" s="4"/>
      <c r="O1919" s="256"/>
    </row>
    <row r="1920" spans="1:15">
      <c r="A1920" s="207"/>
      <c r="B1920" s="207"/>
      <c r="N1920" s="4"/>
      <c r="O1920" s="256"/>
    </row>
    <row r="1921" spans="1:15">
      <c r="A1921" s="207"/>
      <c r="B1921" s="207"/>
      <c r="N1921" s="4"/>
      <c r="O1921" s="256"/>
    </row>
    <row r="1922" spans="1:15">
      <c r="A1922" s="207"/>
      <c r="B1922" s="207"/>
      <c r="N1922" s="4"/>
      <c r="O1922" s="256"/>
    </row>
    <row r="1923" spans="1:15">
      <c r="A1923" s="207"/>
      <c r="B1923" s="207"/>
      <c r="N1923" s="4"/>
      <c r="O1923" s="256"/>
    </row>
    <row r="1924" spans="1:15">
      <c r="A1924" s="207"/>
      <c r="B1924" s="207"/>
      <c r="N1924" s="4"/>
      <c r="O1924" s="256"/>
    </row>
    <row r="1925" spans="1:15">
      <c r="A1925" s="207"/>
      <c r="B1925" s="207"/>
      <c r="N1925" s="4"/>
      <c r="O1925" s="256"/>
    </row>
    <row r="1926" spans="1:15">
      <c r="A1926" s="207"/>
      <c r="B1926" s="207"/>
      <c r="N1926" s="4"/>
      <c r="O1926" s="256"/>
    </row>
    <row r="1927" spans="1:15">
      <c r="A1927" s="207"/>
      <c r="B1927" s="207"/>
      <c r="N1927" s="4"/>
      <c r="O1927" s="256"/>
    </row>
    <row r="1928" spans="1:15">
      <c r="A1928" s="207"/>
      <c r="B1928" s="207"/>
      <c r="N1928" s="4"/>
      <c r="O1928" s="256"/>
    </row>
    <row r="1929" spans="1:15">
      <c r="A1929" s="207"/>
      <c r="B1929" s="207"/>
      <c r="N1929" s="4"/>
      <c r="O1929" s="256"/>
    </row>
    <row r="1930" spans="1:15">
      <c r="A1930" s="207"/>
      <c r="B1930" s="207"/>
      <c r="N1930" s="4"/>
      <c r="O1930" s="256"/>
    </row>
    <row r="1931" spans="1:15">
      <c r="A1931" s="207"/>
      <c r="B1931" s="207"/>
      <c r="N1931" s="4"/>
      <c r="O1931" s="256"/>
    </row>
    <row r="1932" spans="1:15">
      <c r="A1932" s="207"/>
      <c r="B1932" s="207"/>
      <c r="N1932" s="4"/>
      <c r="O1932" s="256"/>
    </row>
    <row r="1933" spans="1:15">
      <c r="A1933" s="207"/>
      <c r="B1933" s="207"/>
      <c r="N1933" s="4"/>
      <c r="O1933" s="256"/>
    </row>
    <row r="1934" spans="1:15">
      <c r="A1934" s="207"/>
      <c r="B1934" s="207"/>
      <c r="N1934" s="4"/>
      <c r="O1934" s="256"/>
    </row>
    <row r="1935" spans="1:15">
      <c r="A1935" s="207"/>
      <c r="B1935" s="207"/>
      <c r="N1935" s="4"/>
      <c r="O1935" s="256"/>
    </row>
    <row r="1936" spans="1:15">
      <c r="A1936" s="207"/>
      <c r="B1936" s="207"/>
      <c r="N1936" s="4"/>
      <c r="O1936" s="256"/>
    </row>
    <row r="1937" spans="1:15">
      <c r="A1937" s="207"/>
      <c r="B1937" s="207"/>
      <c r="N1937" s="4"/>
      <c r="O1937" s="256"/>
    </row>
    <row r="1938" spans="1:15">
      <c r="A1938" s="207"/>
      <c r="B1938" s="207"/>
      <c r="N1938" s="4"/>
      <c r="O1938" s="256"/>
    </row>
    <row r="1939" spans="1:15">
      <c r="A1939" s="207"/>
      <c r="B1939" s="207"/>
      <c r="N1939" s="4"/>
      <c r="O1939" s="256"/>
    </row>
    <row r="1940" spans="1:15">
      <c r="A1940" s="207"/>
      <c r="B1940" s="207"/>
      <c r="N1940" s="4"/>
      <c r="O1940" s="256"/>
    </row>
    <row r="1941" spans="1:15">
      <c r="A1941" s="207"/>
      <c r="B1941" s="207"/>
      <c r="N1941" s="4"/>
      <c r="O1941" s="256"/>
    </row>
    <row r="1942" spans="1:15">
      <c r="A1942" s="207"/>
      <c r="B1942" s="207"/>
      <c r="N1942" s="4"/>
      <c r="O1942" s="256"/>
    </row>
    <row r="1943" spans="1:15">
      <c r="A1943" s="207"/>
      <c r="B1943" s="207"/>
      <c r="N1943" s="4"/>
      <c r="O1943" s="256"/>
    </row>
    <row r="1944" spans="1:15">
      <c r="A1944" s="207"/>
      <c r="B1944" s="207"/>
      <c r="N1944" s="4"/>
      <c r="O1944" s="256"/>
    </row>
    <row r="1945" spans="1:15">
      <c r="A1945" s="207"/>
      <c r="B1945" s="207"/>
      <c r="N1945" s="4"/>
      <c r="O1945" s="256"/>
    </row>
    <row r="1946" spans="1:15">
      <c r="A1946" s="207"/>
      <c r="B1946" s="207"/>
      <c r="N1946" s="4"/>
      <c r="O1946" s="256"/>
    </row>
    <row r="1947" spans="1:15">
      <c r="A1947" s="207"/>
      <c r="B1947" s="207"/>
      <c r="N1947" s="4"/>
      <c r="O1947" s="256"/>
    </row>
    <row r="1948" spans="1:15">
      <c r="A1948" s="207"/>
      <c r="B1948" s="207"/>
      <c r="N1948" s="4"/>
      <c r="O1948" s="256"/>
    </row>
    <row r="1949" spans="1:15">
      <c r="A1949" s="207"/>
      <c r="B1949" s="207"/>
      <c r="N1949" s="4"/>
      <c r="O1949" s="256"/>
    </row>
    <row r="1950" spans="1:15">
      <c r="A1950" s="207"/>
      <c r="B1950" s="207"/>
      <c r="N1950" s="4"/>
      <c r="O1950" s="256"/>
    </row>
    <row r="1951" spans="1:15">
      <c r="A1951" s="207"/>
      <c r="B1951" s="207"/>
      <c r="N1951" s="4"/>
      <c r="O1951" s="256"/>
    </row>
    <row r="1952" spans="1:15">
      <c r="A1952" s="207"/>
      <c r="B1952" s="207"/>
      <c r="N1952" s="4"/>
      <c r="O1952" s="256"/>
    </row>
    <row r="1953" spans="1:15">
      <c r="A1953" s="207"/>
      <c r="B1953" s="207"/>
      <c r="N1953" s="4"/>
      <c r="O1953" s="256"/>
    </row>
    <row r="1954" spans="1:15">
      <c r="A1954" s="207"/>
      <c r="B1954" s="207"/>
      <c r="N1954" s="4"/>
      <c r="O1954" s="256"/>
    </row>
    <row r="1955" spans="1:15">
      <c r="A1955" s="207"/>
      <c r="B1955" s="207"/>
      <c r="N1955" s="4"/>
      <c r="O1955" s="256"/>
    </row>
    <row r="1956" spans="1:15">
      <c r="A1956" s="207"/>
      <c r="B1956" s="207"/>
      <c r="N1956" s="4"/>
      <c r="O1956" s="256"/>
    </row>
    <row r="1957" spans="1:15">
      <c r="A1957" s="207"/>
      <c r="B1957" s="207"/>
      <c r="N1957" s="4"/>
      <c r="O1957" s="256"/>
    </row>
    <row r="1958" spans="1:15">
      <c r="A1958" s="207"/>
      <c r="B1958" s="207"/>
      <c r="N1958" s="4"/>
      <c r="O1958" s="256"/>
    </row>
    <row r="1959" spans="1:15">
      <c r="A1959" s="207"/>
      <c r="B1959" s="207"/>
      <c r="N1959" s="4"/>
      <c r="O1959" s="256"/>
    </row>
    <row r="1960" spans="1:15">
      <c r="A1960" s="207"/>
      <c r="B1960" s="207"/>
      <c r="N1960" s="4"/>
      <c r="O1960" s="256"/>
    </row>
    <row r="1961" spans="1:15">
      <c r="A1961" s="207"/>
      <c r="B1961" s="207"/>
      <c r="N1961" s="4"/>
      <c r="O1961" s="256"/>
    </row>
    <row r="1962" spans="1:15">
      <c r="A1962" s="207"/>
      <c r="B1962" s="207"/>
      <c r="N1962" s="4"/>
      <c r="O1962" s="256"/>
    </row>
    <row r="1963" spans="1:15">
      <c r="A1963" s="207"/>
      <c r="B1963" s="207"/>
      <c r="N1963" s="4"/>
      <c r="O1963" s="256"/>
    </row>
    <row r="1964" spans="1:15">
      <c r="A1964" s="207"/>
      <c r="B1964" s="207"/>
      <c r="N1964" s="4"/>
      <c r="O1964" s="256"/>
    </row>
    <row r="1965" spans="1:15">
      <c r="A1965" s="207"/>
      <c r="B1965" s="207"/>
      <c r="N1965" s="4"/>
      <c r="O1965" s="256"/>
    </row>
    <row r="1966" spans="1:15">
      <c r="A1966" s="207"/>
      <c r="B1966" s="207"/>
      <c r="N1966" s="4"/>
      <c r="O1966" s="256"/>
    </row>
    <row r="1967" spans="1:15">
      <c r="A1967" s="207"/>
      <c r="B1967" s="207"/>
      <c r="N1967" s="4"/>
      <c r="O1967" s="256"/>
    </row>
    <row r="1968" spans="1:15">
      <c r="A1968" s="207"/>
      <c r="B1968" s="207"/>
      <c r="N1968" s="4"/>
      <c r="O1968" s="256"/>
    </row>
    <row r="1969" spans="1:15">
      <c r="A1969" s="207"/>
      <c r="B1969" s="207"/>
      <c r="N1969" s="4"/>
      <c r="O1969" s="256"/>
    </row>
    <row r="1970" spans="1:15">
      <c r="A1970" s="207"/>
      <c r="B1970" s="207"/>
      <c r="N1970" s="4"/>
      <c r="O1970" s="256"/>
    </row>
    <row r="1971" spans="1:15">
      <c r="A1971" s="207"/>
      <c r="B1971" s="207"/>
      <c r="N1971" s="4"/>
      <c r="O1971" s="256"/>
    </row>
    <row r="1972" spans="1:15">
      <c r="A1972" s="207"/>
      <c r="B1972" s="207"/>
      <c r="N1972" s="4"/>
      <c r="O1972" s="256"/>
    </row>
    <row r="1973" spans="1:15">
      <c r="A1973" s="207"/>
      <c r="B1973" s="207"/>
      <c r="N1973" s="4"/>
      <c r="O1973" s="256"/>
    </row>
    <row r="1974" spans="1:15">
      <c r="A1974" s="207"/>
      <c r="B1974" s="207"/>
      <c r="N1974" s="4"/>
      <c r="O1974" s="256"/>
    </row>
    <row r="1975" spans="1:15">
      <c r="A1975" s="207"/>
      <c r="B1975" s="207"/>
      <c r="N1975" s="4"/>
      <c r="O1975" s="256"/>
    </row>
    <row r="1976" spans="1:15">
      <c r="A1976" s="207"/>
      <c r="B1976" s="207"/>
      <c r="N1976" s="4"/>
      <c r="O1976" s="256"/>
    </row>
    <row r="1977" spans="1:15">
      <c r="A1977" s="207"/>
      <c r="B1977" s="207"/>
      <c r="N1977" s="4"/>
      <c r="O1977" s="256"/>
    </row>
    <row r="1978" spans="1:15">
      <c r="A1978" s="207"/>
      <c r="B1978" s="207"/>
      <c r="N1978" s="4"/>
      <c r="O1978" s="256"/>
    </row>
    <row r="1979" spans="1:15">
      <c r="A1979" s="207"/>
      <c r="B1979" s="207"/>
      <c r="N1979" s="4"/>
      <c r="O1979" s="256"/>
    </row>
    <row r="1980" spans="1:15">
      <c r="A1980" s="207"/>
      <c r="B1980" s="207"/>
      <c r="N1980" s="4"/>
      <c r="O1980" s="256"/>
    </row>
    <row r="1981" spans="1:15">
      <c r="A1981" s="207"/>
      <c r="B1981" s="207"/>
      <c r="N1981" s="4"/>
      <c r="O1981" s="256"/>
    </row>
    <row r="1982" spans="1:15">
      <c r="A1982" s="207"/>
      <c r="B1982" s="207"/>
      <c r="N1982" s="4"/>
      <c r="O1982" s="256"/>
    </row>
    <row r="1983" spans="1:15">
      <c r="A1983" s="207"/>
      <c r="B1983" s="207"/>
      <c r="N1983" s="4"/>
      <c r="O1983" s="256"/>
    </row>
    <row r="1984" spans="1:15">
      <c r="A1984" s="207"/>
      <c r="B1984" s="207"/>
      <c r="N1984" s="4"/>
      <c r="O1984" s="256"/>
    </row>
    <row r="1985" spans="1:15">
      <c r="A1985" s="207"/>
      <c r="B1985" s="207"/>
      <c r="N1985" s="4"/>
      <c r="O1985" s="256"/>
    </row>
    <row r="1986" spans="1:15">
      <c r="A1986" s="207"/>
      <c r="B1986" s="207"/>
      <c r="N1986" s="4"/>
      <c r="O1986" s="256"/>
    </row>
    <row r="1987" spans="1:15">
      <c r="A1987" s="207"/>
      <c r="B1987" s="207"/>
      <c r="N1987" s="4"/>
      <c r="O1987" s="256"/>
    </row>
    <row r="1988" spans="1:15">
      <c r="A1988" s="207"/>
      <c r="B1988" s="207"/>
      <c r="N1988" s="4"/>
      <c r="O1988" s="256"/>
    </row>
    <row r="1989" spans="1:15">
      <c r="A1989" s="207"/>
      <c r="B1989" s="207"/>
      <c r="N1989" s="4"/>
      <c r="O1989" s="256"/>
    </row>
    <row r="1990" spans="1:15">
      <c r="A1990" s="207"/>
      <c r="B1990" s="207"/>
      <c r="N1990" s="4"/>
      <c r="O1990" s="256"/>
    </row>
    <row r="1991" spans="1:15">
      <c r="A1991" s="207"/>
      <c r="B1991" s="207"/>
      <c r="N1991" s="4"/>
      <c r="O1991" s="256"/>
    </row>
    <row r="1992" spans="1:15">
      <c r="A1992" s="207"/>
      <c r="B1992" s="207"/>
      <c r="N1992" s="4"/>
      <c r="O1992" s="256"/>
    </row>
    <row r="1993" spans="1:15">
      <c r="A1993" s="207"/>
      <c r="B1993" s="207"/>
      <c r="N1993" s="4"/>
      <c r="O1993" s="256"/>
    </row>
    <row r="1994" spans="1:15">
      <c r="A1994" s="207"/>
      <c r="B1994" s="207"/>
      <c r="N1994" s="4"/>
      <c r="O1994" s="256"/>
    </row>
    <row r="1995" spans="1:15">
      <c r="A1995" s="207"/>
      <c r="B1995" s="207"/>
      <c r="N1995" s="4"/>
      <c r="O1995" s="256"/>
    </row>
    <row r="1996" spans="1:15">
      <c r="A1996" s="207"/>
      <c r="B1996" s="207"/>
      <c r="N1996" s="4"/>
      <c r="O1996" s="256"/>
    </row>
    <row r="1997" spans="1:15">
      <c r="A1997" s="207"/>
      <c r="B1997" s="207"/>
      <c r="N1997" s="4"/>
      <c r="O1997" s="256"/>
    </row>
    <row r="1998" spans="1:15">
      <c r="A1998" s="207"/>
      <c r="B1998" s="207"/>
      <c r="N1998" s="4"/>
      <c r="O1998" s="256"/>
    </row>
    <row r="1999" spans="1:15">
      <c r="A1999" s="207"/>
      <c r="B1999" s="207"/>
      <c r="N1999" s="4"/>
      <c r="O1999" s="256"/>
    </row>
    <row r="2000" spans="1:15">
      <c r="A2000" s="207"/>
      <c r="B2000" s="207"/>
      <c r="N2000" s="4"/>
      <c r="O2000" s="256"/>
    </row>
    <row r="2001" spans="1:15">
      <c r="A2001" s="207"/>
      <c r="B2001" s="207"/>
      <c r="N2001" s="4"/>
      <c r="O2001" s="256"/>
    </row>
    <row r="2002" spans="1:15">
      <c r="A2002" s="207"/>
      <c r="B2002" s="207"/>
      <c r="N2002" s="4"/>
      <c r="O2002" s="256"/>
    </row>
    <row r="2003" spans="1:15">
      <c r="A2003" s="207"/>
      <c r="B2003" s="207"/>
      <c r="N2003" s="4"/>
      <c r="O2003" s="256"/>
    </row>
    <row r="2004" spans="1:15">
      <c r="A2004" s="207"/>
      <c r="B2004" s="207"/>
      <c r="N2004" s="4"/>
      <c r="O2004" s="256"/>
    </row>
    <row r="2005" spans="1:15">
      <c r="A2005" s="207"/>
      <c r="B2005" s="207"/>
      <c r="N2005" s="4"/>
      <c r="O2005" s="256"/>
    </row>
    <row r="2006" spans="1:15">
      <c r="A2006" s="207"/>
      <c r="B2006" s="207"/>
      <c r="N2006" s="4"/>
      <c r="O2006" s="256"/>
    </row>
    <row r="2007" spans="1:15">
      <c r="A2007" s="207"/>
      <c r="B2007" s="207"/>
      <c r="N2007" s="4"/>
      <c r="O2007" s="256"/>
    </row>
    <row r="2008" spans="1:15">
      <c r="A2008" s="207"/>
      <c r="B2008" s="207"/>
      <c r="N2008" s="4"/>
      <c r="O2008" s="256"/>
    </row>
    <row r="2009" spans="1:15">
      <c r="A2009" s="207"/>
      <c r="B2009" s="207"/>
      <c r="N2009" s="4"/>
      <c r="O2009" s="256"/>
    </row>
    <row r="2010" spans="1:15">
      <c r="A2010" s="207"/>
      <c r="B2010" s="207"/>
      <c r="N2010" s="4"/>
      <c r="O2010" s="256"/>
    </row>
    <row r="2011" spans="1:15">
      <c r="A2011" s="207"/>
      <c r="B2011" s="207"/>
      <c r="N2011" s="4"/>
      <c r="O2011" s="256"/>
    </row>
    <row r="2012" spans="1:15">
      <c r="A2012" s="207"/>
      <c r="B2012" s="207"/>
      <c r="N2012" s="4"/>
      <c r="O2012" s="256"/>
    </row>
    <row r="2013" spans="1:15">
      <c r="A2013" s="207"/>
      <c r="B2013" s="207"/>
      <c r="N2013" s="4"/>
      <c r="O2013" s="256"/>
    </row>
    <row r="2014" spans="1:15">
      <c r="A2014" s="207"/>
      <c r="B2014" s="207"/>
      <c r="N2014" s="4"/>
      <c r="O2014" s="256"/>
    </row>
    <row r="2015" spans="1:15">
      <c r="A2015" s="207"/>
      <c r="B2015" s="207"/>
      <c r="N2015" s="4"/>
      <c r="O2015" s="256"/>
    </row>
    <row r="2016" spans="1:15">
      <c r="A2016" s="207"/>
      <c r="B2016" s="207"/>
      <c r="N2016" s="4"/>
      <c r="O2016" s="256"/>
    </row>
    <row r="2017" spans="1:15">
      <c r="A2017" s="207"/>
      <c r="B2017" s="207"/>
      <c r="N2017" s="4"/>
      <c r="O2017" s="256"/>
    </row>
    <row r="2018" spans="1:15">
      <c r="A2018" s="207"/>
      <c r="B2018" s="207"/>
      <c r="N2018" s="4"/>
      <c r="O2018" s="256"/>
    </row>
    <row r="2019" spans="1:15">
      <c r="A2019" s="207"/>
      <c r="B2019" s="207"/>
      <c r="N2019" s="4"/>
      <c r="O2019" s="256"/>
    </row>
    <row r="2020" spans="1:15">
      <c r="A2020" s="207"/>
      <c r="B2020" s="207"/>
      <c r="N2020" s="4"/>
      <c r="O2020" s="256"/>
    </row>
    <row r="2021" spans="1:15">
      <c r="A2021" s="207"/>
      <c r="B2021" s="207"/>
      <c r="N2021" s="4"/>
      <c r="O2021" s="256"/>
    </row>
    <row r="2022" spans="1:15">
      <c r="A2022" s="207"/>
      <c r="B2022" s="207"/>
      <c r="N2022" s="4"/>
      <c r="O2022" s="256"/>
    </row>
    <row r="2023" spans="1:15">
      <c r="A2023" s="207"/>
      <c r="B2023" s="207"/>
      <c r="N2023" s="4"/>
      <c r="O2023" s="256"/>
    </row>
    <row r="2024" spans="1:15">
      <c r="A2024" s="207"/>
      <c r="B2024" s="207"/>
      <c r="N2024" s="4"/>
      <c r="O2024" s="256"/>
    </row>
    <row r="2025" spans="1:15">
      <c r="A2025" s="207"/>
      <c r="B2025" s="207"/>
      <c r="N2025" s="4"/>
      <c r="O2025" s="256"/>
    </row>
    <row r="2026" spans="1:15">
      <c r="A2026" s="207"/>
      <c r="B2026" s="207"/>
      <c r="N2026" s="4"/>
      <c r="O2026" s="256"/>
    </row>
    <row r="2027" spans="1:15">
      <c r="A2027" s="207"/>
      <c r="B2027" s="207"/>
      <c r="N2027" s="4"/>
      <c r="O2027" s="256"/>
    </row>
    <row r="2028" spans="1:15">
      <c r="A2028" s="207"/>
      <c r="B2028" s="207"/>
      <c r="N2028" s="4"/>
      <c r="O2028" s="256"/>
    </row>
    <row r="2029" spans="1:15">
      <c r="A2029" s="207"/>
      <c r="B2029" s="207"/>
      <c r="N2029" s="4"/>
      <c r="O2029" s="256"/>
    </row>
    <row r="2030" spans="1:15">
      <c r="A2030" s="207"/>
      <c r="B2030" s="207"/>
      <c r="N2030" s="4"/>
      <c r="O2030" s="256"/>
    </row>
    <row r="2031" spans="1:15">
      <c r="A2031" s="207"/>
      <c r="B2031" s="207"/>
      <c r="N2031" s="4"/>
      <c r="O2031" s="256"/>
    </row>
    <row r="2032" spans="1:15">
      <c r="A2032" s="207"/>
      <c r="B2032" s="207"/>
      <c r="N2032" s="4"/>
      <c r="O2032" s="256"/>
    </row>
    <row r="2033" spans="1:15">
      <c r="A2033" s="207"/>
      <c r="B2033" s="207"/>
      <c r="N2033" s="4"/>
      <c r="O2033" s="256"/>
    </row>
    <row r="2034" spans="1:15">
      <c r="A2034" s="207"/>
      <c r="B2034" s="207"/>
      <c r="N2034" s="4"/>
      <c r="O2034" s="256"/>
    </row>
    <row r="2035" spans="1:15">
      <c r="A2035" s="207"/>
      <c r="B2035" s="207"/>
      <c r="N2035" s="4"/>
      <c r="O2035" s="256"/>
    </row>
    <row r="2036" spans="1:15">
      <c r="A2036" s="207"/>
      <c r="B2036" s="207"/>
      <c r="N2036" s="4"/>
      <c r="O2036" s="256"/>
    </row>
    <row r="2037" spans="1:15">
      <c r="A2037" s="207"/>
      <c r="B2037" s="207"/>
      <c r="N2037" s="4"/>
      <c r="O2037" s="256"/>
    </row>
    <row r="2038" spans="1:15">
      <c r="A2038" s="207"/>
      <c r="B2038" s="207"/>
      <c r="N2038" s="4"/>
      <c r="O2038" s="256"/>
    </row>
    <row r="2039" spans="1:15">
      <c r="A2039" s="207"/>
      <c r="B2039" s="207"/>
      <c r="N2039" s="4"/>
      <c r="O2039" s="256"/>
    </row>
    <row r="2040" spans="1:15">
      <c r="A2040" s="207"/>
      <c r="B2040" s="207"/>
      <c r="N2040" s="4"/>
      <c r="O2040" s="256"/>
    </row>
    <row r="2041" spans="1:15">
      <c r="A2041" s="207"/>
      <c r="B2041" s="207"/>
      <c r="N2041" s="4"/>
      <c r="O2041" s="256"/>
    </row>
    <row r="2042" spans="1:15">
      <c r="A2042" s="207"/>
      <c r="B2042" s="207"/>
      <c r="N2042" s="4"/>
      <c r="O2042" s="256"/>
    </row>
    <row r="2043" spans="1:15">
      <c r="A2043" s="207"/>
      <c r="B2043" s="207"/>
      <c r="N2043" s="4"/>
      <c r="O2043" s="256"/>
    </row>
    <row r="2044" spans="1:15">
      <c r="A2044" s="207"/>
      <c r="B2044" s="207"/>
      <c r="N2044" s="4"/>
      <c r="O2044" s="256"/>
    </row>
    <row r="2045" spans="1:15">
      <c r="A2045" s="207"/>
      <c r="B2045" s="207"/>
      <c r="N2045" s="4"/>
      <c r="O2045" s="256"/>
    </row>
    <row r="2046" spans="1:15">
      <c r="A2046" s="207"/>
      <c r="B2046" s="207"/>
      <c r="N2046" s="4"/>
      <c r="O2046" s="256"/>
    </row>
    <row r="2047" spans="1:15">
      <c r="A2047" s="207"/>
      <c r="B2047" s="207"/>
      <c r="N2047" s="4"/>
      <c r="O2047" s="256"/>
    </row>
    <row r="2048" spans="1:15">
      <c r="A2048" s="207"/>
      <c r="B2048" s="207"/>
      <c r="N2048" s="4"/>
      <c r="O2048" s="256"/>
    </row>
    <row r="2049" spans="1:15">
      <c r="A2049" s="207"/>
      <c r="B2049" s="207"/>
      <c r="N2049" s="4"/>
      <c r="O2049" s="256"/>
    </row>
    <row r="2050" spans="1:15">
      <c r="A2050" s="207"/>
      <c r="B2050" s="207"/>
      <c r="N2050" s="4"/>
      <c r="O2050" s="256"/>
    </row>
    <row r="2051" spans="1:15">
      <c r="A2051" s="207"/>
      <c r="B2051" s="207"/>
      <c r="N2051" s="4"/>
      <c r="O2051" s="256"/>
    </row>
    <row r="2052" spans="1:15">
      <c r="A2052" s="207"/>
      <c r="B2052" s="207"/>
      <c r="N2052" s="4"/>
      <c r="O2052" s="256"/>
    </row>
    <row r="2053" spans="1:15">
      <c r="A2053" s="207"/>
      <c r="B2053" s="207"/>
      <c r="N2053" s="4"/>
      <c r="O2053" s="256"/>
    </row>
    <row r="2054" spans="1:15">
      <c r="A2054" s="207"/>
      <c r="B2054" s="207"/>
      <c r="N2054" s="4"/>
      <c r="O2054" s="256"/>
    </row>
    <row r="2055" spans="1:15">
      <c r="A2055" s="207"/>
      <c r="B2055" s="207"/>
      <c r="N2055" s="4"/>
      <c r="O2055" s="256"/>
    </row>
    <row r="2056" spans="1:15">
      <c r="A2056" s="207"/>
      <c r="B2056" s="207"/>
      <c r="N2056" s="4"/>
      <c r="O2056" s="256"/>
    </row>
    <row r="2057" spans="1:15">
      <c r="A2057" s="207"/>
      <c r="B2057" s="207"/>
      <c r="N2057" s="4"/>
      <c r="O2057" s="256"/>
    </row>
    <row r="2058" spans="1:15">
      <c r="A2058" s="207"/>
      <c r="B2058" s="207"/>
      <c r="N2058" s="4"/>
      <c r="O2058" s="256"/>
    </row>
    <row r="2059" spans="1:15">
      <c r="A2059" s="207"/>
      <c r="B2059" s="207"/>
      <c r="N2059" s="4"/>
      <c r="O2059" s="256"/>
    </row>
    <row r="2060" spans="1:15">
      <c r="A2060" s="207"/>
      <c r="B2060" s="207"/>
      <c r="N2060" s="4"/>
      <c r="O2060" s="256"/>
    </row>
    <row r="2061" spans="1:15">
      <c r="A2061" s="207"/>
      <c r="B2061" s="207"/>
      <c r="N2061" s="4"/>
      <c r="O2061" s="256"/>
    </row>
    <row r="2062" spans="1:15">
      <c r="A2062" s="207"/>
      <c r="B2062" s="207"/>
      <c r="N2062" s="4"/>
      <c r="O2062" s="256"/>
    </row>
    <row r="2063" spans="1:15">
      <c r="A2063" s="207"/>
      <c r="B2063" s="207"/>
      <c r="N2063" s="4"/>
      <c r="O2063" s="256"/>
    </row>
    <row r="2064" spans="1:15">
      <c r="A2064" s="207"/>
      <c r="B2064" s="207"/>
      <c r="N2064" s="4"/>
      <c r="O2064" s="256"/>
    </row>
    <row r="2065" spans="1:15">
      <c r="A2065" s="207"/>
      <c r="B2065" s="207"/>
      <c r="N2065" s="4"/>
      <c r="O2065" s="256"/>
    </row>
    <row r="2066" spans="1:15">
      <c r="A2066" s="207"/>
      <c r="B2066" s="207"/>
      <c r="N2066" s="4"/>
      <c r="O2066" s="256"/>
    </row>
    <row r="2067" spans="1:15">
      <c r="A2067" s="207"/>
      <c r="B2067" s="207"/>
      <c r="N2067" s="4"/>
      <c r="O2067" s="256"/>
    </row>
    <row r="2068" spans="1:15">
      <c r="A2068" s="207"/>
      <c r="B2068" s="207"/>
      <c r="N2068" s="4"/>
      <c r="O2068" s="256"/>
    </row>
    <row r="2069" spans="1:15">
      <c r="A2069" s="207"/>
      <c r="B2069" s="207"/>
      <c r="N2069" s="4"/>
      <c r="O2069" s="256"/>
    </row>
    <row r="2070" spans="1:15">
      <c r="A2070" s="207"/>
      <c r="B2070" s="207"/>
      <c r="N2070" s="4"/>
      <c r="O2070" s="256"/>
    </row>
    <row r="2071" spans="1:15">
      <c r="A2071" s="207"/>
      <c r="B2071" s="207"/>
      <c r="N2071" s="4"/>
      <c r="O2071" s="256"/>
    </row>
    <row r="2072" spans="1:15">
      <c r="A2072" s="207"/>
      <c r="B2072" s="207"/>
      <c r="N2072" s="4"/>
      <c r="O2072" s="256"/>
    </row>
    <row r="2073" spans="1:15">
      <c r="A2073" s="207"/>
      <c r="B2073" s="207"/>
      <c r="N2073" s="4"/>
      <c r="O2073" s="256"/>
    </row>
    <row r="2074" spans="1:15">
      <c r="A2074" s="207"/>
      <c r="B2074" s="207"/>
      <c r="N2074" s="4"/>
      <c r="O2074" s="256"/>
    </row>
    <row r="2075" spans="1:15">
      <c r="A2075" s="207"/>
      <c r="B2075" s="207"/>
      <c r="N2075" s="4"/>
      <c r="O2075" s="256"/>
    </row>
    <row r="2076" spans="1:15">
      <c r="A2076" s="207"/>
      <c r="B2076" s="207"/>
      <c r="N2076" s="4"/>
      <c r="O2076" s="256"/>
    </row>
    <row r="2077" spans="1:15">
      <c r="A2077" s="207"/>
      <c r="B2077" s="207"/>
      <c r="N2077" s="4"/>
      <c r="O2077" s="256"/>
    </row>
    <row r="2078" spans="1:15">
      <c r="A2078" s="207"/>
      <c r="B2078" s="207"/>
      <c r="N2078" s="4"/>
      <c r="O2078" s="256"/>
    </row>
    <row r="2079" spans="1:15">
      <c r="A2079" s="207"/>
      <c r="B2079" s="207"/>
      <c r="N2079" s="4"/>
      <c r="O2079" s="256"/>
    </row>
    <row r="2080" spans="1:15">
      <c r="A2080" s="207"/>
      <c r="B2080" s="207"/>
      <c r="N2080" s="4"/>
      <c r="O2080" s="256"/>
    </row>
    <row r="2081" spans="1:15">
      <c r="A2081" s="207"/>
      <c r="B2081" s="207"/>
      <c r="N2081" s="4"/>
      <c r="O2081" s="256"/>
    </row>
    <row r="2082" spans="1:15">
      <c r="A2082" s="207"/>
      <c r="B2082" s="207"/>
      <c r="N2082" s="4"/>
      <c r="O2082" s="256"/>
    </row>
    <row r="2083" spans="1:15">
      <c r="A2083" s="207"/>
      <c r="B2083" s="207"/>
      <c r="N2083" s="4"/>
      <c r="O2083" s="256"/>
    </row>
    <row r="2084" spans="1:15">
      <c r="A2084" s="207"/>
      <c r="B2084" s="207"/>
      <c r="N2084" s="4"/>
      <c r="O2084" s="256"/>
    </row>
    <row r="2085" spans="1:15">
      <c r="A2085" s="207"/>
      <c r="B2085" s="207"/>
      <c r="N2085" s="4"/>
      <c r="O2085" s="256"/>
    </row>
    <row r="2086" spans="1:15">
      <c r="A2086" s="207"/>
      <c r="B2086" s="207"/>
      <c r="N2086" s="4"/>
      <c r="O2086" s="256"/>
    </row>
    <row r="2087" spans="1:15">
      <c r="A2087" s="207"/>
      <c r="B2087" s="207"/>
      <c r="N2087" s="4"/>
      <c r="O2087" s="256"/>
    </row>
    <row r="2088" spans="1:15">
      <c r="A2088" s="207"/>
      <c r="B2088" s="207"/>
      <c r="N2088" s="4"/>
      <c r="O2088" s="256"/>
    </row>
    <row r="2089" spans="1:15">
      <c r="A2089" s="207"/>
      <c r="B2089" s="207"/>
      <c r="N2089" s="4"/>
      <c r="O2089" s="256"/>
    </row>
    <row r="2090" spans="1:15">
      <c r="A2090" s="207"/>
      <c r="B2090" s="207"/>
      <c r="N2090" s="4"/>
      <c r="O2090" s="256"/>
    </row>
    <row r="2091" spans="1:15">
      <c r="A2091" s="207"/>
      <c r="B2091" s="207"/>
      <c r="N2091" s="4"/>
      <c r="O2091" s="256"/>
    </row>
    <row r="2092" spans="1:15">
      <c r="A2092" s="207"/>
      <c r="B2092" s="207"/>
      <c r="N2092" s="4"/>
      <c r="O2092" s="256"/>
    </row>
    <row r="2093" spans="1:15">
      <c r="A2093" s="207"/>
      <c r="B2093" s="207"/>
      <c r="N2093" s="4"/>
      <c r="O2093" s="256"/>
    </row>
    <row r="2094" spans="1:15">
      <c r="A2094" s="207"/>
      <c r="B2094" s="207"/>
      <c r="N2094" s="4"/>
      <c r="O2094" s="256"/>
    </row>
    <row r="2095" spans="1:15">
      <c r="A2095" s="207"/>
      <c r="B2095" s="207"/>
      <c r="N2095" s="4"/>
      <c r="O2095" s="256"/>
    </row>
    <row r="2096" spans="1:15">
      <c r="A2096" s="207"/>
      <c r="B2096" s="207"/>
      <c r="N2096" s="4"/>
      <c r="O2096" s="256"/>
    </row>
    <row r="2097" spans="1:15">
      <c r="A2097" s="207"/>
      <c r="B2097" s="207"/>
      <c r="N2097" s="4"/>
      <c r="O2097" s="256"/>
    </row>
    <row r="2098" spans="1:15">
      <c r="A2098" s="207"/>
      <c r="B2098" s="207"/>
      <c r="N2098" s="4"/>
      <c r="O2098" s="256"/>
    </row>
    <row r="2099" spans="1:15">
      <c r="A2099" s="207"/>
      <c r="B2099" s="207"/>
      <c r="N2099" s="4"/>
      <c r="O2099" s="256"/>
    </row>
    <row r="2100" spans="1:15">
      <c r="A2100" s="207"/>
      <c r="B2100" s="207"/>
      <c r="N2100" s="4"/>
      <c r="O2100" s="256"/>
    </row>
    <row r="2101" spans="1:15">
      <c r="A2101" s="207"/>
      <c r="B2101" s="207"/>
      <c r="N2101" s="4"/>
      <c r="O2101" s="256"/>
    </row>
    <row r="2102" spans="1:15">
      <c r="A2102" s="207"/>
      <c r="B2102" s="207"/>
      <c r="N2102" s="4"/>
      <c r="O2102" s="256"/>
    </row>
    <row r="2103" spans="1:15">
      <c r="A2103" s="207"/>
      <c r="B2103" s="207"/>
      <c r="N2103" s="4"/>
      <c r="O2103" s="256"/>
    </row>
    <row r="2104" spans="1:15">
      <c r="A2104" s="207"/>
      <c r="B2104" s="207"/>
      <c r="N2104" s="4"/>
      <c r="O2104" s="256"/>
    </row>
    <row r="2105" spans="1:15">
      <c r="A2105" s="207"/>
      <c r="B2105" s="207"/>
      <c r="N2105" s="4"/>
      <c r="O2105" s="256"/>
    </row>
    <row r="2106" spans="1:15">
      <c r="A2106" s="207"/>
      <c r="B2106" s="207"/>
      <c r="N2106" s="4"/>
      <c r="O2106" s="256"/>
    </row>
    <row r="2107" spans="1:15">
      <c r="A2107" s="207"/>
      <c r="B2107" s="207"/>
      <c r="N2107" s="4"/>
      <c r="O2107" s="256"/>
    </row>
    <row r="2108" spans="1:15">
      <c r="A2108" s="207"/>
      <c r="B2108" s="207"/>
      <c r="N2108" s="4"/>
      <c r="O2108" s="256"/>
    </row>
    <row r="2109" spans="1:15">
      <c r="A2109" s="207"/>
      <c r="B2109" s="207"/>
      <c r="N2109" s="4"/>
      <c r="O2109" s="256"/>
    </row>
    <row r="2110" spans="1:15">
      <c r="A2110" s="207"/>
      <c r="B2110" s="207"/>
      <c r="N2110" s="4"/>
      <c r="O2110" s="256"/>
    </row>
    <row r="2111" spans="1:15">
      <c r="A2111" s="207"/>
      <c r="B2111" s="207"/>
      <c r="N2111" s="4"/>
      <c r="O2111" s="256"/>
    </row>
    <row r="2112" spans="1:15">
      <c r="A2112" s="207"/>
      <c r="B2112" s="207"/>
      <c r="N2112" s="4"/>
      <c r="O2112" s="256"/>
    </row>
    <row r="2113" spans="1:15">
      <c r="A2113" s="207"/>
      <c r="B2113" s="207"/>
      <c r="N2113" s="4"/>
      <c r="O2113" s="256"/>
    </row>
    <row r="2114" spans="1:15">
      <c r="A2114" s="207"/>
      <c r="B2114" s="207"/>
      <c r="N2114" s="4"/>
      <c r="O2114" s="256"/>
    </row>
    <row r="2115" spans="1:15">
      <c r="A2115" s="207"/>
      <c r="B2115" s="207"/>
      <c r="N2115" s="4"/>
      <c r="O2115" s="256"/>
    </row>
    <row r="2116" spans="1:15">
      <c r="A2116" s="207"/>
      <c r="B2116" s="207"/>
      <c r="N2116" s="4"/>
      <c r="O2116" s="256"/>
    </row>
    <row r="2117" spans="1:15">
      <c r="A2117" s="207"/>
      <c r="B2117" s="207"/>
      <c r="N2117" s="4"/>
      <c r="O2117" s="256"/>
    </row>
    <row r="2118" spans="1:15">
      <c r="A2118" s="207"/>
      <c r="B2118" s="207"/>
      <c r="N2118" s="4"/>
      <c r="O2118" s="256"/>
    </row>
    <row r="2119" spans="1:15">
      <c r="A2119" s="207"/>
      <c r="B2119" s="207"/>
      <c r="N2119" s="4"/>
      <c r="O2119" s="256"/>
    </row>
    <row r="2120" spans="1:15">
      <c r="A2120" s="207"/>
      <c r="B2120" s="207"/>
      <c r="N2120" s="4"/>
      <c r="O2120" s="256"/>
    </row>
    <row r="2121" spans="1:15">
      <c r="A2121" s="207"/>
      <c r="B2121" s="207"/>
      <c r="N2121" s="4"/>
      <c r="O2121" s="256"/>
    </row>
    <row r="2122" spans="1:15">
      <c r="A2122" s="207"/>
      <c r="B2122" s="207"/>
      <c r="N2122" s="4"/>
      <c r="O2122" s="256"/>
    </row>
    <row r="2123" spans="1:15">
      <c r="A2123" s="207"/>
      <c r="B2123" s="207"/>
      <c r="N2123" s="4"/>
      <c r="O2123" s="256"/>
    </row>
    <row r="2124" spans="1:15">
      <c r="A2124" s="207"/>
      <c r="B2124" s="207"/>
      <c r="N2124" s="4"/>
      <c r="O2124" s="256"/>
    </row>
    <row r="2125" spans="1:15">
      <c r="A2125" s="207"/>
      <c r="B2125" s="207"/>
      <c r="N2125" s="4"/>
      <c r="O2125" s="256"/>
    </row>
    <row r="2126" spans="1:15">
      <c r="A2126" s="207"/>
      <c r="B2126" s="207"/>
      <c r="N2126" s="4"/>
      <c r="O2126" s="256"/>
    </row>
    <row r="2127" spans="1:15">
      <c r="A2127" s="207"/>
      <c r="B2127" s="207"/>
      <c r="N2127" s="4"/>
      <c r="O2127" s="256"/>
    </row>
    <row r="2128" spans="1:15">
      <c r="A2128" s="207"/>
      <c r="B2128" s="207"/>
      <c r="N2128" s="4"/>
      <c r="O2128" s="256"/>
    </row>
    <row r="2129" spans="1:15">
      <c r="A2129" s="207"/>
      <c r="B2129" s="207"/>
      <c r="N2129" s="4"/>
      <c r="O2129" s="256"/>
    </row>
    <row r="2130" spans="1:15">
      <c r="A2130" s="207"/>
      <c r="B2130" s="207"/>
      <c r="N2130" s="4"/>
      <c r="O2130" s="256"/>
    </row>
    <row r="2131" spans="1:15">
      <c r="A2131" s="207"/>
      <c r="B2131" s="207"/>
      <c r="N2131" s="4"/>
      <c r="O2131" s="256"/>
    </row>
    <row r="2132" spans="1:15">
      <c r="A2132" s="207"/>
      <c r="B2132" s="207"/>
      <c r="N2132" s="4"/>
      <c r="O2132" s="256"/>
    </row>
    <row r="2133" spans="1:15">
      <c r="A2133" s="207"/>
      <c r="B2133" s="207"/>
      <c r="N2133" s="4"/>
      <c r="O2133" s="256"/>
    </row>
    <row r="2134" spans="1:15">
      <c r="A2134" s="207"/>
      <c r="B2134" s="207"/>
      <c r="N2134" s="4"/>
      <c r="O2134" s="256"/>
    </row>
    <row r="2135" spans="1:15">
      <c r="A2135" s="207"/>
      <c r="B2135" s="207"/>
      <c r="N2135" s="4"/>
      <c r="O2135" s="256"/>
    </row>
    <row r="2136" spans="1:15">
      <c r="A2136" s="207"/>
      <c r="B2136" s="207"/>
      <c r="N2136" s="4"/>
      <c r="O2136" s="256"/>
    </row>
    <row r="2137" spans="1:15">
      <c r="A2137" s="207"/>
      <c r="B2137" s="207"/>
      <c r="N2137" s="4"/>
      <c r="O2137" s="256"/>
    </row>
    <row r="2138" spans="1:15">
      <c r="A2138" s="207"/>
      <c r="B2138" s="207"/>
      <c r="N2138" s="4"/>
      <c r="O2138" s="256"/>
    </row>
    <row r="2139" spans="1:15">
      <c r="A2139" s="207"/>
      <c r="B2139" s="207"/>
      <c r="N2139" s="4"/>
      <c r="O2139" s="256"/>
    </row>
    <row r="2140" spans="1:15">
      <c r="A2140" s="207"/>
      <c r="B2140" s="207"/>
      <c r="N2140" s="4"/>
      <c r="O2140" s="256"/>
    </row>
    <row r="2141" spans="1:15">
      <c r="A2141" s="207"/>
      <c r="B2141" s="207"/>
      <c r="N2141" s="4"/>
      <c r="O2141" s="256"/>
    </row>
    <row r="2142" spans="1:15">
      <c r="A2142" s="207"/>
      <c r="B2142" s="207"/>
      <c r="N2142" s="4"/>
      <c r="O2142" s="256"/>
    </row>
    <row r="2143" spans="1:15">
      <c r="A2143" s="207"/>
      <c r="B2143" s="207"/>
      <c r="N2143" s="4"/>
      <c r="O2143" s="256"/>
    </row>
    <row r="2144" spans="1:15">
      <c r="A2144" s="207"/>
      <c r="B2144" s="207"/>
      <c r="N2144" s="4"/>
      <c r="O2144" s="256"/>
    </row>
    <row r="2145" spans="1:15">
      <c r="A2145" s="207"/>
      <c r="B2145" s="207"/>
      <c r="N2145" s="4"/>
      <c r="O2145" s="256"/>
    </row>
    <row r="2146" spans="1:15">
      <c r="A2146" s="207"/>
      <c r="B2146" s="207"/>
      <c r="N2146" s="4"/>
      <c r="O2146" s="256"/>
    </row>
    <row r="2147" spans="1:15">
      <c r="A2147" s="207"/>
      <c r="B2147" s="207"/>
      <c r="N2147" s="4"/>
      <c r="O2147" s="256"/>
    </row>
    <row r="2148" spans="1:15">
      <c r="A2148" s="207"/>
      <c r="B2148" s="207"/>
      <c r="N2148" s="4"/>
      <c r="O2148" s="256"/>
    </row>
    <row r="2149" spans="1:15">
      <c r="A2149" s="207"/>
      <c r="B2149" s="207"/>
      <c r="N2149" s="4"/>
      <c r="O2149" s="256"/>
    </row>
    <row r="2150" spans="1:15">
      <c r="A2150" s="207"/>
      <c r="B2150" s="207"/>
      <c r="N2150" s="4"/>
      <c r="O2150" s="256"/>
    </row>
    <row r="2151" spans="1:15">
      <c r="A2151" s="207"/>
      <c r="B2151" s="207"/>
      <c r="N2151" s="4"/>
      <c r="O2151" s="256"/>
    </row>
    <row r="2152" spans="1:15">
      <c r="A2152" s="207"/>
      <c r="B2152" s="207"/>
      <c r="N2152" s="4"/>
      <c r="O2152" s="256"/>
    </row>
    <row r="2153" spans="1:15">
      <c r="A2153" s="207"/>
      <c r="B2153" s="207"/>
      <c r="N2153" s="4"/>
      <c r="O2153" s="256"/>
    </row>
    <row r="2154" spans="1:15">
      <c r="A2154" s="207"/>
      <c r="B2154" s="207"/>
      <c r="N2154" s="4"/>
      <c r="O2154" s="256"/>
    </row>
    <row r="2155" spans="1:15">
      <c r="A2155" s="207"/>
      <c r="B2155" s="207"/>
      <c r="N2155" s="4"/>
      <c r="O2155" s="256"/>
    </row>
    <row r="2156" spans="1:15">
      <c r="A2156" s="207"/>
      <c r="B2156" s="207"/>
      <c r="N2156" s="4"/>
      <c r="O2156" s="256"/>
    </row>
    <row r="2157" spans="1:15">
      <c r="A2157" s="207"/>
      <c r="B2157" s="207"/>
      <c r="N2157" s="4"/>
      <c r="O2157" s="256"/>
    </row>
    <row r="2158" spans="1:15">
      <c r="A2158" s="207"/>
      <c r="B2158" s="207"/>
      <c r="N2158" s="4"/>
      <c r="O2158" s="256"/>
    </row>
    <row r="2159" spans="1:15">
      <c r="A2159" s="207"/>
      <c r="B2159" s="207"/>
      <c r="N2159" s="4"/>
      <c r="O2159" s="256"/>
    </row>
    <row r="2160" spans="1:15">
      <c r="A2160" s="207"/>
      <c r="B2160" s="207"/>
      <c r="N2160" s="4"/>
      <c r="O2160" s="256"/>
    </row>
    <row r="2161" spans="1:15">
      <c r="A2161" s="207"/>
      <c r="B2161" s="207"/>
      <c r="N2161" s="4"/>
      <c r="O2161" s="256"/>
    </row>
    <row r="2162" spans="1:15">
      <c r="A2162" s="207"/>
      <c r="B2162" s="207"/>
      <c r="N2162" s="4"/>
      <c r="O2162" s="256"/>
    </row>
    <row r="2163" spans="1:15">
      <c r="A2163" s="207"/>
      <c r="B2163" s="207"/>
      <c r="N2163" s="4"/>
      <c r="O2163" s="256"/>
    </row>
    <row r="2164" spans="1:15">
      <c r="A2164" s="207"/>
      <c r="B2164" s="207"/>
      <c r="N2164" s="4"/>
      <c r="O2164" s="256"/>
    </row>
    <row r="2165" spans="1:15">
      <c r="A2165" s="207"/>
      <c r="B2165" s="207"/>
      <c r="N2165" s="4"/>
      <c r="O2165" s="256"/>
    </row>
    <row r="2166" spans="1:15">
      <c r="A2166" s="207"/>
      <c r="B2166" s="207"/>
      <c r="N2166" s="4"/>
      <c r="O2166" s="256"/>
    </row>
    <row r="2167" spans="1:15">
      <c r="A2167" s="207"/>
      <c r="B2167" s="207"/>
      <c r="N2167" s="4"/>
      <c r="O2167" s="256"/>
    </row>
    <row r="2168" spans="1:15">
      <c r="A2168" s="207"/>
      <c r="B2168" s="207"/>
      <c r="N2168" s="4"/>
      <c r="O2168" s="256"/>
    </row>
    <row r="2169" spans="1:15">
      <c r="A2169" s="207"/>
      <c r="B2169" s="207"/>
      <c r="N2169" s="4"/>
      <c r="O2169" s="256"/>
    </row>
    <row r="2170" spans="1:15">
      <c r="A2170" s="207"/>
      <c r="B2170" s="207"/>
      <c r="N2170" s="4"/>
      <c r="O2170" s="256"/>
    </row>
    <row r="2171" spans="1:15">
      <c r="A2171" s="207"/>
      <c r="B2171" s="207"/>
      <c r="N2171" s="4"/>
      <c r="O2171" s="256"/>
    </row>
    <row r="2172" spans="1:15">
      <c r="A2172" s="207"/>
      <c r="B2172" s="207"/>
      <c r="N2172" s="4"/>
      <c r="O2172" s="256"/>
    </row>
    <row r="2173" spans="1:15">
      <c r="A2173" s="207"/>
      <c r="B2173" s="207"/>
      <c r="N2173" s="4"/>
      <c r="O2173" s="256"/>
    </row>
    <row r="2174" spans="1:15">
      <c r="A2174" s="207"/>
      <c r="B2174" s="207"/>
      <c r="N2174" s="4"/>
      <c r="O2174" s="256"/>
    </row>
    <row r="2175" spans="1:15">
      <c r="A2175" s="207"/>
      <c r="B2175" s="207"/>
      <c r="N2175" s="4"/>
      <c r="O2175" s="256"/>
    </row>
    <row r="2176" spans="1:15">
      <c r="A2176" s="207"/>
      <c r="B2176" s="207"/>
      <c r="N2176" s="4"/>
      <c r="O2176" s="256"/>
    </row>
    <row r="2177" spans="1:15">
      <c r="A2177" s="207"/>
      <c r="B2177" s="207"/>
      <c r="N2177" s="4"/>
      <c r="O2177" s="256"/>
    </row>
    <row r="2178" spans="1:15">
      <c r="A2178" s="207"/>
      <c r="B2178" s="207"/>
      <c r="N2178" s="4"/>
      <c r="O2178" s="256"/>
    </row>
    <row r="2179" spans="1:15">
      <c r="A2179" s="207"/>
      <c r="B2179" s="207"/>
      <c r="N2179" s="4"/>
      <c r="O2179" s="256"/>
    </row>
    <row r="2180" spans="1:15">
      <c r="A2180" s="207"/>
      <c r="B2180" s="207"/>
      <c r="N2180" s="4"/>
      <c r="O2180" s="256"/>
    </row>
    <row r="2181" spans="1:15">
      <c r="A2181" s="207"/>
      <c r="B2181" s="207"/>
      <c r="N2181" s="4"/>
      <c r="O2181" s="256"/>
    </row>
    <row r="2182" spans="1:15">
      <c r="A2182" s="207"/>
      <c r="B2182" s="207"/>
      <c r="N2182" s="4"/>
      <c r="O2182" s="256"/>
    </row>
    <row r="2183" spans="1:15">
      <c r="A2183" s="207"/>
      <c r="B2183" s="207"/>
      <c r="N2183" s="4"/>
      <c r="O2183" s="256"/>
    </row>
    <row r="2184" spans="1:15">
      <c r="A2184" s="207"/>
      <c r="B2184" s="207"/>
      <c r="N2184" s="4"/>
      <c r="O2184" s="256"/>
    </row>
    <row r="2185" spans="1:15">
      <c r="A2185" s="207"/>
      <c r="B2185" s="207"/>
      <c r="N2185" s="4"/>
      <c r="O2185" s="256"/>
    </row>
    <row r="2186" spans="1:15">
      <c r="A2186" s="207"/>
      <c r="B2186" s="207"/>
      <c r="N2186" s="4"/>
      <c r="O2186" s="256"/>
    </row>
    <row r="2187" spans="1:15">
      <c r="A2187" s="207"/>
      <c r="B2187" s="207"/>
      <c r="N2187" s="4"/>
      <c r="O2187" s="256"/>
    </row>
    <row r="2188" spans="1:15">
      <c r="A2188" s="207"/>
      <c r="B2188" s="207"/>
      <c r="N2188" s="4"/>
      <c r="O2188" s="256"/>
    </row>
    <row r="2189" spans="1:15">
      <c r="A2189" s="207"/>
      <c r="B2189" s="207"/>
      <c r="N2189" s="4"/>
      <c r="O2189" s="256"/>
    </row>
    <row r="2190" spans="1:15">
      <c r="A2190" s="207"/>
      <c r="B2190" s="207"/>
      <c r="N2190" s="4"/>
      <c r="O2190" s="256"/>
    </row>
    <row r="2191" spans="1:15">
      <c r="A2191" s="207"/>
      <c r="B2191" s="207"/>
      <c r="N2191" s="4"/>
      <c r="O2191" s="256"/>
    </row>
    <row r="2192" spans="1:15">
      <c r="A2192" s="207"/>
      <c r="B2192" s="207"/>
      <c r="N2192" s="4"/>
      <c r="O2192" s="256"/>
    </row>
    <row r="2193" spans="1:15">
      <c r="A2193" s="207"/>
      <c r="B2193" s="207"/>
      <c r="N2193" s="4"/>
      <c r="O2193" s="256"/>
    </row>
    <row r="2194" spans="1:15">
      <c r="A2194" s="207"/>
      <c r="B2194" s="207"/>
      <c r="N2194" s="4"/>
      <c r="O2194" s="256"/>
    </row>
    <row r="2195" spans="1:15">
      <c r="A2195" s="207"/>
      <c r="B2195" s="207"/>
      <c r="N2195" s="4"/>
      <c r="O2195" s="256"/>
    </row>
    <row r="2196" spans="1:15">
      <c r="A2196" s="207"/>
      <c r="B2196" s="207"/>
      <c r="N2196" s="4"/>
      <c r="O2196" s="256"/>
    </row>
    <row r="2197" spans="1:15">
      <c r="A2197" s="207"/>
      <c r="B2197" s="207"/>
      <c r="N2197" s="4"/>
      <c r="O2197" s="256"/>
    </row>
    <row r="2198" spans="1:15">
      <c r="A2198" s="207"/>
      <c r="B2198" s="207"/>
      <c r="N2198" s="4"/>
      <c r="O2198" s="256"/>
    </row>
    <row r="2199" spans="1:15">
      <c r="A2199" s="207"/>
      <c r="B2199" s="207"/>
      <c r="N2199" s="4"/>
      <c r="O2199" s="256"/>
    </row>
    <row r="2200" spans="1:15">
      <c r="A2200" s="207"/>
      <c r="B2200" s="207"/>
      <c r="N2200" s="4"/>
      <c r="O2200" s="256"/>
    </row>
    <row r="2201" spans="1:15">
      <c r="A2201" s="207"/>
      <c r="B2201" s="207"/>
      <c r="N2201" s="4"/>
      <c r="O2201" s="256"/>
    </row>
    <row r="2202" spans="1:15">
      <c r="A2202" s="207"/>
      <c r="B2202" s="207"/>
      <c r="N2202" s="4"/>
      <c r="O2202" s="256"/>
    </row>
    <row r="2203" spans="1:15">
      <c r="A2203" s="207"/>
      <c r="B2203" s="207"/>
      <c r="N2203" s="4"/>
      <c r="O2203" s="256"/>
    </row>
    <row r="2204" spans="1:15">
      <c r="A2204" s="207"/>
      <c r="B2204" s="207"/>
      <c r="N2204" s="4"/>
      <c r="O2204" s="256"/>
    </row>
    <row r="2205" spans="1:15">
      <c r="A2205" s="207"/>
      <c r="B2205" s="207"/>
      <c r="N2205" s="4"/>
      <c r="O2205" s="256"/>
    </row>
    <row r="2206" spans="1:15">
      <c r="A2206" s="207"/>
      <c r="B2206" s="207"/>
      <c r="N2206" s="4"/>
      <c r="O2206" s="256"/>
    </row>
    <row r="2207" spans="1:15">
      <c r="A2207" s="207"/>
      <c r="B2207" s="207"/>
      <c r="N2207" s="4"/>
      <c r="O2207" s="256"/>
    </row>
    <row r="2208" spans="1:15">
      <c r="A2208" s="207"/>
      <c r="B2208" s="207"/>
      <c r="N2208" s="4"/>
      <c r="O2208" s="256"/>
    </row>
    <row r="2209" spans="1:15">
      <c r="A2209" s="207"/>
      <c r="B2209" s="207"/>
      <c r="N2209" s="4"/>
      <c r="O2209" s="256"/>
    </row>
    <row r="2210" spans="1:15">
      <c r="A2210" s="207"/>
      <c r="B2210" s="207"/>
      <c r="N2210" s="4"/>
      <c r="O2210" s="256"/>
    </row>
    <row r="2211" spans="1:15">
      <c r="A2211" s="207"/>
      <c r="B2211" s="207"/>
      <c r="N2211" s="4"/>
      <c r="O2211" s="256"/>
    </row>
    <row r="2212" spans="1:15">
      <c r="A2212" s="207"/>
      <c r="B2212" s="207"/>
      <c r="N2212" s="4"/>
      <c r="O2212" s="256"/>
    </row>
    <row r="2213" spans="1:15">
      <c r="A2213" s="207"/>
      <c r="B2213" s="207"/>
      <c r="N2213" s="4"/>
      <c r="O2213" s="256"/>
    </row>
    <row r="2214" spans="1:15">
      <c r="A2214" s="207"/>
      <c r="B2214" s="207"/>
      <c r="N2214" s="4"/>
      <c r="O2214" s="256"/>
    </row>
    <row r="2215" spans="1:15">
      <c r="A2215" s="207"/>
      <c r="B2215" s="207"/>
      <c r="N2215" s="4"/>
      <c r="O2215" s="256"/>
    </row>
    <row r="2216" spans="1:15">
      <c r="A2216" s="207"/>
      <c r="B2216" s="207"/>
      <c r="N2216" s="4"/>
      <c r="O2216" s="256"/>
    </row>
    <row r="2217" spans="1:15">
      <c r="A2217" s="207"/>
      <c r="B2217" s="207"/>
      <c r="N2217" s="4"/>
      <c r="O2217" s="256"/>
    </row>
    <row r="2218" spans="1:15">
      <c r="A2218" s="207"/>
      <c r="B2218" s="207"/>
      <c r="N2218" s="4"/>
      <c r="O2218" s="256"/>
    </row>
    <row r="2219" spans="1:15">
      <c r="A2219" s="207"/>
      <c r="B2219" s="207"/>
      <c r="N2219" s="4"/>
      <c r="O2219" s="256"/>
    </row>
    <row r="2220" spans="1:15">
      <c r="A2220" s="207"/>
      <c r="B2220" s="207"/>
      <c r="N2220" s="4"/>
      <c r="O2220" s="256"/>
    </row>
    <row r="2221" spans="1:15">
      <c r="A2221" s="207"/>
      <c r="B2221" s="207"/>
      <c r="N2221" s="4"/>
      <c r="O2221" s="256"/>
    </row>
    <row r="2222" spans="1:15">
      <c r="A2222" s="207"/>
      <c r="B2222" s="207"/>
      <c r="N2222" s="4"/>
      <c r="O2222" s="256"/>
    </row>
    <row r="2223" spans="1:15">
      <c r="A2223" s="207"/>
      <c r="B2223" s="207"/>
      <c r="N2223" s="4"/>
      <c r="O2223" s="256"/>
    </row>
    <row r="2224" spans="1:15">
      <c r="A2224" s="207"/>
      <c r="B2224" s="207"/>
      <c r="N2224" s="4"/>
      <c r="O2224" s="256"/>
    </row>
    <row r="2225" spans="1:15">
      <c r="A2225" s="207"/>
      <c r="B2225" s="207"/>
      <c r="N2225" s="4"/>
      <c r="O2225" s="256"/>
    </row>
    <row r="2226" spans="1:15">
      <c r="A2226" s="207"/>
      <c r="B2226" s="207"/>
      <c r="N2226" s="4"/>
      <c r="O2226" s="256"/>
    </row>
    <row r="2227" spans="1:15">
      <c r="A2227" s="207"/>
      <c r="B2227" s="207"/>
      <c r="N2227" s="4"/>
      <c r="O2227" s="256"/>
    </row>
    <row r="2228" spans="1:15">
      <c r="A2228" s="207"/>
      <c r="B2228" s="207"/>
      <c r="N2228" s="4"/>
      <c r="O2228" s="256"/>
    </row>
    <row r="2229" spans="1:15">
      <c r="A2229" s="207"/>
      <c r="B2229" s="207"/>
      <c r="N2229" s="4"/>
      <c r="O2229" s="256"/>
    </row>
    <row r="2230" spans="1:15">
      <c r="A2230" s="207"/>
      <c r="B2230" s="207"/>
      <c r="N2230" s="4"/>
      <c r="O2230" s="256"/>
    </row>
    <row r="2231" spans="1:15">
      <c r="A2231" s="207"/>
      <c r="B2231" s="207"/>
      <c r="N2231" s="4"/>
      <c r="O2231" s="256"/>
    </row>
    <row r="2232" spans="1:15">
      <c r="A2232" s="207"/>
      <c r="B2232" s="207"/>
      <c r="N2232" s="4"/>
      <c r="O2232" s="256"/>
    </row>
    <row r="2233" spans="1:15">
      <c r="A2233" s="207"/>
      <c r="B2233" s="207"/>
      <c r="N2233" s="4"/>
      <c r="O2233" s="256"/>
    </row>
    <row r="2234" spans="1:15">
      <c r="A2234" s="207"/>
      <c r="B2234" s="207"/>
      <c r="N2234" s="4"/>
      <c r="O2234" s="256"/>
    </row>
    <row r="2235" spans="1:15">
      <c r="A2235" s="207"/>
      <c r="B2235" s="207"/>
      <c r="N2235" s="4"/>
      <c r="O2235" s="256"/>
    </row>
    <row r="2236" spans="1:15">
      <c r="A2236" s="207"/>
      <c r="B2236" s="207"/>
      <c r="N2236" s="4"/>
      <c r="O2236" s="256"/>
    </row>
    <row r="2237" spans="1:15">
      <c r="A2237" s="207"/>
      <c r="B2237" s="207"/>
      <c r="N2237" s="4"/>
      <c r="O2237" s="256"/>
    </row>
    <row r="2238" spans="1:15">
      <c r="A2238" s="207"/>
      <c r="B2238" s="207"/>
      <c r="N2238" s="4"/>
      <c r="O2238" s="256"/>
    </row>
    <row r="2239" spans="1:15">
      <c r="A2239" s="207"/>
      <c r="B2239" s="207"/>
      <c r="N2239" s="4"/>
      <c r="O2239" s="256"/>
    </row>
    <row r="2240" spans="1:15">
      <c r="A2240" s="207"/>
      <c r="B2240" s="207"/>
      <c r="N2240" s="4"/>
      <c r="O2240" s="256"/>
    </row>
    <row r="2241" spans="1:15">
      <c r="A2241" s="207"/>
      <c r="B2241" s="207"/>
      <c r="N2241" s="4"/>
      <c r="O2241" s="256"/>
    </row>
    <row r="2242" spans="1:15">
      <c r="A2242" s="207"/>
      <c r="B2242" s="207"/>
      <c r="N2242" s="4"/>
      <c r="O2242" s="256"/>
    </row>
    <row r="2243" spans="1:15">
      <c r="A2243" s="207"/>
      <c r="B2243" s="207"/>
      <c r="N2243" s="4"/>
      <c r="O2243" s="256"/>
    </row>
    <row r="2244" spans="1:15">
      <c r="A2244" s="207"/>
      <c r="B2244" s="207"/>
      <c r="N2244" s="4"/>
      <c r="O2244" s="256"/>
    </row>
    <row r="2245" spans="1:15">
      <c r="A2245" s="207"/>
      <c r="B2245" s="207"/>
      <c r="N2245" s="4"/>
      <c r="O2245" s="256"/>
    </row>
    <row r="2246" spans="1:15">
      <c r="A2246" s="207"/>
      <c r="B2246" s="207"/>
      <c r="N2246" s="4"/>
      <c r="O2246" s="256"/>
    </row>
    <row r="2247" spans="1:15">
      <c r="A2247" s="207"/>
      <c r="B2247" s="207"/>
      <c r="N2247" s="4"/>
      <c r="O2247" s="256"/>
    </row>
    <row r="2248" spans="1:15">
      <c r="A2248" s="207"/>
      <c r="B2248" s="207"/>
      <c r="N2248" s="4"/>
      <c r="O2248" s="256"/>
    </row>
    <row r="2249" spans="1:15">
      <c r="A2249" s="207"/>
      <c r="B2249" s="207"/>
      <c r="N2249" s="4"/>
      <c r="O2249" s="256"/>
    </row>
    <row r="2250" spans="1:15">
      <c r="A2250" s="207"/>
      <c r="B2250" s="207"/>
      <c r="N2250" s="4"/>
      <c r="O2250" s="256"/>
    </row>
    <row r="2251" spans="1:15">
      <c r="A2251" s="207"/>
      <c r="B2251" s="207"/>
      <c r="N2251" s="4"/>
      <c r="O2251" s="256"/>
    </row>
    <row r="2252" spans="1:15">
      <c r="A2252" s="207"/>
      <c r="B2252" s="207"/>
      <c r="N2252" s="4"/>
      <c r="O2252" s="256"/>
    </row>
    <row r="2253" spans="1:15">
      <c r="A2253" s="207"/>
      <c r="B2253" s="207"/>
      <c r="N2253" s="4"/>
      <c r="O2253" s="256"/>
    </row>
    <row r="2254" spans="1:15">
      <c r="A2254" s="207"/>
      <c r="B2254" s="207"/>
      <c r="N2254" s="4"/>
      <c r="O2254" s="256"/>
    </row>
    <row r="2255" spans="1:15">
      <c r="A2255" s="207"/>
      <c r="B2255" s="207"/>
      <c r="N2255" s="4"/>
      <c r="O2255" s="256"/>
    </row>
    <row r="2256" spans="1:15">
      <c r="A2256" s="207"/>
      <c r="B2256" s="207"/>
      <c r="N2256" s="4"/>
      <c r="O2256" s="256"/>
    </row>
    <row r="2257" spans="1:15">
      <c r="A2257" s="207"/>
      <c r="B2257" s="207"/>
      <c r="N2257" s="4"/>
      <c r="O2257" s="256"/>
    </row>
    <row r="2258" spans="1:15">
      <c r="A2258" s="207"/>
      <c r="B2258" s="207"/>
      <c r="N2258" s="4"/>
      <c r="O2258" s="256"/>
    </row>
    <row r="2259" spans="1:15">
      <c r="A2259" s="207"/>
      <c r="B2259" s="207"/>
      <c r="N2259" s="4"/>
      <c r="O2259" s="256"/>
    </row>
    <row r="2260" spans="1:15">
      <c r="A2260" s="207"/>
      <c r="B2260" s="207"/>
      <c r="N2260" s="4"/>
      <c r="O2260" s="256"/>
    </row>
    <row r="2261" spans="1:15">
      <c r="A2261" s="207"/>
      <c r="B2261" s="207"/>
      <c r="N2261" s="4"/>
      <c r="O2261" s="256"/>
    </row>
    <row r="2262" spans="1:15">
      <c r="A2262" s="207"/>
      <c r="B2262" s="207"/>
      <c r="N2262" s="4"/>
      <c r="O2262" s="256"/>
    </row>
    <row r="2263" spans="1:15">
      <c r="A2263" s="207"/>
      <c r="B2263" s="207"/>
      <c r="N2263" s="4"/>
      <c r="O2263" s="256"/>
    </row>
    <row r="2264" spans="1:15">
      <c r="A2264" s="207"/>
      <c r="B2264" s="207"/>
      <c r="N2264" s="4"/>
      <c r="O2264" s="256"/>
    </row>
    <row r="2265" spans="1:15">
      <c r="A2265" s="207"/>
      <c r="B2265" s="207"/>
      <c r="N2265" s="4"/>
      <c r="O2265" s="256"/>
    </row>
    <row r="2266" spans="1:15">
      <c r="A2266" s="207"/>
      <c r="B2266" s="207"/>
      <c r="N2266" s="4"/>
      <c r="O2266" s="256"/>
    </row>
    <row r="2267" spans="1:15">
      <c r="A2267" s="207"/>
      <c r="B2267" s="207"/>
      <c r="N2267" s="4"/>
      <c r="O2267" s="256"/>
    </row>
    <row r="2268" spans="1:15">
      <c r="A2268" s="207"/>
      <c r="B2268" s="207"/>
      <c r="N2268" s="4"/>
      <c r="O2268" s="256"/>
    </row>
    <row r="2269" spans="1:15">
      <c r="A2269" s="207"/>
      <c r="B2269" s="207"/>
      <c r="N2269" s="4"/>
      <c r="O2269" s="256"/>
    </row>
    <row r="2270" spans="1:15">
      <c r="A2270" s="207"/>
      <c r="B2270" s="207"/>
      <c r="N2270" s="4"/>
      <c r="O2270" s="256"/>
    </row>
    <row r="2271" spans="1:15">
      <c r="A2271" s="207"/>
      <c r="B2271" s="207"/>
      <c r="N2271" s="4"/>
      <c r="O2271" s="256"/>
    </row>
    <row r="2272" spans="1:15">
      <c r="A2272" s="207"/>
      <c r="B2272" s="207"/>
      <c r="N2272" s="4"/>
      <c r="O2272" s="256"/>
    </row>
    <row r="2273" spans="1:15">
      <c r="A2273" s="207"/>
      <c r="B2273" s="207"/>
      <c r="N2273" s="4"/>
      <c r="O2273" s="256"/>
    </row>
    <row r="2274" spans="1:15">
      <c r="A2274" s="207"/>
      <c r="B2274" s="207"/>
      <c r="N2274" s="4"/>
      <c r="O2274" s="256"/>
    </row>
    <row r="2275" spans="1:15">
      <c r="A2275" s="207"/>
      <c r="B2275" s="207"/>
      <c r="N2275" s="4"/>
      <c r="O2275" s="256"/>
    </row>
    <row r="2276" spans="1:15">
      <c r="A2276" s="207"/>
      <c r="B2276" s="207"/>
      <c r="N2276" s="4"/>
      <c r="O2276" s="256"/>
    </row>
    <row r="2277" spans="1:15">
      <c r="A2277" s="207"/>
      <c r="B2277" s="207"/>
      <c r="N2277" s="4"/>
      <c r="O2277" s="256"/>
    </row>
    <row r="2278" spans="1:15">
      <c r="A2278" s="207"/>
      <c r="B2278" s="207"/>
      <c r="N2278" s="4"/>
      <c r="O2278" s="256"/>
    </row>
    <row r="2279" spans="1:15">
      <c r="A2279" s="207"/>
      <c r="B2279" s="207"/>
      <c r="N2279" s="4"/>
      <c r="O2279" s="256"/>
    </row>
    <row r="2280" spans="1:15">
      <c r="A2280" s="207"/>
      <c r="B2280" s="207"/>
      <c r="N2280" s="4"/>
      <c r="O2280" s="256"/>
    </row>
    <row r="2281" spans="1:15">
      <c r="A2281" s="207"/>
      <c r="B2281" s="207"/>
      <c r="N2281" s="4"/>
      <c r="O2281" s="256"/>
    </row>
    <row r="2282" spans="1:15">
      <c r="A2282" s="207"/>
      <c r="B2282" s="207"/>
      <c r="N2282" s="4"/>
      <c r="O2282" s="256"/>
    </row>
    <row r="2283" spans="1:15">
      <c r="A2283" s="207"/>
      <c r="B2283" s="207"/>
      <c r="N2283" s="4"/>
      <c r="O2283" s="256"/>
    </row>
    <row r="2284" spans="1:15">
      <c r="A2284" s="207"/>
      <c r="B2284" s="207"/>
      <c r="N2284" s="4"/>
      <c r="O2284" s="256"/>
    </row>
    <row r="2285" spans="1:15">
      <c r="A2285" s="207"/>
      <c r="B2285" s="207"/>
      <c r="N2285" s="4"/>
      <c r="O2285" s="256"/>
    </row>
    <row r="2286" spans="1:15">
      <c r="A2286" s="207"/>
      <c r="B2286" s="207"/>
      <c r="N2286" s="4"/>
      <c r="O2286" s="256"/>
    </row>
    <row r="2287" spans="1:15">
      <c r="A2287" s="207"/>
      <c r="B2287" s="207"/>
      <c r="N2287" s="4"/>
      <c r="O2287" s="256"/>
    </row>
    <row r="2288" spans="1:15">
      <c r="A2288" s="207"/>
      <c r="B2288" s="207"/>
      <c r="N2288" s="4"/>
      <c r="O2288" s="256"/>
    </row>
    <row r="2289" spans="1:15">
      <c r="A2289" s="207"/>
      <c r="B2289" s="207"/>
      <c r="N2289" s="4"/>
      <c r="O2289" s="256"/>
    </row>
    <row r="2290" spans="1:15">
      <c r="A2290" s="207"/>
      <c r="B2290" s="207"/>
      <c r="N2290" s="4"/>
      <c r="O2290" s="256"/>
    </row>
    <row r="2291" spans="1:15">
      <c r="A2291" s="207"/>
      <c r="B2291" s="207"/>
      <c r="N2291" s="4"/>
      <c r="O2291" s="256"/>
    </row>
    <row r="2292" spans="1:15">
      <c r="A2292" s="207"/>
      <c r="B2292" s="207"/>
      <c r="N2292" s="4"/>
      <c r="O2292" s="256"/>
    </row>
    <row r="2293" spans="1:15">
      <c r="A2293" s="207"/>
      <c r="B2293" s="207"/>
      <c r="N2293" s="4"/>
      <c r="O2293" s="256"/>
    </row>
    <row r="2294" spans="1:15">
      <c r="A2294" s="207"/>
      <c r="B2294" s="207"/>
      <c r="N2294" s="4"/>
      <c r="O2294" s="256"/>
    </row>
    <row r="2295" spans="1:15">
      <c r="A2295" s="207"/>
      <c r="B2295" s="207"/>
      <c r="N2295" s="4"/>
      <c r="O2295" s="256"/>
    </row>
    <row r="2296" spans="1:15">
      <c r="A2296" s="207"/>
      <c r="B2296" s="207"/>
      <c r="N2296" s="4"/>
      <c r="O2296" s="256"/>
    </row>
    <row r="2297" spans="1:15">
      <c r="A2297" s="207"/>
      <c r="B2297" s="207"/>
      <c r="N2297" s="4"/>
      <c r="O2297" s="256"/>
    </row>
    <row r="2298" spans="1:15">
      <c r="A2298" s="207"/>
      <c r="B2298" s="207"/>
      <c r="N2298" s="4"/>
      <c r="O2298" s="256"/>
    </row>
    <row r="2299" spans="1:15">
      <c r="A2299" s="207"/>
      <c r="B2299" s="207"/>
      <c r="N2299" s="4"/>
      <c r="O2299" s="256"/>
    </row>
    <row r="2300" spans="1:15">
      <c r="A2300" s="207"/>
      <c r="B2300" s="207"/>
      <c r="N2300" s="4"/>
      <c r="O2300" s="256"/>
    </row>
    <row r="2301" spans="1:15">
      <c r="A2301" s="207"/>
      <c r="B2301" s="207"/>
      <c r="N2301" s="4"/>
      <c r="O2301" s="256"/>
    </row>
    <row r="2302" spans="1:15">
      <c r="A2302" s="207"/>
      <c r="B2302" s="207"/>
      <c r="N2302" s="4"/>
      <c r="O2302" s="256"/>
    </row>
    <row r="2303" spans="1:15">
      <c r="A2303" s="207"/>
      <c r="B2303" s="207"/>
      <c r="N2303" s="4"/>
      <c r="O2303" s="256"/>
    </row>
    <row r="2304" spans="1:15">
      <c r="A2304" s="207"/>
      <c r="B2304" s="207"/>
      <c r="N2304" s="4"/>
      <c r="O2304" s="256"/>
    </row>
    <row r="2305" spans="1:15">
      <c r="A2305" s="207"/>
      <c r="B2305" s="207"/>
      <c r="N2305" s="4"/>
      <c r="O2305" s="256"/>
    </row>
    <row r="2306" spans="1:15">
      <c r="A2306" s="207"/>
      <c r="B2306" s="207"/>
      <c r="N2306" s="4"/>
      <c r="O2306" s="256"/>
    </row>
    <row r="2307" spans="1:15">
      <c r="A2307" s="207"/>
      <c r="B2307" s="207"/>
      <c r="N2307" s="4"/>
      <c r="O2307" s="256"/>
    </row>
    <row r="2308" spans="1:15">
      <c r="A2308" s="207"/>
      <c r="B2308" s="207"/>
      <c r="N2308" s="4"/>
      <c r="O2308" s="256"/>
    </row>
    <row r="2309" spans="1:15">
      <c r="A2309" s="207"/>
      <c r="B2309" s="207"/>
      <c r="N2309" s="4"/>
      <c r="O2309" s="256"/>
    </row>
    <row r="2310" spans="1:15">
      <c r="A2310" s="207"/>
      <c r="B2310" s="207"/>
      <c r="N2310" s="4"/>
      <c r="O2310" s="256"/>
    </row>
    <row r="2311" spans="1:15">
      <c r="A2311" s="207"/>
      <c r="B2311" s="207"/>
      <c r="N2311" s="4"/>
      <c r="O2311" s="256"/>
    </row>
    <row r="2312" spans="1:15">
      <c r="A2312" s="207"/>
      <c r="B2312" s="207"/>
      <c r="N2312" s="4"/>
      <c r="O2312" s="256"/>
    </row>
    <row r="2313" spans="1:15">
      <c r="A2313" s="207"/>
      <c r="B2313" s="207"/>
      <c r="N2313" s="4"/>
      <c r="O2313" s="256"/>
    </row>
    <row r="2314" spans="1:15">
      <c r="A2314" s="207"/>
      <c r="B2314" s="207"/>
      <c r="N2314" s="4"/>
      <c r="O2314" s="256"/>
    </row>
    <row r="2315" spans="1:15">
      <c r="A2315" s="207"/>
      <c r="B2315" s="207"/>
      <c r="N2315" s="4"/>
      <c r="O2315" s="256"/>
    </row>
    <row r="2316" spans="1:15">
      <c r="A2316" s="207"/>
      <c r="B2316" s="207"/>
      <c r="N2316" s="4"/>
      <c r="O2316" s="256"/>
    </row>
    <row r="2317" spans="1:15">
      <c r="A2317" s="207"/>
      <c r="B2317" s="207"/>
      <c r="N2317" s="4"/>
      <c r="O2317" s="256"/>
    </row>
    <row r="2318" spans="1:15">
      <c r="A2318" s="207"/>
      <c r="B2318" s="207"/>
      <c r="N2318" s="4"/>
      <c r="O2318" s="256"/>
    </row>
    <row r="2319" spans="1:15">
      <c r="A2319" s="207"/>
      <c r="B2319" s="207"/>
      <c r="N2319" s="4"/>
      <c r="O2319" s="256"/>
    </row>
    <row r="2320" spans="1:15">
      <c r="A2320" s="207"/>
      <c r="B2320" s="207"/>
      <c r="N2320" s="4"/>
      <c r="O2320" s="256"/>
    </row>
    <row r="2321" spans="1:15">
      <c r="A2321" s="207"/>
      <c r="B2321" s="207"/>
      <c r="N2321" s="4"/>
      <c r="O2321" s="256"/>
    </row>
    <row r="2322" spans="1:15">
      <c r="A2322" s="207"/>
      <c r="B2322" s="207"/>
      <c r="N2322" s="4"/>
      <c r="O2322" s="256"/>
    </row>
    <row r="2323" spans="1:15">
      <c r="A2323" s="207"/>
      <c r="B2323" s="207"/>
      <c r="N2323" s="4"/>
      <c r="O2323" s="256"/>
    </row>
    <row r="2324" spans="1:15">
      <c r="A2324" s="207"/>
      <c r="B2324" s="207"/>
      <c r="N2324" s="4"/>
      <c r="O2324" s="256"/>
    </row>
    <row r="2325" spans="1:15">
      <c r="A2325" s="207"/>
      <c r="B2325" s="207"/>
      <c r="N2325" s="4"/>
      <c r="O2325" s="256"/>
    </row>
    <row r="2326" spans="1:15">
      <c r="A2326" s="207"/>
      <c r="B2326" s="207"/>
      <c r="N2326" s="4"/>
      <c r="O2326" s="256"/>
    </row>
    <row r="2327" spans="1:15">
      <c r="A2327" s="207"/>
      <c r="B2327" s="207"/>
      <c r="N2327" s="4"/>
      <c r="O2327" s="256"/>
    </row>
    <row r="2328" spans="1:15">
      <c r="A2328" s="207"/>
      <c r="B2328" s="207"/>
      <c r="N2328" s="4"/>
      <c r="O2328" s="256"/>
    </row>
    <row r="2329" spans="1:15">
      <c r="A2329" s="207"/>
      <c r="B2329" s="207"/>
      <c r="N2329" s="4"/>
      <c r="O2329" s="256"/>
    </row>
    <row r="2330" spans="1:15">
      <c r="A2330" s="207"/>
      <c r="B2330" s="207"/>
      <c r="N2330" s="4"/>
      <c r="O2330" s="256"/>
    </row>
    <row r="2331" spans="1:15">
      <c r="A2331" s="207"/>
      <c r="B2331" s="207"/>
      <c r="N2331" s="4"/>
      <c r="O2331" s="256"/>
    </row>
    <row r="2332" spans="1:15">
      <c r="A2332" s="207"/>
      <c r="B2332" s="207"/>
      <c r="N2332" s="4"/>
      <c r="O2332" s="256"/>
    </row>
    <row r="2333" spans="1:15">
      <c r="A2333" s="207"/>
      <c r="B2333" s="207"/>
      <c r="N2333" s="4"/>
      <c r="O2333" s="256"/>
    </row>
    <row r="2334" spans="1:15">
      <c r="A2334" s="207"/>
      <c r="B2334" s="207"/>
      <c r="N2334" s="4"/>
      <c r="O2334" s="256"/>
    </row>
    <row r="2335" spans="1:15">
      <c r="A2335" s="207"/>
      <c r="B2335" s="207"/>
      <c r="N2335" s="4"/>
      <c r="O2335" s="256"/>
    </row>
    <row r="2336" spans="1:15">
      <c r="A2336" s="207"/>
      <c r="B2336" s="207"/>
      <c r="N2336" s="4"/>
      <c r="O2336" s="256"/>
    </row>
    <row r="2337" spans="1:15">
      <c r="A2337" s="207"/>
      <c r="B2337" s="207"/>
      <c r="N2337" s="4"/>
      <c r="O2337" s="256"/>
    </row>
    <row r="2338" spans="1:15">
      <c r="A2338" s="207"/>
      <c r="B2338" s="207"/>
      <c r="N2338" s="4"/>
      <c r="O2338" s="256"/>
    </row>
    <row r="2339" spans="1:15">
      <c r="A2339" s="207"/>
      <c r="B2339" s="207"/>
      <c r="N2339" s="4"/>
      <c r="O2339" s="256"/>
    </row>
    <row r="2340" spans="1:15">
      <c r="A2340" s="207"/>
      <c r="B2340" s="207"/>
      <c r="N2340" s="4"/>
      <c r="O2340" s="256"/>
    </row>
    <row r="2341" spans="1:15">
      <c r="A2341" s="207"/>
      <c r="B2341" s="207"/>
      <c r="N2341" s="4"/>
      <c r="O2341" s="256"/>
    </row>
    <row r="2342" spans="1:15">
      <c r="A2342" s="207"/>
      <c r="B2342" s="207"/>
      <c r="N2342" s="4"/>
      <c r="O2342" s="256"/>
    </row>
    <row r="2343" spans="1:15">
      <c r="A2343" s="207"/>
      <c r="B2343" s="207"/>
      <c r="N2343" s="4"/>
      <c r="O2343" s="256"/>
    </row>
    <row r="2344" spans="1:15">
      <c r="A2344" s="207"/>
      <c r="B2344" s="207"/>
      <c r="N2344" s="4"/>
      <c r="O2344" s="256"/>
    </row>
    <row r="2345" spans="1:15">
      <c r="A2345" s="207"/>
      <c r="B2345" s="207"/>
      <c r="N2345" s="4"/>
      <c r="O2345" s="256"/>
    </row>
    <row r="2346" spans="1:15">
      <c r="A2346" s="207"/>
      <c r="B2346" s="207"/>
      <c r="N2346" s="4"/>
      <c r="O2346" s="256"/>
    </row>
    <row r="2347" spans="1:15">
      <c r="A2347" s="207"/>
      <c r="B2347" s="207"/>
      <c r="N2347" s="4"/>
      <c r="O2347" s="256"/>
    </row>
    <row r="2348" spans="1:15">
      <c r="A2348" s="207"/>
      <c r="B2348" s="207"/>
      <c r="N2348" s="4"/>
      <c r="O2348" s="256"/>
    </row>
    <row r="2349" spans="1:15">
      <c r="A2349" s="207"/>
      <c r="B2349" s="207"/>
      <c r="N2349" s="4"/>
      <c r="O2349" s="256"/>
    </row>
    <row r="2350" spans="1:15">
      <c r="A2350" s="207"/>
      <c r="B2350" s="207"/>
      <c r="N2350" s="4"/>
      <c r="O2350" s="256"/>
    </row>
    <row r="2351" spans="1:15">
      <c r="A2351" s="207"/>
      <c r="B2351" s="207"/>
      <c r="N2351" s="4"/>
      <c r="O2351" s="256"/>
    </row>
    <row r="2352" spans="1:15">
      <c r="A2352" s="207"/>
      <c r="B2352" s="207"/>
      <c r="N2352" s="4"/>
      <c r="O2352" s="256"/>
    </row>
    <row r="2353" spans="1:15">
      <c r="A2353" s="207"/>
      <c r="B2353" s="207"/>
      <c r="N2353" s="4"/>
      <c r="O2353" s="256"/>
    </row>
    <row r="2354" spans="1:15">
      <c r="A2354" s="207"/>
      <c r="B2354" s="207"/>
      <c r="N2354" s="4"/>
      <c r="O2354" s="256"/>
    </row>
    <row r="2355" spans="1:15">
      <c r="A2355" s="207"/>
      <c r="B2355" s="207"/>
      <c r="N2355" s="4"/>
      <c r="O2355" s="256"/>
    </row>
    <row r="2356" spans="1:15">
      <c r="A2356" s="207"/>
      <c r="B2356" s="207"/>
      <c r="N2356" s="4"/>
      <c r="O2356" s="256"/>
    </row>
    <row r="2357" spans="1:15">
      <c r="A2357" s="207"/>
      <c r="B2357" s="207"/>
      <c r="N2357" s="4"/>
      <c r="O2357" s="256"/>
    </row>
    <row r="2358" spans="1:15">
      <c r="A2358" s="207"/>
      <c r="B2358" s="207"/>
      <c r="N2358" s="4"/>
      <c r="O2358" s="256"/>
    </row>
    <row r="2359" spans="1:15">
      <c r="A2359" s="207"/>
      <c r="B2359" s="207"/>
      <c r="N2359" s="4"/>
      <c r="O2359" s="256"/>
    </row>
    <row r="2360" spans="1:15">
      <c r="A2360" s="207"/>
      <c r="B2360" s="207"/>
      <c r="N2360" s="4"/>
      <c r="O2360" s="256"/>
    </row>
    <row r="2361" spans="1:15">
      <c r="A2361" s="207"/>
      <c r="B2361" s="207"/>
      <c r="N2361" s="4"/>
      <c r="O2361" s="256"/>
    </row>
    <row r="2362" spans="1:15">
      <c r="A2362" s="207"/>
      <c r="B2362" s="207"/>
      <c r="N2362" s="4"/>
      <c r="O2362" s="256"/>
    </row>
    <row r="2363" spans="1:15">
      <c r="A2363" s="207"/>
      <c r="B2363" s="207"/>
      <c r="N2363" s="4"/>
      <c r="O2363" s="256"/>
    </row>
    <row r="2364" spans="1:15">
      <c r="A2364" s="207"/>
      <c r="B2364" s="207"/>
      <c r="N2364" s="4"/>
      <c r="O2364" s="256"/>
    </row>
    <row r="2365" spans="1:15">
      <c r="A2365" s="207"/>
      <c r="B2365" s="207"/>
      <c r="N2365" s="4"/>
      <c r="O2365" s="256"/>
    </row>
    <row r="2366" spans="1:15">
      <c r="A2366" s="207"/>
      <c r="B2366" s="207"/>
      <c r="N2366" s="4"/>
      <c r="O2366" s="256"/>
    </row>
    <row r="2367" spans="1:15">
      <c r="A2367" s="207"/>
      <c r="B2367" s="207"/>
      <c r="N2367" s="4"/>
      <c r="O2367" s="256"/>
    </row>
    <row r="2368" spans="1:15">
      <c r="A2368" s="207"/>
      <c r="B2368" s="207"/>
      <c r="N2368" s="4"/>
      <c r="O2368" s="256"/>
    </row>
    <row r="2369" spans="1:15">
      <c r="A2369" s="207"/>
      <c r="B2369" s="207"/>
      <c r="N2369" s="4"/>
      <c r="O2369" s="256"/>
    </row>
    <row r="2370" spans="1:15">
      <c r="A2370" s="207"/>
      <c r="B2370" s="207"/>
      <c r="N2370" s="4"/>
      <c r="O2370" s="256"/>
    </row>
    <row r="2371" spans="1:15">
      <c r="A2371" s="207"/>
      <c r="B2371" s="207"/>
      <c r="N2371" s="4"/>
      <c r="O2371" s="256"/>
    </row>
    <row r="2372" spans="1:15">
      <c r="A2372" s="207"/>
      <c r="B2372" s="207"/>
      <c r="N2372" s="4"/>
      <c r="O2372" s="256"/>
    </row>
    <row r="2373" spans="1:15">
      <c r="A2373" s="207"/>
      <c r="B2373" s="207"/>
      <c r="N2373" s="4"/>
      <c r="O2373" s="256"/>
    </row>
    <row r="2374" spans="1:15">
      <c r="A2374" s="207"/>
      <c r="B2374" s="207"/>
      <c r="N2374" s="4"/>
      <c r="O2374" s="256"/>
    </row>
    <row r="2375" spans="1:15">
      <c r="A2375" s="207"/>
      <c r="B2375" s="207"/>
      <c r="N2375" s="4"/>
      <c r="O2375" s="256"/>
    </row>
    <row r="2376" spans="1:15">
      <c r="A2376" s="207"/>
      <c r="B2376" s="207"/>
      <c r="N2376" s="4"/>
      <c r="O2376" s="256"/>
    </row>
    <row r="2377" spans="1:15">
      <c r="A2377" s="207"/>
      <c r="B2377" s="207"/>
      <c r="N2377" s="4"/>
      <c r="O2377" s="256"/>
    </row>
    <row r="2378" spans="1:15">
      <c r="A2378" s="207"/>
      <c r="B2378" s="207"/>
      <c r="N2378" s="4"/>
      <c r="O2378" s="256"/>
    </row>
    <row r="2379" spans="1:15">
      <c r="A2379" s="207"/>
      <c r="B2379" s="207"/>
      <c r="N2379" s="4"/>
      <c r="O2379" s="256"/>
    </row>
    <row r="2380" spans="1:15">
      <c r="A2380" s="207"/>
      <c r="B2380" s="207"/>
      <c r="N2380" s="4"/>
      <c r="O2380" s="256"/>
    </row>
    <row r="2381" spans="1:15">
      <c r="A2381" s="207"/>
      <c r="B2381" s="207"/>
      <c r="N2381" s="4"/>
      <c r="O2381" s="256"/>
    </row>
    <row r="2382" spans="1:15">
      <c r="A2382" s="207"/>
      <c r="B2382" s="207"/>
      <c r="N2382" s="4"/>
      <c r="O2382" s="256"/>
    </row>
    <row r="2383" spans="1:15">
      <c r="A2383" s="207"/>
      <c r="B2383" s="207"/>
      <c r="N2383" s="4"/>
      <c r="O2383" s="256"/>
    </row>
    <row r="2384" spans="1:15">
      <c r="A2384" s="207"/>
      <c r="B2384" s="207"/>
      <c r="N2384" s="4"/>
      <c r="O2384" s="256"/>
    </row>
    <row r="2385" spans="1:15">
      <c r="A2385" s="207"/>
      <c r="B2385" s="207"/>
      <c r="N2385" s="4"/>
      <c r="O2385" s="256"/>
    </row>
    <row r="2386" spans="1:15">
      <c r="A2386" s="207"/>
      <c r="B2386" s="207"/>
      <c r="N2386" s="4"/>
      <c r="O2386" s="256"/>
    </row>
    <row r="2387" spans="1:15">
      <c r="A2387" s="207"/>
      <c r="B2387" s="207"/>
      <c r="N2387" s="4"/>
      <c r="O2387" s="256"/>
    </row>
    <row r="2388" spans="1:15">
      <c r="A2388" s="207"/>
      <c r="B2388" s="207"/>
      <c r="N2388" s="4"/>
      <c r="O2388" s="256"/>
    </row>
    <row r="2389" spans="1:15">
      <c r="A2389" s="207"/>
      <c r="B2389" s="207"/>
      <c r="N2389" s="4"/>
      <c r="O2389" s="256"/>
    </row>
    <row r="2390" spans="1:15">
      <c r="A2390" s="207"/>
      <c r="B2390" s="207"/>
      <c r="N2390" s="4"/>
      <c r="O2390" s="256"/>
    </row>
    <row r="2391" spans="1:15">
      <c r="A2391" s="207"/>
      <c r="B2391" s="207"/>
      <c r="N2391" s="4"/>
      <c r="O2391" s="256"/>
    </row>
    <row r="2392" spans="1:15">
      <c r="A2392" s="207"/>
      <c r="B2392" s="207"/>
      <c r="N2392" s="4"/>
      <c r="O2392" s="256"/>
    </row>
    <row r="2393" spans="1:15">
      <c r="A2393" s="207"/>
      <c r="B2393" s="207"/>
      <c r="N2393" s="4"/>
      <c r="O2393" s="256"/>
    </row>
    <row r="2394" spans="1:15">
      <c r="A2394" s="207"/>
      <c r="B2394" s="207"/>
      <c r="N2394" s="4"/>
      <c r="O2394" s="256"/>
    </row>
    <row r="2395" spans="1:15">
      <c r="A2395" s="207"/>
      <c r="B2395" s="207"/>
      <c r="N2395" s="4"/>
      <c r="O2395" s="256"/>
    </row>
    <row r="2396" spans="1:15">
      <c r="A2396" s="207"/>
      <c r="B2396" s="207"/>
      <c r="N2396" s="4"/>
      <c r="O2396" s="256"/>
    </row>
    <row r="2397" spans="1:15">
      <c r="A2397" s="207"/>
      <c r="B2397" s="207"/>
      <c r="N2397" s="4"/>
      <c r="O2397" s="256"/>
    </row>
    <row r="2398" spans="1:15">
      <c r="A2398" s="207"/>
      <c r="B2398" s="207"/>
      <c r="N2398" s="4"/>
      <c r="O2398" s="256"/>
    </row>
    <row r="2399" spans="1:15">
      <c r="A2399" s="207"/>
      <c r="B2399" s="207"/>
      <c r="N2399" s="4"/>
      <c r="O2399" s="256"/>
    </row>
    <row r="2400" spans="1:15">
      <c r="A2400" s="207"/>
      <c r="B2400" s="207"/>
      <c r="N2400" s="4"/>
      <c r="O2400" s="256"/>
    </row>
    <row r="2401" spans="1:15">
      <c r="A2401" s="207"/>
      <c r="B2401" s="207"/>
      <c r="N2401" s="4"/>
      <c r="O2401" s="256"/>
    </row>
    <row r="2402" spans="1:15">
      <c r="A2402" s="207"/>
      <c r="B2402" s="207"/>
      <c r="N2402" s="4"/>
      <c r="O2402" s="256"/>
    </row>
    <row r="2403" spans="1:15">
      <c r="A2403" s="207"/>
      <c r="B2403" s="207"/>
      <c r="N2403" s="4"/>
      <c r="O2403" s="256"/>
    </row>
    <row r="2404" spans="1:15">
      <c r="A2404" s="207"/>
      <c r="B2404" s="207"/>
      <c r="N2404" s="4"/>
      <c r="O2404" s="256"/>
    </row>
    <row r="2405" spans="1:15">
      <c r="A2405" s="207"/>
      <c r="B2405" s="207"/>
      <c r="N2405" s="4"/>
      <c r="O2405" s="256"/>
    </row>
    <row r="2406" spans="1:15">
      <c r="A2406" s="207"/>
      <c r="B2406" s="207"/>
      <c r="N2406" s="4"/>
      <c r="O2406" s="256"/>
    </row>
    <row r="2407" spans="1:15">
      <c r="A2407" s="207"/>
      <c r="B2407" s="207"/>
      <c r="N2407" s="4"/>
      <c r="O2407" s="256"/>
    </row>
    <row r="2408" spans="1:15">
      <c r="A2408" s="207"/>
      <c r="B2408" s="207"/>
      <c r="N2408" s="4"/>
      <c r="O2408" s="256"/>
    </row>
    <row r="2409" spans="1:15">
      <c r="A2409" s="207"/>
      <c r="B2409" s="207"/>
      <c r="N2409" s="4"/>
      <c r="O2409" s="256"/>
    </row>
    <row r="2410" spans="1:15">
      <c r="A2410" s="207"/>
      <c r="B2410" s="207"/>
      <c r="N2410" s="4"/>
      <c r="O2410" s="256"/>
    </row>
    <row r="2411" spans="1:15">
      <c r="A2411" s="207"/>
      <c r="B2411" s="207"/>
      <c r="N2411" s="4"/>
      <c r="O2411" s="256"/>
    </row>
    <row r="2412" spans="1:15">
      <c r="A2412" s="207"/>
      <c r="B2412" s="207"/>
      <c r="N2412" s="4"/>
      <c r="O2412" s="256"/>
    </row>
    <row r="2413" spans="1:15">
      <c r="A2413" s="207"/>
      <c r="B2413" s="207"/>
      <c r="N2413" s="4"/>
      <c r="O2413" s="256"/>
    </row>
    <row r="2414" spans="1:15">
      <c r="A2414" s="207"/>
      <c r="B2414" s="207"/>
      <c r="N2414" s="4"/>
      <c r="O2414" s="256"/>
    </row>
    <row r="2415" spans="1:15">
      <c r="A2415" s="207"/>
      <c r="B2415" s="207"/>
      <c r="N2415" s="4"/>
      <c r="O2415" s="256"/>
    </row>
    <row r="2416" spans="1:15">
      <c r="A2416" s="207"/>
      <c r="B2416" s="207"/>
      <c r="N2416" s="4"/>
      <c r="O2416" s="256"/>
    </row>
    <row r="2417" spans="1:15">
      <c r="A2417" s="207"/>
      <c r="B2417" s="207"/>
      <c r="N2417" s="4"/>
      <c r="O2417" s="256"/>
    </row>
    <row r="2418" spans="1:15">
      <c r="A2418" s="207"/>
      <c r="B2418" s="207"/>
      <c r="N2418" s="4"/>
      <c r="O2418" s="256"/>
    </row>
    <row r="2419" spans="1:15">
      <c r="A2419" s="207"/>
      <c r="B2419" s="207"/>
      <c r="N2419" s="4"/>
      <c r="O2419" s="256"/>
    </row>
    <row r="2420" spans="1:15">
      <c r="A2420" s="207"/>
      <c r="B2420" s="207"/>
      <c r="N2420" s="4"/>
      <c r="O2420" s="256"/>
    </row>
    <row r="2421" spans="1:15">
      <c r="A2421" s="207"/>
      <c r="B2421" s="207"/>
      <c r="N2421" s="4"/>
      <c r="O2421" s="256"/>
    </row>
    <row r="2422" spans="1:15">
      <c r="A2422" s="207"/>
      <c r="B2422" s="207"/>
      <c r="N2422" s="4"/>
      <c r="O2422" s="256"/>
    </row>
    <row r="2423" spans="1:15">
      <c r="A2423" s="207"/>
      <c r="B2423" s="207"/>
      <c r="N2423" s="4"/>
      <c r="O2423" s="256"/>
    </row>
    <row r="2424" spans="1:15">
      <c r="A2424" s="207"/>
      <c r="B2424" s="207"/>
      <c r="N2424" s="4"/>
      <c r="O2424" s="256"/>
    </row>
    <row r="2425" spans="1:15">
      <c r="A2425" s="207"/>
      <c r="B2425" s="207"/>
      <c r="N2425" s="4"/>
      <c r="O2425" s="256"/>
    </row>
    <row r="2426" spans="1:15">
      <c r="A2426" s="207"/>
      <c r="B2426" s="207"/>
      <c r="N2426" s="4"/>
      <c r="O2426" s="256"/>
    </row>
    <row r="2427" spans="1:15">
      <c r="A2427" s="207"/>
      <c r="B2427" s="207"/>
      <c r="N2427" s="4"/>
      <c r="O2427" s="256"/>
    </row>
    <row r="2428" spans="1:15">
      <c r="A2428" s="207"/>
      <c r="B2428" s="207"/>
      <c r="N2428" s="4"/>
      <c r="O2428" s="256"/>
    </row>
    <row r="2429" spans="1:15">
      <c r="A2429" s="207"/>
      <c r="B2429" s="207"/>
      <c r="N2429" s="4"/>
      <c r="O2429" s="256"/>
    </row>
    <row r="2430" spans="1:15">
      <c r="A2430" s="207"/>
      <c r="B2430" s="207"/>
      <c r="N2430" s="4"/>
      <c r="O2430" s="256"/>
    </row>
    <row r="2431" spans="1:15">
      <c r="A2431" s="207"/>
      <c r="B2431" s="207"/>
      <c r="N2431" s="4"/>
      <c r="O2431" s="256"/>
    </row>
    <row r="2432" spans="1:15">
      <c r="A2432" s="207"/>
      <c r="B2432" s="207"/>
      <c r="N2432" s="4"/>
      <c r="O2432" s="256"/>
    </row>
    <row r="2433" spans="1:15">
      <c r="A2433" s="207"/>
      <c r="B2433" s="207"/>
      <c r="N2433" s="4"/>
      <c r="O2433" s="256"/>
    </row>
    <row r="2434" spans="1:15">
      <c r="A2434" s="207"/>
      <c r="B2434" s="207"/>
      <c r="N2434" s="4"/>
      <c r="O2434" s="256"/>
    </row>
    <row r="2435" spans="1:15">
      <c r="A2435" s="207"/>
      <c r="B2435" s="207"/>
      <c r="N2435" s="4"/>
      <c r="O2435" s="256"/>
    </row>
    <row r="2436" spans="1:15">
      <c r="A2436" s="207"/>
      <c r="B2436" s="207"/>
      <c r="N2436" s="4"/>
      <c r="O2436" s="256"/>
    </row>
    <row r="2437" spans="1:15">
      <c r="A2437" s="207"/>
      <c r="B2437" s="207"/>
      <c r="N2437" s="4"/>
      <c r="O2437" s="256"/>
    </row>
    <row r="2438" spans="1:15">
      <c r="A2438" s="207"/>
      <c r="B2438" s="207"/>
      <c r="N2438" s="4"/>
      <c r="O2438" s="256"/>
    </row>
    <row r="2439" spans="1:15">
      <c r="A2439" s="207"/>
      <c r="B2439" s="207"/>
      <c r="N2439" s="4"/>
      <c r="O2439" s="256"/>
    </row>
    <row r="2440" spans="1:15">
      <c r="A2440" s="207"/>
      <c r="B2440" s="207"/>
      <c r="N2440" s="4"/>
      <c r="O2440" s="256"/>
    </row>
    <row r="2441" spans="1:15">
      <c r="A2441" s="207"/>
      <c r="B2441" s="207"/>
      <c r="N2441" s="4"/>
      <c r="O2441" s="256"/>
    </row>
    <row r="2442" spans="1:15">
      <c r="A2442" s="207"/>
      <c r="B2442" s="207"/>
      <c r="N2442" s="4"/>
      <c r="O2442" s="256"/>
    </row>
    <row r="2443" spans="1:15">
      <c r="A2443" s="207"/>
      <c r="B2443" s="207"/>
      <c r="N2443" s="4"/>
      <c r="O2443" s="256"/>
    </row>
    <row r="2444" spans="1:15">
      <c r="A2444" s="207"/>
      <c r="B2444" s="207"/>
      <c r="N2444" s="4"/>
      <c r="O2444" s="256"/>
    </row>
    <row r="2445" spans="1:15">
      <c r="A2445" s="207"/>
      <c r="B2445" s="207"/>
      <c r="N2445" s="4"/>
      <c r="O2445" s="256"/>
    </row>
    <row r="2446" spans="1:15">
      <c r="A2446" s="207"/>
      <c r="B2446" s="207"/>
      <c r="N2446" s="4"/>
      <c r="O2446" s="256"/>
    </row>
    <row r="2447" spans="1:15">
      <c r="A2447" s="207"/>
      <c r="B2447" s="207"/>
      <c r="N2447" s="4"/>
      <c r="O2447" s="256"/>
    </row>
    <row r="2448" spans="1:15">
      <c r="A2448" s="207"/>
      <c r="B2448" s="207"/>
      <c r="N2448" s="4"/>
      <c r="O2448" s="256"/>
    </row>
    <row r="2449" spans="1:15">
      <c r="A2449" s="207"/>
      <c r="B2449" s="207"/>
      <c r="N2449" s="4"/>
      <c r="O2449" s="256"/>
    </row>
    <row r="2450" spans="1:15">
      <c r="A2450" s="207"/>
      <c r="B2450" s="207"/>
      <c r="N2450" s="4"/>
      <c r="O2450" s="256"/>
    </row>
    <row r="2451" spans="1:15">
      <c r="A2451" s="207"/>
      <c r="B2451" s="207"/>
      <c r="N2451" s="4"/>
      <c r="O2451" s="256"/>
    </row>
    <row r="2452" spans="1:15">
      <c r="A2452" s="207"/>
      <c r="B2452" s="207"/>
      <c r="N2452" s="4"/>
      <c r="O2452" s="256"/>
    </row>
    <row r="2453" spans="1:15">
      <c r="A2453" s="207"/>
      <c r="B2453" s="207"/>
      <c r="N2453" s="4"/>
      <c r="O2453" s="256"/>
    </row>
    <row r="2454" spans="1:15">
      <c r="A2454" s="207"/>
      <c r="B2454" s="207"/>
      <c r="N2454" s="4"/>
      <c r="O2454" s="256"/>
    </row>
    <row r="2455" spans="1:15">
      <c r="A2455" s="207"/>
      <c r="B2455" s="207"/>
      <c r="N2455" s="4"/>
      <c r="O2455" s="256"/>
    </row>
    <row r="2456" spans="1:15">
      <c r="A2456" s="207"/>
      <c r="B2456" s="207"/>
      <c r="N2456" s="4"/>
      <c r="O2456" s="256"/>
    </row>
    <row r="2457" spans="1:15">
      <c r="A2457" s="207"/>
      <c r="B2457" s="207"/>
      <c r="N2457" s="4"/>
      <c r="O2457" s="256"/>
    </row>
    <row r="2458" spans="1:15">
      <c r="A2458" s="207"/>
      <c r="B2458" s="207"/>
      <c r="N2458" s="4"/>
      <c r="O2458" s="256"/>
    </row>
    <row r="2459" spans="1:15">
      <c r="A2459" s="207"/>
      <c r="B2459" s="207"/>
      <c r="N2459" s="4"/>
      <c r="O2459" s="256"/>
    </row>
    <row r="2460" spans="1:15">
      <c r="A2460" s="207"/>
      <c r="B2460" s="207"/>
      <c r="N2460" s="4"/>
      <c r="O2460" s="256"/>
    </row>
    <row r="2461" spans="1:15">
      <c r="A2461" s="207"/>
      <c r="B2461" s="207"/>
      <c r="N2461" s="4"/>
      <c r="O2461" s="256"/>
    </row>
    <row r="2462" spans="1:15">
      <c r="A2462" s="207"/>
      <c r="B2462" s="207"/>
      <c r="N2462" s="4"/>
      <c r="O2462" s="256"/>
    </row>
    <row r="2463" spans="1:15">
      <c r="A2463" s="207"/>
      <c r="B2463" s="207"/>
      <c r="N2463" s="4"/>
      <c r="O2463" s="256"/>
    </row>
    <row r="2464" spans="1:15">
      <c r="A2464" s="207"/>
      <c r="B2464" s="207"/>
      <c r="N2464" s="4"/>
      <c r="O2464" s="256"/>
    </row>
    <row r="2465" spans="1:15">
      <c r="A2465" s="207"/>
      <c r="B2465" s="207"/>
      <c r="N2465" s="4"/>
      <c r="O2465" s="256"/>
    </row>
    <row r="2466" spans="1:15">
      <c r="A2466" s="207"/>
      <c r="B2466" s="207"/>
      <c r="N2466" s="4"/>
      <c r="O2466" s="256"/>
    </row>
    <row r="2467" spans="1:15">
      <c r="A2467" s="207"/>
      <c r="B2467" s="207"/>
      <c r="N2467" s="4"/>
      <c r="O2467" s="256"/>
    </row>
    <row r="2468" spans="1:15">
      <c r="A2468" s="207"/>
      <c r="B2468" s="207"/>
      <c r="N2468" s="4"/>
      <c r="O2468" s="256"/>
    </row>
    <row r="2469" spans="1:15">
      <c r="A2469" s="207"/>
      <c r="B2469" s="207"/>
      <c r="N2469" s="4"/>
      <c r="O2469" s="256"/>
    </row>
    <row r="2470" spans="1:15">
      <c r="A2470" s="207"/>
      <c r="B2470" s="207"/>
      <c r="N2470" s="4"/>
      <c r="O2470" s="256"/>
    </row>
    <row r="2471" spans="1:15">
      <c r="A2471" s="207"/>
      <c r="B2471" s="207"/>
      <c r="N2471" s="4"/>
      <c r="O2471" s="256"/>
    </row>
    <row r="2472" spans="1:15">
      <c r="A2472" s="207"/>
      <c r="B2472" s="207"/>
      <c r="N2472" s="4"/>
      <c r="O2472" s="256"/>
    </row>
    <row r="2473" spans="1:15">
      <c r="A2473" s="207"/>
      <c r="B2473" s="207"/>
      <c r="N2473" s="4"/>
      <c r="O2473" s="256"/>
    </row>
    <row r="2474" spans="1:15">
      <c r="A2474" s="207"/>
      <c r="B2474" s="207"/>
      <c r="N2474" s="4"/>
      <c r="O2474" s="256"/>
    </row>
    <row r="2475" spans="1:15">
      <c r="A2475" s="207"/>
      <c r="B2475" s="207"/>
      <c r="N2475" s="4"/>
      <c r="O2475" s="256"/>
    </row>
    <row r="2476" spans="1:15">
      <c r="A2476" s="207"/>
      <c r="B2476" s="207"/>
      <c r="N2476" s="4"/>
      <c r="O2476" s="256"/>
    </row>
    <row r="2477" spans="1:15">
      <c r="A2477" s="207"/>
      <c r="B2477" s="207"/>
      <c r="N2477" s="4"/>
      <c r="O2477" s="256"/>
    </row>
    <row r="2478" spans="1:15">
      <c r="A2478" s="207"/>
      <c r="B2478" s="207"/>
      <c r="N2478" s="4"/>
      <c r="O2478" s="256"/>
    </row>
    <row r="2479" spans="1:15">
      <c r="A2479" s="207"/>
      <c r="B2479" s="207"/>
      <c r="N2479" s="4"/>
      <c r="O2479" s="256"/>
    </row>
    <row r="2480" spans="1:15">
      <c r="A2480" s="207"/>
      <c r="B2480" s="207"/>
      <c r="N2480" s="4"/>
      <c r="O2480" s="256"/>
    </row>
    <row r="2481" spans="1:15">
      <c r="A2481" s="207"/>
      <c r="B2481" s="207"/>
      <c r="N2481" s="4"/>
      <c r="O2481" s="256"/>
    </row>
    <row r="2482" spans="1:15">
      <c r="A2482" s="207"/>
      <c r="B2482" s="207"/>
      <c r="N2482" s="4"/>
      <c r="O2482" s="256"/>
    </row>
    <row r="2483" spans="1:15">
      <c r="A2483" s="207"/>
      <c r="B2483" s="207"/>
      <c r="N2483" s="4"/>
      <c r="O2483" s="256"/>
    </row>
    <row r="2484" spans="1:15">
      <c r="A2484" s="207"/>
      <c r="B2484" s="207"/>
      <c r="N2484" s="4"/>
      <c r="O2484" s="256"/>
    </row>
    <row r="2485" spans="1:15">
      <c r="A2485" s="207"/>
      <c r="B2485" s="207"/>
      <c r="N2485" s="4"/>
      <c r="O2485" s="256"/>
    </row>
    <row r="2486" spans="1:15">
      <c r="A2486" s="207"/>
      <c r="B2486" s="207"/>
      <c r="N2486" s="4"/>
      <c r="O2486" s="256"/>
    </row>
    <row r="2487" spans="1:15">
      <c r="A2487" s="207"/>
      <c r="B2487" s="207"/>
      <c r="N2487" s="4"/>
      <c r="O2487" s="256"/>
    </row>
    <row r="2488" spans="1:15">
      <c r="A2488" s="207"/>
      <c r="B2488" s="207"/>
      <c r="N2488" s="4"/>
      <c r="O2488" s="256"/>
    </row>
    <row r="2489" spans="1:15">
      <c r="A2489" s="207"/>
      <c r="B2489" s="207"/>
      <c r="N2489" s="4"/>
      <c r="O2489" s="256"/>
    </row>
    <row r="2490" spans="1:15">
      <c r="A2490" s="207"/>
      <c r="B2490" s="207"/>
      <c r="N2490" s="4"/>
      <c r="O2490" s="256"/>
    </row>
    <row r="2491" spans="1:15">
      <c r="A2491" s="207"/>
      <c r="B2491" s="207"/>
      <c r="N2491" s="4"/>
      <c r="O2491" s="256"/>
    </row>
    <row r="2492" spans="1:15">
      <c r="A2492" s="207"/>
      <c r="B2492" s="207"/>
      <c r="N2492" s="4"/>
      <c r="O2492" s="256"/>
    </row>
    <row r="2493" spans="1:15">
      <c r="A2493" s="207"/>
      <c r="B2493" s="207"/>
      <c r="N2493" s="4"/>
      <c r="O2493" s="256"/>
    </row>
    <row r="2494" spans="1:15">
      <c r="A2494" s="207"/>
      <c r="B2494" s="207"/>
      <c r="N2494" s="4"/>
      <c r="O2494" s="256"/>
    </row>
    <row r="2495" spans="1:15">
      <c r="A2495" s="207"/>
      <c r="B2495" s="207"/>
      <c r="N2495" s="4"/>
      <c r="O2495" s="256"/>
    </row>
    <row r="2496" spans="1:15">
      <c r="A2496" s="207"/>
      <c r="B2496" s="207"/>
      <c r="N2496" s="4"/>
      <c r="O2496" s="256"/>
    </row>
    <row r="2497" spans="1:15">
      <c r="A2497" s="207"/>
      <c r="B2497" s="207"/>
      <c r="N2497" s="4"/>
      <c r="O2497" s="256"/>
    </row>
    <row r="2498" spans="1:15">
      <c r="A2498" s="207"/>
      <c r="B2498" s="207"/>
      <c r="N2498" s="4"/>
      <c r="O2498" s="256"/>
    </row>
    <row r="2499" spans="1:15">
      <c r="A2499" s="207"/>
      <c r="B2499" s="207"/>
      <c r="N2499" s="4"/>
      <c r="O2499" s="256"/>
    </row>
    <row r="2500" spans="1:15">
      <c r="A2500" s="207"/>
      <c r="B2500" s="207"/>
      <c r="N2500" s="4"/>
      <c r="O2500" s="256"/>
    </row>
    <row r="2501" spans="1:15">
      <c r="A2501" s="207"/>
      <c r="B2501" s="207"/>
      <c r="N2501" s="4"/>
      <c r="O2501" s="256"/>
    </row>
    <row r="2502" spans="1:15">
      <c r="A2502" s="207"/>
      <c r="B2502" s="207"/>
      <c r="N2502" s="4"/>
      <c r="O2502" s="256"/>
    </row>
    <row r="2503" spans="1:15">
      <c r="A2503" s="207"/>
      <c r="B2503" s="207"/>
      <c r="N2503" s="4"/>
      <c r="O2503" s="256"/>
    </row>
    <row r="2504" spans="1:15">
      <c r="A2504" s="207"/>
      <c r="B2504" s="207"/>
      <c r="N2504" s="4"/>
      <c r="O2504" s="256"/>
    </row>
    <row r="2505" spans="1:15">
      <c r="A2505" s="207"/>
      <c r="B2505" s="207"/>
      <c r="N2505" s="4"/>
      <c r="O2505" s="256"/>
    </row>
    <row r="2506" spans="1:15">
      <c r="A2506" s="207"/>
      <c r="B2506" s="207"/>
      <c r="N2506" s="4"/>
      <c r="O2506" s="256"/>
    </row>
    <row r="2507" spans="1:15">
      <c r="A2507" s="207"/>
      <c r="B2507" s="207"/>
      <c r="N2507" s="4"/>
      <c r="O2507" s="256"/>
    </row>
    <row r="2508" spans="1:15">
      <c r="A2508" s="207"/>
      <c r="B2508" s="207"/>
      <c r="N2508" s="4"/>
      <c r="O2508" s="256"/>
    </row>
    <row r="2509" spans="1:15">
      <c r="A2509" s="207"/>
      <c r="B2509" s="207"/>
      <c r="N2509" s="4"/>
      <c r="O2509" s="256"/>
    </row>
    <row r="2510" spans="1:15">
      <c r="A2510" s="207"/>
      <c r="B2510" s="207"/>
      <c r="N2510" s="4"/>
      <c r="O2510" s="256"/>
    </row>
    <row r="2511" spans="1:15">
      <c r="A2511" s="207"/>
      <c r="B2511" s="207"/>
      <c r="N2511" s="4"/>
      <c r="O2511" s="256"/>
    </row>
    <row r="2512" spans="1:15">
      <c r="A2512" s="207"/>
      <c r="B2512" s="207"/>
      <c r="N2512" s="4"/>
      <c r="O2512" s="256"/>
    </row>
    <row r="2513" spans="1:15">
      <c r="A2513" s="207"/>
      <c r="B2513" s="207"/>
      <c r="N2513" s="4"/>
      <c r="O2513" s="256"/>
    </row>
    <row r="2514" spans="1:15">
      <c r="A2514" s="207"/>
      <c r="B2514" s="207"/>
      <c r="N2514" s="4"/>
      <c r="O2514" s="256"/>
    </row>
    <row r="2515" spans="1:15">
      <c r="A2515" s="207"/>
      <c r="B2515" s="207"/>
      <c r="N2515" s="4"/>
      <c r="O2515" s="256"/>
    </row>
    <row r="2516" spans="1:15">
      <c r="A2516" s="207"/>
      <c r="B2516" s="207"/>
      <c r="N2516" s="4"/>
      <c r="O2516" s="256"/>
    </row>
    <row r="2517" spans="1:15">
      <c r="A2517" s="207"/>
      <c r="B2517" s="207"/>
      <c r="N2517" s="4"/>
      <c r="O2517" s="256"/>
    </row>
    <row r="2518" spans="1:15">
      <c r="A2518" s="207"/>
      <c r="B2518" s="207"/>
      <c r="N2518" s="4"/>
      <c r="O2518" s="256"/>
    </row>
    <row r="2519" spans="1:15">
      <c r="A2519" s="207"/>
      <c r="B2519" s="207"/>
      <c r="N2519" s="4"/>
      <c r="O2519" s="256"/>
    </row>
    <row r="2520" spans="1:15">
      <c r="A2520" s="207"/>
      <c r="B2520" s="207"/>
      <c r="N2520" s="4"/>
      <c r="O2520" s="256"/>
    </row>
    <row r="2521" spans="1:15">
      <c r="A2521" s="207"/>
      <c r="B2521" s="207"/>
      <c r="N2521" s="4"/>
      <c r="O2521" s="256"/>
    </row>
    <row r="2522" spans="1:15">
      <c r="A2522" s="207"/>
      <c r="B2522" s="207"/>
      <c r="N2522" s="4"/>
      <c r="O2522" s="256"/>
    </row>
    <row r="2523" spans="1:15">
      <c r="A2523" s="207"/>
      <c r="B2523" s="207"/>
      <c r="N2523" s="4"/>
      <c r="O2523" s="256"/>
    </row>
    <row r="2524" spans="1:15">
      <c r="A2524" s="207"/>
      <c r="B2524" s="207"/>
      <c r="N2524" s="4"/>
      <c r="O2524" s="256"/>
    </row>
    <row r="2525" spans="1:15">
      <c r="A2525" s="207"/>
      <c r="B2525" s="207"/>
      <c r="N2525" s="4"/>
      <c r="O2525" s="256"/>
    </row>
    <row r="2526" spans="1:15">
      <c r="A2526" s="207"/>
      <c r="B2526" s="207"/>
      <c r="N2526" s="4"/>
      <c r="O2526" s="256"/>
    </row>
    <row r="2527" spans="1:15">
      <c r="A2527" s="207"/>
      <c r="B2527" s="207"/>
      <c r="N2527" s="4"/>
      <c r="O2527" s="256"/>
    </row>
    <row r="2528" spans="1:15">
      <c r="A2528" s="207"/>
      <c r="B2528" s="207"/>
      <c r="N2528" s="4"/>
      <c r="O2528" s="256"/>
    </row>
    <row r="2529" spans="1:15">
      <c r="A2529" s="207"/>
      <c r="B2529" s="207"/>
      <c r="N2529" s="4"/>
      <c r="O2529" s="256"/>
    </row>
    <row r="2530" spans="1:15">
      <c r="A2530" s="207"/>
      <c r="B2530" s="207"/>
      <c r="N2530" s="4"/>
      <c r="O2530" s="256"/>
    </row>
    <row r="2531" spans="1:15">
      <c r="A2531" s="207"/>
      <c r="B2531" s="207"/>
      <c r="N2531" s="4"/>
      <c r="O2531" s="256"/>
    </row>
    <row r="2532" spans="1:15">
      <c r="A2532" s="207"/>
      <c r="B2532" s="207"/>
      <c r="N2532" s="4"/>
      <c r="O2532" s="256"/>
    </row>
    <row r="2533" spans="1:15">
      <c r="A2533" s="207"/>
      <c r="B2533" s="207"/>
      <c r="N2533" s="4"/>
      <c r="O2533" s="256"/>
    </row>
    <row r="2534" spans="1:15">
      <c r="A2534" s="207"/>
      <c r="B2534" s="207"/>
      <c r="N2534" s="4"/>
      <c r="O2534" s="256"/>
    </row>
    <row r="2535" spans="1:15">
      <c r="A2535" s="207"/>
      <c r="B2535" s="207"/>
      <c r="N2535" s="4"/>
      <c r="O2535" s="256"/>
    </row>
    <row r="2536" spans="1:15">
      <c r="A2536" s="207"/>
      <c r="B2536" s="207"/>
      <c r="N2536" s="4"/>
      <c r="O2536" s="256"/>
    </row>
    <row r="2537" spans="1:15">
      <c r="A2537" s="207"/>
      <c r="B2537" s="207"/>
      <c r="N2537" s="4"/>
      <c r="O2537" s="256"/>
    </row>
    <row r="2538" spans="1:15">
      <c r="A2538" s="207"/>
      <c r="B2538" s="207"/>
      <c r="N2538" s="4"/>
      <c r="O2538" s="256"/>
    </row>
    <row r="2539" spans="1:15">
      <c r="A2539" s="207"/>
      <c r="B2539" s="207"/>
      <c r="N2539" s="4"/>
      <c r="O2539" s="256"/>
    </row>
    <row r="2540" spans="1:15">
      <c r="A2540" s="207"/>
      <c r="B2540" s="207"/>
      <c r="N2540" s="4"/>
      <c r="O2540" s="256"/>
    </row>
    <row r="2541" spans="1:15">
      <c r="A2541" s="207"/>
      <c r="B2541" s="207"/>
      <c r="N2541" s="4"/>
      <c r="O2541" s="256"/>
    </row>
    <row r="2542" spans="1:15">
      <c r="A2542" s="207"/>
      <c r="B2542" s="207"/>
      <c r="N2542" s="4"/>
      <c r="O2542" s="256"/>
    </row>
    <row r="2543" spans="1:15">
      <c r="A2543" s="207"/>
      <c r="B2543" s="207"/>
      <c r="N2543" s="4"/>
      <c r="O2543" s="256"/>
    </row>
    <row r="2544" spans="1:15">
      <c r="A2544" s="207"/>
      <c r="B2544" s="207"/>
      <c r="N2544" s="4"/>
      <c r="O2544" s="256"/>
    </row>
    <row r="2545" spans="1:15">
      <c r="A2545" s="207"/>
      <c r="B2545" s="207"/>
      <c r="N2545" s="4"/>
      <c r="O2545" s="256"/>
    </row>
    <row r="2546" spans="1:15">
      <c r="A2546" s="207"/>
      <c r="B2546" s="207"/>
      <c r="N2546" s="4"/>
      <c r="O2546" s="256"/>
    </row>
    <row r="2547" spans="1:15">
      <c r="A2547" s="207"/>
      <c r="B2547" s="207"/>
      <c r="N2547" s="4"/>
      <c r="O2547" s="256"/>
    </row>
    <row r="2548" spans="1:15">
      <c r="A2548" s="207"/>
      <c r="B2548" s="207"/>
      <c r="N2548" s="4"/>
      <c r="O2548" s="256"/>
    </row>
    <row r="2549" spans="1:15">
      <c r="A2549" s="207"/>
      <c r="B2549" s="207"/>
      <c r="N2549" s="4"/>
      <c r="O2549" s="256"/>
    </row>
    <row r="2550" spans="1:15">
      <c r="A2550" s="207"/>
      <c r="B2550" s="207"/>
      <c r="N2550" s="4"/>
      <c r="O2550" s="256"/>
    </row>
    <row r="2551" spans="1:15">
      <c r="A2551" s="207"/>
      <c r="B2551" s="207"/>
      <c r="N2551" s="4"/>
      <c r="O2551" s="256"/>
    </row>
    <row r="2552" spans="1:15">
      <c r="A2552" s="207"/>
      <c r="B2552" s="207"/>
      <c r="N2552" s="4"/>
      <c r="O2552" s="256"/>
    </row>
    <row r="2553" spans="1:15">
      <c r="A2553" s="207"/>
      <c r="B2553" s="207"/>
      <c r="N2553" s="4"/>
      <c r="O2553" s="256"/>
    </row>
    <row r="2554" spans="1:15">
      <c r="A2554" s="207"/>
      <c r="B2554" s="207"/>
      <c r="N2554" s="4"/>
      <c r="O2554" s="256"/>
    </row>
    <row r="2555" spans="1:15">
      <c r="A2555" s="207"/>
      <c r="B2555" s="207"/>
      <c r="N2555" s="4"/>
      <c r="O2555" s="256"/>
    </row>
    <row r="2556" spans="1:15">
      <c r="A2556" s="207"/>
      <c r="B2556" s="207"/>
      <c r="N2556" s="4"/>
      <c r="O2556" s="256"/>
    </row>
    <row r="2557" spans="1:15">
      <c r="A2557" s="207"/>
      <c r="B2557" s="207"/>
      <c r="N2557" s="4"/>
      <c r="O2557" s="256"/>
    </row>
    <row r="2558" spans="1:15">
      <c r="A2558" s="207"/>
      <c r="B2558" s="207"/>
      <c r="N2558" s="4"/>
      <c r="O2558" s="256"/>
    </row>
    <row r="2559" spans="1:15">
      <c r="A2559" s="207"/>
      <c r="B2559" s="207"/>
      <c r="N2559" s="4"/>
      <c r="O2559" s="256"/>
    </row>
    <row r="2560" spans="1:15">
      <c r="A2560" s="207"/>
      <c r="B2560" s="207"/>
      <c r="N2560" s="4"/>
      <c r="O2560" s="256"/>
    </row>
    <row r="2561" spans="1:15">
      <c r="A2561" s="207"/>
      <c r="B2561" s="207"/>
      <c r="N2561" s="4"/>
      <c r="O2561" s="256"/>
    </row>
    <row r="2562" spans="1:15">
      <c r="A2562" s="207"/>
      <c r="B2562" s="207"/>
      <c r="N2562" s="4"/>
      <c r="O2562" s="256"/>
    </row>
    <row r="2563" spans="1:15">
      <c r="A2563" s="207"/>
      <c r="B2563" s="207"/>
      <c r="N2563" s="4"/>
      <c r="O2563" s="256"/>
    </row>
    <row r="2564" spans="1:15">
      <c r="A2564" s="207"/>
      <c r="B2564" s="207"/>
      <c r="N2564" s="4"/>
      <c r="O2564" s="256"/>
    </row>
    <row r="2565" spans="1:15">
      <c r="A2565" s="207"/>
      <c r="B2565" s="207"/>
      <c r="N2565" s="4"/>
      <c r="O2565" s="256"/>
    </row>
    <row r="2566" spans="1:15">
      <c r="A2566" s="207"/>
      <c r="B2566" s="207"/>
      <c r="N2566" s="4"/>
      <c r="O2566" s="256"/>
    </row>
    <row r="2567" spans="1:15">
      <c r="A2567" s="207"/>
      <c r="B2567" s="207"/>
      <c r="N2567" s="4"/>
      <c r="O2567" s="256"/>
    </row>
    <row r="2568" spans="1:15">
      <c r="A2568" s="207"/>
      <c r="B2568" s="207"/>
      <c r="N2568" s="4"/>
      <c r="O2568" s="256"/>
    </row>
    <row r="2569" spans="1:15">
      <c r="A2569" s="207"/>
      <c r="B2569" s="207"/>
      <c r="N2569" s="4"/>
      <c r="O2569" s="256"/>
    </row>
    <row r="2570" spans="1:15">
      <c r="A2570" s="207"/>
      <c r="B2570" s="207"/>
      <c r="N2570" s="4"/>
      <c r="O2570" s="256"/>
    </row>
    <row r="2571" spans="1:15">
      <c r="A2571" s="207"/>
      <c r="B2571" s="207"/>
      <c r="N2571" s="4"/>
      <c r="O2571" s="256"/>
    </row>
    <row r="2572" spans="1:15">
      <c r="A2572" s="207"/>
      <c r="B2572" s="207"/>
      <c r="N2572" s="4"/>
      <c r="O2572" s="256"/>
    </row>
    <row r="2573" spans="1:15">
      <c r="A2573" s="207"/>
      <c r="B2573" s="207"/>
      <c r="N2573" s="4"/>
      <c r="O2573" s="256"/>
    </row>
    <row r="2574" spans="1:15">
      <c r="A2574" s="207"/>
      <c r="B2574" s="207"/>
      <c r="N2574" s="4"/>
      <c r="O2574" s="256"/>
    </row>
    <row r="2575" spans="1:15">
      <c r="A2575" s="207"/>
      <c r="B2575" s="207"/>
      <c r="N2575" s="4"/>
      <c r="O2575" s="256"/>
    </row>
    <row r="2576" spans="1:15">
      <c r="A2576" s="207"/>
      <c r="B2576" s="207"/>
      <c r="N2576" s="4"/>
      <c r="O2576" s="256"/>
    </row>
    <row r="2577" spans="1:15">
      <c r="A2577" s="207"/>
      <c r="B2577" s="207"/>
      <c r="N2577" s="4"/>
      <c r="O2577" s="256"/>
    </row>
    <row r="2578" spans="1:15">
      <c r="A2578" s="207"/>
      <c r="B2578" s="207"/>
      <c r="N2578" s="4"/>
      <c r="O2578" s="256"/>
    </row>
    <row r="2579" spans="1:15">
      <c r="A2579" s="207"/>
      <c r="B2579" s="207"/>
      <c r="N2579" s="4"/>
      <c r="O2579" s="256"/>
    </row>
    <row r="2580" spans="1:15">
      <c r="A2580" s="207"/>
      <c r="B2580" s="207"/>
      <c r="N2580" s="4"/>
      <c r="O2580" s="256"/>
    </row>
    <row r="2581" spans="1:15">
      <c r="A2581" s="207"/>
      <c r="B2581" s="207"/>
      <c r="N2581" s="4"/>
      <c r="O2581" s="256"/>
    </row>
    <row r="2582" spans="1:15">
      <c r="A2582" s="207"/>
      <c r="B2582" s="207"/>
      <c r="N2582" s="4"/>
      <c r="O2582" s="256"/>
    </row>
    <row r="2583" spans="1:15">
      <c r="A2583" s="207"/>
      <c r="B2583" s="207"/>
      <c r="N2583" s="4"/>
      <c r="O2583" s="256"/>
    </row>
    <row r="2584" spans="1:15">
      <c r="A2584" s="207"/>
      <c r="B2584" s="207"/>
      <c r="N2584" s="4"/>
      <c r="O2584" s="256"/>
    </row>
    <row r="2585" spans="1:15">
      <c r="A2585" s="207"/>
      <c r="B2585" s="207"/>
      <c r="N2585" s="4"/>
      <c r="O2585" s="256"/>
    </row>
    <row r="2586" spans="1:15">
      <c r="A2586" s="207"/>
      <c r="B2586" s="207"/>
      <c r="N2586" s="4"/>
      <c r="O2586" s="256"/>
    </row>
    <row r="2587" spans="1:15">
      <c r="A2587" s="207"/>
      <c r="B2587" s="207"/>
      <c r="N2587" s="4"/>
      <c r="O2587" s="256"/>
    </row>
    <row r="2588" spans="1:15">
      <c r="A2588" s="207"/>
      <c r="B2588" s="207"/>
      <c r="N2588" s="4"/>
      <c r="O2588" s="256"/>
    </row>
    <row r="2589" spans="1:15">
      <c r="A2589" s="207"/>
      <c r="B2589" s="207"/>
      <c r="N2589" s="4"/>
      <c r="O2589" s="256"/>
    </row>
    <row r="2590" spans="1:15">
      <c r="A2590" s="207"/>
      <c r="B2590" s="207"/>
      <c r="N2590" s="4"/>
      <c r="O2590" s="256"/>
    </row>
    <row r="2591" spans="1:15">
      <c r="A2591" s="207"/>
      <c r="B2591" s="207"/>
      <c r="N2591" s="4"/>
      <c r="O2591" s="256"/>
    </row>
    <row r="2592" spans="1:15">
      <c r="A2592" s="207"/>
      <c r="B2592" s="207"/>
      <c r="N2592" s="4"/>
      <c r="O2592" s="256"/>
    </row>
    <row r="2593" spans="1:15">
      <c r="A2593" s="207"/>
      <c r="B2593" s="207"/>
      <c r="N2593" s="4"/>
      <c r="O2593" s="256"/>
    </row>
    <row r="2594" spans="1:15">
      <c r="A2594" s="207"/>
      <c r="B2594" s="207"/>
      <c r="N2594" s="4"/>
      <c r="O2594" s="256"/>
    </row>
    <row r="2595" spans="1:15">
      <c r="A2595" s="207"/>
      <c r="B2595" s="207"/>
      <c r="N2595" s="4"/>
      <c r="O2595" s="256"/>
    </row>
    <row r="2596" spans="1:15">
      <c r="A2596" s="207"/>
      <c r="B2596" s="207"/>
      <c r="N2596" s="4"/>
      <c r="O2596" s="256"/>
    </row>
    <row r="2597" spans="1:15">
      <c r="A2597" s="207"/>
      <c r="B2597" s="207"/>
      <c r="N2597" s="4"/>
      <c r="O2597" s="256"/>
    </row>
    <row r="2598" spans="1:15">
      <c r="A2598" s="207"/>
      <c r="B2598" s="207"/>
      <c r="N2598" s="4"/>
      <c r="O2598" s="256"/>
    </row>
    <row r="2599" spans="1:15">
      <c r="A2599" s="207"/>
      <c r="B2599" s="207"/>
      <c r="N2599" s="4"/>
      <c r="O2599" s="256"/>
    </row>
    <row r="2600" spans="1:15">
      <c r="A2600" s="207"/>
      <c r="B2600" s="207"/>
      <c r="N2600" s="4"/>
      <c r="O2600" s="256"/>
    </row>
    <row r="2601" spans="1:15">
      <c r="A2601" s="207"/>
      <c r="B2601" s="207"/>
      <c r="N2601" s="4"/>
      <c r="O2601" s="256"/>
    </row>
    <row r="2602" spans="1:15">
      <c r="A2602" s="207"/>
      <c r="B2602" s="207"/>
      <c r="N2602" s="4"/>
      <c r="O2602" s="256"/>
    </row>
    <row r="2603" spans="1:15">
      <c r="A2603" s="207"/>
      <c r="B2603" s="207"/>
      <c r="N2603" s="4"/>
      <c r="O2603" s="256"/>
    </row>
    <row r="2604" spans="1:15">
      <c r="A2604" s="207"/>
      <c r="B2604" s="207"/>
      <c r="N2604" s="4"/>
      <c r="O2604" s="256"/>
    </row>
    <row r="2605" spans="1:15">
      <c r="A2605" s="207"/>
      <c r="B2605" s="207"/>
      <c r="N2605" s="4"/>
      <c r="O2605" s="256"/>
    </row>
    <row r="2606" spans="1:15">
      <c r="A2606" s="207"/>
      <c r="B2606" s="207"/>
      <c r="N2606" s="4"/>
      <c r="O2606" s="256"/>
    </row>
    <row r="2607" spans="1:15">
      <c r="A2607" s="207"/>
      <c r="B2607" s="207"/>
      <c r="N2607" s="4"/>
      <c r="O2607" s="256"/>
    </row>
    <row r="2608" spans="1:15">
      <c r="A2608" s="207"/>
      <c r="B2608" s="207"/>
      <c r="N2608" s="4"/>
      <c r="O2608" s="256"/>
    </row>
    <row r="2609" spans="1:15">
      <c r="A2609" s="207"/>
      <c r="B2609" s="207"/>
      <c r="N2609" s="4"/>
      <c r="O2609" s="256"/>
    </row>
    <row r="2610" spans="1:15">
      <c r="A2610" s="207"/>
      <c r="B2610" s="207"/>
      <c r="N2610" s="4"/>
      <c r="O2610" s="256"/>
    </row>
    <row r="2611" spans="1:15">
      <c r="A2611" s="207"/>
      <c r="B2611" s="207"/>
      <c r="N2611" s="4"/>
      <c r="O2611" s="256"/>
    </row>
    <row r="2612" spans="1:15">
      <c r="A2612" s="207"/>
      <c r="B2612" s="207"/>
      <c r="N2612" s="4"/>
      <c r="O2612" s="256"/>
    </row>
    <row r="2613" spans="1:15">
      <c r="A2613" s="207"/>
      <c r="B2613" s="207"/>
      <c r="N2613" s="4"/>
      <c r="O2613" s="256"/>
    </row>
    <row r="2614" spans="1:15">
      <c r="A2614" s="207"/>
      <c r="B2614" s="207"/>
      <c r="N2614" s="4"/>
      <c r="O2614" s="256"/>
    </row>
    <row r="2615" spans="1:15">
      <c r="A2615" s="207"/>
      <c r="B2615" s="207"/>
      <c r="N2615" s="4"/>
      <c r="O2615" s="256"/>
    </row>
    <row r="2616" spans="1:15">
      <c r="A2616" s="207"/>
      <c r="B2616" s="207"/>
      <c r="N2616" s="4"/>
      <c r="O2616" s="256"/>
    </row>
    <row r="2617" spans="1:15">
      <c r="A2617" s="207"/>
      <c r="B2617" s="207"/>
      <c r="N2617" s="4"/>
      <c r="O2617" s="256"/>
    </row>
    <row r="2618" spans="1:15">
      <c r="A2618" s="207"/>
      <c r="B2618" s="207"/>
      <c r="N2618" s="4"/>
      <c r="O2618" s="256"/>
    </row>
    <row r="2619" spans="1:15">
      <c r="A2619" s="207"/>
      <c r="B2619" s="207"/>
      <c r="N2619" s="4"/>
      <c r="O2619" s="256"/>
    </row>
    <row r="2620" spans="1:15">
      <c r="A2620" s="207"/>
      <c r="B2620" s="207"/>
      <c r="N2620" s="4"/>
      <c r="O2620" s="256"/>
    </row>
    <row r="2621" spans="1:15">
      <c r="A2621" s="207"/>
      <c r="B2621" s="207"/>
      <c r="N2621" s="4"/>
      <c r="O2621" s="256"/>
    </row>
    <row r="2622" spans="1:15">
      <c r="A2622" s="207"/>
      <c r="B2622" s="207"/>
      <c r="N2622" s="4"/>
      <c r="O2622" s="256"/>
    </row>
    <row r="2623" spans="1:15">
      <c r="A2623" s="207"/>
      <c r="B2623" s="207"/>
      <c r="N2623" s="4"/>
      <c r="O2623" s="256"/>
    </row>
    <row r="2624" spans="1:15">
      <c r="A2624" s="207"/>
      <c r="B2624" s="207"/>
      <c r="N2624" s="4"/>
      <c r="O2624" s="256"/>
    </row>
    <row r="2625" spans="1:15">
      <c r="A2625" s="207"/>
      <c r="B2625" s="207"/>
      <c r="N2625" s="4"/>
      <c r="O2625" s="256"/>
    </row>
    <row r="2626" spans="1:15">
      <c r="A2626" s="207"/>
      <c r="B2626" s="207"/>
      <c r="N2626" s="4"/>
      <c r="O2626" s="256"/>
    </row>
    <row r="2627" spans="1:15">
      <c r="A2627" s="207"/>
      <c r="B2627" s="207"/>
      <c r="N2627" s="4"/>
      <c r="O2627" s="256"/>
    </row>
    <row r="2628" spans="1:15">
      <c r="A2628" s="207"/>
      <c r="B2628" s="207"/>
      <c r="N2628" s="4"/>
      <c r="O2628" s="256"/>
    </row>
    <row r="2629" spans="1:15">
      <c r="A2629" s="207"/>
      <c r="B2629" s="207"/>
      <c r="N2629" s="4"/>
      <c r="O2629" s="256"/>
    </row>
    <row r="2630" spans="1:15">
      <c r="A2630" s="207"/>
      <c r="B2630" s="207"/>
      <c r="N2630" s="4"/>
      <c r="O2630" s="256"/>
    </row>
    <row r="2631" spans="1:15">
      <c r="A2631" s="207"/>
      <c r="B2631" s="207"/>
      <c r="N2631" s="4"/>
      <c r="O2631" s="256"/>
    </row>
    <row r="2632" spans="1:15">
      <c r="A2632" s="207"/>
      <c r="B2632" s="207"/>
      <c r="N2632" s="4"/>
      <c r="O2632" s="256"/>
    </row>
    <row r="2633" spans="1:15">
      <c r="A2633" s="207"/>
      <c r="B2633" s="207"/>
      <c r="N2633" s="4"/>
      <c r="O2633" s="256"/>
    </row>
    <row r="2634" spans="1:15">
      <c r="A2634" s="207"/>
      <c r="B2634" s="207"/>
      <c r="N2634" s="4"/>
      <c r="O2634" s="256"/>
    </row>
    <row r="2635" spans="1:15">
      <c r="A2635" s="207"/>
      <c r="B2635" s="207"/>
      <c r="N2635" s="4"/>
      <c r="O2635" s="256"/>
    </row>
    <row r="2636" spans="1:15">
      <c r="A2636" s="207"/>
      <c r="B2636" s="207"/>
      <c r="N2636" s="4"/>
      <c r="O2636" s="256"/>
    </row>
    <row r="2637" spans="1:15">
      <c r="A2637" s="207"/>
      <c r="B2637" s="207"/>
      <c r="N2637" s="4"/>
      <c r="O2637" s="256"/>
    </row>
    <row r="2638" spans="1:15">
      <c r="A2638" s="207"/>
      <c r="B2638" s="207"/>
      <c r="N2638" s="4"/>
      <c r="O2638" s="256"/>
    </row>
    <row r="2639" spans="1:15">
      <c r="A2639" s="207"/>
      <c r="B2639" s="207"/>
      <c r="N2639" s="4"/>
      <c r="O2639" s="256"/>
    </row>
    <row r="2640" spans="1:15">
      <c r="A2640" s="207"/>
      <c r="B2640" s="207"/>
      <c r="N2640" s="4"/>
      <c r="O2640" s="256"/>
    </row>
    <row r="2641" spans="1:15">
      <c r="A2641" s="207"/>
      <c r="B2641" s="207"/>
      <c r="N2641" s="4"/>
      <c r="O2641" s="256"/>
    </row>
    <row r="2642" spans="1:15">
      <c r="A2642" s="207"/>
      <c r="B2642" s="207"/>
      <c r="N2642" s="4"/>
      <c r="O2642" s="256"/>
    </row>
    <row r="2643" spans="1:15">
      <c r="A2643" s="207"/>
      <c r="B2643" s="207"/>
      <c r="N2643" s="4"/>
      <c r="O2643" s="256"/>
    </row>
    <row r="2644" spans="1:15">
      <c r="A2644" s="207"/>
      <c r="B2644" s="207"/>
      <c r="N2644" s="4"/>
      <c r="O2644" s="256"/>
    </row>
    <row r="2645" spans="1:15">
      <c r="A2645" s="207"/>
      <c r="B2645" s="207"/>
      <c r="N2645" s="4"/>
      <c r="O2645" s="256"/>
    </row>
    <row r="2646" spans="1:15">
      <c r="A2646" s="207"/>
      <c r="B2646" s="207"/>
      <c r="N2646" s="4"/>
      <c r="O2646" s="256"/>
    </row>
    <row r="2647" spans="1:15">
      <c r="A2647" s="207"/>
      <c r="B2647" s="207"/>
      <c r="N2647" s="4"/>
      <c r="O2647" s="256"/>
    </row>
    <row r="2648" spans="1:15">
      <c r="A2648" s="207"/>
      <c r="B2648" s="207"/>
      <c r="N2648" s="4"/>
      <c r="O2648" s="256"/>
    </row>
    <row r="2649" spans="1:15">
      <c r="A2649" s="207"/>
      <c r="B2649" s="207"/>
      <c r="N2649" s="4"/>
      <c r="O2649" s="256"/>
    </row>
    <row r="2650" spans="1:15">
      <c r="A2650" s="207"/>
      <c r="B2650" s="207"/>
      <c r="N2650" s="4"/>
      <c r="O2650" s="256"/>
    </row>
    <row r="2651" spans="1:15">
      <c r="A2651" s="207"/>
      <c r="B2651" s="207"/>
      <c r="N2651" s="4"/>
      <c r="O2651" s="256"/>
    </row>
    <row r="2652" spans="1:15">
      <c r="A2652" s="207"/>
      <c r="B2652" s="207"/>
      <c r="N2652" s="4"/>
      <c r="O2652" s="256"/>
    </row>
    <row r="2653" spans="1:15">
      <c r="A2653" s="207"/>
      <c r="B2653" s="207"/>
      <c r="N2653" s="4"/>
      <c r="O2653" s="256"/>
    </row>
    <row r="2654" spans="1:15">
      <c r="A2654" s="207"/>
      <c r="B2654" s="207"/>
      <c r="N2654" s="4"/>
      <c r="O2654" s="256"/>
    </row>
    <row r="2655" spans="1:15">
      <c r="A2655" s="207"/>
      <c r="B2655" s="207"/>
      <c r="N2655" s="4"/>
      <c r="O2655" s="256"/>
    </row>
    <row r="2656" spans="1:15">
      <c r="A2656" s="207"/>
      <c r="B2656" s="207"/>
      <c r="N2656" s="4"/>
      <c r="O2656" s="256"/>
    </row>
    <row r="2657" spans="1:15">
      <c r="A2657" s="207"/>
      <c r="B2657" s="207"/>
      <c r="N2657" s="4"/>
      <c r="O2657" s="256"/>
    </row>
    <row r="2658" spans="1:15">
      <c r="A2658" s="207"/>
      <c r="B2658" s="207"/>
      <c r="N2658" s="4"/>
      <c r="O2658" s="256"/>
    </row>
    <row r="2659" spans="1:15">
      <c r="A2659" s="207"/>
      <c r="B2659" s="207"/>
      <c r="N2659" s="4"/>
      <c r="O2659" s="256"/>
    </row>
    <row r="2660" spans="1:15">
      <c r="A2660" s="207"/>
      <c r="B2660" s="207"/>
      <c r="N2660" s="4"/>
      <c r="O2660" s="256"/>
    </row>
    <row r="2661" spans="1:15">
      <c r="A2661" s="207"/>
      <c r="B2661" s="207"/>
      <c r="N2661" s="4"/>
      <c r="O2661" s="256"/>
    </row>
    <row r="2662" spans="1:15">
      <c r="A2662" s="207"/>
      <c r="B2662" s="207"/>
      <c r="N2662" s="4"/>
      <c r="O2662" s="256"/>
    </row>
    <row r="2663" spans="1:15">
      <c r="A2663" s="207"/>
      <c r="B2663" s="207"/>
      <c r="N2663" s="4"/>
      <c r="O2663" s="256"/>
    </row>
    <row r="2664" spans="1:15">
      <c r="A2664" s="207"/>
      <c r="B2664" s="207"/>
      <c r="N2664" s="4"/>
      <c r="O2664" s="256"/>
    </row>
    <row r="2665" spans="1:15">
      <c r="A2665" s="207"/>
      <c r="B2665" s="207"/>
      <c r="N2665" s="4"/>
      <c r="O2665" s="256"/>
    </row>
    <row r="2666" spans="1:15">
      <c r="A2666" s="207"/>
      <c r="B2666" s="207"/>
      <c r="N2666" s="4"/>
      <c r="O2666" s="256"/>
    </row>
    <row r="2667" spans="1:15">
      <c r="A2667" s="207"/>
      <c r="B2667" s="207"/>
      <c r="N2667" s="4"/>
      <c r="O2667" s="256"/>
    </row>
    <row r="2668" spans="1:15">
      <c r="A2668" s="207"/>
      <c r="B2668" s="207"/>
      <c r="N2668" s="4"/>
      <c r="O2668" s="256"/>
    </row>
    <row r="2669" spans="1:15">
      <c r="A2669" s="207"/>
      <c r="B2669" s="207"/>
      <c r="N2669" s="4"/>
      <c r="O2669" s="256"/>
    </row>
    <row r="2670" spans="1:15">
      <c r="A2670" s="207"/>
      <c r="B2670" s="207"/>
      <c r="N2670" s="4"/>
      <c r="O2670" s="256"/>
    </row>
    <row r="2671" spans="1:15">
      <c r="A2671" s="207"/>
      <c r="B2671" s="207"/>
      <c r="N2671" s="4"/>
      <c r="O2671" s="256"/>
    </row>
    <row r="2672" spans="1:15">
      <c r="A2672" s="207"/>
      <c r="B2672" s="207"/>
      <c r="N2672" s="4"/>
      <c r="O2672" s="256"/>
    </row>
    <row r="2673" spans="1:15">
      <c r="A2673" s="207"/>
      <c r="B2673" s="207"/>
      <c r="N2673" s="4"/>
      <c r="O2673" s="256"/>
    </row>
    <row r="2674" spans="1:15">
      <c r="A2674" s="207"/>
      <c r="B2674" s="207"/>
      <c r="N2674" s="4"/>
      <c r="O2674" s="256"/>
    </row>
    <row r="2675" spans="1:15">
      <c r="A2675" s="207"/>
      <c r="B2675" s="207"/>
      <c r="N2675" s="4"/>
      <c r="O2675" s="256"/>
    </row>
    <row r="2676" spans="1:15">
      <c r="A2676" s="207"/>
      <c r="B2676" s="207"/>
      <c r="N2676" s="4"/>
      <c r="O2676" s="256"/>
    </row>
    <row r="2677" spans="1:15">
      <c r="A2677" s="207"/>
      <c r="B2677" s="207"/>
      <c r="N2677" s="4"/>
      <c r="O2677" s="256"/>
    </row>
    <row r="2678" spans="1:15">
      <c r="A2678" s="207"/>
      <c r="B2678" s="207"/>
      <c r="N2678" s="4"/>
      <c r="O2678" s="256"/>
    </row>
    <row r="2679" spans="1:15">
      <c r="A2679" s="207"/>
      <c r="B2679" s="207"/>
      <c r="N2679" s="4"/>
      <c r="O2679" s="256"/>
    </row>
    <row r="2680" spans="1:15">
      <c r="A2680" s="207"/>
      <c r="B2680" s="207"/>
      <c r="N2680" s="4"/>
      <c r="O2680" s="256"/>
    </row>
    <row r="2681" spans="1:15">
      <c r="A2681" s="207"/>
      <c r="B2681" s="207"/>
      <c r="N2681" s="4"/>
      <c r="O2681" s="256"/>
    </row>
    <row r="2682" spans="1:15">
      <c r="A2682" s="207"/>
      <c r="B2682" s="207"/>
      <c r="N2682" s="4"/>
      <c r="O2682" s="256"/>
    </row>
    <row r="2683" spans="1:15">
      <c r="A2683" s="207"/>
      <c r="B2683" s="207"/>
      <c r="N2683" s="4"/>
      <c r="O2683" s="256"/>
    </row>
    <row r="2684" spans="1:15">
      <c r="A2684" s="207"/>
      <c r="B2684" s="207"/>
      <c r="N2684" s="4"/>
      <c r="O2684" s="256"/>
    </row>
    <row r="2685" spans="1:15">
      <c r="A2685" s="207"/>
      <c r="B2685" s="207"/>
      <c r="N2685" s="4"/>
      <c r="O2685" s="256"/>
    </row>
    <row r="2686" spans="1:15">
      <c r="A2686" s="207"/>
      <c r="B2686" s="207"/>
      <c r="N2686" s="4"/>
      <c r="O2686" s="256"/>
    </row>
    <row r="2687" spans="1:15">
      <c r="A2687" s="207"/>
      <c r="B2687" s="207"/>
      <c r="N2687" s="4"/>
      <c r="O2687" s="256"/>
    </row>
    <row r="2688" spans="1:15">
      <c r="A2688" s="207"/>
      <c r="B2688" s="207"/>
      <c r="N2688" s="4"/>
      <c r="O2688" s="256"/>
    </row>
    <row r="2689" spans="1:15">
      <c r="A2689" s="207"/>
      <c r="B2689" s="207"/>
      <c r="N2689" s="4"/>
      <c r="O2689" s="256"/>
    </row>
    <row r="2690" spans="1:15">
      <c r="A2690" s="207"/>
      <c r="B2690" s="207"/>
      <c r="N2690" s="4"/>
      <c r="O2690" s="256"/>
    </row>
    <row r="2691" spans="1:15">
      <c r="A2691" s="207"/>
      <c r="B2691" s="207"/>
      <c r="N2691" s="4"/>
      <c r="O2691" s="256"/>
    </row>
    <row r="2692" spans="1:15">
      <c r="A2692" s="207"/>
      <c r="B2692" s="207"/>
      <c r="N2692" s="4"/>
      <c r="O2692" s="256"/>
    </row>
    <row r="2693" spans="1:15">
      <c r="A2693" s="207"/>
      <c r="B2693" s="207"/>
      <c r="N2693" s="4"/>
      <c r="O2693" s="256"/>
    </row>
    <row r="2694" spans="1:15">
      <c r="A2694" s="207"/>
      <c r="B2694" s="207"/>
      <c r="N2694" s="4"/>
      <c r="O2694" s="256"/>
    </row>
    <row r="2695" spans="1:15">
      <c r="A2695" s="207"/>
      <c r="B2695" s="207"/>
      <c r="N2695" s="4"/>
      <c r="O2695" s="256"/>
    </row>
    <row r="2696" spans="1:15">
      <c r="A2696" s="207"/>
      <c r="B2696" s="207"/>
      <c r="N2696" s="4"/>
      <c r="O2696" s="256"/>
    </row>
    <row r="2697" spans="1:15">
      <c r="A2697" s="207"/>
      <c r="B2697" s="207"/>
      <c r="N2697" s="4"/>
      <c r="O2697" s="256"/>
    </row>
    <row r="2698" spans="1:15">
      <c r="A2698" s="207"/>
      <c r="B2698" s="207"/>
      <c r="N2698" s="4"/>
      <c r="O2698" s="256"/>
    </row>
    <row r="2699" spans="1:15">
      <c r="A2699" s="207"/>
      <c r="B2699" s="207"/>
      <c r="N2699" s="4"/>
      <c r="O2699" s="256"/>
    </row>
    <row r="2700" spans="1:15">
      <c r="A2700" s="207"/>
      <c r="B2700" s="207"/>
      <c r="N2700" s="4"/>
      <c r="O2700" s="256"/>
    </row>
    <row r="2701" spans="1:15">
      <c r="A2701" s="207"/>
      <c r="B2701" s="207"/>
      <c r="N2701" s="4"/>
      <c r="O2701" s="256"/>
    </row>
    <row r="2702" spans="1:15">
      <c r="A2702" s="207"/>
      <c r="B2702" s="207"/>
      <c r="N2702" s="4"/>
      <c r="O2702" s="256"/>
    </row>
    <row r="2703" spans="1:15">
      <c r="A2703" s="207"/>
      <c r="B2703" s="207"/>
      <c r="N2703" s="4"/>
      <c r="O2703" s="256"/>
    </row>
    <row r="2704" spans="1:15">
      <c r="A2704" s="207"/>
      <c r="B2704" s="207"/>
      <c r="N2704" s="4"/>
      <c r="O2704" s="256"/>
    </row>
    <row r="2705" spans="1:15">
      <c r="A2705" s="207"/>
      <c r="B2705" s="207"/>
      <c r="N2705" s="4"/>
      <c r="O2705" s="256"/>
    </row>
    <row r="2706" spans="1:15">
      <c r="A2706" s="207"/>
      <c r="B2706" s="207"/>
      <c r="N2706" s="4"/>
      <c r="O2706" s="256"/>
    </row>
    <row r="2707" spans="1:15">
      <c r="A2707" s="207"/>
      <c r="B2707" s="207"/>
      <c r="N2707" s="4"/>
      <c r="O2707" s="256"/>
    </row>
    <row r="2708" spans="1:15">
      <c r="A2708" s="207"/>
      <c r="B2708" s="207"/>
      <c r="N2708" s="4"/>
      <c r="O2708" s="256"/>
    </row>
    <row r="2709" spans="1:15">
      <c r="A2709" s="207"/>
      <c r="B2709" s="207"/>
      <c r="N2709" s="4"/>
      <c r="O2709" s="256"/>
    </row>
    <row r="2710" spans="1:15">
      <c r="A2710" s="207"/>
      <c r="B2710" s="207"/>
      <c r="N2710" s="4"/>
      <c r="O2710" s="256"/>
    </row>
    <row r="2711" spans="1:15">
      <c r="A2711" s="207"/>
      <c r="B2711" s="207"/>
      <c r="N2711" s="4"/>
      <c r="O2711" s="256"/>
    </row>
    <row r="2712" spans="1:15">
      <c r="A2712" s="207"/>
      <c r="B2712" s="207"/>
      <c r="N2712" s="4"/>
      <c r="O2712" s="256"/>
    </row>
    <row r="2713" spans="1:15">
      <c r="A2713" s="207"/>
      <c r="B2713" s="207"/>
      <c r="N2713" s="4"/>
      <c r="O2713" s="256"/>
    </row>
    <row r="2714" spans="1:15">
      <c r="A2714" s="207"/>
      <c r="B2714" s="207"/>
      <c r="N2714" s="4"/>
      <c r="O2714" s="256"/>
    </row>
    <row r="2715" spans="1:15">
      <c r="A2715" s="207"/>
      <c r="B2715" s="207"/>
      <c r="N2715" s="4"/>
      <c r="O2715" s="256"/>
    </row>
    <row r="2716" spans="1:15">
      <c r="A2716" s="207"/>
      <c r="B2716" s="207"/>
      <c r="N2716" s="4"/>
      <c r="O2716" s="256"/>
    </row>
    <row r="2717" spans="1:15">
      <c r="A2717" s="207"/>
      <c r="B2717" s="207"/>
      <c r="N2717" s="4"/>
      <c r="O2717" s="256"/>
    </row>
    <row r="2718" spans="1:15">
      <c r="A2718" s="207"/>
      <c r="B2718" s="207"/>
      <c r="N2718" s="4"/>
      <c r="O2718" s="256"/>
    </row>
    <row r="2719" spans="1:15">
      <c r="A2719" s="207"/>
      <c r="B2719" s="207"/>
      <c r="N2719" s="4"/>
      <c r="O2719" s="256"/>
    </row>
    <row r="2720" spans="1:15">
      <c r="A2720" s="207"/>
      <c r="B2720" s="207"/>
      <c r="N2720" s="4"/>
      <c r="O2720" s="256"/>
    </row>
    <row r="2721" spans="1:15">
      <c r="A2721" s="207"/>
      <c r="B2721" s="207"/>
      <c r="N2721" s="4"/>
      <c r="O2721" s="256"/>
    </row>
    <row r="2722" spans="1:15">
      <c r="A2722" s="207"/>
      <c r="B2722" s="207"/>
      <c r="N2722" s="4"/>
      <c r="O2722" s="256"/>
    </row>
    <row r="2723" spans="1:15">
      <c r="A2723" s="207"/>
      <c r="B2723" s="207"/>
      <c r="N2723" s="4"/>
      <c r="O2723" s="256"/>
    </row>
    <row r="2724" spans="1:15">
      <c r="A2724" s="207"/>
      <c r="B2724" s="207"/>
      <c r="N2724" s="4"/>
      <c r="O2724" s="256"/>
    </row>
    <row r="2725" spans="1:15">
      <c r="A2725" s="207"/>
      <c r="B2725" s="207"/>
      <c r="N2725" s="4"/>
      <c r="O2725" s="256"/>
    </row>
    <row r="2726" spans="1:15">
      <c r="A2726" s="207"/>
      <c r="B2726" s="207"/>
      <c r="N2726" s="4"/>
      <c r="O2726" s="256"/>
    </row>
    <row r="2727" spans="1:15">
      <c r="A2727" s="207"/>
      <c r="B2727" s="207"/>
      <c r="N2727" s="4"/>
      <c r="O2727" s="256"/>
    </row>
    <row r="2728" spans="1:15">
      <c r="A2728" s="207"/>
      <c r="B2728" s="207"/>
      <c r="N2728" s="4"/>
      <c r="O2728" s="256"/>
    </row>
    <row r="2729" spans="1:15">
      <c r="A2729" s="207"/>
      <c r="B2729" s="207"/>
      <c r="N2729" s="4"/>
      <c r="O2729" s="256"/>
    </row>
    <row r="2730" spans="1:15">
      <c r="A2730" s="207"/>
      <c r="B2730" s="207"/>
      <c r="N2730" s="4"/>
      <c r="O2730" s="256"/>
    </row>
    <row r="2731" spans="1:15">
      <c r="A2731" s="207"/>
      <c r="B2731" s="207"/>
      <c r="N2731" s="4"/>
      <c r="O2731" s="256"/>
    </row>
    <row r="2732" spans="1:15">
      <c r="A2732" s="207"/>
      <c r="B2732" s="207"/>
      <c r="N2732" s="4"/>
      <c r="O2732" s="256"/>
    </row>
    <row r="2733" spans="1:15">
      <c r="A2733" s="207"/>
      <c r="B2733" s="207"/>
      <c r="N2733" s="4"/>
      <c r="O2733" s="256"/>
    </row>
    <row r="2734" spans="1:15">
      <c r="A2734" s="207"/>
      <c r="B2734" s="207"/>
      <c r="N2734" s="4"/>
      <c r="O2734" s="256"/>
    </row>
    <row r="2735" spans="1:15">
      <c r="A2735" s="207"/>
      <c r="B2735" s="207"/>
      <c r="N2735" s="4"/>
      <c r="O2735" s="256"/>
    </row>
    <row r="2736" spans="1:15">
      <c r="A2736" s="207"/>
      <c r="B2736" s="207"/>
      <c r="N2736" s="4"/>
      <c r="O2736" s="256"/>
    </row>
    <row r="2737" spans="1:15">
      <c r="A2737" s="207"/>
      <c r="B2737" s="207"/>
      <c r="N2737" s="4"/>
      <c r="O2737" s="256"/>
    </row>
    <row r="2738" spans="1:15">
      <c r="A2738" s="207"/>
      <c r="B2738" s="207"/>
      <c r="N2738" s="4"/>
      <c r="O2738" s="256"/>
    </row>
    <row r="2739" spans="1:15">
      <c r="A2739" s="207"/>
      <c r="B2739" s="207"/>
      <c r="N2739" s="4"/>
      <c r="O2739" s="256"/>
    </row>
    <row r="2740" spans="1:15">
      <c r="A2740" s="207"/>
      <c r="B2740" s="207"/>
      <c r="N2740" s="4"/>
      <c r="O2740" s="256"/>
    </row>
    <row r="2741" spans="1:15">
      <c r="A2741" s="207"/>
      <c r="B2741" s="207"/>
      <c r="N2741" s="4"/>
      <c r="O2741" s="256"/>
    </row>
    <row r="2742" spans="1:15">
      <c r="A2742" s="207"/>
      <c r="B2742" s="207"/>
      <c r="N2742" s="4"/>
      <c r="O2742" s="256"/>
    </row>
    <row r="2743" spans="1:15">
      <c r="A2743" s="207"/>
      <c r="B2743" s="207"/>
      <c r="N2743" s="4"/>
      <c r="O2743" s="256"/>
    </row>
    <row r="2744" spans="1:15">
      <c r="A2744" s="207"/>
      <c r="B2744" s="207"/>
      <c r="N2744" s="4"/>
      <c r="O2744" s="256"/>
    </row>
    <row r="2745" spans="1:15">
      <c r="A2745" s="207"/>
      <c r="B2745" s="207"/>
      <c r="N2745" s="4"/>
      <c r="O2745" s="256"/>
    </row>
    <row r="2746" spans="1:15">
      <c r="A2746" s="207"/>
      <c r="B2746" s="207"/>
      <c r="N2746" s="4"/>
      <c r="O2746" s="256"/>
    </row>
    <row r="2747" spans="1:15">
      <c r="A2747" s="207"/>
      <c r="B2747" s="207"/>
      <c r="N2747" s="4"/>
      <c r="O2747" s="256"/>
    </row>
    <row r="2748" spans="1:15">
      <c r="A2748" s="207"/>
      <c r="B2748" s="207"/>
      <c r="N2748" s="4"/>
      <c r="O2748" s="256"/>
    </row>
    <row r="2749" spans="1:15">
      <c r="A2749" s="207"/>
      <c r="B2749" s="207"/>
      <c r="N2749" s="4"/>
      <c r="O2749" s="256"/>
    </row>
    <row r="2750" spans="1:15">
      <c r="A2750" s="207"/>
      <c r="B2750" s="207"/>
      <c r="N2750" s="4"/>
      <c r="O2750" s="256"/>
    </row>
    <row r="2751" spans="1:15">
      <c r="A2751" s="207"/>
      <c r="B2751" s="207"/>
      <c r="N2751" s="4"/>
      <c r="O2751" s="256"/>
    </row>
    <row r="2752" spans="1:15">
      <c r="A2752" s="207"/>
      <c r="B2752" s="207"/>
      <c r="N2752" s="4"/>
      <c r="O2752" s="256"/>
    </row>
    <row r="2753" spans="1:15">
      <c r="A2753" s="207"/>
      <c r="B2753" s="207"/>
      <c r="N2753" s="4"/>
      <c r="O2753" s="256"/>
    </row>
    <row r="2754" spans="1:15">
      <c r="A2754" s="207"/>
      <c r="B2754" s="207"/>
      <c r="N2754" s="4"/>
      <c r="O2754" s="256"/>
    </row>
    <row r="2755" spans="1:15">
      <c r="A2755" s="207"/>
      <c r="B2755" s="207"/>
      <c r="N2755" s="4"/>
      <c r="O2755" s="256"/>
    </row>
    <row r="2756" spans="1:15">
      <c r="A2756" s="207"/>
      <c r="B2756" s="207"/>
      <c r="N2756" s="4"/>
      <c r="O2756" s="256"/>
    </row>
    <row r="2757" spans="1:15">
      <c r="A2757" s="207"/>
      <c r="B2757" s="207"/>
      <c r="N2757" s="4"/>
      <c r="O2757" s="256"/>
    </row>
    <row r="2758" spans="1:15">
      <c r="A2758" s="207"/>
      <c r="B2758" s="207"/>
      <c r="N2758" s="4"/>
      <c r="O2758" s="256"/>
    </row>
    <row r="2759" spans="1:15">
      <c r="A2759" s="207"/>
      <c r="B2759" s="207"/>
      <c r="N2759" s="4"/>
      <c r="O2759" s="256"/>
    </row>
    <row r="2760" spans="1:15">
      <c r="A2760" s="207"/>
      <c r="B2760" s="207"/>
      <c r="N2760" s="4"/>
      <c r="O2760" s="256"/>
    </row>
    <row r="2761" spans="1:15">
      <c r="A2761" s="207"/>
      <c r="B2761" s="207"/>
      <c r="N2761" s="4"/>
      <c r="O2761" s="256"/>
    </row>
    <row r="2762" spans="1:15">
      <c r="A2762" s="207"/>
      <c r="B2762" s="207"/>
      <c r="N2762" s="4"/>
      <c r="O2762" s="256"/>
    </row>
    <row r="2763" spans="1:15">
      <c r="A2763" s="207"/>
      <c r="B2763" s="207"/>
      <c r="N2763" s="4"/>
      <c r="O2763" s="256"/>
    </row>
    <row r="2764" spans="1:15">
      <c r="A2764" s="207"/>
      <c r="B2764" s="207"/>
      <c r="N2764" s="4"/>
      <c r="O2764" s="256"/>
    </row>
    <row r="2765" spans="1:15">
      <c r="A2765" s="207"/>
      <c r="B2765" s="207"/>
      <c r="N2765" s="4"/>
      <c r="O2765" s="256"/>
    </row>
    <row r="2766" spans="1:15">
      <c r="A2766" s="207"/>
      <c r="B2766" s="207"/>
      <c r="N2766" s="4"/>
      <c r="O2766" s="256"/>
    </row>
    <row r="2767" spans="1:15">
      <c r="A2767" s="207"/>
      <c r="B2767" s="207"/>
      <c r="N2767" s="4"/>
      <c r="O2767" s="256"/>
    </row>
    <row r="2768" spans="1:15">
      <c r="A2768" s="207"/>
      <c r="B2768" s="207"/>
      <c r="N2768" s="4"/>
      <c r="O2768" s="256"/>
    </row>
    <row r="2769" spans="1:15">
      <c r="A2769" s="207"/>
      <c r="B2769" s="207"/>
      <c r="N2769" s="4"/>
      <c r="O2769" s="256"/>
    </row>
    <row r="2770" spans="1:15">
      <c r="A2770" s="207"/>
      <c r="B2770" s="207"/>
      <c r="N2770" s="4"/>
      <c r="O2770" s="256"/>
    </row>
    <row r="2771" spans="1:15">
      <c r="A2771" s="207"/>
      <c r="B2771" s="207"/>
      <c r="N2771" s="4"/>
      <c r="O2771" s="256"/>
    </row>
    <row r="2772" spans="1:15">
      <c r="A2772" s="207"/>
      <c r="B2772" s="207"/>
      <c r="N2772" s="4"/>
      <c r="O2772" s="256"/>
    </row>
    <row r="2773" spans="1:15">
      <c r="A2773" s="207"/>
      <c r="B2773" s="207"/>
      <c r="N2773" s="4"/>
      <c r="O2773" s="256"/>
    </row>
    <row r="2774" spans="1:15">
      <c r="A2774" s="207"/>
      <c r="B2774" s="207"/>
      <c r="N2774" s="4"/>
      <c r="O2774" s="256"/>
    </row>
    <row r="2775" spans="1:15">
      <c r="A2775" s="207"/>
      <c r="B2775" s="207"/>
      <c r="N2775" s="4"/>
      <c r="O2775" s="256"/>
    </row>
    <row r="2776" spans="1:15">
      <c r="A2776" s="207"/>
      <c r="B2776" s="207"/>
      <c r="N2776" s="4"/>
      <c r="O2776" s="256"/>
    </row>
    <row r="2777" spans="1:15">
      <c r="A2777" s="207"/>
      <c r="B2777" s="207"/>
      <c r="N2777" s="4"/>
      <c r="O2777" s="256"/>
    </row>
    <row r="2778" spans="1:15">
      <c r="A2778" s="207"/>
      <c r="B2778" s="207"/>
      <c r="N2778" s="4"/>
      <c r="O2778" s="256"/>
    </row>
    <row r="2779" spans="1:15">
      <c r="A2779" s="207"/>
      <c r="B2779" s="207"/>
      <c r="N2779" s="4"/>
      <c r="O2779" s="256"/>
    </row>
    <row r="2780" spans="1:15">
      <c r="A2780" s="207"/>
      <c r="B2780" s="207"/>
      <c r="N2780" s="4"/>
      <c r="O2780" s="256"/>
    </row>
    <row r="2781" spans="1:15">
      <c r="A2781" s="207"/>
      <c r="B2781" s="207"/>
      <c r="N2781" s="4"/>
      <c r="O2781" s="256"/>
    </row>
    <row r="2782" spans="1:15">
      <c r="A2782" s="207"/>
      <c r="B2782" s="207"/>
      <c r="N2782" s="4"/>
      <c r="O2782" s="256"/>
    </row>
    <row r="2783" spans="1:15">
      <c r="A2783" s="207"/>
      <c r="B2783" s="207"/>
      <c r="N2783" s="4"/>
      <c r="O2783" s="256"/>
    </row>
    <row r="2784" spans="1:15">
      <c r="A2784" s="207"/>
      <c r="B2784" s="207"/>
      <c r="N2784" s="4"/>
      <c r="O2784" s="256"/>
    </row>
    <row r="2785" spans="1:15">
      <c r="A2785" s="207"/>
      <c r="B2785" s="207"/>
      <c r="N2785" s="4"/>
      <c r="O2785" s="256"/>
    </row>
    <row r="2786" spans="1:15">
      <c r="A2786" s="207"/>
      <c r="B2786" s="207"/>
      <c r="N2786" s="4"/>
      <c r="O2786" s="256"/>
    </row>
    <row r="2787" spans="1:15">
      <c r="A2787" s="207"/>
      <c r="B2787" s="207"/>
      <c r="N2787" s="4"/>
      <c r="O2787" s="256"/>
    </row>
    <row r="2788" spans="1:15">
      <c r="A2788" s="207"/>
      <c r="B2788" s="207"/>
      <c r="N2788" s="4"/>
      <c r="O2788" s="256"/>
    </row>
    <row r="2789" spans="1:15">
      <c r="A2789" s="207"/>
      <c r="B2789" s="207"/>
      <c r="N2789" s="4"/>
      <c r="O2789" s="256"/>
    </row>
    <row r="2790" spans="1:15">
      <c r="A2790" s="207"/>
      <c r="B2790" s="207"/>
      <c r="N2790" s="4"/>
      <c r="O2790" s="256"/>
    </row>
    <row r="2791" spans="1:15">
      <c r="A2791" s="207"/>
      <c r="B2791" s="207"/>
      <c r="N2791" s="4"/>
      <c r="O2791" s="256"/>
    </row>
    <row r="2792" spans="1:15">
      <c r="A2792" s="207"/>
      <c r="B2792" s="207"/>
      <c r="N2792" s="4"/>
      <c r="O2792" s="256"/>
    </row>
    <row r="2793" spans="1:15">
      <c r="A2793" s="207"/>
      <c r="B2793" s="207"/>
      <c r="N2793" s="4"/>
      <c r="O2793" s="256"/>
    </row>
    <row r="2794" spans="1:15">
      <c r="A2794" s="207"/>
      <c r="B2794" s="207"/>
      <c r="N2794" s="4"/>
      <c r="O2794" s="256"/>
    </row>
    <row r="2795" spans="1:15">
      <c r="A2795" s="207"/>
      <c r="B2795" s="207"/>
      <c r="N2795" s="4"/>
      <c r="O2795" s="256"/>
    </row>
    <row r="2796" spans="1:15">
      <c r="A2796" s="207"/>
      <c r="B2796" s="207"/>
      <c r="N2796" s="4"/>
      <c r="O2796" s="256"/>
    </row>
    <row r="2797" spans="1:15">
      <c r="A2797" s="207"/>
      <c r="B2797" s="207"/>
      <c r="N2797" s="4"/>
      <c r="O2797" s="256"/>
    </row>
    <row r="2798" spans="1:15">
      <c r="A2798" s="207"/>
      <c r="B2798" s="207"/>
      <c r="N2798" s="4"/>
      <c r="O2798" s="256"/>
    </row>
    <row r="2799" spans="1:15">
      <c r="A2799" s="207"/>
      <c r="B2799" s="207"/>
      <c r="N2799" s="4"/>
      <c r="O2799" s="256"/>
    </row>
    <row r="2800" spans="1:15">
      <c r="A2800" s="207"/>
      <c r="B2800" s="207"/>
      <c r="N2800" s="4"/>
      <c r="O2800" s="256"/>
    </row>
    <row r="2801" spans="1:15">
      <c r="A2801" s="207"/>
      <c r="B2801" s="207"/>
      <c r="N2801" s="4"/>
      <c r="O2801" s="256"/>
    </row>
    <row r="2802" spans="1:15">
      <c r="A2802" s="207"/>
      <c r="B2802" s="207"/>
      <c r="N2802" s="4"/>
      <c r="O2802" s="256"/>
    </row>
    <row r="2803" spans="1:15">
      <c r="A2803" s="207"/>
      <c r="B2803" s="207"/>
      <c r="N2803" s="4"/>
      <c r="O2803" s="256"/>
    </row>
    <row r="2804" spans="1:15">
      <c r="A2804" s="207"/>
      <c r="B2804" s="207"/>
      <c r="N2804" s="4"/>
      <c r="O2804" s="256"/>
    </row>
    <row r="2805" spans="1:15">
      <c r="A2805" s="207"/>
      <c r="B2805" s="207"/>
      <c r="N2805" s="4"/>
      <c r="O2805" s="256"/>
    </row>
    <row r="2806" spans="1:15">
      <c r="A2806" s="207"/>
      <c r="B2806" s="207"/>
      <c r="N2806" s="4"/>
      <c r="O2806" s="256"/>
    </row>
    <row r="2807" spans="1:15">
      <c r="A2807" s="207"/>
      <c r="B2807" s="207"/>
      <c r="N2807" s="4"/>
      <c r="O2807" s="256"/>
    </row>
    <row r="2808" spans="1:15">
      <c r="A2808" s="207"/>
      <c r="B2808" s="207"/>
      <c r="N2808" s="4"/>
      <c r="O2808" s="256"/>
    </row>
    <row r="2809" spans="1:15">
      <c r="A2809" s="207"/>
      <c r="B2809" s="207"/>
      <c r="N2809" s="4"/>
      <c r="O2809" s="256"/>
    </row>
    <row r="2810" spans="1:15">
      <c r="A2810" s="207"/>
      <c r="B2810" s="207"/>
      <c r="N2810" s="4"/>
      <c r="O2810" s="256"/>
    </row>
    <row r="2811" spans="1:15">
      <c r="A2811" s="207"/>
      <c r="B2811" s="207"/>
      <c r="N2811" s="4"/>
      <c r="O2811" s="256"/>
    </row>
    <row r="2812" spans="1:15">
      <c r="A2812" s="207"/>
      <c r="B2812" s="207"/>
      <c r="N2812" s="4"/>
      <c r="O2812" s="256"/>
    </row>
    <row r="2813" spans="1:15">
      <c r="A2813" s="207"/>
      <c r="B2813" s="207"/>
      <c r="N2813" s="4"/>
      <c r="O2813" s="256"/>
    </row>
    <row r="2814" spans="1:15">
      <c r="A2814" s="207"/>
      <c r="B2814" s="207"/>
      <c r="N2814" s="4"/>
      <c r="O2814" s="256"/>
    </row>
    <row r="2815" spans="1:15">
      <c r="A2815" s="207"/>
      <c r="B2815" s="207"/>
      <c r="N2815" s="4"/>
      <c r="O2815" s="256"/>
    </row>
    <row r="2816" spans="1:15">
      <c r="A2816" s="207"/>
      <c r="B2816" s="207"/>
      <c r="N2816" s="4"/>
      <c r="O2816" s="256"/>
    </row>
    <row r="2817" spans="1:15">
      <c r="A2817" s="207"/>
      <c r="B2817" s="207"/>
      <c r="N2817" s="4"/>
      <c r="O2817" s="256"/>
    </row>
    <row r="2818" spans="1:15">
      <c r="A2818" s="207"/>
      <c r="B2818" s="207"/>
      <c r="N2818" s="4"/>
      <c r="O2818" s="256"/>
    </row>
    <row r="2819" spans="1:15">
      <c r="A2819" s="207"/>
      <c r="B2819" s="207"/>
      <c r="N2819" s="4"/>
      <c r="O2819" s="256"/>
    </row>
    <row r="2820" spans="1:15">
      <c r="A2820" s="207"/>
      <c r="B2820" s="207"/>
      <c r="N2820" s="4"/>
      <c r="O2820" s="256"/>
    </row>
    <row r="2821" spans="1:15">
      <c r="A2821" s="207"/>
      <c r="B2821" s="207"/>
      <c r="N2821" s="4"/>
      <c r="O2821" s="256"/>
    </row>
    <row r="2822" spans="1:15">
      <c r="A2822" s="207"/>
      <c r="B2822" s="207"/>
      <c r="N2822" s="4"/>
      <c r="O2822" s="256"/>
    </row>
    <row r="2823" spans="1:15">
      <c r="A2823" s="207"/>
      <c r="B2823" s="207"/>
      <c r="N2823" s="4"/>
      <c r="O2823" s="256"/>
    </row>
    <row r="2824" spans="1:15">
      <c r="A2824" s="207"/>
      <c r="B2824" s="207"/>
      <c r="N2824" s="4"/>
      <c r="O2824" s="256"/>
    </row>
    <row r="2825" spans="1:15">
      <c r="A2825" s="207"/>
      <c r="B2825" s="207"/>
      <c r="N2825" s="4"/>
      <c r="O2825" s="256"/>
    </row>
    <row r="2826" spans="1:15">
      <c r="A2826" s="207"/>
      <c r="B2826" s="207"/>
      <c r="N2826" s="4"/>
      <c r="O2826" s="256"/>
    </row>
    <row r="2827" spans="1:15">
      <c r="A2827" s="207"/>
      <c r="B2827" s="207"/>
      <c r="N2827" s="4"/>
      <c r="O2827" s="256"/>
    </row>
    <row r="2828" spans="1:15">
      <c r="A2828" s="207"/>
      <c r="B2828" s="207"/>
      <c r="N2828" s="4"/>
      <c r="O2828" s="256"/>
    </row>
    <row r="2829" spans="1:15">
      <c r="A2829" s="207"/>
      <c r="B2829" s="207"/>
      <c r="N2829" s="4"/>
      <c r="O2829" s="256"/>
    </row>
    <row r="2830" spans="1:15">
      <c r="A2830" s="207"/>
      <c r="B2830" s="207"/>
      <c r="N2830" s="4"/>
      <c r="O2830" s="256"/>
    </row>
    <row r="2831" spans="1:15">
      <c r="A2831" s="207"/>
      <c r="B2831" s="207"/>
      <c r="N2831" s="4"/>
      <c r="O2831" s="256"/>
    </row>
    <row r="2832" spans="1:15">
      <c r="A2832" s="207"/>
      <c r="B2832" s="207"/>
      <c r="N2832" s="4"/>
      <c r="O2832" s="256"/>
    </row>
    <row r="2833" spans="1:15">
      <c r="A2833" s="207"/>
      <c r="B2833" s="207"/>
      <c r="N2833" s="4"/>
      <c r="O2833" s="256"/>
    </row>
    <row r="2834" spans="1:15">
      <c r="A2834" s="207"/>
      <c r="B2834" s="207"/>
      <c r="N2834" s="4"/>
      <c r="O2834" s="256"/>
    </row>
    <row r="2835" spans="1:15">
      <c r="A2835" s="207"/>
      <c r="B2835" s="207"/>
      <c r="N2835" s="4"/>
      <c r="O2835" s="256"/>
    </row>
    <row r="2836" spans="1:15">
      <c r="A2836" s="207"/>
      <c r="B2836" s="207"/>
      <c r="N2836" s="4"/>
      <c r="O2836" s="256"/>
    </row>
    <row r="2837" spans="1:15">
      <c r="A2837" s="207"/>
      <c r="B2837" s="207"/>
      <c r="N2837" s="4"/>
      <c r="O2837" s="256"/>
    </row>
    <row r="2838" spans="1:15">
      <c r="A2838" s="207"/>
      <c r="B2838" s="207"/>
      <c r="N2838" s="4"/>
      <c r="O2838" s="256"/>
    </row>
    <row r="2839" spans="1:15">
      <c r="A2839" s="207"/>
      <c r="B2839" s="207"/>
      <c r="N2839" s="4"/>
      <c r="O2839" s="256"/>
    </row>
    <row r="2840" spans="1:15">
      <c r="A2840" s="207"/>
      <c r="B2840" s="207"/>
      <c r="N2840" s="4"/>
      <c r="O2840" s="256"/>
    </row>
    <row r="2841" spans="1:15">
      <c r="A2841" s="207"/>
      <c r="B2841" s="207"/>
      <c r="N2841" s="4"/>
      <c r="O2841" s="256"/>
    </row>
    <row r="2842" spans="1:15">
      <c r="A2842" s="207"/>
      <c r="B2842" s="207"/>
      <c r="N2842" s="4"/>
      <c r="O2842" s="256"/>
    </row>
    <row r="2843" spans="1:15">
      <c r="A2843" s="207"/>
      <c r="B2843" s="207"/>
      <c r="N2843" s="4"/>
      <c r="O2843" s="256"/>
    </row>
    <row r="2844" spans="1:15">
      <c r="A2844" s="207"/>
      <c r="B2844" s="207"/>
      <c r="N2844" s="4"/>
      <c r="O2844" s="256"/>
    </row>
    <row r="2845" spans="1:15">
      <c r="A2845" s="207"/>
      <c r="B2845" s="207"/>
      <c r="N2845" s="4"/>
      <c r="O2845" s="256"/>
    </row>
    <row r="2846" spans="1:15">
      <c r="A2846" s="207"/>
      <c r="B2846" s="207"/>
      <c r="N2846" s="4"/>
      <c r="O2846" s="256"/>
    </row>
    <row r="2847" spans="1:15">
      <c r="A2847" s="207"/>
      <c r="B2847" s="207"/>
      <c r="N2847" s="4"/>
      <c r="O2847" s="256"/>
    </row>
    <row r="2848" spans="1:15">
      <c r="A2848" s="207"/>
      <c r="B2848" s="207"/>
      <c r="N2848" s="4"/>
      <c r="O2848" s="256"/>
    </row>
    <row r="2849" spans="1:15">
      <c r="A2849" s="207"/>
      <c r="B2849" s="207"/>
      <c r="N2849" s="4"/>
      <c r="O2849" s="256"/>
    </row>
    <row r="2850" spans="1:15">
      <c r="A2850" s="207"/>
      <c r="B2850" s="207"/>
      <c r="N2850" s="4"/>
      <c r="O2850" s="256"/>
    </row>
    <row r="2851" spans="1:15">
      <c r="A2851" s="207"/>
      <c r="B2851" s="207"/>
      <c r="N2851" s="4"/>
      <c r="O2851" s="256"/>
    </row>
    <row r="2852" spans="1:15">
      <c r="A2852" s="207"/>
      <c r="B2852" s="207"/>
      <c r="N2852" s="4"/>
      <c r="O2852" s="256"/>
    </row>
    <row r="2853" spans="1:15">
      <c r="A2853" s="207"/>
      <c r="B2853" s="207"/>
      <c r="N2853" s="4"/>
      <c r="O2853" s="256"/>
    </row>
    <row r="2854" spans="1:15">
      <c r="A2854" s="207"/>
      <c r="B2854" s="207"/>
      <c r="N2854" s="4"/>
      <c r="O2854" s="256"/>
    </row>
    <row r="2855" spans="1:15">
      <c r="A2855" s="207"/>
      <c r="B2855" s="207"/>
      <c r="N2855" s="4"/>
      <c r="O2855" s="256"/>
    </row>
    <row r="2856" spans="1:15">
      <c r="A2856" s="207"/>
      <c r="B2856" s="207"/>
      <c r="N2856" s="4"/>
      <c r="O2856" s="256"/>
    </row>
    <row r="2857" spans="1:15">
      <c r="A2857" s="207"/>
      <c r="B2857" s="207"/>
      <c r="N2857" s="4"/>
      <c r="O2857" s="256"/>
    </row>
    <row r="2858" spans="1:15">
      <c r="A2858" s="207"/>
      <c r="B2858" s="207"/>
      <c r="N2858" s="4"/>
      <c r="O2858" s="256"/>
    </row>
    <row r="2859" spans="1:15">
      <c r="A2859" s="207"/>
      <c r="B2859" s="207"/>
      <c r="N2859" s="4"/>
      <c r="O2859" s="256"/>
    </row>
    <row r="2860" spans="1:15">
      <c r="A2860" s="207"/>
      <c r="B2860" s="207"/>
      <c r="N2860" s="4"/>
      <c r="O2860" s="256"/>
    </row>
    <row r="2861" spans="1:15">
      <c r="A2861" s="207"/>
      <c r="B2861" s="207"/>
      <c r="N2861" s="4"/>
      <c r="O2861" s="256"/>
    </row>
    <row r="2862" spans="1:15">
      <c r="A2862" s="207"/>
      <c r="B2862" s="207"/>
      <c r="N2862" s="4"/>
      <c r="O2862" s="256"/>
    </row>
    <row r="2863" spans="1:15">
      <c r="A2863" s="207"/>
      <c r="B2863" s="207"/>
      <c r="N2863" s="4"/>
      <c r="O2863" s="256"/>
    </row>
    <row r="2864" spans="1:15">
      <c r="A2864" s="207"/>
      <c r="B2864" s="207"/>
      <c r="N2864" s="4"/>
      <c r="O2864" s="256"/>
    </row>
    <row r="2865" spans="1:15">
      <c r="A2865" s="207"/>
      <c r="B2865" s="207"/>
      <c r="N2865" s="4"/>
      <c r="O2865" s="256"/>
    </row>
    <row r="2866" spans="1:15">
      <c r="A2866" s="207"/>
      <c r="B2866" s="207"/>
      <c r="N2866" s="4"/>
      <c r="O2866" s="256"/>
    </row>
    <row r="2867" spans="1:15">
      <c r="A2867" s="207"/>
      <c r="B2867" s="207"/>
      <c r="N2867" s="4"/>
      <c r="O2867" s="256"/>
    </row>
    <row r="2868" spans="1:15">
      <c r="A2868" s="207"/>
      <c r="B2868" s="207"/>
      <c r="N2868" s="4"/>
      <c r="O2868" s="256"/>
    </row>
    <row r="2869" spans="1:15">
      <c r="A2869" s="207"/>
      <c r="B2869" s="207"/>
      <c r="N2869" s="4"/>
      <c r="O2869" s="256"/>
    </row>
    <row r="2870" spans="1:15">
      <c r="A2870" s="207"/>
      <c r="B2870" s="207"/>
      <c r="N2870" s="4"/>
      <c r="O2870" s="256"/>
    </row>
    <row r="2871" spans="1:15">
      <c r="A2871" s="207"/>
      <c r="B2871" s="207"/>
      <c r="N2871" s="4"/>
      <c r="O2871" s="256"/>
    </row>
    <row r="2872" spans="1:15">
      <c r="A2872" s="207"/>
      <c r="B2872" s="207"/>
      <c r="N2872" s="4"/>
      <c r="O2872" s="256"/>
    </row>
    <row r="2873" spans="1:15">
      <c r="A2873" s="207"/>
      <c r="B2873" s="207"/>
      <c r="N2873" s="4"/>
      <c r="O2873" s="256"/>
    </row>
    <row r="2874" spans="1:15">
      <c r="A2874" s="207"/>
      <c r="B2874" s="207"/>
      <c r="N2874" s="4"/>
      <c r="O2874" s="256"/>
    </row>
    <row r="2875" spans="1:15">
      <c r="A2875" s="207"/>
      <c r="B2875" s="207"/>
      <c r="N2875" s="4"/>
      <c r="O2875" s="256"/>
    </row>
    <row r="2876" spans="1:15">
      <c r="A2876" s="207"/>
      <c r="B2876" s="207"/>
      <c r="N2876" s="4"/>
      <c r="O2876" s="256"/>
    </row>
    <row r="2877" spans="1:15">
      <c r="A2877" s="207"/>
      <c r="B2877" s="207"/>
      <c r="N2877" s="4"/>
      <c r="O2877" s="256"/>
    </row>
    <row r="2878" spans="1:15">
      <c r="A2878" s="207"/>
      <c r="B2878" s="207"/>
      <c r="N2878" s="4"/>
      <c r="O2878" s="256"/>
    </row>
    <row r="2879" spans="1:15">
      <c r="A2879" s="207"/>
      <c r="B2879" s="207"/>
      <c r="N2879" s="4"/>
      <c r="O2879" s="256"/>
    </row>
    <row r="2880" spans="1:15">
      <c r="A2880" s="207"/>
      <c r="B2880" s="207"/>
      <c r="N2880" s="4"/>
      <c r="O2880" s="256"/>
    </row>
    <row r="2881" spans="1:15">
      <c r="A2881" s="207"/>
      <c r="B2881" s="207"/>
      <c r="N2881" s="4"/>
      <c r="O2881" s="256"/>
    </row>
    <row r="2882" spans="1:15">
      <c r="A2882" s="207"/>
      <c r="B2882" s="207"/>
      <c r="N2882" s="4"/>
      <c r="O2882" s="256"/>
    </row>
    <row r="2883" spans="1:15">
      <c r="A2883" s="207"/>
      <c r="B2883" s="207"/>
      <c r="N2883" s="4"/>
      <c r="O2883" s="256"/>
    </row>
    <row r="2884" spans="1:15">
      <c r="A2884" s="207"/>
      <c r="B2884" s="207"/>
      <c r="N2884" s="4"/>
      <c r="O2884" s="256"/>
    </row>
    <row r="2885" spans="1:15">
      <c r="A2885" s="207"/>
      <c r="B2885" s="207"/>
      <c r="N2885" s="4"/>
      <c r="O2885" s="256"/>
    </row>
    <row r="2886" spans="1:15">
      <c r="A2886" s="207"/>
      <c r="B2886" s="207"/>
      <c r="N2886" s="4"/>
      <c r="O2886" s="256"/>
    </row>
    <row r="2887" spans="1:15">
      <c r="A2887" s="207"/>
      <c r="B2887" s="207"/>
      <c r="N2887" s="4"/>
      <c r="O2887" s="256"/>
    </row>
    <row r="2888" spans="1:15">
      <c r="A2888" s="207"/>
      <c r="B2888" s="207"/>
      <c r="N2888" s="4"/>
      <c r="O2888" s="256"/>
    </row>
    <row r="2889" spans="1:15">
      <c r="A2889" s="207"/>
      <c r="B2889" s="207"/>
      <c r="N2889" s="4"/>
      <c r="O2889" s="256"/>
    </row>
    <row r="2890" spans="1:15">
      <c r="A2890" s="207"/>
      <c r="B2890" s="207"/>
      <c r="N2890" s="4"/>
      <c r="O2890" s="256"/>
    </row>
    <row r="2891" spans="1:15">
      <c r="A2891" s="207"/>
      <c r="B2891" s="207"/>
      <c r="N2891" s="4"/>
      <c r="O2891" s="256"/>
    </row>
    <row r="2892" spans="1:15">
      <c r="A2892" s="207"/>
      <c r="B2892" s="207"/>
      <c r="N2892" s="4"/>
      <c r="O2892" s="256"/>
    </row>
    <row r="2893" spans="1:15">
      <c r="A2893" s="207"/>
      <c r="B2893" s="207"/>
      <c r="N2893" s="4"/>
      <c r="O2893" s="256"/>
    </row>
    <row r="2894" spans="1:15">
      <c r="A2894" s="207"/>
      <c r="B2894" s="207"/>
      <c r="N2894" s="4"/>
      <c r="O2894" s="256"/>
    </row>
    <row r="2895" spans="1:15">
      <c r="A2895" s="207"/>
      <c r="B2895" s="207"/>
      <c r="N2895" s="4"/>
      <c r="O2895" s="256"/>
    </row>
    <row r="2896" spans="1:15">
      <c r="A2896" s="207"/>
      <c r="B2896" s="207"/>
      <c r="N2896" s="4"/>
      <c r="O2896" s="256"/>
    </row>
    <row r="2897" spans="1:15">
      <c r="A2897" s="207"/>
      <c r="B2897" s="207"/>
      <c r="N2897" s="4"/>
      <c r="O2897" s="256"/>
    </row>
    <row r="2898" spans="1:15">
      <c r="A2898" s="207"/>
      <c r="B2898" s="207"/>
      <c r="N2898" s="4"/>
      <c r="O2898" s="256"/>
    </row>
    <row r="2899" spans="1:15">
      <c r="A2899" s="207"/>
      <c r="B2899" s="207"/>
      <c r="N2899" s="4"/>
      <c r="O2899" s="256"/>
    </row>
    <row r="2900" spans="1:15">
      <c r="A2900" s="207"/>
      <c r="B2900" s="207"/>
      <c r="N2900" s="4"/>
      <c r="O2900" s="256"/>
    </row>
    <row r="2901" spans="1:15">
      <c r="A2901" s="207"/>
      <c r="B2901" s="207"/>
      <c r="N2901" s="4"/>
      <c r="O2901" s="256"/>
    </row>
    <row r="2902" spans="1:15">
      <c r="A2902" s="207"/>
      <c r="B2902" s="207"/>
      <c r="N2902" s="4"/>
      <c r="O2902" s="256"/>
    </row>
    <row r="2903" spans="1:15">
      <c r="A2903" s="207"/>
      <c r="B2903" s="207"/>
      <c r="N2903" s="4"/>
      <c r="O2903" s="256"/>
    </row>
    <row r="2904" spans="1:15">
      <c r="A2904" s="207"/>
      <c r="B2904" s="207"/>
      <c r="N2904" s="4"/>
      <c r="O2904" s="256"/>
    </row>
    <row r="2905" spans="1:15">
      <c r="A2905" s="207"/>
      <c r="B2905" s="207"/>
      <c r="N2905" s="4"/>
      <c r="O2905" s="256"/>
    </row>
    <row r="2906" spans="1:15">
      <c r="A2906" s="207"/>
      <c r="B2906" s="207"/>
      <c r="N2906" s="4"/>
      <c r="O2906" s="256"/>
    </row>
    <row r="2907" spans="1:15">
      <c r="A2907" s="207"/>
      <c r="B2907" s="207"/>
      <c r="N2907" s="4"/>
      <c r="O2907" s="256"/>
    </row>
    <row r="2908" spans="1:15">
      <c r="A2908" s="207"/>
      <c r="B2908" s="207"/>
      <c r="N2908" s="4"/>
      <c r="O2908" s="256"/>
    </row>
    <row r="2909" spans="1:15">
      <c r="A2909" s="207"/>
      <c r="B2909" s="207"/>
      <c r="N2909" s="4"/>
      <c r="O2909" s="256"/>
    </row>
    <row r="2910" spans="1:15">
      <c r="A2910" s="207"/>
      <c r="B2910" s="207"/>
      <c r="N2910" s="4"/>
      <c r="O2910" s="256"/>
    </row>
    <row r="2911" spans="1:15">
      <c r="A2911" s="207"/>
      <c r="B2911" s="207"/>
      <c r="N2911" s="4"/>
      <c r="O2911" s="256"/>
    </row>
    <row r="2912" spans="1:15">
      <c r="A2912" s="207"/>
      <c r="B2912" s="207"/>
      <c r="N2912" s="4"/>
      <c r="O2912" s="256"/>
    </row>
    <row r="2913" spans="1:15">
      <c r="A2913" s="207"/>
      <c r="B2913" s="207"/>
      <c r="N2913" s="4"/>
      <c r="O2913" s="256"/>
    </row>
    <row r="2914" spans="1:15">
      <c r="A2914" s="207"/>
      <c r="B2914" s="207"/>
      <c r="N2914" s="4"/>
      <c r="O2914" s="256"/>
    </row>
    <row r="2915" spans="1:15">
      <c r="A2915" s="207"/>
      <c r="B2915" s="207"/>
      <c r="N2915" s="4"/>
      <c r="O2915" s="256"/>
    </row>
    <row r="2916" spans="1:15">
      <c r="A2916" s="207"/>
      <c r="B2916" s="207"/>
      <c r="N2916" s="4"/>
      <c r="O2916" s="256"/>
    </row>
    <row r="2917" spans="1:15">
      <c r="A2917" s="207"/>
      <c r="B2917" s="207"/>
      <c r="N2917" s="4"/>
      <c r="O2917" s="256"/>
    </row>
    <row r="2918" spans="1:15">
      <c r="A2918" s="207"/>
      <c r="B2918" s="207"/>
      <c r="N2918" s="4"/>
      <c r="O2918" s="256"/>
    </row>
    <row r="2919" spans="1:15">
      <c r="A2919" s="207"/>
      <c r="B2919" s="207"/>
      <c r="N2919" s="4"/>
      <c r="O2919" s="256"/>
    </row>
    <row r="2920" spans="1:15">
      <c r="A2920" s="207"/>
      <c r="B2920" s="207"/>
      <c r="N2920" s="4"/>
      <c r="O2920" s="256"/>
    </row>
    <row r="2921" spans="1:15">
      <c r="A2921" s="207"/>
      <c r="B2921" s="207"/>
      <c r="N2921" s="4"/>
      <c r="O2921" s="256"/>
    </row>
    <row r="2922" spans="1:15">
      <c r="A2922" s="207"/>
      <c r="B2922" s="207"/>
      <c r="N2922" s="4"/>
      <c r="O2922" s="256"/>
    </row>
    <row r="2923" spans="1:15">
      <c r="A2923" s="207"/>
      <c r="B2923" s="207"/>
      <c r="N2923" s="4"/>
      <c r="O2923" s="256"/>
    </row>
    <row r="2924" spans="1:15">
      <c r="A2924" s="207"/>
      <c r="B2924" s="207"/>
      <c r="N2924" s="4"/>
      <c r="O2924" s="256"/>
    </row>
    <row r="2925" spans="1:15">
      <c r="A2925" s="207"/>
      <c r="B2925" s="207"/>
      <c r="N2925" s="4"/>
      <c r="O2925" s="256"/>
    </row>
    <row r="2926" spans="1:15">
      <c r="A2926" s="207"/>
      <c r="B2926" s="207"/>
      <c r="N2926" s="4"/>
      <c r="O2926" s="256"/>
    </row>
    <row r="2927" spans="1:15">
      <c r="A2927" s="207"/>
      <c r="B2927" s="207"/>
      <c r="N2927" s="4"/>
      <c r="O2927" s="256"/>
    </row>
    <row r="2928" spans="1:15">
      <c r="A2928" s="207"/>
      <c r="B2928" s="207"/>
      <c r="N2928" s="4"/>
      <c r="O2928" s="256"/>
    </row>
    <row r="2929" spans="1:15">
      <c r="A2929" s="207"/>
      <c r="B2929" s="207"/>
      <c r="N2929" s="4"/>
      <c r="O2929" s="256"/>
    </row>
    <row r="2930" spans="1:15">
      <c r="A2930" s="207"/>
      <c r="B2930" s="207"/>
      <c r="N2930" s="4"/>
      <c r="O2930" s="256"/>
    </row>
    <row r="2931" spans="1:15">
      <c r="A2931" s="207"/>
      <c r="B2931" s="207"/>
      <c r="N2931" s="4"/>
      <c r="O2931" s="256"/>
    </row>
    <row r="2932" spans="1:15">
      <c r="A2932" s="207"/>
      <c r="B2932" s="207"/>
      <c r="N2932" s="4"/>
      <c r="O2932" s="256"/>
    </row>
    <row r="2933" spans="1:15">
      <c r="A2933" s="207"/>
      <c r="B2933" s="207"/>
      <c r="N2933" s="4"/>
      <c r="O2933" s="256"/>
    </row>
    <row r="2934" spans="1:15">
      <c r="A2934" s="207"/>
      <c r="B2934" s="207"/>
      <c r="N2934" s="4"/>
      <c r="O2934" s="256"/>
    </row>
    <row r="2935" spans="1:15">
      <c r="A2935" s="207"/>
      <c r="B2935" s="207"/>
      <c r="N2935" s="4"/>
      <c r="O2935" s="256"/>
    </row>
    <row r="2936" spans="1:15">
      <c r="A2936" s="207"/>
      <c r="B2936" s="207"/>
      <c r="N2936" s="4"/>
      <c r="O2936" s="256"/>
    </row>
    <row r="2937" spans="1:15">
      <c r="A2937" s="207"/>
      <c r="B2937" s="207"/>
      <c r="N2937" s="4"/>
      <c r="O2937" s="256"/>
    </row>
    <row r="2938" spans="1:15">
      <c r="A2938" s="207"/>
      <c r="B2938" s="207"/>
      <c r="N2938" s="4"/>
      <c r="O2938" s="256"/>
    </row>
    <row r="2939" spans="1:15">
      <c r="A2939" s="207"/>
      <c r="B2939" s="207"/>
      <c r="N2939" s="4"/>
      <c r="O2939" s="256"/>
    </row>
    <row r="2940" spans="1:15">
      <c r="A2940" s="207"/>
      <c r="B2940" s="207"/>
      <c r="N2940" s="4"/>
      <c r="O2940" s="256"/>
    </row>
    <row r="2941" spans="1:15">
      <c r="A2941" s="207"/>
      <c r="B2941" s="207"/>
      <c r="N2941" s="4"/>
      <c r="O2941" s="256"/>
    </row>
    <row r="2942" spans="1:15">
      <c r="A2942" s="207"/>
      <c r="B2942" s="207"/>
      <c r="N2942" s="4"/>
      <c r="O2942" s="256"/>
    </row>
    <row r="2943" spans="1:15">
      <c r="A2943" s="207"/>
      <c r="B2943" s="207"/>
      <c r="N2943" s="4"/>
      <c r="O2943" s="256"/>
    </row>
    <row r="2944" spans="1:15">
      <c r="A2944" s="207"/>
      <c r="B2944" s="207"/>
      <c r="N2944" s="4"/>
      <c r="O2944" s="256"/>
    </row>
    <row r="2945" spans="1:15">
      <c r="A2945" s="207"/>
      <c r="B2945" s="207"/>
      <c r="N2945" s="4"/>
      <c r="O2945" s="256"/>
    </row>
    <row r="2946" spans="1:15">
      <c r="A2946" s="207"/>
      <c r="B2946" s="207"/>
      <c r="N2946" s="4"/>
      <c r="O2946" s="256"/>
    </row>
    <row r="2947" spans="1:15">
      <c r="A2947" s="207"/>
      <c r="B2947" s="207"/>
      <c r="N2947" s="4"/>
      <c r="O2947" s="256"/>
    </row>
    <row r="2948" spans="1:15">
      <c r="A2948" s="207"/>
      <c r="B2948" s="207"/>
      <c r="N2948" s="4"/>
      <c r="O2948" s="256"/>
    </row>
    <row r="2949" spans="1:15">
      <c r="A2949" s="207"/>
      <c r="B2949" s="207"/>
      <c r="N2949" s="4"/>
      <c r="O2949" s="256"/>
    </row>
    <row r="2950" spans="1:15">
      <c r="A2950" s="207"/>
      <c r="B2950" s="207"/>
      <c r="N2950" s="4"/>
      <c r="O2950" s="256"/>
    </row>
    <row r="2951" spans="1:15">
      <c r="A2951" s="207"/>
      <c r="B2951" s="207"/>
      <c r="N2951" s="4"/>
      <c r="O2951" s="256"/>
    </row>
    <row r="2952" spans="1:15">
      <c r="A2952" s="207"/>
      <c r="B2952" s="207"/>
      <c r="N2952" s="4"/>
      <c r="O2952" s="256"/>
    </row>
    <row r="2953" spans="1:15">
      <c r="A2953" s="207"/>
      <c r="B2953" s="207"/>
      <c r="N2953" s="4"/>
      <c r="O2953" s="256"/>
    </row>
    <row r="2954" spans="1:15">
      <c r="A2954" s="207"/>
      <c r="B2954" s="207"/>
      <c r="N2954" s="4"/>
      <c r="O2954" s="256"/>
    </row>
    <row r="2955" spans="1:15">
      <c r="A2955" s="207"/>
      <c r="B2955" s="207"/>
      <c r="N2955" s="4"/>
      <c r="O2955" s="256"/>
    </row>
    <row r="2956" spans="1:15">
      <c r="A2956" s="207"/>
      <c r="B2956" s="207"/>
      <c r="N2956" s="4"/>
      <c r="O2956" s="256"/>
    </row>
    <row r="2957" spans="1:15">
      <c r="A2957" s="207"/>
      <c r="B2957" s="207"/>
      <c r="N2957" s="4"/>
      <c r="O2957" s="256"/>
    </row>
    <row r="2958" spans="1:15">
      <c r="A2958" s="207"/>
      <c r="B2958" s="207"/>
      <c r="N2958" s="4"/>
      <c r="O2958" s="256"/>
    </row>
    <row r="2959" spans="1:15">
      <c r="A2959" s="207"/>
      <c r="B2959" s="207"/>
      <c r="N2959" s="4"/>
      <c r="O2959" s="256"/>
    </row>
    <row r="2960" spans="1:15">
      <c r="A2960" s="207"/>
      <c r="B2960" s="207"/>
      <c r="N2960" s="4"/>
      <c r="O2960" s="256"/>
    </row>
    <row r="2961" spans="1:15">
      <c r="A2961" s="207"/>
      <c r="B2961" s="207"/>
      <c r="N2961" s="4"/>
      <c r="O2961" s="256"/>
    </row>
    <row r="2962" spans="1:15">
      <c r="A2962" s="207"/>
      <c r="B2962" s="207"/>
      <c r="N2962" s="4"/>
      <c r="O2962" s="256"/>
    </row>
    <row r="2963" spans="1:15">
      <c r="A2963" s="207"/>
      <c r="B2963" s="207"/>
      <c r="N2963" s="4"/>
      <c r="O2963" s="256"/>
    </row>
    <row r="2964" spans="1:15">
      <c r="A2964" s="207"/>
      <c r="B2964" s="207"/>
      <c r="N2964" s="4"/>
      <c r="O2964" s="256"/>
    </row>
    <row r="2965" spans="1:15">
      <c r="A2965" s="207"/>
      <c r="B2965" s="207"/>
      <c r="N2965" s="4"/>
      <c r="O2965" s="256"/>
    </row>
    <row r="2966" spans="1:15">
      <c r="A2966" s="207"/>
      <c r="B2966" s="207"/>
      <c r="N2966" s="4"/>
      <c r="O2966" s="256"/>
    </row>
    <row r="2967" spans="1:15">
      <c r="A2967" s="207"/>
      <c r="B2967" s="207"/>
      <c r="N2967" s="4"/>
      <c r="O2967" s="256"/>
    </row>
    <row r="2968" spans="1:15">
      <c r="A2968" s="207"/>
      <c r="B2968" s="207"/>
      <c r="N2968" s="4"/>
      <c r="O2968" s="256"/>
    </row>
    <row r="2969" spans="1:15">
      <c r="A2969" s="207"/>
      <c r="B2969" s="207"/>
      <c r="N2969" s="4"/>
      <c r="O2969" s="256"/>
    </row>
    <row r="2970" spans="1:15">
      <c r="A2970" s="207"/>
      <c r="B2970" s="207"/>
      <c r="N2970" s="4"/>
      <c r="O2970" s="256"/>
    </row>
    <row r="2971" spans="1:15">
      <c r="A2971" s="207"/>
      <c r="B2971" s="207"/>
      <c r="N2971" s="4"/>
      <c r="O2971" s="256"/>
    </row>
    <row r="2972" spans="1:15">
      <c r="A2972" s="207"/>
      <c r="B2972" s="207"/>
      <c r="N2972" s="4"/>
      <c r="O2972" s="256"/>
    </row>
    <row r="2973" spans="1:15">
      <c r="A2973" s="207"/>
      <c r="B2973" s="207"/>
      <c r="N2973" s="4"/>
      <c r="O2973" s="256"/>
    </row>
    <row r="2974" spans="1:15">
      <c r="A2974" s="207"/>
      <c r="B2974" s="207"/>
      <c r="N2974" s="4"/>
      <c r="O2974" s="256"/>
    </row>
    <row r="2975" spans="1:15">
      <c r="A2975" s="207"/>
      <c r="B2975" s="207"/>
      <c r="N2975" s="4"/>
      <c r="O2975" s="256"/>
    </row>
    <row r="2976" spans="1:15">
      <c r="A2976" s="207"/>
      <c r="B2976" s="207"/>
      <c r="N2976" s="4"/>
      <c r="O2976" s="256"/>
    </row>
    <row r="2977" spans="1:15">
      <c r="A2977" s="207"/>
      <c r="B2977" s="207"/>
      <c r="N2977" s="4"/>
      <c r="O2977" s="256"/>
    </row>
    <row r="2978" spans="1:15">
      <c r="A2978" s="207"/>
      <c r="B2978" s="207"/>
      <c r="N2978" s="4"/>
      <c r="O2978" s="256"/>
    </row>
    <row r="2979" spans="1:15">
      <c r="A2979" s="207"/>
      <c r="B2979" s="207"/>
      <c r="N2979" s="4"/>
      <c r="O2979" s="256"/>
    </row>
    <row r="2980" spans="1:15">
      <c r="A2980" s="207"/>
      <c r="B2980" s="207"/>
      <c r="N2980" s="4"/>
      <c r="O2980" s="256"/>
    </row>
    <row r="2981" spans="1:15">
      <c r="A2981" s="207"/>
      <c r="B2981" s="207"/>
      <c r="N2981" s="4"/>
      <c r="O2981" s="256"/>
    </row>
    <row r="2982" spans="1:15">
      <c r="A2982" s="207"/>
      <c r="B2982" s="207"/>
      <c r="N2982" s="4"/>
      <c r="O2982" s="256"/>
    </row>
    <row r="2983" spans="1:15">
      <c r="A2983" s="207"/>
      <c r="B2983" s="207"/>
      <c r="N2983" s="4"/>
      <c r="O2983" s="256"/>
    </row>
    <row r="2984" spans="1:15">
      <c r="A2984" s="207"/>
      <c r="B2984" s="207"/>
      <c r="N2984" s="4"/>
      <c r="O2984" s="256"/>
    </row>
    <row r="2985" spans="1:15">
      <c r="A2985" s="207"/>
      <c r="B2985" s="207"/>
      <c r="N2985" s="4"/>
      <c r="O2985" s="256"/>
    </row>
    <row r="2986" spans="1:15">
      <c r="A2986" s="207"/>
      <c r="B2986" s="207"/>
      <c r="N2986" s="4"/>
      <c r="O2986" s="256"/>
    </row>
    <row r="2987" spans="1:15">
      <c r="A2987" s="207"/>
      <c r="B2987" s="207"/>
      <c r="N2987" s="4"/>
      <c r="O2987" s="256"/>
    </row>
    <row r="2988" spans="1:15">
      <c r="A2988" s="207"/>
      <c r="B2988" s="207"/>
      <c r="N2988" s="4"/>
      <c r="O2988" s="256"/>
    </row>
    <row r="2989" spans="1:15">
      <c r="A2989" s="207"/>
      <c r="B2989" s="207"/>
      <c r="N2989" s="4"/>
      <c r="O2989" s="256"/>
    </row>
    <row r="2990" spans="1:15">
      <c r="A2990" s="207"/>
      <c r="B2990" s="207"/>
      <c r="N2990" s="4"/>
      <c r="O2990" s="256"/>
    </row>
    <row r="2991" spans="1:15">
      <c r="A2991" s="207"/>
      <c r="B2991" s="207"/>
      <c r="N2991" s="4"/>
      <c r="O2991" s="256"/>
    </row>
    <row r="2992" spans="1:15">
      <c r="A2992" s="207"/>
      <c r="B2992" s="207"/>
      <c r="N2992" s="4"/>
      <c r="O2992" s="256"/>
    </row>
    <row r="2993" spans="1:15">
      <c r="A2993" s="207"/>
      <c r="B2993" s="207"/>
      <c r="N2993" s="4"/>
      <c r="O2993" s="256"/>
    </row>
    <row r="2994" spans="1:15">
      <c r="A2994" s="207"/>
      <c r="B2994" s="207"/>
      <c r="N2994" s="4"/>
      <c r="O2994" s="256"/>
    </row>
    <row r="2995" spans="1:15">
      <c r="A2995" s="207"/>
      <c r="B2995" s="207"/>
      <c r="N2995" s="4"/>
      <c r="O2995" s="256"/>
    </row>
    <row r="2996" spans="1:15">
      <c r="A2996" s="207"/>
      <c r="B2996" s="207"/>
      <c r="N2996" s="4"/>
      <c r="O2996" s="256"/>
    </row>
    <row r="2997" spans="1:15">
      <c r="A2997" s="207"/>
      <c r="B2997" s="207"/>
      <c r="N2997" s="4"/>
      <c r="O2997" s="256"/>
    </row>
    <row r="2998" spans="1:15">
      <c r="A2998" s="207"/>
      <c r="B2998" s="207"/>
      <c r="N2998" s="4"/>
      <c r="O2998" s="256"/>
    </row>
    <row r="2999" spans="1:15">
      <c r="A2999" s="207"/>
      <c r="B2999" s="207"/>
      <c r="N2999" s="4"/>
      <c r="O2999" s="256"/>
    </row>
    <row r="3000" spans="1:15">
      <c r="A3000" s="207"/>
      <c r="B3000" s="207"/>
      <c r="N3000" s="4"/>
      <c r="O3000" s="256"/>
    </row>
    <row r="3001" spans="1:15">
      <c r="A3001" s="207"/>
      <c r="B3001" s="207"/>
      <c r="N3001" s="4"/>
      <c r="O3001" s="256"/>
    </row>
    <row r="3002" spans="1:15">
      <c r="A3002" s="207"/>
      <c r="B3002" s="207"/>
      <c r="N3002" s="4"/>
      <c r="O3002" s="256"/>
    </row>
    <row r="3003" spans="1:15">
      <c r="A3003" s="207"/>
      <c r="B3003" s="207"/>
      <c r="N3003" s="4"/>
      <c r="O3003" s="256"/>
    </row>
    <row r="3004" spans="1:15">
      <c r="A3004" s="207"/>
      <c r="B3004" s="207"/>
      <c r="N3004" s="4"/>
      <c r="O3004" s="256"/>
    </row>
    <row r="3005" spans="1:15">
      <c r="A3005" s="207"/>
      <c r="B3005" s="207"/>
      <c r="N3005" s="4"/>
      <c r="O3005" s="256"/>
    </row>
    <row r="3006" spans="1:15">
      <c r="A3006" s="207"/>
      <c r="B3006" s="207"/>
      <c r="N3006" s="4"/>
      <c r="O3006" s="256"/>
    </row>
    <row r="3007" spans="1:15">
      <c r="A3007" s="207"/>
      <c r="B3007" s="207"/>
      <c r="N3007" s="4"/>
      <c r="O3007" s="256"/>
    </row>
    <row r="3008" spans="1:15">
      <c r="A3008" s="207"/>
      <c r="B3008" s="207"/>
      <c r="N3008" s="4"/>
      <c r="O3008" s="256"/>
    </row>
    <row r="3009" spans="1:15">
      <c r="A3009" s="207"/>
      <c r="B3009" s="207"/>
      <c r="N3009" s="4"/>
      <c r="O3009" s="256"/>
    </row>
    <row r="3010" spans="1:15">
      <c r="A3010" s="207"/>
      <c r="B3010" s="207"/>
      <c r="N3010" s="4"/>
      <c r="O3010" s="256"/>
    </row>
    <row r="3011" spans="1:15">
      <c r="A3011" s="207"/>
      <c r="B3011" s="207"/>
      <c r="N3011" s="4"/>
      <c r="O3011" s="256"/>
    </row>
    <row r="3012" spans="1:15">
      <c r="A3012" s="207"/>
      <c r="B3012" s="207"/>
      <c r="N3012" s="4"/>
      <c r="O3012" s="256"/>
    </row>
    <row r="3013" spans="1:15">
      <c r="A3013" s="207"/>
      <c r="B3013" s="207"/>
      <c r="N3013" s="4"/>
      <c r="O3013" s="256"/>
    </row>
    <row r="3014" spans="1:15">
      <c r="A3014" s="207"/>
      <c r="B3014" s="207"/>
      <c r="N3014" s="4"/>
      <c r="O3014" s="256"/>
    </row>
    <row r="3015" spans="1:15">
      <c r="A3015" s="207"/>
      <c r="B3015" s="207"/>
      <c r="N3015" s="4"/>
      <c r="O3015" s="256"/>
    </row>
    <row r="3016" spans="1:15">
      <c r="A3016" s="207"/>
      <c r="B3016" s="207"/>
      <c r="N3016" s="4"/>
      <c r="O3016" s="256"/>
    </row>
    <row r="3017" spans="1:15">
      <c r="A3017" s="207"/>
      <c r="B3017" s="207"/>
      <c r="N3017" s="4"/>
      <c r="O3017" s="256"/>
    </row>
    <row r="3018" spans="1:15">
      <c r="A3018" s="207"/>
      <c r="B3018" s="207"/>
      <c r="N3018" s="4"/>
      <c r="O3018" s="256"/>
    </row>
    <row r="3019" spans="1:15">
      <c r="A3019" s="207"/>
      <c r="B3019" s="207"/>
      <c r="N3019" s="4"/>
      <c r="O3019" s="256"/>
    </row>
    <row r="3020" spans="1:15">
      <c r="A3020" s="207"/>
      <c r="B3020" s="207"/>
      <c r="N3020" s="4"/>
      <c r="O3020" s="256"/>
    </row>
    <row r="3021" spans="1:15">
      <c r="A3021" s="207"/>
      <c r="B3021" s="207"/>
      <c r="N3021" s="4"/>
      <c r="O3021" s="256"/>
    </row>
    <row r="3022" spans="1:15">
      <c r="A3022" s="207"/>
      <c r="B3022" s="207"/>
      <c r="N3022" s="4"/>
      <c r="O3022" s="256"/>
    </row>
    <row r="3023" spans="1:15">
      <c r="A3023" s="207"/>
      <c r="B3023" s="207"/>
      <c r="N3023" s="4"/>
      <c r="O3023" s="256"/>
    </row>
    <row r="3024" spans="1:15">
      <c r="A3024" s="207"/>
      <c r="B3024" s="207"/>
      <c r="N3024" s="4"/>
      <c r="O3024" s="256"/>
    </row>
    <row r="3025" spans="1:15">
      <c r="A3025" s="207"/>
      <c r="B3025" s="207"/>
      <c r="N3025" s="4"/>
      <c r="O3025" s="256"/>
    </row>
    <row r="3026" spans="1:15">
      <c r="A3026" s="207"/>
      <c r="B3026" s="207"/>
      <c r="N3026" s="4"/>
      <c r="O3026" s="256"/>
    </row>
    <row r="3027" spans="1:15">
      <c r="A3027" s="207"/>
      <c r="B3027" s="207"/>
      <c r="N3027" s="4"/>
      <c r="O3027" s="256"/>
    </row>
    <row r="3028" spans="1:15">
      <c r="A3028" s="207"/>
      <c r="B3028" s="207"/>
      <c r="N3028" s="4"/>
      <c r="O3028" s="256"/>
    </row>
    <row r="3029" spans="1:15">
      <c r="A3029" s="207"/>
      <c r="B3029" s="207"/>
      <c r="N3029" s="4"/>
      <c r="O3029" s="256"/>
    </row>
    <row r="3030" spans="1:15">
      <c r="A3030" s="207"/>
      <c r="B3030" s="207"/>
      <c r="N3030" s="4"/>
      <c r="O3030" s="256"/>
    </row>
    <row r="3031" spans="1:15">
      <c r="A3031" s="207"/>
      <c r="B3031" s="207"/>
      <c r="N3031" s="4"/>
      <c r="O3031" s="256"/>
    </row>
    <row r="3032" spans="1:15">
      <c r="A3032" s="207"/>
      <c r="B3032" s="207"/>
      <c r="N3032" s="4"/>
      <c r="O3032" s="256"/>
    </row>
    <row r="3033" spans="1:15">
      <c r="A3033" s="207"/>
      <c r="B3033" s="207"/>
      <c r="N3033" s="4"/>
      <c r="O3033" s="256"/>
    </row>
    <row r="3034" spans="1:15">
      <c r="A3034" s="207"/>
      <c r="B3034" s="207"/>
      <c r="N3034" s="4"/>
      <c r="O3034" s="256"/>
    </row>
    <row r="3035" spans="1:15">
      <c r="A3035" s="207"/>
      <c r="B3035" s="207"/>
      <c r="N3035" s="4"/>
      <c r="O3035" s="256"/>
    </row>
    <row r="3036" spans="1:15">
      <c r="A3036" s="207"/>
      <c r="B3036" s="207"/>
      <c r="N3036" s="4"/>
      <c r="O3036" s="256"/>
    </row>
    <row r="3037" spans="1:15">
      <c r="A3037" s="207"/>
      <c r="B3037" s="207"/>
      <c r="N3037" s="4"/>
      <c r="O3037" s="256"/>
    </row>
    <row r="3038" spans="1:15">
      <c r="A3038" s="207"/>
      <c r="B3038" s="207"/>
      <c r="N3038" s="4"/>
      <c r="O3038" s="256"/>
    </row>
    <row r="3039" spans="1:15">
      <c r="A3039" s="207"/>
      <c r="B3039" s="207"/>
      <c r="N3039" s="4"/>
      <c r="O3039" s="256"/>
    </row>
    <row r="3040" spans="1:15">
      <c r="A3040" s="207"/>
      <c r="B3040" s="207"/>
      <c r="N3040" s="4"/>
      <c r="O3040" s="256"/>
    </row>
    <row r="3041" spans="1:15">
      <c r="A3041" s="207"/>
      <c r="B3041" s="207"/>
      <c r="N3041" s="4"/>
      <c r="O3041" s="256"/>
    </row>
    <row r="3042" spans="1:15">
      <c r="A3042" s="207"/>
      <c r="B3042" s="207"/>
      <c r="N3042" s="4"/>
      <c r="O3042" s="256"/>
    </row>
    <row r="3043" spans="1:15">
      <c r="A3043" s="207"/>
      <c r="B3043" s="207"/>
      <c r="N3043" s="4"/>
      <c r="O3043" s="256"/>
    </row>
    <row r="3044" spans="1:15">
      <c r="A3044" s="207"/>
      <c r="B3044" s="207"/>
      <c r="N3044" s="4"/>
      <c r="O3044" s="256"/>
    </row>
    <row r="3045" spans="1:15">
      <c r="A3045" s="207"/>
      <c r="B3045" s="207"/>
      <c r="N3045" s="4"/>
      <c r="O3045" s="256"/>
    </row>
    <row r="3046" spans="1:15">
      <c r="A3046" s="207"/>
      <c r="B3046" s="207"/>
      <c r="N3046" s="4"/>
      <c r="O3046" s="256"/>
    </row>
    <row r="3047" spans="1:15">
      <c r="A3047" s="207"/>
      <c r="B3047" s="207"/>
      <c r="N3047" s="4"/>
      <c r="O3047" s="256"/>
    </row>
    <row r="3048" spans="1:15">
      <c r="A3048" s="207"/>
      <c r="B3048" s="207"/>
      <c r="N3048" s="4"/>
      <c r="O3048" s="256"/>
    </row>
    <row r="3049" spans="1:15">
      <c r="A3049" s="207"/>
      <c r="B3049" s="207"/>
      <c r="N3049" s="4"/>
      <c r="O3049" s="256"/>
    </row>
    <row r="3050" spans="1:15">
      <c r="A3050" s="207"/>
      <c r="B3050" s="207"/>
      <c r="N3050" s="4"/>
      <c r="O3050" s="256"/>
    </row>
    <row r="3051" spans="1:15">
      <c r="A3051" s="207"/>
      <c r="B3051" s="207"/>
      <c r="N3051" s="4"/>
      <c r="O3051" s="256"/>
    </row>
    <row r="3052" spans="1:15">
      <c r="A3052" s="207"/>
      <c r="B3052" s="207"/>
      <c r="N3052" s="4"/>
      <c r="O3052" s="256"/>
    </row>
    <row r="3053" spans="1:15">
      <c r="A3053" s="207"/>
      <c r="B3053" s="207"/>
      <c r="N3053" s="4"/>
      <c r="O3053" s="256"/>
    </row>
    <row r="3054" spans="1:15">
      <c r="A3054" s="207"/>
      <c r="B3054" s="207"/>
      <c r="N3054" s="4"/>
      <c r="O3054" s="256"/>
    </row>
    <row r="3055" spans="1:15">
      <c r="A3055" s="207"/>
      <c r="B3055" s="207"/>
      <c r="N3055" s="4"/>
      <c r="O3055" s="256"/>
    </row>
    <row r="3056" spans="1:15">
      <c r="A3056" s="207"/>
      <c r="B3056" s="207"/>
      <c r="N3056" s="4"/>
      <c r="O3056" s="256"/>
    </row>
    <row r="3057" spans="1:15">
      <c r="A3057" s="207"/>
      <c r="B3057" s="207"/>
      <c r="N3057" s="4"/>
      <c r="O3057" s="256"/>
    </row>
    <row r="3058" spans="1:15">
      <c r="A3058" s="207"/>
      <c r="B3058" s="207"/>
      <c r="N3058" s="4"/>
      <c r="O3058" s="256"/>
    </row>
    <row r="3059" spans="1:15">
      <c r="A3059" s="207"/>
      <c r="B3059" s="207"/>
      <c r="N3059" s="4"/>
      <c r="O3059" s="256"/>
    </row>
    <row r="3060" spans="1:15">
      <c r="A3060" s="207"/>
      <c r="B3060" s="207"/>
      <c r="N3060" s="4"/>
      <c r="O3060" s="256"/>
    </row>
    <row r="3061" spans="1:15">
      <c r="A3061" s="207"/>
      <c r="B3061" s="207"/>
      <c r="N3061" s="4"/>
      <c r="O3061" s="256"/>
    </row>
    <row r="3062" spans="1:15">
      <c r="A3062" s="207"/>
      <c r="B3062" s="207"/>
      <c r="N3062" s="4"/>
      <c r="O3062" s="256"/>
    </row>
    <row r="3063" spans="1:15">
      <c r="A3063" s="207"/>
      <c r="B3063" s="207"/>
      <c r="N3063" s="4"/>
      <c r="O3063" s="256"/>
    </row>
    <row r="3064" spans="1:15">
      <c r="A3064" s="207"/>
      <c r="B3064" s="207"/>
      <c r="N3064" s="4"/>
      <c r="O3064" s="256"/>
    </row>
    <row r="3065" spans="1:15">
      <c r="A3065" s="207"/>
      <c r="B3065" s="207"/>
      <c r="N3065" s="4"/>
      <c r="O3065" s="256"/>
    </row>
    <row r="3066" spans="1:15">
      <c r="A3066" s="207"/>
      <c r="B3066" s="207"/>
      <c r="N3066" s="4"/>
      <c r="O3066" s="256"/>
    </row>
    <row r="3067" spans="1:15">
      <c r="A3067" s="207"/>
      <c r="B3067" s="207"/>
      <c r="N3067" s="4"/>
      <c r="O3067" s="256"/>
    </row>
    <row r="3068" spans="1:15">
      <c r="A3068" s="207"/>
      <c r="B3068" s="207"/>
      <c r="N3068" s="4"/>
      <c r="O3068" s="256"/>
    </row>
    <row r="3069" spans="1:15">
      <c r="A3069" s="207"/>
      <c r="B3069" s="207"/>
      <c r="N3069" s="4"/>
      <c r="O3069" s="256"/>
    </row>
    <row r="3070" spans="1:15">
      <c r="A3070" s="207"/>
      <c r="B3070" s="207"/>
      <c r="N3070" s="4"/>
      <c r="O3070" s="256"/>
    </row>
    <row r="3071" spans="1:15">
      <c r="A3071" s="207"/>
      <c r="B3071" s="207"/>
      <c r="N3071" s="4"/>
      <c r="O3071" s="256"/>
    </row>
    <row r="3072" spans="1:15">
      <c r="A3072" s="207"/>
      <c r="B3072" s="207"/>
      <c r="N3072" s="4"/>
      <c r="O3072" s="256"/>
    </row>
    <row r="3073" spans="1:15">
      <c r="A3073" s="207"/>
      <c r="B3073" s="207"/>
      <c r="N3073" s="4"/>
      <c r="O3073" s="256"/>
    </row>
    <row r="3074" spans="1:15">
      <c r="A3074" s="207"/>
      <c r="B3074" s="207"/>
      <c r="N3074" s="4"/>
      <c r="O3074" s="256"/>
    </row>
    <row r="3075" spans="1:15">
      <c r="A3075" s="207"/>
      <c r="B3075" s="207"/>
      <c r="N3075" s="4"/>
      <c r="O3075" s="256"/>
    </row>
    <row r="3076" spans="1:15">
      <c r="A3076" s="207"/>
      <c r="B3076" s="207"/>
      <c r="N3076" s="4"/>
      <c r="O3076" s="256"/>
    </row>
    <row r="3077" spans="1:15">
      <c r="A3077" s="207"/>
      <c r="B3077" s="207"/>
      <c r="N3077" s="4"/>
      <c r="O3077" s="256"/>
    </row>
    <row r="3078" spans="1:15">
      <c r="A3078" s="207"/>
      <c r="B3078" s="207"/>
      <c r="N3078" s="4"/>
      <c r="O3078" s="256"/>
    </row>
    <row r="3079" spans="1:15">
      <c r="A3079" s="207"/>
      <c r="B3079" s="207"/>
      <c r="N3079" s="4"/>
      <c r="O3079" s="256"/>
    </row>
    <row r="3080" spans="1:15">
      <c r="A3080" s="207"/>
      <c r="B3080" s="207"/>
      <c r="N3080" s="4"/>
      <c r="O3080" s="256"/>
    </row>
    <row r="3081" spans="1:15">
      <c r="A3081" s="207"/>
      <c r="B3081" s="207"/>
      <c r="N3081" s="4"/>
      <c r="O3081" s="256"/>
    </row>
    <row r="3082" spans="1:15">
      <c r="A3082" s="207"/>
      <c r="B3082" s="207"/>
      <c r="N3082" s="4"/>
      <c r="O3082" s="256"/>
    </row>
    <row r="3083" spans="1:15">
      <c r="A3083" s="207"/>
      <c r="B3083" s="207"/>
      <c r="N3083" s="4"/>
      <c r="O3083" s="256"/>
    </row>
    <row r="3084" spans="1:15">
      <c r="A3084" s="207"/>
      <c r="B3084" s="207"/>
      <c r="N3084" s="4"/>
      <c r="O3084" s="256"/>
    </row>
    <row r="3085" spans="1:15">
      <c r="A3085" s="207"/>
      <c r="B3085" s="207"/>
      <c r="N3085" s="4"/>
      <c r="O3085" s="256"/>
    </row>
    <row r="3086" spans="1:15">
      <c r="A3086" s="207"/>
      <c r="B3086" s="207"/>
      <c r="N3086" s="4"/>
      <c r="O3086" s="256"/>
    </row>
    <row r="3087" spans="1:15">
      <c r="A3087" s="207"/>
      <c r="B3087" s="207"/>
      <c r="N3087" s="4"/>
      <c r="O3087" s="256"/>
    </row>
    <row r="3088" spans="1:15">
      <c r="A3088" s="207"/>
      <c r="B3088" s="207"/>
      <c r="N3088" s="4"/>
      <c r="O3088" s="256"/>
    </row>
    <row r="3089" spans="1:15">
      <c r="A3089" s="207"/>
      <c r="B3089" s="207"/>
      <c r="N3089" s="4"/>
      <c r="O3089" s="256"/>
    </row>
    <row r="3090" spans="1:15">
      <c r="A3090" s="207"/>
      <c r="B3090" s="207"/>
      <c r="N3090" s="4"/>
      <c r="O3090" s="256"/>
    </row>
    <row r="3091" spans="1:15">
      <c r="A3091" s="207"/>
      <c r="B3091" s="207"/>
      <c r="N3091" s="4"/>
      <c r="O3091" s="256"/>
    </row>
    <row r="3092" spans="1:15">
      <c r="A3092" s="207"/>
      <c r="B3092" s="207"/>
      <c r="N3092" s="4"/>
      <c r="O3092" s="256"/>
    </row>
    <row r="3093" spans="1:15">
      <c r="A3093" s="207"/>
      <c r="B3093" s="207"/>
      <c r="N3093" s="4"/>
      <c r="O3093" s="256"/>
    </row>
    <row r="3094" spans="1:15">
      <c r="A3094" s="207"/>
      <c r="B3094" s="207"/>
      <c r="N3094" s="4"/>
      <c r="O3094" s="256"/>
    </row>
    <row r="3095" spans="1:15">
      <c r="A3095" s="207"/>
      <c r="B3095" s="207"/>
      <c r="N3095" s="4"/>
      <c r="O3095" s="256"/>
    </row>
    <row r="3096" spans="1:15">
      <c r="A3096" s="207"/>
      <c r="B3096" s="207"/>
      <c r="N3096" s="4"/>
      <c r="O3096" s="256"/>
    </row>
    <row r="3097" spans="1:15">
      <c r="A3097" s="207"/>
      <c r="B3097" s="207"/>
      <c r="N3097" s="4"/>
      <c r="O3097" s="256"/>
    </row>
    <row r="3098" spans="1:15">
      <c r="A3098" s="207"/>
      <c r="B3098" s="207"/>
      <c r="N3098" s="4"/>
      <c r="O3098" s="256"/>
    </row>
    <row r="3099" spans="1:15">
      <c r="A3099" s="207"/>
      <c r="B3099" s="207"/>
      <c r="N3099" s="4"/>
      <c r="O3099" s="256"/>
    </row>
    <row r="3100" spans="1:15">
      <c r="A3100" s="207"/>
      <c r="B3100" s="207"/>
      <c r="N3100" s="4"/>
      <c r="O3100" s="256"/>
    </row>
    <row r="3101" spans="1:15">
      <c r="A3101" s="207"/>
      <c r="B3101" s="207"/>
      <c r="N3101" s="4"/>
      <c r="O3101" s="256"/>
    </row>
    <row r="3102" spans="1:15">
      <c r="A3102" s="207"/>
      <c r="B3102" s="207"/>
      <c r="N3102" s="4"/>
      <c r="O3102" s="256"/>
    </row>
    <row r="3103" spans="1:15">
      <c r="A3103" s="207"/>
      <c r="B3103" s="207"/>
      <c r="N3103" s="4"/>
      <c r="O3103" s="256"/>
    </row>
    <row r="3104" spans="1:15">
      <c r="A3104" s="207"/>
      <c r="B3104" s="207"/>
      <c r="N3104" s="4"/>
      <c r="O3104" s="256"/>
    </row>
    <row r="3105" spans="1:15">
      <c r="A3105" s="207"/>
      <c r="B3105" s="207"/>
      <c r="N3105" s="4"/>
      <c r="O3105" s="256"/>
    </row>
    <row r="3106" spans="1:15">
      <c r="A3106" s="207"/>
      <c r="B3106" s="207"/>
      <c r="N3106" s="4"/>
      <c r="O3106" s="256"/>
    </row>
    <row r="3107" spans="1:15">
      <c r="A3107" s="207"/>
      <c r="B3107" s="207"/>
      <c r="N3107" s="4"/>
      <c r="O3107" s="256"/>
    </row>
    <row r="3108" spans="1:15">
      <c r="A3108" s="207"/>
      <c r="B3108" s="207"/>
      <c r="N3108" s="4"/>
      <c r="O3108" s="256"/>
    </row>
    <row r="3109" spans="1:15">
      <c r="A3109" s="207"/>
      <c r="B3109" s="207"/>
      <c r="N3109" s="4"/>
      <c r="O3109" s="256"/>
    </row>
    <row r="3110" spans="1:15">
      <c r="A3110" s="207"/>
      <c r="B3110" s="207"/>
      <c r="N3110" s="4"/>
      <c r="O3110" s="256"/>
    </row>
    <row r="3111" spans="1:15">
      <c r="A3111" s="207"/>
      <c r="B3111" s="207"/>
      <c r="N3111" s="4"/>
      <c r="O3111" s="256"/>
    </row>
    <row r="3112" spans="1:15">
      <c r="A3112" s="207"/>
      <c r="B3112" s="207"/>
      <c r="N3112" s="4"/>
      <c r="O3112" s="256"/>
    </row>
    <row r="3113" spans="1:15">
      <c r="A3113" s="207"/>
      <c r="B3113" s="207"/>
      <c r="N3113" s="4"/>
      <c r="O3113" s="256"/>
    </row>
    <row r="3114" spans="1:15">
      <c r="A3114" s="207"/>
      <c r="B3114" s="207"/>
      <c r="N3114" s="4"/>
      <c r="O3114" s="256"/>
    </row>
    <row r="3115" spans="1:15">
      <c r="A3115" s="207"/>
      <c r="B3115" s="207"/>
      <c r="N3115" s="4"/>
      <c r="O3115" s="256"/>
    </row>
    <row r="3116" spans="1:15">
      <c r="A3116" s="207"/>
      <c r="B3116" s="207"/>
      <c r="N3116" s="4"/>
      <c r="O3116" s="256"/>
    </row>
    <row r="3117" spans="1:15">
      <c r="A3117" s="207"/>
      <c r="B3117" s="207"/>
      <c r="N3117" s="4"/>
      <c r="O3117" s="256"/>
    </row>
    <row r="3118" spans="1:15">
      <c r="A3118" s="207"/>
      <c r="B3118" s="207"/>
      <c r="N3118" s="4"/>
      <c r="O3118" s="256"/>
    </row>
    <row r="3119" spans="1:15">
      <c r="A3119" s="207"/>
      <c r="B3119" s="207"/>
      <c r="N3119" s="4"/>
      <c r="O3119" s="256"/>
    </row>
    <row r="3120" spans="1:15">
      <c r="A3120" s="207"/>
      <c r="B3120" s="207"/>
      <c r="N3120" s="4"/>
      <c r="O3120" s="256"/>
    </row>
    <row r="3121" spans="1:15">
      <c r="A3121" s="207"/>
      <c r="B3121" s="207"/>
      <c r="N3121" s="4"/>
      <c r="O3121" s="256"/>
    </row>
    <row r="3122" spans="1:15">
      <c r="A3122" s="207"/>
      <c r="B3122" s="207"/>
      <c r="N3122" s="4"/>
      <c r="O3122" s="256"/>
    </row>
    <row r="3123" spans="1:15">
      <c r="A3123" s="207"/>
      <c r="B3123" s="207"/>
      <c r="N3123" s="4"/>
      <c r="O3123" s="256"/>
    </row>
    <row r="3124" spans="1:15">
      <c r="A3124" s="207"/>
      <c r="B3124" s="207"/>
      <c r="N3124" s="4"/>
      <c r="O3124" s="256"/>
    </row>
    <row r="3125" spans="1:15">
      <c r="A3125" s="207"/>
      <c r="B3125" s="207"/>
      <c r="N3125" s="4"/>
      <c r="O3125" s="256"/>
    </row>
    <row r="3126" spans="1:15">
      <c r="A3126" s="207"/>
      <c r="B3126" s="207"/>
      <c r="N3126" s="4"/>
      <c r="O3126" s="256"/>
    </row>
    <row r="3127" spans="1:15">
      <c r="A3127" s="207"/>
      <c r="B3127" s="207"/>
      <c r="N3127" s="4"/>
      <c r="O3127" s="256"/>
    </row>
    <row r="3128" spans="1:15">
      <c r="A3128" s="207"/>
      <c r="B3128" s="207"/>
      <c r="N3128" s="4"/>
      <c r="O3128" s="256"/>
    </row>
    <row r="3129" spans="1:15">
      <c r="A3129" s="207"/>
      <c r="B3129" s="207"/>
      <c r="N3129" s="4"/>
      <c r="O3129" s="256"/>
    </row>
    <row r="3130" spans="1:15">
      <c r="A3130" s="207"/>
      <c r="B3130" s="207"/>
      <c r="N3130" s="4"/>
      <c r="O3130" s="256"/>
    </row>
    <row r="3131" spans="1:15">
      <c r="A3131" s="207"/>
      <c r="B3131" s="207"/>
      <c r="N3131" s="4"/>
      <c r="O3131" s="256"/>
    </row>
    <row r="3132" spans="1:15">
      <c r="A3132" s="207"/>
      <c r="B3132" s="207"/>
      <c r="N3132" s="4"/>
      <c r="O3132" s="256"/>
    </row>
    <row r="3133" spans="1:15">
      <c r="A3133" s="207"/>
      <c r="B3133" s="207"/>
      <c r="N3133" s="4"/>
      <c r="O3133" s="256"/>
    </row>
    <row r="3134" spans="1:15">
      <c r="A3134" s="207"/>
      <c r="B3134" s="207"/>
      <c r="N3134" s="4"/>
      <c r="O3134" s="256"/>
    </row>
    <row r="3135" spans="1:15">
      <c r="A3135" s="207"/>
      <c r="B3135" s="207"/>
      <c r="N3135" s="4"/>
      <c r="O3135" s="256"/>
    </row>
    <row r="3136" spans="1:15">
      <c r="A3136" s="207"/>
      <c r="B3136" s="207"/>
      <c r="N3136" s="4"/>
      <c r="O3136" s="256"/>
    </row>
    <row r="3137" spans="1:15">
      <c r="A3137" s="207"/>
      <c r="B3137" s="207"/>
      <c r="N3137" s="4"/>
      <c r="O3137" s="256"/>
    </row>
    <row r="3138" spans="1:15">
      <c r="A3138" s="207"/>
      <c r="B3138" s="207"/>
      <c r="N3138" s="4"/>
      <c r="O3138" s="256"/>
    </row>
    <row r="3139" spans="1:15">
      <c r="A3139" s="207"/>
      <c r="B3139" s="207"/>
      <c r="N3139" s="4"/>
      <c r="O3139" s="256"/>
    </row>
    <row r="3140" spans="1:15">
      <c r="A3140" s="207"/>
      <c r="B3140" s="207"/>
      <c r="N3140" s="4"/>
      <c r="O3140" s="256"/>
    </row>
    <row r="3141" spans="1:15">
      <c r="A3141" s="207"/>
      <c r="B3141" s="207"/>
      <c r="N3141" s="4"/>
      <c r="O3141" s="256"/>
    </row>
    <row r="3142" spans="1:15">
      <c r="A3142" s="207"/>
      <c r="B3142" s="207"/>
      <c r="N3142" s="4"/>
      <c r="O3142" s="256"/>
    </row>
    <row r="3143" spans="1:15">
      <c r="A3143" s="207"/>
      <c r="B3143" s="207"/>
      <c r="N3143" s="4"/>
      <c r="O3143" s="256"/>
    </row>
    <row r="3144" spans="1:15">
      <c r="A3144" s="207"/>
      <c r="B3144" s="207"/>
      <c r="N3144" s="4"/>
      <c r="O3144" s="256"/>
    </row>
    <row r="3145" spans="1:15">
      <c r="A3145" s="207"/>
      <c r="B3145" s="207"/>
      <c r="N3145" s="4"/>
      <c r="O3145" s="256"/>
    </row>
    <row r="3146" spans="1:15">
      <c r="A3146" s="207"/>
      <c r="B3146" s="207"/>
      <c r="N3146" s="4"/>
      <c r="O3146" s="256"/>
    </row>
    <row r="3147" spans="1:15">
      <c r="A3147" s="207"/>
      <c r="B3147" s="207"/>
      <c r="N3147" s="4"/>
      <c r="O3147" s="256"/>
    </row>
    <row r="3148" spans="1:15">
      <c r="A3148" s="207"/>
      <c r="B3148" s="207"/>
      <c r="N3148" s="4"/>
      <c r="O3148" s="256"/>
    </row>
    <row r="3149" spans="1:15">
      <c r="A3149" s="207"/>
      <c r="B3149" s="207"/>
      <c r="N3149" s="4"/>
      <c r="O3149" s="256"/>
    </row>
    <row r="3150" spans="1:15">
      <c r="A3150" s="207"/>
      <c r="B3150" s="207"/>
      <c r="N3150" s="4"/>
      <c r="O3150" s="256"/>
    </row>
    <row r="3151" spans="1:15">
      <c r="A3151" s="207"/>
      <c r="B3151" s="207"/>
      <c r="N3151" s="4"/>
      <c r="O3151" s="256"/>
    </row>
    <row r="3152" spans="1:15">
      <c r="A3152" s="207"/>
      <c r="B3152" s="207"/>
      <c r="N3152" s="4"/>
      <c r="O3152" s="256"/>
    </row>
    <row r="3153" spans="1:15">
      <c r="A3153" s="207"/>
      <c r="B3153" s="207"/>
      <c r="N3153" s="4"/>
      <c r="O3153" s="256"/>
    </row>
    <row r="3154" spans="1:15">
      <c r="A3154" s="207"/>
      <c r="B3154" s="207"/>
      <c r="N3154" s="4"/>
      <c r="O3154" s="256"/>
    </row>
    <row r="3155" spans="1:15">
      <c r="A3155" s="207"/>
      <c r="B3155" s="207"/>
      <c r="N3155" s="4"/>
      <c r="O3155" s="256"/>
    </row>
    <row r="3156" spans="1:15">
      <c r="A3156" s="207"/>
      <c r="B3156" s="207"/>
      <c r="N3156" s="4"/>
      <c r="O3156" s="256"/>
    </row>
    <row r="3157" spans="1:15">
      <c r="A3157" s="207"/>
      <c r="B3157" s="207"/>
      <c r="N3157" s="4"/>
      <c r="O3157" s="256"/>
    </row>
    <row r="3158" spans="1:15">
      <c r="A3158" s="207"/>
      <c r="B3158" s="207"/>
      <c r="N3158" s="4"/>
      <c r="O3158" s="256"/>
    </row>
    <row r="3159" spans="1:15">
      <c r="A3159" s="207"/>
      <c r="B3159" s="207"/>
      <c r="N3159" s="4"/>
      <c r="O3159" s="256"/>
    </row>
    <row r="3160" spans="1:15">
      <c r="A3160" s="207"/>
      <c r="B3160" s="207"/>
      <c r="N3160" s="4"/>
      <c r="O3160" s="256"/>
    </row>
    <row r="3161" spans="1:15">
      <c r="A3161" s="207"/>
      <c r="B3161" s="207"/>
      <c r="N3161" s="4"/>
      <c r="O3161" s="256"/>
    </row>
    <row r="3162" spans="1:15">
      <c r="A3162" s="207"/>
      <c r="B3162" s="207"/>
      <c r="N3162" s="4"/>
      <c r="O3162" s="256"/>
    </row>
    <row r="3163" spans="1:15">
      <c r="A3163" s="207"/>
      <c r="B3163" s="207"/>
      <c r="N3163" s="4"/>
      <c r="O3163" s="256"/>
    </row>
    <row r="3164" spans="1:15">
      <c r="A3164" s="207"/>
      <c r="B3164" s="207"/>
      <c r="N3164" s="4"/>
      <c r="O3164" s="256"/>
    </row>
    <row r="3165" spans="1:15">
      <c r="A3165" s="207"/>
      <c r="B3165" s="207"/>
      <c r="N3165" s="4"/>
      <c r="O3165" s="256"/>
    </row>
    <row r="3166" spans="1:15">
      <c r="A3166" s="207"/>
      <c r="B3166" s="207"/>
      <c r="N3166" s="4"/>
      <c r="O3166" s="256"/>
    </row>
    <row r="3167" spans="1:15">
      <c r="A3167" s="207"/>
      <c r="B3167" s="207"/>
      <c r="N3167" s="4"/>
      <c r="O3167" s="256"/>
    </row>
    <row r="3168" spans="1:15">
      <c r="A3168" s="207"/>
      <c r="B3168" s="207"/>
      <c r="N3168" s="4"/>
      <c r="O3168" s="256"/>
    </row>
    <row r="3169" spans="1:15">
      <c r="A3169" s="207"/>
      <c r="B3169" s="207"/>
      <c r="N3169" s="4"/>
      <c r="O3169" s="256"/>
    </row>
    <row r="3170" spans="1:15">
      <c r="A3170" s="207"/>
      <c r="B3170" s="207"/>
      <c r="N3170" s="4"/>
      <c r="O3170" s="256"/>
    </row>
    <row r="3171" spans="1:15">
      <c r="A3171" s="207"/>
      <c r="B3171" s="207"/>
      <c r="N3171" s="4"/>
      <c r="O3171" s="256"/>
    </row>
    <row r="3172" spans="1:15">
      <c r="A3172" s="207"/>
      <c r="B3172" s="207"/>
      <c r="N3172" s="4"/>
      <c r="O3172" s="256"/>
    </row>
    <row r="3173" spans="1:15">
      <c r="A3173" s="207"/>
      <c r="B3173" s="207"/>
      <c r="N3173" s="4"/>
      <c r="O3173" s="256"/>
    </row>
    <row r="3174" spans="1:15">
      <c r="A3174" s="207"/>
      <c r="B3174" s="207"/>
      <c r="N3174" s="4"/>
      <c r="O3174" s="256"/>
    </row>
    <row r="3175" spans="1:15">
      <c r="A3175" s="207"/>
      <c r="B3175" s="207"/>
      <c r="N3175" s="4"/>
      <c r="O3175" s="256"/>
    </row>
    <row r="3176" spans="1:15">
      <c r="A3176" s="207"/>
      <c r="B3176" s="207"/>
      <c r="N3176" s="4"/>
      <c r="O3176" s="256"/>
    </row>
    <row r="3177" spans="1:15">
      <c r="A3177" s="207"/>
      <c r="B3177" s="207"/>
      <c r="N3177" s="4"/>
      <c r="O3177" s="256"/>
    </row>
    <row r="3178" spans="1:15">
      <c r="A3178" s="207"/>
      <c r="B3178" s="207"/>
      <c r="N3178" s="4"/>
      <c r="O3178" s="256"/>
    </row>
    <row r="3179" spans="1:15">
      <c r="A3179" s="207"/>
      <c r="B3179" s="207"/>
      <c r="N3179" s="4"/>
      <c r="O3179" s="256"/>
    </row>
    <row r="3180" spans="1:15">
      <c r="A3180" s="207"/>
      <c r="B3180" s="207"/>
      <c r="N3180" s="4"/>
      <c r="O3180" s="256"/>
    </row>
    <row r="3181" spans="1:15">
      <c r="A3181" s="207"/>
      <c r="B3181" s="207"/>
      <c r="N3181" s="4"/>
      <c r="O3181" s="256"/>
    </row>
    <row r="3182" spans="1:15">
      <c r="A3182" s="207"/>
      <c r="B3182" s="207"/>
      <c r="N3182" s="4"/>
      <c r="O3182" s="256"/>
    </row>
    <row r="3183" spans="1:15">
      <c r="A3183" s="207"/>
      <c r="B3183" s="207"/>
      <c r="N3183" s="4"/>
      <c r="O3183" s="256"/>
    </row>
    <row r="3184" spans="1:15">
      <c r="A3184" s="207"/>
      <c r="B3184" s="207"/>
      <c r="N3184" s="4"/>
      <c r="O3184" s="256"/>
    </row>
    <row r="3185" spans="1:15">
      <c r="A3185" s="207"/>
      <c r="B3185" s="207"/>
      <c r="N3185" s="4"/>
      <c r="O3185" s="256"/>
    </row>
    <row r="3186" spans="1:15">
      <c r="A3186" s="207"/>
      <c r="B3186" s="207"/>
      <c r="N3186" s="4"/>
      <c r="O3186" s="256"/>
    </row>
    <row r="3187" spans="1:15">
      <c r="A3187" s="207"/>
      <c r="B3187" s="207"/>
      <c r="N3187" s="4"/>
      <c r="O3187" s="256"/>
    </row>
    <row r="3188" spans="1:15">
      <c r="A3188" s="207"/>
      <c r="B3188" s="207"/>
      <c r="N3188" s="4"/>
      <c r="O3188" s="256"/>
    </row>
    <row r="3189" spans="1:15">
      <c r="A3189" s="207"/>
      <c r="B3189" s="207"/>
      <c r="N3189" s="4"/>
      <c r="O3189" s="256"/>
    </row>
    <row r="3190" spans="1:15">
      <c r="A3190" s="207"/>
      <c r="B3190" s="207"/>
      <c r="N3190" s="4"/>
      <c r="O3190" s="256"/>
    </row>
    <row r="3191" spans="1:15">
      <c r="A3191" s="207"/>
      <c r="B3191" s="207"/>
      <c r="N3191" s="4"/>
      <c r="O3191" s="256"/>
    </row>
    <row r="3192" spans="1:15">
      <c r="A3192" s="207"/>
      <c r="B3192" s="207"/>
      <c r="N3192" s="4"/>
      <c r="O3192" s="256"/>
    </row>
    <row r="3193" spans="1:15">
      <c r="A3193" s="207"/>
      <c r="B3193" s="207"/>
      <c r="N3193" s="4"/>
      <c r="O3193" s="256"/>
    </row>
    <row r="3194" spans="1:15">
      <c r="A3194" s="207"/>
      <c r="B3194" s="207"/>
      <c r="N3194" s="4"/>
      <c r="O3194" s="256"/>
    </row>
    <row r="3195" spans="1:15">
      <c r="A3195" s="207"/>
      <c r="B3195" s="207"/>
      <c r="N3195" s="4"/>
      <c r="O3195" s="256"/>
    </row>
    <row r="3196" spans="1:15">
      <c r="A3196" s="207"/>
      <c r="B3196" s="207"/>
      <c r="N3196" s="4"/>
      <c r="O3196" s="256"/>
    </row>
    <row r="3197" spans="1:15">
      <c r="A3197" s="207"/>
      <c r="B3197" s="207"/>
      <c r="N3197" s="4"/>
      <c r="O3197" s="256"/>
    </row>
    <row r="3198" spans="1:15">
      <c r="A3198" s="207"/>
      <c r="B3198" s="207"/>
      <c r="N3198" s="4"/>
      <c r="O3198" s="256"/>
    </row>
    <row r="3199" spans="1:15">
      <c r="A3199" s="207"/>
      <c r="B3199" s="207"/>
      <c r="N3199" s="4"/>
      <c r="O3199" s="256"/>
    </row>
    <row r="3200" spans="1:15">
      <c r="A3200" s="207"/>
      <c r="B3200" s="207"/>
      <c r="N3200" s="4"/>
      <c r="O3200" s="256"/>
    </row>
    <row r="3201" spans="1:15">
      <c r="A3201" s="207"/>
      <c r="B3201" s="207"/>
      <c r="N3201" s="4"/>
      <c r="O3201" s="256"/>
    </row>
    <row r="3202" spans="1:15">
      <c r="A3202" s="207"/>
      <c r="B3202" s="207"/>
      <c r="N3202" s="4"/>
      <c r="O3202" s="256"/>
    </row>
    <row r="3203" spans="1:15">
      <c r="A3203" s="207"/>
      <c r="B3203" s="207"/>
      <c r="N3203" s="4"/>
      <c r="O3203" s="256"/>
    </row>
    <row r="3204" spans="1:15">
      <c r="A3204" s="207"/>
      <c r="B3204" s="207"/>
      <c r="N3204" s="4"/>
      <c r="O3204" s="256"/>
    </row>
    <row r="3205" spans="1:15">
      <c r="A3205" s="207"/>
      <c r="B3205" s="207"/>
      <c r="N3205" s="4"/>
      <c r="O3205" s="256"/>
    </row>
    <row r="3206" spans="1:15">
      <c r="A3206" s="207"/>
      <c r="B3206" s="207"/>
      <c r="N3206" s="4"/>
      <c r="O3206" s="256"/>
    </row>
    <row r="3207" spans="1:15">
      <c r="A3207" s="207"/>
      <c r="B3207" s="207"/>
      <c r="N3207" s="4"/>
      <c r="O3207" s="256"/>
    </row>
    <row r="3208" spans="1:15">
      <c r="A3208" s="207"/>
      <c r="B3208" s="207"/>
      <c r="N3208" s="4"/>
      <c r="O3208" s="256"/>
    </row>
    <row r="3209" spans="1:15">
      <c r="A3209" s="207"/>
      <c r="B3209" s="207"/>
      <c r="N3209" s="4"/>
      <c r="O3209" s="256"/>
    </row>
    <row r="3210" spans="1:15">
      <c r="A3210" s="207"/>
      <c r="B3210" s="207"/>
      <c r="N3210" s="4"/>
      <c r="O3210" s="256"/>
    </row>
    <row r="3211" spans="1:15">
      <c r="A3211" s="207"/>
      <c r="B3211" s="207"/>
      <c r="N3211" s="4"/>
      <c r="O3211" s="256"/>
    </row>
    <row r="3212" spans="1:15">
      <c r="A3212" s="207"/>
      <c r="B3212" s="207"/>
      <c r="N3212" s="4"/>
      <c r="O3212" s="256"/>
    </row>
    <row r="3213" spans="1:15">
      <c r="A3213" s="207"/>
      <c r="B3213" s="207"/>
      <c r="N3213" s="4"/>
      <c r="O3213" s="256"/>
    </row>
    <row r="3214" spans="1:15">
      <c r="A3214" s="207"/>
      <c r="B3214" s="207"/>
      <c r="N3214" s="4"/>
      <c r="O3214" s="256"/>
    </row>
    <row r="3215" spans="1:15">
      <c r="A3215" s="207"/>
      <c r="B3215" s="207"/>
      <c r="N3215" s="4"/>
      <c r="O3215" s="256"/>
    </row>
    <row r="3216" spans="1:15">
      <c r="A3216" s="207"/>
      <c r="B3216" s="207"/>
      <c r="N3216" s="4"/>
      <c r="O3216" s="256"/>
    </row>
    <row r="3217" spans="1:15">
      <c r="A3217" s="207"/>
      <c r="B3217" s="207"/>
      <c r="N3217" s="4"/>
      <c r="O3217" s="256"/>
    </row>
    <row r="3218" spans="1:15">
      <c r="A3218" s="207"/>
      <c r="B3218" s="207"/>
      <c r="N3218" s="4"/>
      <c r="O3218" s="256"/>
    </row>
    <row r="3219" spans="1:15">
      <c r="A3219" s="207"/>
      <c r="B3219" s="207"/>
      <c r="N3219" s="4"/>
      <c r="O3219" s="256"/>
    </row>
    <row r="3220" spans="1:15">
      <c r="A3220" s="207"/>
      <c r="B3220" s="207"/>
      <c r="N3220" s="4"/>
      <c r="O3220" s="256"/>
    </row>
    <row r="3221" spans="1:15">
      <c r="A3221" s="207"/>
      <c r="B3221" s="207"/>
      <c r="N3221" s="4"/>
      <c r="O3221" s="256"/>
    </row>
    <row r="3222" spans="1:15">
      <c r="A3222" s="207"/>
      <c r="B3222" s="207"/>
      <c r="N3222" s="4"/>
      <c r="O3222" s="256"/>
    </row>
    <row r="3223" spans="1:15">
      <c r="A3223" s="207"/>
      <c r="B3223" s="207"/>
      <c r="N3223" s="4"/>
      <c r="O3223" s="256"/>
    </row>
    <row r="3224" spans="1:15">
      <c r="A3224" s="207"/>
      <c r="B3224" s="207"/>
      <c r="N3224" s="4"/>
      <c r="O3224" s="256"/>
    </row>
    <row r="3225" spans="1:15">
      <c r="A3225" s="207"/>
      <c r="B3225" s="207"/>
      <c r="N3225" s="4"/>
      <c r="O3225" s="256"/>
    </row>
    <row r="3226" spans="1:15">
      <c r="A3226" s="207"/>
      <c r="B3226" s="207"/>
      <c r="N3226" s="4"/>
      <c r="O3226" s="256"/>
    </row>
    <row r="3227" spans="1:15">
      <c r="A3227" s="207"/>
      <c r="B3227" s="207"/>
      <c r="N3227" s="4"/>
      <c r="O3227" s="256"/>
    </row>
    <row r="3228" spans="1:15">
      <c r="A3228" s="207"/>
      <c r="B3228" s="207"/>
      <c r="N3228" s="4"/>
      <c r="O3228" s="256"/>
    </row>
    <row r="3229" spans="1:15">
      <c r="A3229" s="207"/>
      <c r="B3229" s="207"/>
      <c r="N3229" s="4"/>
      <c r="O3229" s="256"/>
    </row>
    <row r="3230" spans="1:15">
      <c r="A3230" s="207"/>
      <c r="B3230" s="207"/>
      <c r="N3230" s="4"/>
      <c r="O3230" s="256"/>
    </row>
    <row r="3231" spans="1:15">
      <c r="A3231" s="207"/>
      <c r="B3231" s="207"/>
      <c r="N3231" s="4"/>
      <c r="O3231" s="256"/>
    </row>
    <row r="3232" spans="1:15">
      <c r="A3232" s="207"/>
      <c r="B3232" s="207"/>
      <c r="N3232" s="4"/>
      <c r="O3232" s="256"/>
    </row>
    <row r="3233" spans="1:15">
      <c r="A3233" s="207"/>
      <c r="B3233" s="207"/>
      <c r="N3233" s="4"/>
      <c r="O3233" s="256"/>
    </row>
    <row r="3234" spans="1:15">
      <c r="A3234" s="207"/>
      <c r="B3234" s="207"/>
      <c r="N3234" s="4"/>
      <c r="O3234" s="256"/>
    </row>
    <row r="3235" spans="1:15">
      <c r="A3235" s="207"/>
      <c r="B3235" s="207"/>
      <c r="N3235" s="4"/>
      <c r="O3235" s="256"/>
    </row>
    <row r="3236" spans="1:15">
      <c r="A3236" s="207"/>
      <c r="B3236" s="207"/>
      <c r="N3236" s="4"/>
      <c r="O3236" s="256"/>
    </row>
    <row r="3237" spans="1:15">
      <c r="A3237" s="207"/>
      <c r="B3237" s="207"/>
      <c r="N3237" s="4"/>
      <c r="O3237" s="256"/>
    </row>
    <row r="3238" spans="1:15">
      <c r="A3238" s="207"/>
      <c r="B3238" s="207"/>
      <c r="N3238" s="4"/>
      <c r="O3238" s="256"/>
    </row>
    <row r="3239" spans="1:15">
      <c r="A3239" s="207"/>
      <c r="B3239" s="207"/>
      <c r="N3239" s="4"/>
      <c r="O3239" s="256"/>
    </row>
    <row r="3240" spans="1:15">
      <c r="A3240" s="207"/>
      <c r="B3240" s="207"/>
      <c r="N3240" s="4"/>
      <c r="O3240" s="256"/>
    </row>
    <row r="3241" spans="1:15">
      <c r="A3241" s="207"/>
      <c r="B3241" s="207"/>
      <c r="N3241" s="4"/>
      <c r="O3241" s="256"/>
    </row>
    <row r="3242" spans="1:15">
      <c r="A3242" s="207"/>
      <c r="B3242" s="207"/>
      <c r="N3242" s="4"/>
      <c r="O3242" s="256"/>
    </row>
    <row r="3243" spans="1:15">
      <c r="A3243" s="207"/>
      <c r="B3243" s="207"/>
      <c r="N3243" s="4"/>
      <c r="O3243" s="256"/>
    </row>
    <row r="3244" spans="1:15">
      <c r="A3244" s="207"/>
      <c r="B3244" s="207"/>
      <c r="N3244" s="4"/>
      <c r="O3244" s="256"/>
    </row>
    <row r="3245" spans="1:15">
      <c r="A3245" s="207"/>
      <c r="B3245" s="207"/>
      <c r="N3245" s="4"/>
      <c r="O3245" s="256"/>
    </row>
    <row r="3246" spans="1:15">
      <c r="A3246" s="207"/>
      <c r="B3246" s="207"/>
      <c r="N3246" s="4"/>
      <c r="O3246" s="256"/>
    </row>
    <row r="3247" spans="1:15">
      <c r="A3247" s="207"/>
      <c r="B3247" s="207"/>
      <c r="N3247" s="4"/>
      <c r="O3247" s="256"/>
    </row>
    <row r="3248" spans="1:15">
      <c r="A3248" s="207"/>
      <c r="B3248" s="207"/>
      <c r="N3248" s="4"/>
      <c r="O3248" s="256"/>
    </row>
    <row r="3249" spans="1:15">
      <c r="A3249" s="207"/>
      <c r="B3249" s="207"/>
      <c r="N3249" s="4"/>
      <c r="O3249" s="256"/>
    </row>
    <row r="3250" spans="1:15">
      <c r="A3250" s="207"/>
      <c r="B3250" s="207"/>
      <c r="N3250" s="4"/>
      <c r="O3250" s="256"/>
    </row>
    <row r="3251" spans="1:15">
      <c r="A3251" s="207"/>
      <c r="B3251" s="207"/>
      <c r="N3251" s="4"/>
      <c r="O3251" s="256"/>
    </row>
    <row r="3252" spans="1:15">
      <c r="A3252" s="207"/>
      <c r="B3252" s="207"/>
      <c r="N3252" s="4"/>
      <c r="O3252" s="256"/>
    </row>
    <row r="3253" spans="1:15">
      <c r="A3253" s="207"/>
      <c r="B3253" s="207"/>
      <c r="N3253" s="4"/>
      <c r="O3253" s="256"/>
    </row>
    <row r="3254" spans="1:15">
      <c r="A3254" s="207"/>
      <c r="B3254" s="207"/>
      <c r="N3254" s="4"/>
      <c r="O3254" s="256"/>
    </row>
    <row r="3255" spans="1:15">
      <c r="A3255" s="207"/>
      <c r="B3255" s="207"/>
      <c r="N3255" s="4"/>
      <c r="O3255" s="256"/>
    </row>
    <row r="3256" spans="1:15">
      <c r="A3256" s="207"/>
      <c r="B3256" s="207"/>
      <c r="N3256" s="4"/>
      <c r="O3256" s="256"/>
    </row>
    <row r="3257" spans="1:15">
      <c r="A3257" s="207"/>
      <c r="B3257" s="207"/>
      <c r="N3257" s="4"/>
      <c r="O3257" s="256"/>
    </row>
    <row r="3258" spans="1:15">
      <c r="A3258" s="207"/>
      <c r="B3258" s="207"/>
      <c r="N3258" s="4"/>
      <c r="O3258" s="256"/>
    </row>
    <row r="3259" spans="1:15">
      <c r="A3259" s="207"/>
      <c r="B3259" s="207"/>
      <c r="N3259" s="4"/>
      <c r="O3259" s="256"/>
    </row>
    <row r="3260" spans="1:15">
      <c r="A3260" s="207"/>
      <c r="B3260" s="207"/>
      <c r="N3260" s="4"/>
      <c r="O3260" s="256"/>
    </row>
    <row r="3261" spans="1:15">
      <c r="A3261" s="207"/>
      <c r="B3261" s="207"/>
      <c r="N3261" s="4"/>
      <c r="O3261" s="256"/>
    </row>
    <row r="3262" spans="1:15">
      <c r="A3262" s="207"/>
      <c r="B3262" s="207"/>
      <c r="N3262" s="4"/>
      <c r="O3262" s="256"/>
    </row>
    <row r="3263" spans="1:15">
      <c r="A3263" s="207"/>
      <c r="B3263" s="207"/>
      <c r="N3263" s="4"/>
      <c r="O3263" s="256"/>
    </row>
    <row r="3264" spans="1:15">
      <c r="A3264" s="207"/>
      <c r="B3264" s="207"/>
      <c r="N3264" s="4"/>
      <c r="O3264" s="256"/>
    </row>
    <row r="3265" spans="1:15">
      <c r="A3265" s="207"/>
      <c r="B3265" s="207"/>
      <c r="N3265" s="4"/>
      <c r="O3265" s="256"/>
    </row>
    <row r="3266" spans="1:15">
      <c r="A3266" s="207"/>
      <c r="B3266" s="207"/>
      <c r="N3266" s="4"/>
      <c r="O3266" s="256"/>
    </row>
    <row r="3267" spans="1:15">
      <c r="A3267" s="207"/>
      <c r="B3267" s="207"/>
      <c r="N3267" s="4"/>
      <c r="O3267" s="256"/>
    </row>
    <row r="3268" spans="1:15">
      <c r="A3268" s="207"/>
      <c r="B3268" s="207"/>
      <c r="N3268" s="4"/>
      <c r="O3268" s="256"/>
    </row>
    <row r="3269" spans="1:15">
      <c r="A3269" s="207"/>
      <c r="B3269" s="207"/>
      <c r="N3269" s="4"/>
      <c r="O3269" s="256"/>
    </row>
    <row r="3270" spans="1:15">
      <c r="A3270" s="207"/>
      <c r="B3270" s="207"/>
      <c r="N3270" s="4"/>
      <c r="O3270" s="256"/>
    </row>
    <row r="3271" spans="1:15">
      <c r="A3271" s="207"/>
      <c r="B3271" s="207"/>
      <c r="N3271" s="4"/>
      <c r="O3271" s="256"/>
    </row>
    <row r="3272" spans="1:15">
      <c r="A3272" s="207"/>
      <c r="B3272" s="207"/>
      <c r="N3272" s="4"/>
      <c r="O3272" s="256"/>
    </row>
    <row r="3273" spans="1:15">
      <c r="A3273" s="207"/>
      <c r="B3273" s="207"/>
      <c r="N3273" s="4"/>
      <c r="O3273" s="256"/>
    </row>
    <row r="3274" spans="1:15">
      <c r="A3274" s="207"/>
      <c r="B3274" s="207"/>
      <c r="N3274" s="4"/>
      <c r="O3274" s="256"/>
    </row>
    <row r="3275" spans="1:15">
      <c r="A3275" s="207"/>
      <c r="B3275" s="207"/>
      <c r="N3275" s="4"/>
      <c r="O3275" s="256"/>
    </row>
    <row r="3276" spans="1:15">
      <c r="A3276" s="207"/>
      <c r="B3276" s="207"/>
      <c r="N3276" s="4"/>
      <c r="O3276" s="256"/>
    </row>
    <row r="3277" spans="1:15">
      <c r="A3277" s="207"/>
      <c r="B3277" s="207"/>
      <c r="N3277" s="4"/>
      <c r="O3277" s="256"/>
    </row>
    <row r="3278" spans="1:15">
      <c r="A3278" s="207"/>
      <c r="B3278" s="207"/>
      <c r="N3278" s="4"/>
      <c r="O3278" s="256"/>
    </row>
    <row r="3279" spans="1:15">
      <c r="A3279" s="207"/>
      <c r="B3279" s="207"/>
      <c r="N3279" s="4"/>
      <c r="O3279" s="256"/>
    </row>
    <row r="3280" spans="1:15">
      <c r="A3280" s="207"/>
      <c r="B3280" s="207"/>
      <c r="N3280" s="4"/>
      <c r="O3280" s="256"/>
    </row>
    <row r="3281" spans="1:15">
      <c r="A3281" s="207"/>
      <c r="B3281" s="207"/>
      <c r="N3281" s="4"/>
      <c r="O3281" s="256"/>
    </row>
    <row r="3282" spans="1:15">
      <c r="A3282" s="207"/>
      <c r="B3282" s="207"/>
      <c r="N3282" s="4"/>
      <c r="O3282" s="256"/>
    </row>
    <row r="3283" spans="1:15">
      <c r="A3283" s="207"/>
      <c r="B3283" s="207"/>
      <c r="N3283" s="4"/>
      <c r="O3283" s="256"/>
    </row>
    <row r="3284" spans="1:15">
      <c r="A3284" s="207"/>
      <c r="B3284" s="207"/>
      <c r="N3284" s="4"/>
      <c r="O3284" s="256"/>
    </row>
    <row r="3285" spans="1:15">
      <c r="A3285" s="207"/>
      <c r="B3285" s="207"/>
      <c r="N3285" s="4"/>
      <c r="O3285" s="256"/>
    </row>
    <row r="3286" spans="1:15">
      <c r="A3286" s="207"/>
      <c r="B3286" s="207"/>
      <c r="N3286" s="4"/>
      <c r="O3286" s="256"/>
    </row>
    <row r="3287" spans="1:15">
      <c r="A3287" s="207"/>
      <c r="B3287" s="207"/>
      <c r="N3287" s="4"/>
      <c r="O3287" s="256"/>
    </row>
    <row r="3288" spans="1:15">
      <c r="A3288" s="207"/>
      <c r="B3288" s="207"/>
      <c r="N3288" s="4"/>
      <c r="O3288" s="256"/>
    </row>
    <row r="3289" spans="1:15">
      <c r="A3289" s="207"/>
      <c r="B3289" s="207"/>
      <c r="N3289" s="4"/>
      <c r="O3289" s="256"/>
    </row>
    <row r="3290" spans="1:15">
      <c r="A3290" s="207"/>
      <c r="B3290" s="207"/>
      <c r="N3290" s="4"/>
      <c r="O3290" s="256"/>
    </row>
    <row r="3291" spans="1:15">
      <c r="A3291" s="207"/>
      <c r="B3291" s="207"/>
      <c r="N3291" s="4"/>
      <c r="O3291" s="256"/>
    </row>
    <row r="3292" spans="1:15">
      <c r="A3292" s="207"/>
      <c r="B3292" s="207"/>
      <c r="N3292" s="4"/>
      <c r="O3292" s="256"/>
    </row>
    <row r="3293" spans="1:15">
      <c r="A3293" s="207"/>
      <c r="B3293" s="207"/>
      <c r="N3293" s="4"/>
      <c r="O3293" s="256"/>
    </row>
    <row r="3294" spans="1:15">
      <c r="A3294" s="207"/>
      <c r="B3294" s="207"/>
      <c r="N3294" s="4"/>
      <c r="O3294" s="256"/>
    </row>
    <row r="3295" spans="1:15">
      <c r="A3295" s="207"/>
      <c r="B3295" s="207"/>
      <c r="N3295" s="4"/>
      <c r="O3295" s="256"/>
    </row>
    <row r="3296" spans="1:15">
      <c r="A3296" s="207"/>
      <c r="B3296" s="207"/>
      <c r="N3296" s="4"/>
      <c r="O3296" s="256"/>
    </row>
    <row r="3297" spans="1:15">
      <c r="A3297" s="207"/>
      <c r="B3297" s="207"/>
      <c r="N3297" s="4"/>
      <c r="O3297" s="256"/>
    </row>
    <row r="3298" spans="1:15">
      <c r="A3298" s="207"/>
      <c r="B3298" s="207"/>
      <c r="N3298" s="4"/>
      <c r="O3298" s="256"/>
    </row>
    <row r="3299" spans="1:15">
      <c r="A3299" s="207"/>
      <c r="B3299" s="207"/>
      <c r="N3299" s="4"/>
      <c r="O3299" s="256"/>
    </row>
    <row r="3300" spans="1:15">
      <c r="A3300" s="207"/>
      <c r="B3300" s="207"/>
      <c r="N3300" s="4"/>
      <c r="O3300" s="256"/>
    </row>
    <row r="3301" spans="1:15">
      <c r="A3301" s="207"/>
      <c r="B3301" s="207"/>
      <c r="N3301" s="4"/>
      <c r="O3301" s="256"/>
    </row>
    <row r="3302" spans="1:15">
      <c r="A3302" s="207"/>
      <c r="B3302" s="207"/>
      <c r="N3302" s="4"/>
      <c r="O3302" s="256"/>
    </row>
    <row r="3303" spans="1:15">
      <c r="A3303" s="207"/>
      <c r="B3303" s="207"/>
      <c r="N3303" s="4"/>
      <c r="O3303" s="256"/>
    </row>
    <row r="3304" spans="1:15">
      <c r="A3304" s="207"/>
      <c r="B3304" s="207"/>
      <c r="N3304" s="4"/>
      <c r="O3304" s="256"/>
    </row>
    <row r="3305" spans="1:15">
      <c r="A3305" s="207"/>
      <c r="B3305" s="207"/>
      <c r="N3305" s="4"/>
      <c r="O3305" s="256"/>
    </row>
    <row r="3306" spans="1:15">
      <c r="A3306" s="207"/>
      <c r="B3306" s="207"/>
      <c r="N3306" s="4"/>
      <c r="O3306" s="256"/>
    </row>
    <row r="3307" spans="1:15">
      <c r="A3307" s="207"/>
      <c r="B3307" s="207"/>
      <c r="N3307" s="4"/>
      <c r="O3307" s="256"/>
    </row>
    <row r="3308" spans="1:15">
      <c r="A3308" s="207"/>
      <c r="B3308" s="207"/>
      <c r="N3308" s="4"/>
      <c r="O3308" s="256"/>
    </row>
    <row r="3309" spans="1:15">
      <c r="A3309" s="207"/>
      <c r="B3309" s="207"/>
      <c r="N3309" s="4"/>
      <c r="O3309" s="256"/>
    </row>
    <row r="3310" spans="1:15">
      <c r="A3310" s="207"/>
      <c r="B3310" s="207"/>
      <c r="N3310" s="4"/>
      <c r="O3310" s="256"/>
    </row>
    <row r="3311" spans="1:15">
      <c r="A3311" s="207"/>
      <c r="B3311" s="207"/>
      <c r="N3311" s="4"/>
      <c r="O3311" s="256"/>
    </row>
    <row r="3312" spans="1:15">
      <c r="A3312" s="207"/>
      <c r="B3312" s="207"/>
      <c r="N3312" s="4"/>
      <c r="O3312" s="256"/>
    </row>
    <row r="3313" spans="1:15">
      <c r="A3313" s="207"/>
      <c r="B3313" s="207"/>
      <c r="N3313" s="4"/>
      <c r="O3313" s="256"/>
    </row>
    <row r="3314" spans="1:15">
      <c r="A3314" s="207"/>
      <c r="B3314" s="207"/>
      <c r="N3314" s="4"/>
      <c r="O3314" s="256"/>
    </row>
    <row r="3315" spans="1:15">
      <c r="A3315" s="207"/>
      <c r="B3315" s="207"/>
      <c r="N3315" s="4"/>
      <c r="O3315" s="256"/>
    </row>
    <row r="3316" spans="1:15">
      <c r="A3316" s="207"/>
      <c r="B3316" s="207"/>
      <c r="N3316" s="4"/>
      <c r="O3316" s="256"/>
    </row>
    <row r="3317" spans="1:15">
      <c r="A3317" s="207"/>
      <c r="B3317" s="207"/>
      <c r="N3317" s="4"/>
      <c r="O3317" s="256"/>
    </row>
    <row r="3318" spans="1:15">
      <c r="A3318" s="207"/>
      <c r="B3318" s="207"/>
      <c r="N3318" s="4"/>
      <c r="O3318" s="256"/>
    </row>
    <row r="3319" spans="1:15">
      <c r="A3319" s="207"/>
      <c r="B3319" s="207"/>
      <c r="N3319" s="4"/>
      <c r="O3319" s="256"/>
    </row>
    <row r="3320" spans="1:15">
      <c r="A3320" s="207"/>
      <c r="B3320" s="207"/>
      <c r="N3320" s="4"/>
      <c r="O3320" s="256"/>
    </row>
    <row r="3321" spans="1:15">
      <c r="A3321" s="207"/>
      <c r="B3321" s="207"/>
      <c r="N3321" s="4"/>
      <c r="O3321" s="256"/>
    </row>
    <row r="3322" spans="1:15">
      <c r="A3322" s="207"/>
      <c r="B3322" s="207"/>
      <c r="N3322" s="4"/>
      <c r="O3322" s="256"/>
    </row>
    <row r="3323" spans="1:15">
      <c r="A3323" s="207"/>
      <c r="B3323" s="207"/>
      <c r="N3323" s="4"/>
      <c r="O3323" s="256"/>
    </row>
    <row r="3324" spans="1:15">
      <c r="A3324" s="207"/>
      <c r="B3324" s="207"/>
      <c r="N3324" s="4"/>
      <c r="O3324" s="256"/>
    </row>
    <row r="3325" spans="1:15">
      <c r="A3325" s="207"/>
      <c r="B3325" s="207"/>
      <c r="N3325" s="4"/>
      <c r="O3325" s="256"/>
    </row>
    <row r="3326" spans="1:15">
      <c r="A3326" s="207"/>
      <c r="B3326" s="207"/>
      <c r="N3326" s="4"/>
      <c r="O3326" s="256"/>
    </row>
    <row r="3327" spans="1:15">
      <c r="A3327" s="207"/>
      <c r="B3327" s="207"/>
      <c r="N3327" s="4"/>
      <c r="O3327" s="256"/>
    </row>
    <row r="3328" spans="1:15">
      <c r="A3328" s="207"/>
      <c r="B3328" s="207"/>
      <c r="N3328" s="4"/>
      <c r="O3328" s="256"/>
    </row>
    <row r="3329" spans="1:15">
      <c r="A3329" s="207"/>
      <c r="B3329" s="207"/>
      <c r="N3329" s="4"/>
      <c r="O3329" s="256"/>
    </row>
    <row r="3330" spans="1:15">
      <c r="A3330" s="207"/>
      <c r="B3330" s="207"/>
      <c r="N3330" s="4"/>
      <c r="O3330" s="256"/>
    </row>
    <row r="3331" spans="1:15">
      <c r="A3331" s="207"/>
      <c r="B3331" s="207"/>
      <c r="N3331" s="4"/>
      <c r="O3331" s="256"/>
    </row>
    <row r="3332" spans="1:15">
      <c r="A3332" s="207"/>
      <c r="B3332" s="207"/>
      <c r="N3332" s="4"/>
      <c r="O3332" s="256"/>
    </row>
    <row r="3333" spans="1:15">
      <c r="A3333" s="207"/>
      <c r="B3333" s="207"/>
      <c r="N3333" s="4"/>
      <c r="O3333" s="256"/>
    </row>
    <row r="3334" spans="1:15">
      <c r="A3334" s="207"/>
      <c r="B3334" s="207"/>
      <c r="N3334" s="4"/>
      <c r="O3334" s="256"/>
    </row>
    <row r="3335" spans="1:15">
      <c r="A3335" s="207"/>
      <c r="B3335" s="207"/>
      <c r="N3335" s="4"/>
      <c r="O3335" s="256"/>
    </row>
    <row r="3336" spans="1:15">
      <c r="A3336" s="207"/>
      <c r="B3336" s="207"/>
      <c r="N3336" s="4"/>
      <c r="O3336" s="256"/>
    </row>
    <row r="3337" spans="1:15">
      <c r="A3337" s="207"/>
      <c r="B3337" s="207"/>
      <c r="N3337" s="4"/>
      <c r="O3337" s="256"/>
    </row>
    <row r="3338" spans="1:15">
      <c r="A3338" s="207"/>
      <c r="B3338" s="207"/>
      <c r="N3338" s="4"/>
      <c r="O3338" s="256"/>
    </row>
    <row r="3339" spans="1:15">
      <c r="A3339" s="207"/>
      <c r="B3339" s="207"/>
      <c r="N3339" s="4"/>
      <c r="O3339" s="256"/>
    </row>
    <row r="3340" spans="1:15">
      <c r="A3340" s="207"/>
      <c r="B3340" s="207"/>
      <c r="N3340" s="4"/>
      <c r="O3340" s="256"/>
    </row>
    <row r="3341" spans="1:15">
      <c r="A3341" s="207"/>
      <c r="B3341" s="207"/>
      <c r="N3341" s="4"/>
      <c r="O3341" s="256"/>
    </row>
    <row r="3342" spans="1:15">
      <c r="A3342" s="207"/>
      <c r="B3342" s="207"/>
      <c r="N3342" s="4"/>
      <c r="O3342" s="256"/>
    </row>
    <row r="3343" spans="1:15">
      <c r="A3343" s="207"/>
      <c r="B3343" s="207"/>
      <c r="N3343" s="4"/>
      <c r="O3343" s="256"/>
    </row>
    <row r="3344" spans="1:15">
      <c r="A3344" s="207"/>
      <c r="B3344" s="207"/>
      <c r="N3344" s="4"/>
      <c r="O3344" s="256"/>
    </row>
    <row r="3345" spans="1:15">
      <c r="A3345" s="207"/>
      <c r="B3345" s="207"/>
      <c r="N3345" s="4"/>
      <c r="O3345" s="256"/>
    </row>
    <row r="3346" spans="1:15">
      <c r="A3346" s="207"/>
      <c r="B3346" s="207"/>
      <c r="N3346" s="4"/>
      <c r="O3346" s="256"/>
    </row>
    <row r="3347" spans="1:15">
      <c r="A3347" s="207"/>
      <c r="B3347" s="207"/>
      <c r="N3347" s="4"/>
      <c r="O3347" s="256"/>
    </row>
    <row r="3348" spans="1:15">
      <c r="A3348" s="207"/>
      <c r="B3348" s="207"/>
      <c r="N3348" s="4"/>
      <c r="O3348" s="256"/>
    </row>
    <row r="3349" spans="1:15">
      <c r="A3349" s="207"/>
      <c r="B3349" s="207"/>
      <c r="N3349" s="4"/>
      <c r="O3349" s="256"/>
    </row>
    <row r="3350" spans="1:15">
      <c r="A3350" s="207"/>
      <c r="B3350" s="207"/>
      <c r="N3350" s="4"/>
      <c r="O3350" s="256"/>
    </row>
    <row r="3351" spans="1:15">
      <c r="A3351" s="207"/>
      <c r="B3351" s="207"/>
      <c r="N3351" s="4"/>
      <c r="O3351" s="256"/>
    </row>
    <row r="3352" spans="1:15">
      <c r="A3352" s="207"/>
      <c r="B3352" s="207"/>
      <c r="N3352" s="4"/>
      <c r="O3352" s="256"/>
    </row>
    <row r="3353" spans="1:15">
      <c r="A3353" s="207"/>
      <c r="B3353" s="207"/>
      <c r="N3353" s="4"/>
      <c r="O3353" s="256"/>
    </row>
    <row r="3354" spans="1:15">
      <c r="A3354" s="207"/>
      <c r="B3354" s="207"/>
      <c r="N3354" s="4"/>
      <c r="O3354" s="256"/>
    </row>
    <row r="3355" spans="1:15">
      <c r="A3355" s="207"/>
      <c r="B3355" s="207"/>
      <c r="N3355" s="4"/>
      <c r="O3355" s="256"/>
    </row>
    <row r="3356" spans="1:15">
      <c r="A3356" s="207"/>
      <c r="B3356" s="207"/>
      <c r="N3356" s="4"/>
      <c r="O3356" s="256"/>
    </row>
    <row r="3357" spans="1:15">
      <c r="A3357" s="207"/>
      <c r="B3357" s="207"/>
      <c r="N3357" s="4"/>
      <c r="O3357" s="256"/>
    </row>
    <row r="3358" spans="1:15">
      <c r="A3358" s="207"/>
      <c r="B3358" s="207"/>
      <c r="N3358" s="4"/>
      <c r="O3358" s="256"/>
    </row>
    <row r="3359" spans="1:15">
      <c r="A3359" s="207"/>
      <c r="B3359" s="207"/>
      <c r="N3359" s="4"/>
      <c r="O3359" s="256"/>
    </row>
    <row r="3360" spans="1:15">
      <c r="A3360" s="207"/>
      <c r="B3360" s="207"/>
      <c r="N3360" s="4"/>
      <c r="O3360" s="256"/>
    </row>
    <row r="3361" spans="1:15">
      <c r="A3361" s="207"/>
      <c r="B3361" s="207"/>
      <c r="N3361" s="4"/>
      <c r="O3361" s="256"/>
    </row>
    <row r="3362" spans="1:15">
      <c r="A3362" s="207"/>
      <c r="B3362" s="207"/>
      <c r="N3362" s="4"/>
      <c r="O3362" s="256"/>
    </row>
    <row r="3363" spans="1:15">
      <c r="A3363" s="207"/>
      <c r="B3363" s="207"/>
      <c r="N3363" s="4"/>
      <c r="O3363" s="256"/>
    </row>
    <row r="3364" spans="1:15">
      <c r="A3364" s="207"/>
      <c r="B3364" s="207"/>
      <c r="N3364" s="4"/>
      <c r="O3364" s="256"/>
    </row>
    <row r="3365" spans="1:15">
      <c r="A3365" s="207"/>
      <c r="B3365" s="207"/>
      <c r="N3365" s="4"/>
      <c r="O3365" s="256"/>
    </row>
    <row r="3366" spans="1:15">
      <c r="A3366" s="207"/>
      <c r="B3366" s="207"/>
      <c r="N3366" s="4"/>
      <c r="O3366" s="256"/>
    </row>
    <row r="3367" spans="1:15">
      <c r="A3367" s="207"/>
      <c r="B3367" s="207"/>
      <c r="N3367" s="4"/>
      <c r="O3367" s="256"/>
    </row>
    <row r="3368" spans="1:15">
      <c r="A3368" s="207"/>
      <c r="B3368" s="207"/>
      <c r="N3368" s="4"/>
      <c r="O3368" s="256"/>
    </row>
    <row r="3369" spans="1:15">
      <c r="A3369" s="207"/>
      <c r="B3369" s="207"/>
      <c r="N3369" s="4"/>
      <c r="O3369" s="256"/>
    </row>
    <row r="3370" spans="1:15">
      <c r="A3370" s="207"/>
      <c r="B3370" s="207"/>
      <c r="N3370" s="4"/>
      <c r="O3370" s="256"/>
    </row>
    <row r="3371" spans="1:15">
      <c r="A3371" s="207"/>
      <c r="B3371" s="207"/>
      <c r="N3371" s="4"/>
      <c r="O3371" s="256"/>
    </row>
    <row r="3372" spans="1:15">
      <c r="A3372" s="207"/>
      <c r="B3372" s="207"/>
      <c r="N3372" s="4"/>
      <c r="O3372" s="256"/>
    </row>
    <row r="3373" spans="1:15">
      <c r="A3373" s="207"/>
      <c r="B3373" s="207"/>
      <c r="N3373" s="4"/>
      <c r="O3373" s="256"/>
    </row>
    <row r="3374" spans="1:15">
      <c r="A3374" s="207"/>
      <c r="B3374" s="207"/>
      <c r="N3374" s="4"/>
      <c r="O3374" s="256"/>
    </row>
    <row r="3375" spans="1:15">
      <c r="A3375" s="207"/>
      <c r="B3375" s="207"/>
      <c r="N3375" s="4"/>
      <c r="O3375" s="256"/>
    </row>
    <row r="3376" spans="1:15">
      <c r="A3376" s="207"/>
      <c r="B3376" s="207"/>
      <c r="N3376" s="4"/>
      <c r="O3376" s="256"/>
    </row>
    <row r="3377" spans="1:15">
      <c r="A3377" s="207"/>
      <c r="B3377" s="207"/>
      <c r="N3377" s="4"/>
      <c r="O3377" s="256"/>
    </row>
    <row r="3378" spans="1:15">
      <c r="A3378" s="207"/>
      <c r="B3378" s="207"/>
      <c r="N3378" s="4"/>
      <c r="O3378" s="256"/>
    </row>
    <row r="3379" spans="1:15">
      <c r="A3379" s="207"/>
      <c r="B3379" s="207"/>
      <c r="N3379" s="4"/>
      <c r="O3379" s="256"/>
    </row>
    <row r="3380" spans="1:15">
      <c r="A3380" s="207"/>
      <c r="B3380" s="207"/>
      <c r="N3380" s="4"/>
      <c r="O3380" s="256"/>
    </row>
    <row r="3381" spans="1:15">
      <c r="A3381" s="207"/>
      <c r="B3381" s="207"/>
      <c r="N3381" s="4"/>
      <c r="O3381" s="256"/>
    </row>
    <row r="3382" spans="1:15">
      <c r="A3382" s="207"/>
      <c r="B3382" s="207"/>
      <c r="N3382" s="4"/>
      <c r="O3382" s="256"/>
    </row>
    <row r="3383" spans="1:15">
      <c r="A3383" s="207"/>
      <c r="B3383" s="207"/>
      <c r="N3383" s="4"/>
      <c r="O3383" s="256"/>
    </row>
    <row r="3384" spans="1:15">
      <c r="A3384" s="207"/>
      <c r="B3384" s="207"/>
      <c r="N3384" s="4"/>
      <c r="O3384" s="256"/>
    </row>
    <row r="3385" spans="1:15">
      <c r="A3385" s="207"/>
      <c r="B3385" s="207"/>
      <c r="N3385" s="4"/>
      <c r="O3385" s="256"/>
    </row>
    <row r="3386" spans="1:15">
      <c r="A3386" s="207"/>
      <c r="B3386" s="207"/>
      <c r="N3386" s="4"/>
      <c r="O3386" s="256"/>
    </row>
    <row r="3387" spans="1:15">
      <c r="A3387" s="207"/>
      <c r="B3387" s="207"/>
      <c r="N3387" s="4"/>
      <c r="O3387" s="256"/>
    </row>
    <row r="3388" spans="1:15">
      <c r="A3388" s="207"/>
      <c r="B3388" s="207"/>
      <c r="N3388" s="4"/>
      <c r="O3388" s="256"/>
    </row>
    <row r="3389" spans="1:15">
      <c r="A3389" s="207"/>
      <c r="B3389" s="207"/>
      <c r="N3389" s="4"/>
      <c r="O3389" s="256"/>
    </row>
    <row r="3390" spans="1:15">
      <c r="A3390" s="207"/>
      <c r="B3390" s="207"/>
      <c r="N3390" s="4"/>
      <c r="O3390" s="256"/>
    </row>
    <row r="3391" spans="1:15">
      <c r="A3391" s="207"/>
      <c r="B3391" s="207"/>
      <c r="N3391" s="4"/>
      <c r="O3391" s="256"/>
    </row>
    <row r="3392" spans="1:15">
      <c r="A3392" s="207"/>
      <c r="B3392" s="207"/>
      <c r="N3392" s="4"/>
      <c r="O3392" s="256"/>
    </row>
    <row r="3393" spans="1:15">
      <c r="A3393" s="207"/>
      <c r="B3393" s="207"/>
      <c r="N3393" s="4"/>
      <c r="O3393" s="256"/>
    </row>
    <row r="3394" spans="1:15">
      <c r="A3394" s="207"/>
      <c r="B3394" s="207"/>
      <c r="N3394" s="4"/>
      <c r="O3394" s="256"/>
    </row>
    <row r="3395" spans="1:15">
      <c r="A3395" s="207"/>
      <c r="B3395" s="207"/>
      <c r="N3395" s="4"/>
      <c r="O3395" s="256"/>
    </row>
    <row r="3396" spans="1:15">
      <c r="A3396" s="207"/>
      <c r="B3396" s="207"/>
      <c r="N3396" s="4"/>
      <c r="O3396" s="256"/>
    </row>
    <row r="3397" spans="1:15">
      <c r="A3397" s="207"/>
      <c r="B3397" s="207"/>
      <c r="N3397" s="4"/>
      <c r="O3397" s="256"/>
    </row>
    <row r="3398" spans="1:15">
      <c r="A3398" s="207"/>
      <c r="B3398" s="207"/>
      <c r="N3398" s="4"/>
      <c r="O3398" s="256"/>
    </row>
    <row r="3399" spans="1:15">
      <c r="A3399" s="207"/>
      <c r="B3399" s="207"/>
      <c r="N3399" s="4"/>
      <c r="O3399" s="256"/>
    </row>
    <row r="3400" spans="1:15">
      <c r="A3400" s="207"/>
      <c r="B3400" s="207"/>
      <c r="N3400" s="4"/>
      <c r="O3400" s="256"/>
    </row>
    <row r="3401" spans="1:15">
      <c r="A3401" s="207"/>
      <c r="B3401" s="207"/>
      <c r="N3401" s="4"/>
      <c r="O3401" s="256"/>
    </row>
    <row r="3402" spans="1:15">
      <c r="A3402" s="207"/>
      <c r="B3402" s="207"/>
      <c r="N3402" s="4"/>
      <c r="O3402" s="256"/>
    </row>
    <row r="3403" spans="1:15">
      <c r="A3403" s="207"/>
      <c r="B3403" s="207"/>
      <c r="N3403" s="4"/>
      <c r="O3403" s="256"/>
    </row>
    <row r="3404" spans="1:15">
      <c r="A3404" s="207"/>
      <c r="B3404" s="207"/>
      <c r="N3404" s="4"/>
      <c r="O3404" s="256"/>
    </row>
    <row r="3405" spans="1:15">
      <c r="A3405" s="207"/>
      <c r="B3405" s="207"/>
      <c r="N3405" s="4"/>
      <c r="O3405" s="256"/>
    </row>
    <row r="3406" spans="1:15">
      <c r="A3406" s="207"/>
      <c r="B3406" s="207"/>
      <c r="N3406" s="4"/>
      <c r="O3406" s="256"/>
    </row>
    <row r="3407" spans="1:15">
      <c r="A3407" s="207"/>
      <c r="B3407" s="207"/>
      <c r="N3407" s="4"/>
      <c r="O3407" s="256"/>
    </row>
    <row r="3408" spans="1:15">
      <c r="A3408" s="207"/>
      <c r="B3408" s="207"/>
      <c r="N3408" s="4"/>
      <c r="O3408" s="256"/>
    </row>
    <row r="3409" spans="1:15">
      <c r="A3409" s="207"/>
      <c r="B3409" s="207"/>
      <c r="N3409" s="4"/>
      <c r="O3409" s="256"/>
    </row>
    <row r="3410" spans="1:15">
      <c r="A3410" s="207"/>
      <c r="B3410" s="207"/>
      <c r="N3410" s="4"/>
      <c r="O3410" s="256"/>
    </row>
    <row r="3411" spans="1:15">
      <c r="A3411" s="207"/>
      <c r="B3411" s="207"/>
      <c r="N3411" s="4"/>
      <c r="O3411" s="256"/>
    </row>
    <row r="3412" spans="1:15">
      <c r="A3412" s="207"/>
      <c r="B3412" s="207"/>
      <c r="N3412" s="4"/>
      <c r="O3412" s="256"/>
    </row>
    <row r="3413" spans="1:15">
      <c r="A3413" s="207"/>
      <c r="B3413" s="207"/>
      <c r="N3413" s="4"/>
      <c r="O3413" s="256"/>
    </row>
    <row r="3414" spans="1:15">
      <c r="A3414" s="207"/>
      <c r="B3414" s="207"/>
      <c r="N3414" s="4"/>
      <c r="O3414" s="256"/>
    </row>
    <row r="3415" spans="1:15">
      <c r="A3415" s="207"/>
      <c r="B3415" s="207"/>
      <c r="N3415" s="4"/>
      <c r="O3415" s="256"/>
    </row>
    <row r="3416" spans="1:15">
      <c r="A3416" s="207"/>
      <c r="B3416" s="207"/>
      <c r="N3416" s="4"/>
      <c r="O3416" s="256"/>
    </row>
    <row r="3417" spans="1:15">
      <c r="A3417" s="207"/>
      <c r="B3417" s="207"/>
      <c r="N3417" s="4"/>
      <c r="O3417" s="256"/>
    </row>
    <row r="3418" spans="1:15">
      <c r="A3418" s="207"/>
      <c r="B3418" s="207"/>
      <c r="N3418" s="4"/>
      <c r="O3418" s="256"/>
    </row>
    <row r="3419" spans="1:15">
      <c r="A3419" s="207"/>
      <c r="B3419" s="207"/>
      <c r="N3419" s="4"/>
      <c r="O3419" s="256"/>
    </row>
    <row r="3420" spans="1:15">
      <c r="A3420" s="207"/>
      <c r="B3420" s="207"/>
      <c r="N3420" s="4"/>
      <c r="O3420" s="256"/>
    </row>
    <row r="3421" spans="1:15">
      <c r="A3421" s="207"/>
      <c r="B3421" s="207"/>
      <c r="N3421" s="4"/>
      <c r="O3421" s="256"/>
    </row>
    <row r="3422" spans="1:15">
      <c r="A3422" s="207"/>
      <c r="B3422" s="207"/>
      <c r="N3422" s="4"/>
      <c r="O3422" s="256"/>
    </row>
    <row r="3423" spans="1:15">
      <c r="A3423" s="207"/>
      <c r="B3423" s="207"/>
      <c r="N3423" s="4"/>
      <c r="O3423" s="256"/>
    </row>
    <row r="3424" spans="1:15">
      <c r="A3424" s="207"/>
      <c r="B3424" s="207"/>
      <c r="N3424" s="4"/>
      <c r="O3424" s="256"/>
    </row>
    <row r="3425" spans="1:15">
      <c r="A3425" s="207"/>
      <c r="B3425" s="207"/>
      <c r="N3425" s="4"/>
      <c r="O3425" s="256"/>
    </row>
    <row r="3426" spans="1:15">
      <c r="A3426" s="207"/>
      <c r="B3426" s="207"/>
      <c r="N3426" s="4"/>
      <c r="O3426" s="256"/>
    </row>
    <row r="3427" spans="1:15">
      <c r="A3427" s="207"/>
      <c r="B3427" s="207"/>
      <c r="N3427" s="4"/>
      <c r="O3427" s="256"/>
    </row>
    <row r="3428" spans="1:15">
      <c r="A3428" s="207"/>
      <c r="B3428" s="207"/>
      <c r="N3428" s="4"/>
      <c r="O3428" s="256"/>
    </row>
    <row r="3429" spans="1:15">
      <c r="A3429" s="207"/>
      <c r="B3429" s="207"/>
      <c r="N3429" s="4"/>
      <c r="O3429" s="256"/>
    </row>
    <row r="3430" spans="1:15">
      <c r="A3430" s="207"/>
      <c r="B3430" s="207"/>
      <c r="N3430" s="4"/>
      <c r="O3430" s="256"/>
    </row>
    <row r="3431" spans="1:15">
      <c r="A3431" s="207"/>
      <c r="B3431" s="207"/>
      <c r="N3431" s="4"/>
      <c r="O3431" s="256"/>
    </row>
    <row r="3432" spans="1:15">
      <c r="A3432" s="207"/>
      <c r="B3432" s="207"/>
      <c r="N3432" s="4"/>
      <c r="O3432" s="256"/>
    </row>
    <row r="3433" spans="1:15">
      <c r="A3433" s="207"/>
      <c r="B3433" s="207"/>
      <c r="N3433" s="4"/>
      <c r="O3433" s="256"/>
    </row>
    <row r="3434" spans="1:15">
      <c r="A3434" s="207"/>
      <c r="B3434" s="207"/>
      <c r="N3434" s="4"/>
      <c r="O3434" s="256"/>
    </row>
    <row r="3435" spans="1:15">
      <c r="A3435" s="207"/>
      <c r="B3435" s="207"/>
      <c r="N3435" s="4"/>
      <c r="O3435" s="256"/>
    </row>
    <row r="3436" spans="1:15">
      <c r="A3436" s="207"/>
      <c r="B3436" s="207"/>
      <c r="N3436" s="4"/>
      <c r="O3436" s="256"/>
    </row>
    <row r="3437" spans="1:15">
      <c r="A3437" s="207"/>
      <c r="B3437" s="207"/>
      <c r="N3437" s="4"/>
      <c r="O3437" s="256"/>
    </row>
    <row r="3438" spans="1:15">
      <c r="A3438" s="207"/>
      <c r="B3438" s="207"/>
      <c r="N3438" s="4"/>
      <c r="O3438" s="256"/>
    </row>
    <row r="3439" spans="1:15">
      <c r="A3439" s="207"/>
      <c r="B3439" s="207"/>
      <c r="N3439" s="4"/>
      <c r="O3439" s="256"/>
    </row>
    <row r="3440" spans="1:15">
      <c r="A3440" s="207"/>
      <c r="B3440" s="207"/>
      <c r="N3440" s="4"/>
      <c r="O3440" s="256"/>
    </row>
    <row r="3441" spans="1:15">
      <c r="A3441" s="207"/>
      <c r="B3441" s="207"/>
      <c r="N3441" s="4"/>
      <c r="O3441" s="256"/>
    </row>
    <row r="3442" spans="1:15">
      <c r="A3442" s="207"/>
      <c r="B3442" s="207"/>
      <c r="N3442" s="4"/>
      <c r="O3442" s="256"/>
    </row>
    <row r="3443" spans="1:15">
      <c r="A3443" s="207"/>
      <c r="B3443" s="207"/>
      <c r="N3443" s="4"/>
      <c r="O3443" s="256"/>
    </row>
    <row r="3444" spans="1:15">
      <c r="A3444" s="207"/>
      <c r="B3444" s="207"/>
      <c r="N3444" s="4"/>
      <c r="O3444" s="256"/>
    </row>
    <row r="3445" spans="1:15">
      <c r="A3445" s="207"/>
      <c r="B3445" s="207"/>
      <c r="N3445" s="4"/>
      <c r="O3445" s="256"/>
    </row>
    <row r="3446" spans="1:15">
      <c r="A3446" s="207"/>
      <c r="B3446" s="207"/>
      <c r="N3446" s="4"/>
      <c r="O3446" s="256"/>
    </row>
    <row r="3447" spans="1:15">
      <c r="A3447" s="207"/>
      <c r="B3447" s="207"/>
      <c r="N3447" s="4"/>
      <c r="O3447" s="256"/>
    </row>
    <row r="3448" spans="1:15">
      <c r="A3448" s="207"/>
      <c r="B3448" s="207"/>
      <c r="N3448" s="4"/>
      <c r="O3448" s="256"/>
    </row>
    <row r="3449" spans="1:15">
      <c r="A3449" s="207"/>
      <c r="B3449" s="207"/>
      <c r="N3449" s="4"/>
      <c r="O3449" s="256"/>
    </row>
    <row r="3450" spans="1:15">
      <c r="A3450" s="207"/>
      <c r="B3450" s="207"/>
      <c r="N3450" s="4"/>
      <c r="O3450" s="256"/>
    </row>
    <row r="3451" spans="1:15">
      <c r="A3451" s="207"/>
      <c r="B3451" s="207"/>
      <c r="N3451" s="4"/>
      <c r="O3451" s="256"/>
    </row>
    <row r="3452" spans="1:15">
      <c r="A3452" s="207"/>
      <c r="B3452" s="207"/>
      <c r="N3452" s="4"/>
      <c r="O3452" s="256"/>
    </row>
    <row r="3453" spans="1:15">
      <c r="A3453" s="207"/>
      <c r="B3453" s="207"/>
      <c r="N3453" s="4"/>
      <c r="O3453" s="256"/>
    </row>
    <row r="3454" spans="1:15">
      <c r="A3454" s="207"/>
      <c r="B3454" s="207"/>
      <c r="N3454" s="4"/>
      <c r="O3454" s="256"/>
    </row>
    <row r="3455" spans="1:15">
      <c r="A3455" s="207"/>
      <c r="B3455" s="207"/>
      <c r="N3455" s="4"/>
      <c r="O3455" s="256"/>
    </row>
    <row r="3456" spans="1:15">
      <c r="A3456" s="207"/>
      <c r="B3456" s="207"/>
      <c r="N3456" s="4"/>
      <c r="O3456" s="256"/>
    </row>
    <row r="3457" spans="1:15">
      <c r="A3457" s="207"/>
      <c r="B3457" s="207"/>
      <c r="N3457" s="4"/>
      <c r="O3457" s="256"/>
    </row>
    <row r="3458" spans="1:15">
      <c r="A3458" s="207"/>
      <c r="B3458" s="207"/>
      <c r="N3458" s="4"/>
      <c r="O3458" s="256"/>
    </row>
    <row r="3459" spans="1:15">
      <c r="A3459" s="207"/>
      <c r="B3459" s="207"/>
      <c r="N3459" s="4"/>
      <c r="O3459" s="256"/>
    </row>
    <row r="3460" spans="1:15">
      <c r="A3460" s="207"/>
      <c r="B3460" s="207"/>
      <c r="N3460" s="4"/>
      <c r="O3460" s="256"/>
    </row>
    <row r="3461" spans="1:15">
      <c r="A3461" s="207"/>
      <c r="B3461" s="207"/>
      <c r="N3461" s="4"/>
      <c r="O3461" s="256"/>
    </row>
    <row r="3462" spans="1:15">
      <c r="A3462" s="207"/>
      <c r="B3462" s="207"/>
      <c r="N3462" s="4"/>
      <c r="O3462" s="256"/>
    </row>
    <row r="3463" spans="1:15">
      <c r="A3463" s="207"/>
      <c r="B3463" s="207"/>
      <c r="N3463" s="4"/>
      <c r="O3463" s="256"/>
    </row>
    <row r="3464" spans="1:15">
      <c r="A3464" s="207"/>
      <c r="B3464" s="207"/>
      <c r="N3464" s="4"/>
      <c r="O3464" s="256"/>
    </row>
    <row r="3465" spans="1:15">
      <c r="A3465" s="207"/>
      <c r="B3465" s="207"/>
      <c r="N3465" s="4"/>
      <c r="O3465" s="256"/>
    </row>
    <row r="3466" spans="1:15">
      <c r="A3466" s="207"/>
      <c r="B3466" s="207"/>
      <c r="N3466" s="4"/>
      <c r="O3466" s="256"/>
    </row>
    <row r="3467" spans="1:15">
      <c r="A3467" s="207"/>
      <c r="B3467" s="207"/>
      <c r="N3467" s="4"/>
      <c r="O3467" s="256"/>
    </row>
    <row r="3468" spans="1:15">
      <c r="A3468" s="207"/>
      <c r="B3468" s="207"/>
      <c r="N3468" s="4"/>
      <c r="O3468" s="256"/>
    </row>
    <row r="3469" spans="1:15">
      <c r="A3469" s="207"/>
      <c r="B3469" s="207"/>
      <c r="N3469" s="4"/>
      <c r="O3469" s="256"/>
    </row>
    <row r="3470" spans="1:15">
      <c r="A3470" s="207"/>
      <c r="B3470" s="207"/>
      <c r="N3470" s="4"/>
      <c r="O3470" s="256"/>
    </row>
    <row r="3471" spans="1:15">
      <c r="A3471" s="207"/>
      <c r="B3471" s="207"/>
      <c r="N3471" s="4"/>
      <c r="O3471" s="256"/>
    </row>
    <row r="3472" spans="1:15">
      <c r="A3472" s="207"/>
      <c r="B3472" s="207"/>
      <c r="N3472" s="4"/>
      <c r="O3472" s="256"/>
    </row>
    <row r="3473" spans="1:15">
      <c r="A3473" s="207"/>
      <c r="B3473" s="207"/>
      <c r="N3473" s="4"/>
      <c r="O3473" s="256"/>
    </row>
    <row r="3474" spans="1:15">
      <c r="A3474" s="207"/>
      <c r="B3474" s="207"/>
      <c r="N3474" s="4"/>
      <c r="O3474" s="256"/>
    </row>
    <row r="3475" spans="1:15">
      <c r="A3475" s="207"/>
      <c r="B3475" s="207"/>
      <c r="N3475" s="4"/>
      <c r="O3475" s="256"/>
    </row>
    <row r="3476" spans="1:15">
      <c r="A3476" s="207"/>
      <c r="B3476" s="207"/>
      <c r="N3476" s="4"/>
      <c r="O3476" s="256"/>
    </row>
    <row r="3477" spans="1:15">
      <c r="A3477" s="207"/>
      <c r="B3477" s="207"/>
      <c r="N3477" s="4"/>
      <c r="O3477" s="256"/>
    </row>
    <row r="3478" spans="1:15">
      <c r="A3478" s="207"/>
      <c r="B3478" s="207"/>
      <c r="N3478" s="4"/>
      <c r="O3478" s="256"/>
    </row>
    <row r="3479" spans="1:15">
      <c r="A3479" s="207"/>
      <c r="B3479" s="207"/>
      <c r="N3479" s="4"/>
      <c r="O3479" s="256"/>
    </row>
    <row r="3480" spans="1:15">
      <c r="A3480" s="207"/>
      <c r="B3480" s="207"/>
      <c r="N3480" s="4"/>
      <c r="O3480" s="256"/>
    </row>
    <row r="3481" spans="1:15">
      <c r="A3481" s="207"/>
      <c r="B3481" s="207"/>
      <c r="N3481" s="4"/>
      <c r="O3481" s="256"/>
    </row>
    <row r="3482" spans="1:15">
      <c r="A3482" s="207"/>
      <c r="B3482" s="207"/>
      <c r="N3482" s="4"/>
      <c r="O3482" s="256"/>
    </row>
    <row r="3483" spans="1:15">
      <c r="A3483" s="207"/>
      <c r="B3483" s="207"/>
      <c r="N3483" s="4"/>
      <c r="O3483" s="256"/>
    </row>
    <row r="3484" spans="1:15">
      <c r="A3484" s="207"/>
      <c r="B3484" s="207"/>
      <c r="N3484" s="4"/>
      <c r="O3484" s="256"/>
    </row>
    <row r="3485" spans="1:15">
      <c r="A3485" s="207"/>
      <c r="B3485" s="207"/>
      <c r="N3485" s="4"/>
      <c r="O3485" s="256"/>
    </row>
    <row r="3486" spans="1:15">
      <c r="A3486" s="207"/>
      <c r="B3486" s="207"/>
      <c r="N3486" s="4"/>
      <c r="O3486" s="256"/>
    </row>
    <row r="3487" spans="1:15">
      <c r="A3487" s="207"/>
      <c r="B3487" s="207"/>
      <c r="N3487" s="4"/>
      <c r="O3487" s="256"/>
    </row>
    <row r="3488" spans="1:15">
      <c r="A3488" s="207"/>
      <c r="B3488" s="207"/>
      <c r="N3488" s="4"/>
      <c r="O3488" s="256"/>
    </row>
    <row r="3489" spans="1:15">
      <c r="A3489" s="207"/>
      <c r="B3489" s="207"/>
      <c r="N3489" s="4"/>
      <c r="O3489" s="256"/>
    </row>
    <row r="3490" spans="1:15">
      <c r="A3490" s="207"/>
      <c r="B3490" s="207"/>
      <c r="N3490" s="4"/>
      <c r="O3490" s="256"/>
    </row>
    <row r="3491" spans="1:15">
      <c r="A3491" s="207"/>
      <c r="B3491" s="207"/>
      <c r="N3491" s="4"/>
      <c r="O3491" s="256"/>
    </row>
    <row r="3492" spans="1:15">
      <c r="A3492" s="207"/>
      <c r="B3492" s="207"/>
      <c r="N3492" s="4"/>
      <c r="O3492" s="256"/>
    </row>
    <row r="3493" spans="1:15">
      <c r="A3493" s="207"/>
      <c r="B3493" s="207"/>
      <c r="N3493" s="4"/>
      <c r="O3493" s="256"/>
    </row>
    <row r="3494" spans="1:15">
      <c r="A3494" s="207"/>
      <c r="B3494" s="207"/>
      <c r="N3494" s="4"/>
      <c r="O3494" s="256"/>
    </row>
    <row r="3495" spans="1:15">
      <c r="A3495" s="207"/>
      <c r="B3495" s="207"/>
      <c r="N3495" s="4"/>
      <c r="O3495" s="256"/>
    </row>
    <row r="3496" spans="1:15">
      <c r="A3496" s="207"/>
      <c r="B3496" s="207"/>
      <c r="N3496" s="4"/>
      <c r="O3496" s="256"/>
    </row>
    <row r="3497" spans="1:15">
      <c r="A3497" s="207"/>
      <c r="B3497" s="207"/>
      <c r="N3497" s="4"/>
      <c r="O3497" s="256"/>
    </row>
    <row r="3498" spans="1:15">
      <c r="A3498" s="207"/>
      <c r="B3498" s="207"/>
      <c r="N3498" s="4"/>
      <c r="O3498" s="256"/>
    </row>
    <row r="3499" spans="1:15">
      <c r="A3499" s="207"/>
      <c r="B3499" s="207"/>
      <c r="N3499" s="4"/>
      <c r="O3499" s="256"/>
    </row>
    <row r="3500" spans="1:15">
      <c r="A3500" s="207"/>
      <c r="B3500" s="207"/>
      <c r="N3500" s="4"/>
      <c r="O3500" s="256"/>
    </row>
    <row r="3501" spans="1:15">
      <c r="A3501" s="207"/>
      <c r="B3501" s="207"/>
      <c r="N3501" s="4"/>
      <c r="O3501" s="256"/>
    </row>
    <row r="3502" spans="1:15">
      <c r="A3502" s="207"/>
      <c r="B3502" s="207"/>
      <c r="N3502" s="4"/>
      <c r="O3502" s="256"/>
    </row>
    <row r="3503" spans="1:15">
      <c r="A3503" s="207"/>
      <c r="B3503" s="207"/>
      <c r="N3503" s="4"/>
      <c r="O3503" s="256"/>
    </row>
    <row r="3504" spans="1:15">
      <c r="A3504" s="207"/>
      <c r="B3504" s="207"/>
      <c r="N3504" s="4"/>
      <c r="O3504" s="256"/>
    </row>
    <row r="3505" spans="1:15">
      <c r="A3505" s="207"/>
      <c r="B3505" s="207"/>
      <c r="N3505" s="4"/>
      <c r="O3505" s="256"/>
    </row>
    <row r="3506" spans="1:15">
      <c r="A3506" s="207"/>
      <c r="B3506" s="207"/>
      <c r="N3506" s="4"/>
      <c r="O3506" s="256"/>
    </row>
    <row r="3507" spans="1:15">
      <c r="A3507" s="207"/>
      <c r="B3507" s="207"/>
      <c r="N3507" s="4"/>
      <c r="O3507" s="256"/>
    </row>
    <row r="3508" spans="1:15">
      <c r="A3508" s="207"/>
      <c r="B3508" s="207"/>
      <c r="N3508" s="4"/>
      <c r="O3508" s="256"/>
    </row>
    <row r="3509" spans="1:15">
      <c r="A3509" s="207"/>
      <c r="B3509" s="207"/>
      <c r="N3509" s="4"/>
      <c r="O3509" s="256"/>
    </row>
    <row r="3510" spans="1:15">
      <c r="A3510" s="207"/>
      <c r="B3510" s="207"/>
      <c r="N3510" s="4"/>
      <c r="O3510" s="256"/>
    </row>
    <row r="3511" spans="1:15">
      <c r="A3511" s="207"/>
      <c r="B3511" s="207"/>
      <c r="N3511" s="4"/>
      <c r="O3511" s="256"/>
    </row>
    <row r="3512" spans="1:15">
      <c r="A3512" s="207"/>
      <c r="B3512" s="207"/>
      <c r="N3512" s="4"/>
      <c r="O3512" s="256"/>
    </row>
    <row r="3513" spans="1:15">
      <c r="A3513" s="207"/>
      <c r="B3513" s="207"/>
      <c r="N3513" s="4"/>
      <c r="O3513" s="256"/>
    </row>
    <row r="3514" spans="1:15">
      <c r="A3514" s="207"/>
      <c r="B3514" s="207"/>
      <c r="N3514" s="4"/>
      <c r="O3514" s="256"/>
    </row>
    <row r="3515" spans="1:15">
      <c r="A3515" s="207"/>
      <c r="B3515" s="207"/>
      <c r="N3515" s="4"/>
      <c r="O3515" s="256"/>
    </row>
    <row r="3516" spans="1:15">
      <c r="A3516" s="207"/>
      <c r="B3516" s="207"/>
      <c r="N3516" s="4"/>
      <c r="O3516" s="256"/>
    </row>
    <row r="3517" spans="1:15">
      <c r="A3517" s="207"/>
      <c r="B3517" s="207"/>
      <c r="N3517" s="4"/>
      <c r="O3517" s="256"/>
    </row>
    <row r="3518" spans="1:15">
      <c r="A3518" s="207"/>
      <c r="B3518" s="207"/>
      <c r="N3518" s="4"/>
      <c r="O3518" s="256"/>
    </row>
    <row r="3519" spans="1:15">
      <c r="A3519" s="207"/>
      <c r="B3519" s="207"/>
      <c r="N3519" s="4"/>
      <c r="O3519" s="256"/>
    </row>
    <row r="3520" spans="1:15">
      <c r="A3520" s="207"/>
      <c r="B3520" s="207"/>
      <c r="N3520" s="4"/>
      <c r="O3520" s="256"/>
    </row>
    <row r="3521" spans="1:15">
      <c r="A3521" s="207"/>
      <c r="B3521" s="207"/>
      <c r="N3521" s="4"/>
      <c r="O3521" s="256"/>
    </row>
    <row r="3522" spans="1:15">
      <c r="A3522" s="207"/>
      <c r="B3522" s="207"/>
      <c r="N3522" s="4"/>
      <c r="O3522" s="256"/>
    </row>
    <row r="3523" spans="1:15">
      <c r="A3523" s="207"/>
      <c r="B3523" s="207"/>
      <c r="N3523" s="4"/>
      <c r="O3523" s="256"/>
    </row>
    <row r="3524" spans="1:15">
      <c r="A3524" s="207"/>
      <c r="B3524" s="207"/>
      <c r="N3524" s="4"/>
      <c r="O3524" s="256"/>
    </row>
    <row r="3525" spans="1:15">
      <c r="A3525" s="207"/>
      <c r="B3525" s="207"/>
      <c r="N3525" s="4"/>
      <c r="O3525" s="256"/>
    </row>
    <row r="3526" spans="1:15">
      <c r="A3526" s="207"/>
      <c r="B3526" s="207"/>
      <c r="N3526" s="4"/>
      <c r="O3526" s="256"/>
    </row>
    <row r="3527" spans="1:15">
      <c r="A3527" s="207"/>
      <c r="B3527" s="207"/>
      <c r="N3527" s="4"/>
      <c r="O3527" s="256"/>
    </row>
    <row r="3528" spans="1:15">
      <c r="A3528" s="207"/>
      <c r="B3528" s="207"/>
      <c r="N3528" s="4"/>
      <c r="O3528" s="256"/>
    </row>
    <row r="3529" spans="1:15">
      <c r="A3529" s="207"/>
      <c r="B3529" s="207"/>
      <c r="N3529" s="4"/>
      <c r="O3529" s="256"/>
    </row>
    <row r="3530" spans="1:15">
      <c r="A3530" s="207"/>
      <c r="B3530" s="207"/>
      <c r="N3530" s="4"/>
      <c r="O3530" s="256"/>
    </row>
    <row r="3531" spans="1:15">
      <c r="A3531" s="207"/>
      <c r="B3531" s="207"/>
      <c r="N3531" s="4"/>
      <c r="O3531" s="256"/>
    </row>
    <row r="3532" spans="1:15">
      <c r="A3532" s="207"/>
      <c r="B3532" s="207"/>
      <c r="N3532" s="4"/>
      <c r="O3532" s="256"/>
    </row>
    <row r="3533" spans="1:15">
      <c r="A3533" s="207"/>
      <c r="B3533" s="207"/>
      <c r="N3533" s="4"/>
      <c r="O3533" s="256"/>
    </row>
    <row r="3534" spans="1:15">
      <c r="A3534" s="207"/>
      <c r="B3534" s="207"/>
      <c r="N3534" s="4"/>
      <c r="O3534" s="256"/>
    </row>
    <row r="3535" spans="1:15">
      <c r="A3535" s="207"/>
      <c r="B3535" s="207"/>
      <c r="N3535" s="4"/>
      <c r="O3535" s="256"/>
    </row>
    <row r="3536" spans="1:15">
      <c r="A3536" s="207"/>
      <c r="B3536" s="207"/>
      <c r="N3536" s="4"/>
      <c r="O3536" s="256"/>
    </row>
    <row r="3537" spans="1:15">
      <c r="A3537" s="207"/>
      <c r="B3537" s="207"/>
      <c r="N3537" s="4"/>
      <c r="O3537" s="256"/>
    </row>
    <row r="3538" spans="1:15">
      <c r="A3538" s="207"/>
      <c r="B3538" s="207"/>
      <c r="N3538" s="4"/>
      <c r="O3538" s="256"/>
    </row>
    <row r="3539" spans="1:15">
      <c r="A3539" s="207"/>
      <c r="B3539" s="207"/>
      <c r="N3539" s="4"/>
      <c r="O3539" s="256"/>
    </row>
    <row r="3540" spans="1:15">
      <c r="A3540" s="207"/>
      <c r="B3540" s="207"/>
      <c r="N3540" s="4"/>
      <c r="O3540" s="256"/>
    </row>
    <row r="3541" spans="1:15">
      <c r="A3541" s="207"/>
      <c r="B3541" s="207"/>
      <c r="N3541" s="4"/>
      <c r="O3541" s="256"/>
    </row>
    <row r="3542" spans="1:15">
      <c r="A3542" s="207"/>
      <c r="B3542" s="207"/>
      <c r="N3542" s="4"/>
      <c r="O3542" s="256"/>
    </row>
    <row r="3543" spans="1:15">
      <c r="A3543" s="207"/>
      <c r="B3543" s="207"/>
      <c r="N3543" s="4"/>
      <c r="O3543" s="256"/>
    </row>
    <row r="3544" spans="1:15">
      <c r="A3544" s="207"/>
      <c r="B3544" s="207"/>
      <c r="N3544" s="4"/>
      <c r="O3544" s="256"/>
    </row>
    <row r="3545" spans="1:15">
      <c r="A3545" s="207"/>
      <c r="B3545" s="207"/>
      <c r="N3545" s="4"/>
      <c r="O3545" s="256"/>
    </row>
    <row r="3546" spans="1:15">
      <c r="A3546" s="207"/>
      <c r="B3546" s="207"/>
      <c r="N3546" s="4"/>
      <c r="O3546" s="256"/>
    </row>
    <row r="3547" spans="1:15">
      <c r="A3547" s="207"/>
      <c r="B3547" s="207"/>
      <c r="N3547" s="4"/>
      <c r="O3547" s="256"/>
    </row>
    <row r="3548" spans="1:15">
      <c r="A3548" s="207"/>
      <c r="B3548" s="207"/>
      <c r="N3548" s="4"/>
      <c r="O3548" s="256"/>
    </row>
    <row r="3549" spans="1:15">
      <c r="A3549" s="207"/>
      <c r="B3549" s="207"/>
      <c r="N3549" s="4"/>
      <c r="O3549" s="256"/>
    </row>
    <row r="3550" spans="1:15">
      <c r="A3550" s="207"/>
      <c r="B3550" s="207"/>
      <c r="N3550" s="4"/>
      <c r="O3550" s="256"/>
    </row>
    <row r="3551" spans="1:15">
      <c r="A3551" s="207"/>
      <c r="B3551" s="207"/>
      <c r="N3551" s="4"/>
      <c r="O3551" s="256"/>
    </row>
    <row r="3552" spans="1:15">
      <c r="A3552" s="207"/>
      <c r="B3552" s="207"/>
      <c r="N3552" s="4"/>
      <c r="O3552" s="256"/>
    </row>
    <row r="3553" spans="1:15">
      <c r="A3553" s="207"/>
      <c r="B3553" s="207"/>
      <c r="N3553" s="4"/>
      <c r="O3553" s="256"/>
    </row>
    <row r="3554" spans="1:15">
      <c r="A3554" s="207"/>
      <c r="B3554" s="207"/>
      <c r="N3554" s="4"/>
      <c r="O3554" s="256"/>
    </row>
    <row r="3555" spans="1:15">
      <c r="A3555" s="207"/>
      <c r="B3555" s="207"/>
      <c r="N3555" s="4"/>
      <c r="O3555" s="256"/>
    </row>
    <row r="3556" spans="1:15">
      <c r="A3556" s="207"/>
      <c r="B3556" s="207"/>
      <c r="N3556" s="4"/>
      <c r="O3556" s="256"/>
    </row>
    <row r="3557" spans="1:15">
      <c r="A3557" s="207"/>
      <c r="B3557" s="207"/>
      <c r="N3557" s="4"/>
      <c r="O3557" s="256"/>
    </row>
    <row r="3558" spans="1:15">
      <c r="A3558" s="207"/>
      <c r="B3558" s="207"/>
      <c r="N3558" s="4"/>
      <c r="O3558" s="256"/>
    </row>
    <row r="3559" spans="1:15">
      <c r="A3559" s="207"/>
      <c r="B3559" s="207"/>
      <c r="N3559" s="4"/>
      <c r="O3559" s="256"/>
    </row>
    <row r="3560" spans="1:15">
      <c r="A3560" s="207"/>
      <c r="B3560" s="207"/>
      <c r="N3560" s="4"/>
      <c r="O3560" s="256"/>
    </row>
    <row r="3561" spans="1:15">
      <c r="A3561" s="207"/>
      <c r="B3561" s="207"/>
      <c r="N3561" s="4"/>
      <c r="O3561" s="256"/>
    </row>
    <row r="3562" spans="1:15">
      <c r="A3562" s="207"/>
      <c r="B3562" s="207"/>
      <c r="N3562" s="4"/>
      <c r="O3562" s="256"/>
    </row>
    <row r="3563" spans="1:15">
      <c r="A3563" s="207"/>
      <c r="B3563" s="207"/>
      <c r="N3563" s="4"/>
      <c r="O3563" s="256"/>
    </row>
    <row r="3564" spans="1:15">
      <c r="A3564" s="207"/>
      <c r="B3564" s="207"/>
      <c r="N3564" s="4"/>
      <c r="O3564" s="256"/>
    </row>
    <row r="3565" spans="1:15">
      <c r="A3565" s="207"/>
      <c r="B3565" s="207"/>
      <c r="N3565" s="4"/>
      <c r="O3565" s="256"/>
    </row>
    <row r="3566" spans="1:15">
      <c r="A3566" s="207"/>
      <c r="B3566" s="207"/>
      <c r="N3566" s="4"/>
      <c r="O3566" s="256"/>
    </row>
    <row r="3567" spans="1:15">
      <c r="A3567" s="207"/>
      <c r="B3567" s="207"/>
      <c r="N3567" s="4"/>
      <c r="O3567" s="256"/>
    </row>
    <row r="3568" spans="1:15">
      <c r="A3568" s="207"/>
      <c r="B3568" s="207"/>
      <c r="N3568" s="4"/>
      <c r="O3568" s="256"/>
    </row>
    <row r="3569" spans="1:15">
      <c r="A3569" s="207"/>
      <c r="B3569" s="207"/>
      <c r="N3569" s="4"/>
      <c r="O3569" s="256"/>
    </row>
    <row r="3570" spans="1:15">
      <c r="A3570" s="207"/>
      <c r="B3570" s="207"/>
      <c r="N3570" s="4"/>
      <c r="O3570" s="256"/>
    </row>
    <row r="3571" spans="1:15">
      <c r="A3571" s="207"/>
      <c r="B3571" s="207"/>
      <c r="N3571" s="4"/>
      <c r="O3571" s="256"/>
    </row>
    <row r="3572" spans="1:15">
      <c r="A3572" s="207"/>
      <c r="B3572" s="207"/>
      <c r="N3572" s="4"/>
      <c r="O3572" s="256"/>
    </row>
    <row r="3573" spans="1:15">
      <c r="A3573" s="207"/>
      <c r="B3573" s="207"/>
      <c r="N3573" s="4"/>
      <c r="O3573" s="256"/>
    </row>
    <row r="3574" spans="1:15">
      <c r="A3574" s="207"/>
      <c r="B3574" s="207"/>
      <c r="N3574" s="4"/>
      <c r="O3574" s="256"/>
    </row>
    <row r="3575" spans="1:15">
      <c r="A3575" s="207"/>
      <c r="B3575" s="207"/>
      <c r="N3575" s="4"/>
      <c r="O3575" s="256"/>
    </row>
    <row r="3576" spans="1:15">
      <c r="A3576" s="207"/>
      <c r="B3576" s="207"/>
      <c r="N3576" s="4"/>
      <c r="O3576" s="256"/>
    </row>
    <row r="3577" spans="1:15">
      <c r="A3577" s="207"/>
      <c r="B3577" s="207"/>
      <c r="N3577" s="4"/>
      <c r="O3577" s="256"/>
    </row>
    <row r="3578" spans="1:15">
      <c r="A3578" s="207"/>
      <c r="B3578" s="207"/>
      <c r="N3578" s="4"/>
      <c r="O3578" s="256"/>
    </row>
    <row r="3579" spans="1:15">
      <c r="A3579" s="207"/>
      <c r="B3579" s="207"/>
      <c r="N3579" s="4"/>
      <c r="O3579" s="256"/>
    </row>
    <row r="3580" spans="1:15">
      <c r="A3580" s="207"/>
      <c r="B3580" s="207"/>
      <c r="N3580" s="4"/>
      <c r="O3580" s="256"/>
    </row>
    <row r="3581" spans="1:15">
      <c r="A3581" s="207"/>
      <c r="B3581" s="207"/>
      <c r="N3581" s="4"/>
      <c r="O3581" s="256"/>
    </row>
    <row r="3582" spans="1:15">
      <c r="A3582" s="207"/>
      <c r="B3582" s="207"/>
      <c r="N3582" s="4"/>
      <c r="O3582" s="256"/>
    </row>
    <row r="3583" spans="1:15">
      <c r="A3583" s="207"/>
      <c r="B3583" s="207"/>
      <c r="N3583" s="4"/>
      <c r="O3583" s="256"/>
    </row>
    <row r="3584" spans="1:15">
      <c r="A3584" s="207"/>
      <c r="B3584" s="207"/>
      <c r="N3584" s="4"/>
      <c r="O3584" s="256"/>
    </row>
    <row r="3585" spans="1:15">
      <c r="A3585" s="207"/>
      <c r="B3585" s="207"/>
      <c r="N3585" s="4"/>
      <c r="O3585" s="256"/>
    </row>
    <row r="3586" spans="1:15">
      <c r="A3586" s="207"/>
      <c r="B3586" s="207"/>
      <c r="N3586" s="4"/>
      <c r="O3586" s="256"/>
    </row>
    <row r="3587" spans="1:15">
      <c r="A3587" s="207"/>
      <c r="B3587" s="207"/>
      <c r="N3587" s="4"/>
      <c r="O3587" s="256"/>
    </row>
    <row r="3588" spans="1:15">
      <c r="A3588" s="207"/>
      <c r="B3588" s="207"/>
      <c r="N3588" s="4"/>
      <c r="O3588" s="256"/>
    </row>
    <row r="3589" spans="1:15">
      <c r="A3589" s="207"/>
      <c r="B3589" s="207"/>
      <c r="N3589" s="4"/>
      <c r="O3589" s="256"/>
    </row>
    <row r="3590" spans="1:15">
      <c r="A3590" s="207"/>
      <c r="B3590" s="207"/>
      <c r="N3590" s="4"/>
      <c r="O3590" s="256"/>
    </row>
    <row r="3591" spans="1:15">
      <c r="A3591" s="207"/>
      <c r="B3591" s="207"/>
      <c r="N3591" s="4"/>
      <c r="O3591" s="256"/>
    </row>
    <row r="3592" spans="1:15">
      <c r="A3592" s="207"/>
      <c r="B3592" s="207"/>
      <c r="N3592" s="4"/>
      <c r="O3592" s="256"/>
    </row>
    <row r="3593" spans="1:15">
      <c r="A3593" s="207"/>
      <c r="B3593" s="207"/>
      <c r="N3593" s="4"/>
      <c r="O3593" s="256"/>
    </row>
    <row r="3594" spans="1:15">
      <c r="A3594" s="207"/>
      <c r="B3594" s="207"/>
      <c r="N3594" s="4"/>
      <c r="O3594" s="256"/>
    </row>
    <row r="3595" spans="1:15">
      <c r="A3595" s="207"/>
      <c r="B3595" s="207"/>
      <c r="N3595" s="4"/>
      <c r="O3595" s="256"/>
    </row>
    <row r="3596" spans="1:15">
      <c r="A3596" s="207"/>
      <c r="B3596" s="207"/>
      <c r="N3596" s="4"/>
      <c r="O3596" s="256"/>
    </row>
    <row r="3597" spans="1:15">
      <c r="A3597" s="207"/>
      <c r="B3597" s="207"/>
      <c r="N3597" s="4"/>
      <c r="O3597" s="256"/>
    </row>
    <row r="3598" spans="1:15">
      <c r="A3598" s="207"/>
      <c r="B3598" s="207"/>
      <c r="N3598" s="4"/>
      <c r="O3598" s="256"/>
    </row>
    <row r="3599" spans="1:15">
      <c r="A3599" s="207"/>
      <c r="B3599" s="207"/>
      <c r="N3599" s="4"/>
      <c r="O3599" s="256"/>
    </row>
    <row r="3600" spans="1:15">
      <c r="A3600" s="207"/>
      <c r="B3600" s="207"/>
      <c r="N3600" s="4"/>
      <c r="O3600" s="256"/>
    </row>
    <row r="3601" spans="1:15">
      <c r="A3601" s="207"/>
      <c r="B3601" s="207"/>
      <c r="N3601" s="4"/>
      <c r="O3601" s="256"/>
    </row>
    <row r="3602" spans="1:15">
      <c r="A3602" s="207"/>
      <c r="B3602" s="207"/>
      <c r="N3602" s="4"/>
      <c r="O3602" s="256"/>
    </row>
    <row r="3603" spans="1:15">
      <c r="A3603" s="207"/>
      <c r="B3603" s="207"/>
      <c r="N3603" s="4"/>
      <c r="O3603" s="256"/>
    </row>
    <row r="3604" spans="1:15">
      <c r="A3604" s="207"/>
      <c r="B3604" s="207"/>
      <c r="N3604" s="4"/>
      <c r="O3604" s="256"/>
    </row>
    <row r="3605" spans="1:15">
      <c r="A3605" s="207"/>
      <c r="B3605" s="207"/>
      <c r="N3605" s="4"/>
      <c r="O3605" s="256"/>
    </row>
    <row r="3606" spans="1:15">
      <c r="A3606" s="207"/>
      <c r="B3606" s="207"/>
      <c r="N3606" s="4"/>
      <c r="O3606" s="256"/>
    </row>
    <row r="3607" spans="1:15">
      <c r="A3607" s="207"/>
      <c r="B3607" s="207"/>
      <c r="N3607" s="4"/>
      <c r="O3607" s="256"/>
    </row>
    <row r="3608" spans="1:15">
      <c r="A3608" s="207"/>
      <c r="B3608" s="207"/>
      <c r="N3608" s="4"/>
      <c r="O3608" s="256"/>
    </row>
    <row r="3609" spans="1:15">
      <c r="A3609" s="207"/>
      <c r="B3609" s="207"/>
      <c r="N3609" s="4"/>
      <c r="O3609" s="256"/>
    </row>
    <row r="3610" spans="1:15">
      <c r="A3610" s="207"/>
      <c r="B3610" s="207"/>
      <c r="N3610" s="4"/>
      <c r="O3610" s="256"/>
    </row>
    <row r="3611" spans="1:15">
      <c r="A3611" s="207"/>
      <c r="B3611" s="207"/>
      <c r="N3611" s="4"/>
      <c r="O3611" s="256"/>
    </row>
    <row r="3612" spans="1:15">
      <c r="A3612" s="207"/>
      <c r="B3612" s="207"/>
      <c r="N3612" s="4"/>
      <c r="O3612" s="256"/>
    </row>
    <row r="3613" spans="1:15">
      <c r="A3613" s="207"/>
      <c r="B3613" s="207"/>
      <c r="N3613" s="4"/>
      <c r="O3613" s="256"/>
    </row>
    <row r="3614" spans="1:15">
      <c r="A3614" s="207"/>
      <c r="B3614" s="207"/>
      <c r="N3614" s="4"/>
      <c r="O3614" s="256"/>
    </row>
    <row r="3615" spans="1:15">
      <c r="A3615" s="207"/>
      <c r="B3615" s="207"/>
      <c r="N3615" s="4"/>
      <c r="O3615" s="256"/>
    </row>
    <row r="3616" spans="1:15">
      <c r="A3616" s="207"/>
      <c r="B3616" s="207"/>
      <c r="N3616" s="4"/>
      <c r="O3616" s="256"/>
    </row>
    <row r="3617" spans="1:15">
      <c r="A3617" s="207"/>
      <c r="B3617" s="207"/>
      <c r="N3617" s="4"/>
      <c r="O3617" s="256"/>
    </row>
    <row r="3618" spans="1:15">
      <c r="A3618" s="207"/>
      <c r="B3618" s="207"/>
      <c r="N3618" s="4"/>
      <c r="O3618" s="256"/>
    </row>
    <row r="3619" spans="1:15">
      <c r="A3619" s="207"/>
      <c r="B3619" s="207"/>
      <c r="N3619" s="4"/>
      <c r="O3619" s="256"/>
    </row>
    <row r="3620" spans="1:15">
      <c r="A3620" s="207"/>
      <c r="B3620" s="207"/>
      <c r="N3620" s="4"/>
      <c r="O3620" s="256"/>
    </row>
    <row r="3621" spans="1:15">
      <c r="A3621" s="207"/>
      <c r="B3621" s="207"/>
      <c r="N3621" s="4"/>
      <c r="O3621" s="256"/>
    </row>
    <row r="3622" spans="1:15">
      <c r="A3622" s="207"/>
      <c r="B3622" s="207"/>
      <c r="N3622" s="4"/>
      <c r="O3622" s="256"/>
    </row>
    <row r="3623" spans="1:15">
      <c r="A3623" s="207"/>
      <c r="B3623" s="207"/>
      <c r="N3623" s="4"/>
      <c r="O3623" s="256"/>
    </row>
    <row r="3624" spans="1:15">
      <c r="A3624" s="207"/>
      <c r="B3624" s="207"/>
      <c r="N3624" s="4"/>
      <c r="O3624" s="256"/>
    </row>
    <row r="3625" spans="1:15">
      <c r="A3625" s="207"/>
      <c r="B3625" s="207"/>
      <c r="N3625" s="4"/>
      <c r="O3625" s="256"/>
    </row>
    <row r="3626" spans="1:15">
      <c r="A3626" s="207"/>
      <c r="B3626" s="207"/>
      <c r="N3626" s="4"/>
      <c r="O3626" s="256"/>
    </row>
    <row r="3627" spans="1:15">
      <c r="A3627" s="207"/>
      <c r="B3627" s="207"/>
      <c r="N3627" s="4"/>
      <c r="O3627" s="256"/>
    </row>
    <row r="3628" spans="1:15">
      <c r="A3628" s="207"/>
      <c r="B3628" s="207"/>
      <c r="N3628" s="4"/>
      <c r="O3628" s="256"/>
    </row>
    <row r="3629" spans="1:15">
      <c r="A3629" s="207"/>
      <c r="B3629" s="207"/>
      <c r="N3629" s="4"/>
      <c r="O3629" s="256"/>
    </row>
    <row r="3630" spans="1:15">
      <c r="A3630" s="207"/>
      <c r="B3630" s="207"/>
      <c r="N3630" s="4"/>
      <c r="O3630" s="256"/>
    </row>
    <row r="3631" spans="1:15">
      <c r="A3631" s="207"/>
      <c r="B3631" s="207"/>
      <c r="N3631" s="4"/>
      <c r="O3631" s="256"/>
    </row>
    <row r="3632" spans="1:15">
      <c r="A3632" s="207"/>
      <c r="B3632" s="207"/>
      <c r="N3632" s="4"/>
      <c r="O3632" s="256"/>
    </row>
    <row r="3633" spans="1:15">
      <c r="A3633" s="207"/>
      <c r="B3633" s="207"/>
      <c r="N3633" s="4"/>
      <c r="O3633" s="256"/>
    </row>
    <row r="3634" spans="1:15">
      <c r="A3634" s="207"/>
      <c r="B3634" s="207"/>
      <c r="N3634" s="4"/>
      <c r="O3634" s="256"/>
    </row>
    <row r="3635" spans="1:15">
      <c r="A3635" s="207"/>
      <c r="B3635" s="207"/>
      <c r="N3635" s="4"/>
      <c r="O3635" s="256"/>
    </row>
    <row r="3636" spans="1:15">
      <c r="A3636" s="207"/>
      <c r="B3636" s="207"/>
      <c r="N3636" s="4"/>
      <c r="O3636" s="256"/>
    </row>
    <row r="3637" spans="1:15">
      <c r="A3637" s="207"/>
      <c r="B3637" s="207"/>
      <c r="N3637" s="4"/>
      <c r="O3637" s="256"/>
    </row>
    <row r="3638" spans="1:15">
      <c r="A3638" s="207"/>
      <c r="B3638" s="207"/>
      <c r="N3638" s="4"/>
      <c r="O3638" s="256"/>
    </row>
    <row r="3639" spans="1:15">
      <c r="A3639" s="207"/>
      <c r="B3639" s="207"/>
      <c r="N3639" s="4"/>
      <c r="O3639" s="256"/>
    </row>
    <row r="3640" spans="1:15">
      <c r="A3640" s="207"/>
      <c r="B3640" s="207"/>
      <c r="N3640" s="4"/>
      <c r="O3640" s="256"/>
    </row>
    <row r="3641" spans="1:15">
      <c r="A3641" s="207"/>
      <c r="B3641" s="207"/>
      <c r="N3641" s="4"/>
      <c r="O3641" s="256"/>
    </row>
    <row r="3642" spans="1:15">
      <c r="A3642" s="207"/>
      <c r="B3642" s="207"/>
      <c r="N3642" s="4"/>
      <c r="O3642" s="256"/>
    </row>
    <row r="3643" spans="1:15">
      <c r="A3643" s="207"/>
      <c r="B3643" s="207"/>
      <c r="N3643" s="4"/>
      <c r="O3643" s="256"/>
    </row>
    <row r="3644" spans="1:15">
      <c r="A3644" s="207"/>
      <c r="B3644" s="207"/>
      <c r="N3644" s="4"/>
      <c r="O3644" s="256"/>
    </row>
    <row r="3645" spans="1:15">
      <c r="A3645" s="207"/>
      <c r="B3645" s="207"/>
      <c r="N3645" s="4"/>
      <c r="O3645" s="256"/>
    </row>
    <row r="3646" spans="1:15">
      <c r="A3646" s="207"/>
      <c r="B3646" s="207"/>
      <c r="N3646" s="4"/>
      <c r="O3646" s="256"/>
    </row>
    <row r="3647" spans="1:15">
      <c r="A3647" s="207"/>
      <c r="B3647" s="207"/>
      <c r="N3647" s="4"/>
      <c r="O3647" s="256"/>
    </row>
    <row r="3648" spans="1:15">
      <c r="A3648" s="207"/>
      <c r="B3648" s="207"/>
      <c r="N3648" s="4"/>
      <c r="O3648" s="256"/>
    </row>
    <row r="3649" spans="1:15">
      <c r="A3649" s="207"/>
      <c r="B3649" s="207"/>
      <c r="N3649" s="4"/>
      <c r="O3649" s="256"/>
    </row>
    <row r="3650" spans="1:15">
      <c r="A3650" s="207"/>
      <c r="B3650" s="207"/>
      <c r="N3650" s="4"/>
      <c r="O3650" s="256"/>
    </row>
    <row r="3651" spans="1:15">
      <c r="A3651" s="207"/>
      <c r="B3651" s="207"/>
      <c r="N3651" s="4"/>
      <c r="O3651" s="256"/>
    </row>
    <row r="3652" spans="1:15">
      <c r="A3652" s="207"/>
      <c r="B3652" s="207"/>
      <c r="N3652" s="4"/>
      <c r="O3652" s="256"/>
    </row>
    <row r="3653" spans="1:15">
      <c r="A3653" s="207"/>
      <c r="B3653" s="207"/>
      <c r="N3653" s="4"/>
      <c r="O3653" s="256"/>
    </row>
    <row r="3654" spans="1:15">
      <c r="A3654" s="207"/>
      <c r="B3654" s="207"/>
      <c r="N3654" s="4"/>
      <c r="O3654" s="256"/>
    </row>
    <row r="3655" spans="1:15">
      <c r="A3655" s="207"/>
      <c r="B3655" s="207"/>
      <c r="N3655" s="4"/>
      <c r="O3655" s="256"/>
    </row>
    <row r="3656" spans="1:15">
      <c r="A3656" s="207"/>
      <c r="B3656" s="207"/>
      <c r="N3656" s="4"/>
      <c r="O3656" s="256"/>
    </row>
    <row r="3657" spans="1:15">
      <c r="A3657" s="207"/>
      <c r="B3657" s="207"/>
      <c r="N3657" s="4"/>
      <c r="O3657" s="256"/>
    </row>
    <row r="3658" spans="1:15">
      <c r="A3658" s="207"/>
      <c r="B3658" s="207"/>
      <c r="N3658" s="4"/>
      <c r="O3658" s="256"/>
    </row>
    <row r="3659" spans="1:15">
      <c r="A3659" s="207"/>
      <c r="B3659" s="207"/>
      <c r="N3659" s="4"/>
      <c r="O3659" s="256"/>
    </row>
    <row r="3660" spans="1:15">
      <c r="A3660" s="207"/>
      <c r="B3660" s="207"/>
      <c r="N3660" s="4"/>
      <c r="O3660" s="256"/>
    </row>
    <row r="3661" spans="1:15">
      <c r="A3661" s="207"/>
      <c r="B3661" s="207"/>
      <c r="N3661" s="4"/>
      <c r="O3661" s="256"/>
    </row>
    <row r="3662" spans="1:15">
      <c r="A3662" s="207"/>
      <c r="B3662" s="207"/>
      <c r="N3662" s="4"/>
      <c r="O3662" s="256"/>
    </row>
    <row r="3663" spans="1:15">
      <c r="A3663" s="207"/>
      <c r="B3663" s="207"/>
      <c r="N3663" s="4"/>
      <c r="O3663" s="256"/>
    </row>
    <row r="3664" spans="1:15">
      <c r="A3664" s="207"/>
      <c r="B3664" s="207"/>
      <c r="N3664" s="4"/>
      <c r="O3664" s="256"/>
    </row>
    <row r="3665" spans="1:15">
      <c r="A3665" s="207"/>
      <c r="B3665" s="207"/>
      <c r="N3665" s="4"/>
      <c r="O3665" s="256"/>
    </row>
    <row r="3666" spans="1:15">
      <c r="A3666" s="207"/>
      <c r="B3666" s="207"/>
      <c r="N3666" s="4"/>
      <c r="O3666" s="256"/>
    </row>
    <row r="3667" spans="1:15">
      <c r="A3667" s="207"/>
      <c r="B3667" s="207"/>
      <c r="N3667" s="4"/>
      <c r="O3667" s="256"/>
    </row>
    <row r="3668" spans="1:15">
      <c r="A3668" s="207"/>
      <c r="B3668" s="207"/>
      <c r="N3668" s="4"/>
      <c r="O3668" s="256"/>
    </row>
    <row r="3669" spans="1:15">
      <c r="A3669" s="207"/>
      <c r="B3669" s="207"/>
      <c r="N3669" s="4"/>
      <c r="O3669" s="256"/>
    </row>
    <row r="3670" spans="1:15">
      <c r="A3670" s="207"/>
      <c r="B3670" s="207"/>
      <c r="N3670" s="4"/>
      <c r="O3670" s="256"/>
    </row>
    <row r="3671" spans="1:15">
      <c r="A3671" s="207"/>
      <c r="B3671" s="207"/>
      <c r="N3671" s="4"/>
      <c r="O3671" s="256"/>
    </row>
    <row r="3672" spans="1:15">
      <c r="A3672" s="207"/>
      <c r="B3672" s="207"/>
      <c r="N3672" s="4"/>
      <c r="O3672" s="256"/>
    </row>
    <row r="3673" spans="1:15">
      <c r="A3673" s="207"/>
      <c r="B3673" s="207"/>
      <c r="N3673" s="4"/>
      <c r="O3673" s="256"/>
    </row>
    <row r="3674" spans="1:15">
      <c r="A3674" s="207"/>
      <c r="B3674" s="207"/>
      <c r="N3674" s="4"/>
      <c r="O3674" s="256"/>
    </row>
    <row r="3675" spans="1:15">
      <c r="A3675" s="207"/>
      <c r="B3675" s="207"/>
      <c r="N3675" s="4"/>
      <c r="O3675" s="256"/>
    </row>
    <row r="3676" spans="1:15">
      <c r="A3676" s="207"/>
      <c r="B3676" s="207"/>
      <c r="N3676" s="4"/>
      <c r="O3676" s="256"/>
    </row>
    <row r="3677" spans="1:15">
      <c r="A3677" s="207"/>
      <c r="B3677" s="207"/>
      <c r="N3677" s="4"/>
      <c r="O3677" s="256"/>
    </row>
    <row r="3678" spans="1:15">
      <c r="A3678" s="207"/>
      <c r="B3678" s="207"/>
      <c r="N3678" s="4"/>
      <c r="O3678" s="256"/>
    </row>
    <row r="3679" spans="1:15">
      <c r="A3679" s="207"/>
      <c r="B3679" s="207"/>
      <c r="N3679" s="4"/>
      <c r="O3679" s="256"/>
    </row>
    <row r="3680" spans="1:15">
      <c r="A3680" s="207"/>
      <c r="B3680" s="207"/>
      <c r="N3680" s="4"/>
      <c r="O3680" s="256"/>
    </row>
    <row r="3681" spans="1:15">
      <c r="A3681" s="207"/>
      <c r="B3681" s="207"/>
      <c r="N3681" s="4"/>
      <c r="O3681" s="256"/>
    </row>
    <row r="3682" spans="1:15">
      <c r="A3682" s="207"/>
      <c r="B3682" s="207"/>
      <c r="N3682" s="4"/>
      <c r="O3682" s="256"/>
    </row>
    <row r="3683" spans="1:15">
      <c r="A3683" s="207"/>
      <c r="B3683" s="207"/>
      <c r="N3683" s="4"/>
      <c r="O3683" s="256"/>
    </row>
    <row r="3684" spans="1:15">
      <c r="A3684" s="207"/>
      <c r="B3684" s="207"/>
      <c r="N3684" s="4"/>
      <c r="O3684" s="256"/>
    </row>
    <row r="3685" spans="1:15">
      <c r="A3685" s="207"/>
      <c r="B3685" s="207"/>
      <c r="N3685" s="4"/>
      <c r="O3685" s="256"/>
    </row>
    <row r="3686" spans="1:15">
      <c r="A3686" s="207"/>
      <c r="B3686" s="207"/>
      <c r="N3686" s="4"/>
      <c r="O3686" s="256"/>
    </row>
    <row r="3687" spans="1:15">
      <c r="A3687" s="207"/>
      <c r="B3687" s="207"/>
      <c r="N3687" s="4"/>
      <c r="O3687" s="256"/>
    </row>
    <row r="3688" spans="1:15">
      <c r="A3688" s="207"/>
      <c r="B3688" s="207"/>
      <c r="N3688" s="4"/>
      <c r="O3688" s="256"/>
    </row>
    <row r="3689" spans="1:15">
      <c r="A3689" s="207"/>
      <c r="B3689" s="207"/>
      <c r="N3689" s="4"/>
      <c r="O3689" s="256"/>
    </row>
    <row r="3690" spans="1:15">
      <c r="A3690" s="207"/>
      <c r="B3690" s="207"/>
      <c r="N3690" s="4"/>
      <c r="O3690" s="256"/>
    </row>
    <row r="3691" spans="1:15">
      <c r="A3691" s="207"/>
      <c r="B3691" s="207"/>
      <c r="N3691" s="4"/>
      <c r="O3691" s="256"/>
    </row>
    <row r="3692" spans="1:15">
      <c r="A3692" s="207"/>
      <c r="B3692" s="207"/>
      <c r="N3692" s="4"/>
      <c r="O3692" s="256"/>
    </row>
    <row r="3693" spans="1:15">
      <c r="A3693" s="207"/>
      <c r="B3693" s="207"/>
      <c r="N3693" s="4"/>
      <c r="O3693" s="256"/>
    </row>
    <row r="3694" spans="1:15">
      <c r="A3694" s="207"/>
      <c r="B3694" s="207"/>
      <c r="N3694" s="4"/>
      <c r="O3694" s="256"/>
    </row>
    <row r="3695" spans="1:15">
      <c r="A3695" s="207"/>
      <c r="B3695" s="207"/>
      <c r="N3695" s="4"/>
      <c r="O3695" s="256"/>
    </row>
    <row r="3696" spans="1:15">
      <c r="A3696" s="207"/>
      <c r="B3696" s="207"/>
      <c r="N3696" s="4"/>
      <c r="O3696" s="256"/>
    </row>
    <row r="3697" spans="1:15">
      <c r="A3697" s="207"/>
      <c r="B3697" s="207"/>
      <c r="N3697" s="4"/>
      <c r="O3697" s="256"/>
    </row>
    <row r="3698" spans="1:15">
      <c r="A3698" s="207"/>
      <c r="B3698" s="207"/>
      <c r="N3698" s="4"/>
      <c r="O3698" s="256"/>
    </row>
    <row r="3699" spans="1:15">
      <c r="A3699" s="207"/>
      <c r="B3699" s="207"/>
      <c r="N3699" s="4"/>
      <c r="O3699" s="256"/>
    </row>
    <row r="3700" spans="1:15">
      <c r="A3700" s="207"/>
      <c r="B3700" s="207"/>
      <c r="N3700" s="4"/>
      <c r="O3700" s="256"/>
    </row>
    <row r="3701" spans="1:15">
      <c r="A3701" s="207"/>
      <c r="B3701" s="207"/>
      <c r="N3701" s="4"/>
      <c r="O3701" s="256"/>
    </row>
    <row r="3702" spans="1:15">
      <c r="A3702" s="207"/>
      <c r="B3702" s="207"/>
      <c r="N3702" s="4"/>
      <c r="O3702" s="256"/>
    </row>
    <row r="3703" spans="1:15">
      <c r="A3703" s="207"/>
      <c r="B3703" s="207"/>
      <c r="N3703" s="4"/>
      <c r="O3703" s="256"/>
    </row>
    <row r="3704" spans="1:15">
      <c r="A3704" s="207"/>
      <c r="B3704" s="207"/>
      <c r="N3704" s="4"/>
      <c r="O3704" s="256"/>
    </row>
    <row r="3705" spans="1:15">
      <c r="A3705" s="207"/>
      <c r="B3705" s="207"/>
      <c r="N3705" s="4"/>
      <c r="O3705" s="256"/>
    </row>
    <row r="3706" spans="1:15">
      <c r="A3706" s="207"/>
      <c r="B3706" s="207"/>
      <c r="N3706" s="4"/>
      <c r="O3706" s="256"/>
    </row>
    <row r="3707" spans="1:15">
      <c r="A3707" s="207"/>
      <c r="B3707" s="207"/>
      <c r="N3707" s="4"/>
      <c r="O3707" s="256"/>
    </row>
    <row r="3708" spans="1:15">
      <c r="A3708" s="207"/>
      <c r="B3708" s="207"/>
      <c r="N3708" s="4"/>
      <c r="O3708" s="256"/>
    </row>
    <row r="3709" spans="1:15">
      <c r="A3709" s="207"/>
      <c r="B3709" s="207"/>
      <c r="N3709" s="4"/>
      <c r="O3709" s="256"/>
    </row>
    <row r="3710" spans="1:15">
      <c r="A3710" s="207"/>
      <c r="B3710" s="207"/>
      <c r="N3710" s="4"/>
      <c r="O3710" s="256"/>
    </row>
    <row r="3711" spans="1:15">
      <c r="A3711" s="207"/>
      <c r="B3711" s="207"/>
      <c r="N3711" s="4"/>
      <c r="O3711" s="256"/>
    </row>
    <row r="3712" spans="1:15">
      <c r="A3712" s="207"/>
      <c r="B3712" s="207"/>
      <c r="N3712" s="4"/>
      <c r="O3712" s="256"/>
    </row>
    <row r="3713" spans="1:15">
      <c r="A3713" s="207"/>
      <c r="B3713" s="207"/>
      <c r="N3713" s="4"/>
      <c r="O3713" s="256"/>
    </row>
    <row r="3714" spans="1:15">
      <c r="A3714" s="207"/>
      <c r="B3714" s="207"/>
      <c r="N3714" s="4"/>
      <c r="O3714" s="256"/>
    </row>
    <row r="3715" spans="1:15">
      <c r="A3715" s="207"/>
      <c r="B3715" s="207"/>
      <c r="N3715" s="4"/>
      <c r="O3715" s="256"/>
    </row>
    <row r="3716" spans="1:15">
      <c r="A3716" s="207"/>
      <c r="B3716" s="207"/>
      <c r="N3716" s="4"/>
      <c r="O3716" s="256"/>
    </row>
    <row r="3717" spans="1:15">
      <c r="A3717" s="207"/>
      <c r="B3717" s="207"/>
      <c r="N3717" s="4"/>
      <c r="O3717" s="256"/>
    </row>
    <row r="3718" spans="1:15">
      <c r="A3718" s="207"/>
      <c r="B3718" s="207"/>
      <c r="N3718" s="4"/>
      <c r="O3718" s="256"/>
    </row>
    <row r="3719" spans="1:15">
      <c r="A3719" s="207"/>
      <c r="B3719" s="207"/>
      <c r="N3719" s="4"/>
      <c r="O3719" s="256"/>
    </row>
    <row r="3720" spans="1:15">
      <c r="A3720" s="207"/>
      <c r="B3720" s="207"/>
      <c r="N3720" s="4"/>
      <c r="O3720" s="256"/>
    </row>
    <row r="3721" spans="1:15">
      <c r="A3721" s="207"/>
      <c r="B3721" s="207"/>
      <c r="N3721" s="4"/>
      <c r="O3721" s="256"/>
    </row>
    <row r="3722" spans="1:15">
      <c r="A3722" s="207"/>
      <c r="B3722" s="207"/>
      <c r="N3722" s="4"/>
      <c r="O3722" s="256"/>
    </row>
    <row r="3723" spans="1:15">
      <c r="A3723" s="207"/>
      <c r="B3723" s="207"/>
      <c r="N3723" s="4"/>
      <c r="O3723" s="256"/>
    </row>
    <row r="3724" spans="1:15">
      <c r="A3724" s="207"/>
      <c r="B3724" s="207"/>
      <c r="N3724" s="4"/>
      <c r="O3724" s="256"/>
    </row>
    <row r="3725" spans="1:15">
      <c r="A3725" s="207"/>
      <c r="B3725" s="207"/>
      <c r="N3725" s="4"/>
      <c r="O3725" s="256"/>
    </row>
    <row r="3726" spans="1:15">
      <c r="A3726" s="207"/>
      <c r="B3726" s="207"/>
      <c r="N3726" s="4"/>
      <c r="O3726" s="256"/>
    </row>
    <row r="3727" spans="1:15">
      <c r="A3727" s="207"/>
      <c r="B3727" s="207"/>
      <c r="N3727" s="4"/>
      <c r="O3727" s="256"/>
    </row>
    <row r="3728" spans="1:15">
      <c r="A3728" s="207"/>
      <c r="B3728" s="207"/>
      <c r="N3728" s="4"/>
      <c r="O3728" s="256"/>
    </row>
    <row r="3729" spans="1:15">
      <c r="A3729" s="207"/>
      <c r="B3729" s="207"/>
      <c r="N3729" s="4"/>
      <c r="O3729" s="256"/>
    </row>
    <row r="3730" spans="1:15">
      <c r="A3730" s="207"/>
      <c r="B3730" s="207"/>
      <c r="N3730" s="4"/>
      <c r="O3730" s="256"/>
    </row>
    <row r="3731" spans="1:15">
      <c r="A3731" s="207"/>
      <c r="B3731" s="207"/>
      <c r="N3731" s="4"/>
      <c r="O3731" s="256"/>
    </row>
    <row r="3732" spans="1:15">
      <c r="A3732" s="207"/>
      <c r="B3732" s="207"/>
      <c r="N3732" s="4"/>
      <c r="O3732" s="256"/>
    </row>
    <row r="3733" spans="1:15">
      <c r="A3733" s="207"/>
      <c r="B3733" s="207"/>
      <c r="N3733" s="4"/>
      <c r="O3733" s="256"/>
    </row>
    <row r="3734" spans="1:15">
      <c r="A3734" s="207"/>
      <c r="B3734" s="207"/>
      <c r="N3734" s="4"/>
      <c r="O3734" s="256"/>
    </row>
    <row r="3735" spans="1:15">
      <c r="A3735" s="207"/>
      <c r="B3735" s="207"/>
      <c r="N3735" s="4"/>
      <c r="O3735" s="256"/>
    </row>
    <row r="3736" spans="1:15">
      <c r="A3736" s="207"/>
      <c r="B3736" s="207"/>
      <c r="N3736" s="4"/>
      <c r="O3736" s="256"/>
    </row>
    <row r="3737" spans="1:15">
      <c r="A3737" s="207"/>
      <c r="B3737" s="207"/>
      <c r="N3737" s="4"/>
      <c r="O3737" s="256"/>
    </row>
    <row r="3738" spans="1:15">
      <c r="A3738" s="207"/>
      <c r="B3738" s="207"/>
      <c r="N3738" s="4"/>
      <c r="O3738" s="256"/>
    </row>
    <row r="3739" spans="1:15">
      <c r="A3739" s="207"/>
      <c r="B3739" s="207"/>
      <c r="N3739" s="4"/>
      <c r="O3739" s="256"/>
    </row>
    <row r="3740" spans="1:15">
      <c r="A3740" s="207"/>
      <c r="B3740" s="207"/>
      <c r="N3740" s="4"/>
      <c r="O3740" s="256"/>
    </row>
    <row r="3741" spans="1:15">
      <c r="A3741" s="207"/>
      <c r="B3741" s="207"/>
      <c r="N3741" s="4"/>
      <c r="O3741" s="256"/>
    </row>
    <row r="3742" spans="1:15">
      <c r="A3742" s="207"/>
      <c r="B3742" s="207"/>
      <c r="N3742" s="4"/>
      <c r="O3742" s="256"/>
    </row>
    <row r="3743" spans="1:15">
      <c r="A3743" s="207"/>
      <c r="B3743" s="207"/>
      <c r="N3743" s="4"/>
      <c r="O3743" s="256"/>
    </row>
    <row r="3744" spans="1:15">
      <c r="A3744" s="207"/>
      <c r="B3744" s="207"/>
      <c r="N3744" s="4"/>
      <c r="O3744" s="256"/>
    </row>
    <row r="3745" spans="1:15">
      <c r="A3745" s="207"/>
      <c r="B3745" s="207"/>
      <c r="N3745" s="4"/>
      <c r="O3745" s="256"/>
    </row>
    <row r="3746" spans="1:15">
      <c r="A3746" s="207"/>
      <c r="B3746" s="207"/>
      <c r="N3746" s="4"/>
      <c r="O3746" s="256"/>
    </row>
    <row r="3747" spans="1:15">
      <c r="A3747" s="207"/>
      <c r="B3747" s="207"/>
      <c r="N3747" s="4"/>
      <c r="O3747" s="256"/>
    </row>
    <row r="3748" spans="1:15">
      <c r="A3748" s="207"/>
      <c r="B3748" s="207"/>
      <c r="N3748" s="4"/>
      <c r="O3748" s="256"/>
    </row>
    <row r="3749" spans="1:15">
      <c r="A3749" s="207"/>
      <c r="B3749" s="207"/>
      <c r="N3749" s="4"/>
      <c r="O3749" s="256"/>
    </row>
    <row r="3750" spans="1:15">
      <c r="A3750" s="207"/>
      <c r="B3750" s="207"/>
      <c r="N3750" s="4"/>
      <c r="O3750" s="256"/>
    </row>
    <row r="3751" spans="1:15">
      <c r="A3751" s="207"/>
      <c r="B3751" s="207"/>
      <c r="N3751" s="4"/>
      <c r="O3751" s="256"/>
    </row>
    <row r="3752" spans="1:15">
      <c r="A3752" s="207"/>
      <c r="B3752" s="207"/>
      <c r="N3752" s="4"/>
      <c r="O3752" s="256"/>
    </row>
    <row r="3753" spans="1:15">
      <c r="A3753" s="207"/>
      <c r="B3753" s="207"/>
      <c r="N3753" s="4"/>
      <c r="O3753" s="256"/>
    </row>
    <row r="3754" spans="1:15">
      <c r="A3754" s="207"/>
      <c r="B3754" s="207"/>
      <c r="N3754" s="4"/>
      <c r="O3754" s="256"/>
    </row>
    <row r="3755" spans="1:15">
      <c r="A3755" s="207"/>
      <c r="B3755" s="207"/>
      <c r="N3755" s="4"/>
      <c r="O3755" s="256"/>
    </row>
    <row r="3756" spans="1:15">
      <c r="A3756" s="207"/>
      <c r="B3756" s="207"/>
      <c r="N3756" s="4"/>
      <c r="O3756" s="256"/>
    </row>
    <row r="3757" spans="1:15">
      <c r="A3757" s="207"/>
      <c r="B3757" s="207"/>
      <c r="N3757" s="4"/>
      <c r="O3757" s="256"/>
    </row>
    <row r="3758" spans="1:15">
      <c r="A3758" s="207"/>
      <c r="B3758" s="207"/>
      <c r="N3758" s="4"/>
      <c r="O3758" s="256"/>
    </row>
    <row r="3759" spans="1:15">
      <c r="A3759" s="207"/>
      <c r="B3759" s="207"/>
      <c r="N3759" s="4"/>
      <c r="O3759" s="256"/>
    </row>
    <row r="3760" spans="1:15">
      <c r="A3760" s="207"/>
      <c r="B3760" s="207"/>
      <c r="N3760" s="4"/>
      <c r="O3760" s="256"/>
    </row>
    <row r="3761" spans="1:15">
      <c r="A3761" s="207"/>
      <c r="B3761" s="207"/>
      <c r="N3761" s="4"/>
      <c r="O3761" s="256"/>
    </row>
    <row r="3762" spans="1:15">
      <c r="A3762" s="207"/>
      <c r="B3762" s="207"/>
      <c r="N3762" s="4"/>
      <c r="O3762" s="256"/>
    </row>
    <row r="3763" spans="1:15">
      <c r="A3763" s="207"/>
      <c r="B3763" s="207"/>
      <c r="N3763" s="4"/>
      <c r="O3763" s="256"/>
    </row>
    <row r="3764" spans="1:15">
      <c r="A3764" s="207"/>
      <c r="B3764" s="207"/>
      <c r="N3764" s="4"/>
      <c r="O3764" s="256"/>
    </row>
    <row r="3765" spans="1:15">
      <c r="A3765" s="207"/>
      <c r="B3765" s="207"/>
      <c r="N3765" s="4"/>
      <c r="O3765" s="256"/>
    </row>
    <row r="3766" spans="1:15">
      <c r="A3766" s="207"/>
      <c r="B3766" s="207"/>
      <c r="N3766" s="4"/>
      <c r="O3766" s="256"/>
    </row>
    <row r="3767" spans="1:15">
      <c r="A3767" s="207"/>
      <c r="B3767" s="207"/>
      <c r="N3767" s="4"/>
      <c r="O3767" s="256"/>
    </row>
    <row r="3768" spans="1:15">
      <c r="A3768" s="207"/>
      <c r="B3768" s="207"/>
      <c r="N3768" s="4"/>
      <c r="O3768" s="256"/>
    </row>
    <row r="3769" spans="1:15">
      <c r="A3769" s="207"/>
      <c r="B3769" s="207"/>
      <c r="N3769" s="4"/>
      <c r="O3769" s="256"/>
    </row>
    <row r="3770" spans="1:15">
      <c r="A3770" s="207"/>
      <c r="B3770" s="207"/>
      <c r="N3770" s="4"/>
      <c r="O3770" s="256"/>
    </row>
    <row r="3771" spans="1:15">
      <c r="A3771" s="207"/>
      <c r="B3771" s="207"/>
      <c r="N3771" s="4"/>
      <c r="O3771" s="256"/>
    </row>
    <row r="3772" spans="1:15">
      <c r="A3772" s="207"/>
      <c r="B3772" s="207"/>
      <c r="N3772" s="4"/>
      <c r="O3772" s="256"/>
    </row>
    <row r="3773" spans="1:15">
      <c r="A3773" s="207"/>
      <c r="B3773" s="207"/>
      <c r="N3773" s="4"/>
      <c r="O3773" s="256"/>
    </row>
    <row r="3774" spans="1:15">
      <c r="A3774" s="207"/>
      <c r="B3774" s="207"/>
      <c r="N3774" s="4"/>
      <c r="O3774" s="256"/>
    </row>
    <row r="3775" spans="1:15">
      <c r="A3775" s="207"/>
      <c r="B3775" s="207"/>
      <c r="N3775" s="4"/>
      <c r="O3775" s="256"/>
    </row>
    <row r="3776" spans="1:15">
      <c r="A3776" s="207"/>
      <c r="B3776" s="207"/>
      <c r="N3776" s="4"/>
      <c r="O3776" s="256"/>
    </row>
    <row r="3777" spans="1:15">
      <c r="A3777" s="207"/>
      <c r="B3777" s="207"/>
      <c r="N3777" s="4"/>
      <c r="O3777" s="256"/>
    </row>
    <row r="3778" spans="1:15">
      <c r="A3778" s="207"/>
      <c r="B3778" s="207"/>
      <c r="N3778" s="4"/>
      <c r="O3778" s="256"/>
    </row>
    <row r="3779" spans="1:15">
      <c r="A3779" s="207"/>
      <c r="B3779" s="207"/>
      <c r="N3779" s="4"/>
      <c r="O3779" s="256"/>
    </row>
    <row r="3780" spans="1:15">
      <c r="A3780" s="207"/>
      <c r="B3780" s="207"/>
      <c r="N3780" s="4"/>
      <c r="O3780" s="256"/>
    </row>
    <row r="3781" spans="1:15">
      <c r="A3781" s="207"/>
      <c r="B3781" s="207"/>
      <c r="N3781" s="4"/>
      <c r="O3781" s="256"/>
    </row>
    <row r="3782" spans="1:15">
      <c r="A3782" s="207"/>
      <c r="B3782" s="207"/>
      <c r="N3782" s="4"/>
      <c r="O3782" s="256"/>
    </row>
    <row r="3783" spans="1:15">
      <c r="A3783" s="207"/>
      <c r="B3783" s="207"/>
      <c r="N3783" s="4"/>
      <c r="O3783" s="256"/>
    </row>
    <row r="3784" spans="1:15">
      <c r="A3784" s="207"/>
      <c r="B3784" s="207"/>
      <c r="N3784" s="4"/>
      <c r="O3784" s="256"/>
    </row>
    <row r="3785" spans="1:15">
      <c r="A3785" s="207"/>
      <c r="B3785" s="207"/>
      <c r="N3785" s="4"/>
      <c r="O3785" s="256"/>
    </row>
    <row r="3786" spans="1:15">
      <c r="A3786" s="207"/>
      <c r="B3786" s="207"/>
      <c r="N3786" s="4"/>
      <c r="O3786" s="256"/>
    </row>
    <row r="3787" spans="1:15">
      <c r="A3787" s="207"/>
      <c r="B3787" s="207"/>
      <c r="N3787" s="4"/>
      <c r="O3787" s="256"/>
    </row>
    <row r="3788" spans="1:15">
      <c r="A3788" s="207"/>
      <c r="B3788" s="207"/>
      <c r="N3788" s="4"/>
      <c r="O3788" s="256"/>
    </row>
    <row r="3789" spans="1:15">
      <c r="A3789" s="207"/>
      <c r="B3789" s="207"/>
      <c r="N3789" s="4"/>
      <c r="O3789" s="256"/>
    </row>
    <row r="3790" spans="1:15">
      <c r="A3790" s="207"/>
      <c r="B3790" s="207"/>
      <c r="N3790" s="4"/>
      <c r="O3790" s="256"/>
    </row>
    <row r="3791" spans="1:15">
      <c r="A3791" s="207"/>
      <c r="B3791" s="207"/>
      <c r="N3791" s="4"/>
      <c r="O3791" s="256"/>
    </row>
    <row r="3792" spans="1:15">
      <c r="A3792" s="207"/>
      <c r="B3792" s="207"/>
      <c r="N3792" s="4"/>
      <c r="O3792" s="256"/>
    </row>
    <row r="3793" spans="1:15">
      <c r="A3793" s="207"/>
      <c r="B3793" s="207"/>
      <c r="N3793" s="4"/>
      <c r="O3793" s="256"/>
    </row>
    <row r="3794" spans="1:15">
      <c r="A3794" s="207"/>
      <c r="B3794" s="207"/>
      <c r="N3794" s="4"/>
      <c r="O3794" s="256"/>
    </row>
    <row r="3795" spans="1:15">
      <c r="A3795" s="207"/>
      <c r="B3795" s="207"/>
      <c r="N3795" s="4"/>
      <c r="O3795" s="256"/>
    </row>
    <row r="3796" spans="1:15">
      <c r="A3796" s="207"/>
      <c r="B3796" s="207"/>
      <c r="N3796" s="4"/>
      <c r="O3796" s="256"/>
    </row>
    <row r="3797" spans="1:15">
      <c r="A3797" s="207"/>
      <c r="B3797" s="207"/>
      <c r="N3797" s="4"/>
      <c r="O3797" s="256"/>
    </row>
    <row r="3798" spans="1:15">
      <c r="A3798" s="207"/>
      <c r="B3798" s="207"/>
      <c r="N3798" s="4"/>
      <c r="O3798" s="256"/>
    </row>
    <row r="3799" spans="1:15">
      <c r="A3799" s="207"/>
      <c r="B3799" s="207"/>
      <c r="N3799" s="4"/>
      <c r="O3799" s="256"/>
    </row>
    <row r="3800" spans="1:15">
      <c r="A3800" s="207"/>
      <c r="B3800" s="207"/>
      <c r="N3800" s="4"/>
      <c r="O3800" s="256"/>
    </row>
    <row r="3801" spans="1:15">
      <c r="A3801" s="207"/>
      <c r="B3801" s="207"/>
      <c r="N3801" s="4"/>
      <c r="O3801" s="256"/>
    </row>
    <row r="3802" spans="1:15">
      <c r="A3802" s="207"/>
      <c r="B3802" s="207"/>
      <c r="N3802" s="4"/>
      <c r="O3802" s="256"/>
    </row>
    <row r="3803" spans="1:15">
      <c r="A3803" s="207"/>
      <c r="B3803" s="207"/>
      <c r="N3803" s="4"/>
      <c r="O3803" s="256"/>
    </row>
    <row r="3804" spans="1:15">
      <c r="A3804" s="207"/>
      <c r="B3804" s="207"/>
      <c r="N3804" s="4"/>
      <c r="O3804" s="256"/>
    </row>
    <row r="3805" spans="1:15">
      <c r="A3805" s="207"/>
      <c r="B3805" s="207"/>
      <c r="N3805" s="4"/>
      <c r="O3805" s="256"/>
    </row>
    <row r="3806" spans="1:15">
      <c r="A3806" s="207"/>
      <c r="B3806" s="207"/>
      <c r="N3806" s="4"/>
      <c r="O3806" s="256"/>
    </row>
    <row r="3807" spans="1:15">
      <c r="A3807" s="207"/>
      <c r="B3807" s="207"/>
      <c r="N3807" s="4"/>
      <c r="O3807" s="256"/>
    </row>
    <row r="3808" spans="1:15">
      <c r="A3808" s="207"/>
      <c r="B3808" s="207"/>
      <c r="N3808" s="4"/>
      <c r="O3808" s="256"/>
    </row>
    <row r="3809" spans="1:15">
      <c r="A3809" s="207"/>
      <c r="B3809" s="207"/>
      <c r="N3809" s="4"/>
      <c r="O3809" s="256"/>
    </row>
    <row r="3810" spans="1:15">
      <c r="A3810" s="207"/>
      <c r="B3810" s="207"/>
      <c r="N3810" s="4"/>
      <c r="O3810" s="256"/>
    </row>
    <row r="3811" spans="1:15">
      <c r="A3811" s="207"/>
      <c r="B3811" s="207"/>
      <c r="N3811" s="4"/>
      <c r="O3811" s="256"/>
    </row>
    <row r="3812" spans="1:15">
      <c r="A3812" s="207"/>
      <c r="B3812" s="207"/>
      <c r="N3812" s="4"/>
      <c r="O3812" s="256"/>
    </row>
    <row r="3813" spans="1:15">
      <c r="A3813" s="207"/>
      <c r="B3813" s="207"/>
      <c r="N3813" s="4"/>
      <c r="O3813" s="256"/>
    </row>
    <row r="3814" spans="1:15">
      <c r="A3814" s="207"/>
      <c r="B3814" s="207"/>
      <c r="N3814" s="4"/>
      <c r="O3814" s="256"/>
    </row>
    <row r="3815" spans="1:15">
      <c r="A3815" s="207"/>
      <c r="B3815" s="207"/>
      <c r="N3815" s="4"/>
      <c r="O3815" s="256"/>
    </row>
    <row r="3816" spans="1:15">
      <c r="A3816" s="207"/>
      <c r="B3816" s="207"/>
      <c r="N3816" s="4"/>
      <c r="O3816" s="256"/>
    </row>
    <row r="3817" spans="1:15">
      <c r="A3817" s="207"/>
      <c r="B3817" s="207"/>
      <c r="N3817" s="4"/>
      <c r="O3817" s="256"/>
    </row>
    <row r="3818" spans="1:15">
      <c r="A3818" s="207"/>
      <c r="B3818" s="207"/>
      <c r="N3818" s="4"/>
      <c r="O3818" s="256"/>
    </row>
    <row r="3819" spans="1:15">
      <c r="A3819" s="207"/>
      <c r="B3819" s="207"/>
      <c r="N3819" s="4"/>
      <c r="O3819" s="256"/>
    </row>
    <row r="3820" spans="1:15">
      <c r="A3820" s="207"/>
      <c r="B3820" s="207"/>
      <c r="N3820" s="4"/>
      <c r="O3820" s="256"/>
    </row>
    <row r="3821" spans="1:15">
      <c r="A3821" s="207"/>
      <c r="B3821" s="207"/>
      <c r="N3821" s="4"/>
      <c r="O3821" s="256"/>
    </row>
    <row r="3822" spans="1:15">
      <c r="A3822" s="207"/>
      <c r="B3822" s="207"/>
      <c r="N3822" s="4"/>
      <c r="O3822" s="256"/>
    </row>
    <row r="3823" spans="1:15">
      <c r="A3823" s="207"/>
      <c r="B3823" s="207"/>
      <c r="N3823" s="4"/>
      <c r="O3823" s="256"/>
    </row>
    <row r="3824" spans="1:15">
      <c r="A3824" s="207"/>
      <c r="B3824" s="207"/>
      <c r="N3824" s="4"/>
      <c r="O3824" s="256"/>
    </row>
    <row r="3825" spans="1:15">
      <c r="A3825" s="207"/>
      <c r="B3825" s="207"/>
      <c r="N3825" s="4"/>
      <c r="O3825" s="256"/>
    </row>
    <row r="3826" spans="1:15">
      <c r="A3826" s="207"/>
      <c r="B3826" s="207"/>
      <c r="N3826" s="4"/>
      <c r="O3826" s="256"/>
    </row>
    <row r="3827" spans="1:15">
      <c r="A3827" s="207"/>
      <c r="B3827" s="207"/>
      <c r="N3827" s="4"/>
      <c r="O3827" s="256"/>
    </row>
    <row r="3828" spans="1:15">
      <c r="A3828" s="207"/>
      <c r="B3828" s="207"/>
      <c r="N3828" s="4"/>
      <c r="O3828" s="256"/>
    </row>
    <row r="3829" spans="1:15">
      <c r="A3829" s="207"/>
      <c r="B3829" s="207"/>
      <c r="N3829" s="4"/>
      <c r="O3829" s="256"/>
    </row>
    <row r="3830" spans="1:15">
      <c r="A3830" s="207"/>
      <c r="B3830" s="207"/>
      <c r="N3830" s="4"/>
      <c r="O3830" s="256"/>
    </row>
    <row r="3831" spans="1:15">
      <c r="A3831" s="207"/>
      <c r="B3831" s="207"/>
      <c r="N3831" s="4"/>
      <c r="O3831" s="256"/>
    </row>
    <row r="3832" spans="1:15">
      <c r="A3832" s="207"/>
      <c r="B3832" s="207"/>
      <c r="N3832" s="4"/>
      <c r="O3832" s="256"/>
    </row>
    <row r="3833" spans="1:15">
      <c r="A3833" s="207"/>
      <c r="B3833" s="207"/>
      <c r="N3833" s="4"/>
      <c r="O3833" s="256"/>
    </row>
    <row r="3834" spans="1:15">
      <c r="A3834" s="207"/>
      <c r="B3834" s="207"/>
      <c r="N3834" s="4"/>
      <c r="O3834" s="256"/>
    </row>
    <row r="3835" spans="1:15">
      <c r="A3835" s="207"/>
      <c r="B3835" s="207"/>
      <c r="N3835" s="4"/>
      <c r="O3835" s="256"/>
    </row>
    <row r="3836" spans="1:15">
      <c r="A3836" s="207"/>
      <c r="B3836" s="207"/>
      <c r="N3836" s="4"/>
      <c r="O3836" s="256"/>
    </row>
    <row r="3837" spans="1:15">
      <c r="A3837" s="207"/>
      <c r="B3837" s="207"/>
      <c r="N3837" s="4"/>
      <c r="O3837" s="256"/>
    </row>
    <row r="3838" spans="1:15">
      <c r="A3838" s="207"/>
      <c r="B3838" s="207"/>
      <c r="N3838" s="4"/>
      <c r="O3838" s="256"/>
    </row>
    <row r="3839" spans="1:15">
      <c r="A3839" s="207"/>
      <c r="B3839" s="207"/>
      <c r="N3839" s="4"/>
      <c r="O3839" s="256"/>
    </row>
    <row r="3840" spans="1:15">
      <c r="A3840" s="207"/>
      <c r="B3840" s="207"/>
      <c r="N3840" s="4"/>
      <c r="O3840" s="256"/>
    </row>
    <row r="3841" spans="1:15">
      <c r="A3841" s="207"/>
      <c r="B3841" s="207"/>
      <c r="N3841" s="4"/>
      <c r="O3841" s="256"/>
    </row>
    <row r="3842" spans="1:15">
      <c r="A3842" s="207"/>
      <c r="B3842" s="207"/>
      <c r="N3842" s="4"/>
      <c r="O3842" s="256"/>
    </row>
    <row r="3843" spans="1:15">
      <c r="A3843" s="207"/>
      <c r="B3843" s="207"/>
      <c r="N3843" s="4"/>
      <c r="O3843" s="256"/>
    </row>
    <row r="3844" spans="1:15">
      <c r="A3844" s="207"/>
      <c r="B3844" s="207"/>
      <c r="N3844" s="4"/>
      <c r="O3844" s="256"/>
    </row>
    <row r="3845" spans="1:15">
      <c r="A3845" s="207"/>
      <c r="B3845" s="207"/>
      <c r="N3845" s="4"/>
      <c r="O3845" s="256"/>
    </row>
    <row r="3846" spans="1:15">
      <c r="A3846" s="207"/>
      <c r="B3846" s="207"/>
      <c r="N3846" s="4"/>
      <c r="O3846" s="256"/>
    </row>
    <row r="3847" spans="1:15">
      <c r="A3847" s="207"/>
      <c r="B3847" s="207"/>
      <c r="N3847" s="4"/>
      <c r="O3847" s="256"/>
    </row>
    <row r="3848" spans="1:15">
      <c r="A3848" s="207"/>
      <c r="B3848" s="207"/>
      <c r="N3848" s="4"/>
      <c r="O3848" s="256"/>
    </row>
    <row r="3849" spans="1:15">
      <c r="A3849" s="207"/>
      <c r="B3849" s="207"/>
      <c r="N3849" s="4"/>
      <c r="O3849" s="256"/>
    </row>
    <row r="3850" spans="1:15">
      <c r="A3850" s="207"/>
      <c r="B3850" s="207"/>
      <c r="N3850" s="4"/>
      <c r="O3850" s="256"/>
    </row>
    <row r="3851" spans="1:15">
      <c r="A3851" s="207"/>
      <c r="B3851" s="207"/>
      <c r="N3851" s="4"/>
      <c r="O3851" s="256"/>
    </row>
    <row r="3852" spans="1:15">
      <c r="A3852" s="207"/>
      <c r="B3852" s="207"/>
      <c r="N3852" s="4"/>
      <c r="O3852" s="256"/>
    </row>
    <row r="3853" spans="1:15">
      <c r="A3853" s="207"/>
      <c r="B3853" s="207"/>
      <c r="N3853" s="4"/>
      <c r="O3853" s="256"/>
    </row>
    <row r="3854" spans="1:15">
      <c r="A3854" s="207"/>
      <c r="B3854" s="207"/>
      <c r="N3854" s="4"/>
      <c r="O3854" s="256"/>
    </row>
    <row r="3855" spans="1:15">
      <c r="A3855" s="207"/>
      <c r="B3855" s="207"/>
      <c r="N3855" s="4"/>
      <c r="O3855" s="256"/>
    </row>
    <row r="3856" spans="1:15">
      <c r="A3856" s="207"/>
      <c r="B3856" s="207"/>
      <c r="N3856" s="4"/>
      <c r="O3856" s="256"/>
    </row>
    <row r="3857" spans="1:15">
      <c r="A3857" s="207"/>
      <c r="B3857" s="207"/>
      <c r="N3857" s="4"/>
      <c r="O3857" s="256"/>
    </row>
    <row r="3858" spans="1:15">
      <c r="A3858" s="207"/>
      <c r="B3858" s="207"/>
      <c r="N3858" s="4"/>
      <c r="O3858" s="256"/>
    </row>
    <row r="3859" spans="1:15">
      <c r="A3859" s="207"/>
      <c r="B3859" s="207"/>
      <c r="N3859" s="4"/>
      <c r="O3859" s="256"/>
    </row>
    <row r="3860" spans="1:15">
      <c r="A3860" s="207"/>
      <c r="B3860" s="207"/>
      <c r="N3860" s="4"/>
      <c r="O3860" s="256"/>
    </row>
    <row r="3861" spans="1:15">
      <c r="A3861" s="207"/>
      <c r="B3861" s="207"/>
      <c r="N3861" s="4"/>
      <c r="O3861" s="256"/>
    </row>
    <row r="3862" spans="1:15">
      <c r="A3862" s="207"/>
      <c r="B3862" s="207"/>
      <c r="N3862" s="4"/>
      <c r="O3862" s="256"/>
    </row>
    <row r="3863" spans="1:15">
      <c r="A3863" s="207"/>
      <c r="B3863" s="207"/>
      <c r="N3863" s="4"/>
      <c r="O3863" s="256"/>
    </row>
    <row r="3864" spans="1:15">
      <c r="A3864" s="207"/>
      <c r="B3864" s="207"/>
      <c r="N3864" s="4"/>
      <c r="O3864" s="256"/>
    </row>
    <row r="3865" spans="1:15">
      <c r="A3865" s="207"/>
      <c r="B3865" s="207"/>
      <c r="N3865" s="4"/>
      <c r="O3865" s="256"/>
    </row>
    <row r="3866" spans="1:15">
      <c r="A3866" s="207"/>
      <c r="B3866" s="207"/>
      <c r="N3866" s="4"/>
      <c r="O3866" s="256"/>
    </row>
    <row r="3867" spans="1:15">
      <c r="A3867" s="207"/>
      <c r="B3867" s="207"/>
      <c r="N3867" s="4"/>
      <c r="O3867" s="256"/>
    </row>
    <row r="3868" spans="1:15">
      <c r="A3868" s="207"/>
      <c r="B3868" s="207"/>
      <c r="N3868" s="4"/>
      <c r="O3868" s="256"/>
    </row>
    <row r="3869" spans="1:15">
      <c r="A3869" s="207"/>
      <c r="B3869" s="207"/>
      <c r="N3869" s="4"/>
      <c r="O3869" s="256"/>
    </row>
    <row r="3870" spans="1:15">
      <c r="A3870" s="207"/>
      <c r="B3870" s="207"/>
      <c r="N3870" s="4"/>
      <c r="O3870" s="256"/>
    </row>
    <row r="3871" spans="1:15">
      <c r="A3871" s="207"/>
      <c r="B3871" s="207"/>
      <c r="N3871" s="4"/>
      <c r="O3871" s="256"/>
    </row>
    <row r="3872" spans="1:15">
      <c r="A3872" s="207"/>
      <c r="B3872" s="207"/>
      <c r="N3872" s="4"/>
      <c r="O3872" s="256"/>
    </row>
    <row r="3873" spans="1:15">
      <c r="A3873" s="207"/>
      <c r="B3873" s="207"/>
      <c r="N3873" s="4"/>
      <c r="O3873" s="256"/>
    </row>
    <row r="3874" spans="1:15">
      <c r="A3874" s="207"/>
      <c r="B3874" s="207"/>
      <c r="N3874" s="4"/>
      <c r="O3874" s="256"/>
    </row>
    <row r="3875" spans="1:15">
      <c r="A3875" s="207"/>
      <c r="B3875" s="207"/>
      <c r="N3875" s="4"/>
      <c r="O3875" s="256"/>
    </row>
    <row r="3876" spans="1:15">
      <c r="A3876" s="207"/>
      <c r="B3876" s="207"/>
      <c r="N3876" s="4"/>
      <c r="O3876" s="256"/>
    </row>
    <row r="3877" spans="1:15">
      <c r="A3877" s="207"/>
      <c r="B3877" s="207"/>
      <c r="N3877" s="4"/>
      <c r="O3877" s="256"/>
    </row>
    <row r="3878" spans="1:15">
      <c r="A3878" s="207"/>
      <c r="B3878" s="207"/>
      <c r="N3878" s="4"/>
      <c r="O3878" s="256"/>
    </row>
    <row r="3879" spans="1:15">
      <c r="A3879" s="207"/>
      <c r="B3879" s="207"/>
      <c r="N3879" s="4"/>
      <c r="O3879" s="256"/>
    </row>
    <row r="3880" spans="1:15">
      <c r="A3880" s="207"/>
      <c r="B3880" s="207"/>
      <c r="N3880" s="4"/>
      <c r="O3880" s="256"/>
    </row>
    <row r="3881" spans="1:15">
      <c r="A3881" s="207"/>
      <c r="B3881" s="207"/>
      <c r="N3881" s="4"/>
      <c r="O3881" s="256"/>
    </row>
    <row r="3882" spans="1:15">
      <c r="A3882" s="207"/>
      <c r="B3882" s="207"/>
      <c r="N3882" s="4"/>
      <c r="O3882" s="256"/>
    </row>
    <row r="3883" spans="1:15">
      <c r="A3883" s="207"/>
      <c r="B3883" s="207"/>
      <c r="N3883" s="4"/>
      <c r="O3883" s="256"/>
    </row>
    <row r="3884" spans="1:15">
      <c r="A3884" s="207"/>
      <c r="B3884" s="207"/>
      <c r="N3884" s="4"/>
      <c r="O3884" s="256"/>
    </row>
    <row r="3885" spans="1:15">
      <c r="A3885" s="207"/>
      <c r="B3885" s="207"/>
      <c r="N3885" s="4"/>
      <c r="O3885" s="256"/>
    </row>
    <row r="3886" spans="1:15">
      <c r="A3886" s="207"/>
      <c r="B3886" s="207"/>
      <c r="N3886" s="4"/>
      <c r="O3886" s="256"/>
    </row>
    <row r="3887" spans="1:15">
      <c r="A3887" s="207"/>
      <c r="B3887" s="207"/>
      <c r="N3887" s="4"/>
      <c r="O3887" s="256"/>
    </row>
    <row r="3888" spans="1:15">
      <c r="A3888" s="207"/>
      <c r="B3888" s="207"/>
      <c r="N3888" s="4"/>
      <c r="O3888" s="256"/>
    </row>
    <row r="3889" spans="1:15">
      <c r="A3889" s="207"/>
      <c r="B3889" s="207"/>
      <c r="N3889" s="4"/>
      <c r="O3889" s="256"/>
    </row>
    <row r="3890" spans="1:15">
      <c r="A3890" s="207"/>
      <c r="B3890" s="207"/>
      <c r="N3890" s="4"/>
      <c r="O3890" s="256"/>
    </row>
    <row r="3891" spans="1:15">
      <c r="A3891" s="207"/>
      <c r="B3891" s="207"/>
      <c r="N3891" s="4"/>
      <c r="O3891" s="256"/>
    </row>
    <row r="3892" spans="1:15">
      <c r="A3892" s="207"/>
      <c r="B3892" s="207"/>
      <c r="N3892" s="4"/>
      <c r="O3892" s="256"/>
    </row>
    <row r="3893" spans="1:15">
      <c r="A3893" s="207"/>
      <c r="B3893" s="207"/>
      <c r="N3893" s="4"/>
      <c r="O3893" s="256"/>
    </row>
    <row r="3894" spans="1:15">
      <c r="A3894" s="207"/>
      <c r="B3894" s="207"/>
      <c r="N3894" s="4"/>
      <c r="O3894" s="256"/>
    </row>
    <row r="3895" spans="1:15">
      <c r="A3895" s="207"/>
      <c r="B3895" s="207"/>
      <c r="N3895" s="4"/>
      <c r="O3895" s="256"/>
    </row>
    <row r="3896" spans="1:15">
      <c r="A3896" s="207"/>
      <c r="B3896" s="207"/>
      <c r="N3896" s="4"/>
      <c r="O3896" s="256"/>
    </row>
    <row r="3897" spans="1:15">
      <c r="A3897" s="207"/>
      <c r="B3897" s="207"/>
      <c r="N3897" s="4"/>
      <c r="O3897" s="256"/>
    </row>
    <row r="3898" spans="1:15">
      <c r="A3898" s="207"/>
      <c r="B3898" s="207"/>
      <c r="N3898" s="4"/>
      <c r="O3898" s="256"/>
    </row>
    <row r="3899" spans="1:15">
      <c r="A3899" s="207"/>
      <c r="B3899" s="207"/>
      <c r="N3899" s="4"/>
      <c r="O3899" s="256"/>
    </row>
    <row r="3900" spans="1:15">
      <c r="A3900" s="207"/>
      <c r="B3900" s="207"/>
      <c r="N3900" s="4"/>
      <c r="O3900" s="256"/>
    </row>
    <row r="3901" spans="1:15">
      <c r="A3901" s="207"/>
      <c r="B3901" s="207"/>
      <c r="N3901" s="4"/>
      <c r="O3901" s="256"/>
    </row>
    <row r="3902" spans="1:15">
      <c r="A3902" s="207"/>
      <c r="B3902" s="207"/>
      <c r="N3902" s="4"/>
      <c r="O3902" s="256"/>
    </row>
    <row r="3903" spans="1:15">
      <c r="A3903" s="207"/>
      <c r="B3903" s="207"/>
      <c r="N3903" s="4"/>
      <c r="O3903" s="256"/>
    </row>
    <row r="3904" spans="1:15">
      <c r="A3904" s="207"/>
      <c r="B3904" s="207"/>
      <c r="N3904" s="4"/>
      <c r="O3904" s="256"/>
    </row>
    <row r="3905" spans="1:15">
      <c r="A3905" s="207"/>
      <c r="B3905" s="207"/>
      <c r="N3905" s="4"/>
      <c r="O3905" s="256"/>
    </row>
    <row r="3906" spans="1:15">
      <c r="A3906" s="207"/>
      <c r="B3906" s="207"/>
      <c r="N3906" s="4"/>
      <c r="O3906" s="256"/>
    </row>
    <row r="3907" spans="1:15">
      <c r="A3907" s="207"/>
      <c r="B3907" s="207"/>
      <c r="N3907" s="4"/>
      <c r="O3907" s="256"/>
    </row>
    <row r="3908" spans="1:15">
      <c r="A3908" s="207"/>
      <c r="B3908" s="207"/>
      <c r="N3908" s="4"/>
      <c r="O3908" s="256"/>
    </row>
    <row r="3909" spans="1:15">
      <c r="A3909" s="207"/>
      <c r="B3909" s="207"/>
      <c r="N3909" s="4"/>
      <c r="O3909" s="256"/>
    </row>
    <row r="3910" spans="1:15">
      <c r="A3910" s="207"/>
      <c r="B3910" s="207"/>
      <c r="N3910" s="4"/>
      <c r="O3910" s="256"/>
    </row>
    <row r="3911" spans="1:15">
      <c r="A3911" s="207"/>
      <c r="B3911" s="207"/>
      <c r="N3911" s="4"/>
      <c r="O3911" s="256"/>
    </row>
    <row r="3912" spans="1:15">
      <c r="A3912" s="207"/>
      <c r="B3912" s="207"/>
      <c r="N3912" s="4"/>
      <c r="O3912" s="256"/>
    </row>
    <row r="3913" spans="1:15">
      <c r="A3913" s="207"/>
      <c r="B3913" s="207"/>
      <c r="N3913" s="4"/>
      <c r="O3913" s="256"/>
    </row>
    <row r="3914" spans="1:15">
      <c r="A3914" s="207"/>
      <c r="B3914" s="207"/>
      <c r="N3914" s="4"/>
      <c r="O3914" s="256"/>
    </row>
    <row r="3915" spans="1:15">
      <c r="A3915" s="207"/>
      <c r="B3915" s="207"/>
      <c r="N3915" s="4"/>
      <c r="O3915" s="256"/>
    </row>
    <row r="3916" spans="1:15">
      <c r="A3916" s="207"/>
      <c r="B3916" s="207"/>
      <c r="N3916" s="4"/>
      <c r="O3916" s="256"/>
    </row>
    <row r="3917" spans="1:15">
      <c r="A3917" s="207"/>
      <c r="B3917" s="207"/>
      <c r="N3917" s="4"/>
      <c r="O3917" s="256"/>
    </row>
    <row r="3918" spans="1:15">
      <c r="A3918" s="207"/>
      <c r="B3918" s="207"/>
      <c r="N3918" s="4"/>
      <c r="O3918" s="256"/>
    </row>
    <row r="3919" spans="1:15">
      <c r="A3919" s="207"/>
      <c r="B3919" s="207"/>
      <c r="N3919" s="4"/>
      <c r="O3919" s="256"/>
    </row>
    <row r="3920" spans="1:15">
      <c r="A3920" s="207"/>
      <c r="B3920" s="207"/>
      <c r="N3920" s="4"/>
      <c r="O3920" s="256"/>
    </row>
    <row r="3921" spans="1:15">
      <c r="A3921" s="207"/>
      <c r="B3921" s="207"/>
      <c r="N3921" s="4"/>
      <c r="O3921" s="256"/>
    </row>
    <row r="3922" spans="1:15">
      <c r="A3922" s="207"/>
      <c r="B3922" s="207"/>
      <c r="N3922" s="4"/>
      <c r="O3922" s="256"/>
    </row>
    <row r="3923" spans="1:15">
      <c r="A3923" s="207"/>
      <c r="B3923" s="207"/>
      <c r="N3923" s="4"/>
      <c r="O3923" s="256"/>
    </row>
    <row r="3924" spans="1:15">
      <c r="A3924" s="207"/>
      <c r="B3924" s="207"/>
      <c r="N3924" s="4"/>
      <c r="O3924" s="256"/>
    </row>
    <row r="3925" spans="1:15">
      <c r="A3925" s="207"/>
      <c r="B3925" s="207"/>
      <c r="N3925" s="4"/>
      <c r="O3925" s="256"/>
    </row>
    <row r="3926" spans="1:15">
      <c r="A3926" s="207"/>
      <c r="B3926" s="207"/>
      <c r="N3926" s="4"/>
      <c r="O3926" s="256"/>
    </row>
    <row r="3927" spans="1:15">
      <c r="A3927" s="207"/>
      <c r="B3927" s="207"/>
      <c r="N3927" s="4"/>
      <c r="O3927" s="256"/>
    </row>
    <row r="3928" spans="1:15">
      <c r="A3928" s="207"/>
      <c r="B3928" s="207"/>
      <c r="N3928" s="4"/>
      <c r="O3928" s="256"/>
    </row>
    <row r="3929" spans="1:15">
      <c r="A3929" s="207"/>
      <c r="B3929" s="207"/>
      <c r="N3929" s="4"/>
      <c r="O3929" s="256"/>
    </row>
    <row r="3930" spans="1:15">
      <c r="A3930" s="207"/>
      <c r="B3930" s="207"/>
      <c r="N3930" s="4"/>
      <c r="O3930" s="256"/>
    </row>
    <row r="3931" spans="1:15">
      <c r="A3931" s="207"/>
      <c r="B3931" s="207"/>
      <c r="N3931" s="4"/>
      <c r="O3931" s="256"/>
    </row>
    <row r="3932" spans="1:15">
      <c r="A3932" s="207"/>
      <c r="B3932" s="207"/>
      <c r="N3932" s="4"/>
      <c r="O3932" s="256"/>
    </row>
    <row r="3933" spans="1:15">
      <c r="A3933" s="207"/>
      <c r="B3933" s="207"/>
      <c r="N3933" s="4"/>
      <c r="O3933" s="256"/>
    </row>
    <row r="3934" spans="1:15">
      <c r="A3934" s="207"/>
      <c r="B3934" s="207"/>
      <c r="N3934" s="4"/>
      <c r="O3934" s="256"/>
    </row>
    <row r="3935" spans="1:15">
      <c r="A3935" s="207"/>
      <c r="B3935" s="207"/>
      <c r="N3935" s="4"/>
      <c r="O3935" s="256"/>
    </row>
    <row r="3936" spans="1:15">
      <c r="A3936" s="207"/>
      <c r="B3936" s="207"/>
      <c r="N3936" s="4"/>
      <c r="O3936" s="256"/>
    </row>
    <row r="3937" spans="1:15">
      <c r="A3937" s="207"/>
      <c r="B3937" s="207"/>
      <c r="N3937" s="4"/>
      <c r="O3937" s="256"/>
    </row>
    <row r="3938" spans="1:15">
      <c r="A3938" s="207"/>
      <c r="B3938" s="207"/>
      <c r="N3938" s="4"/>
      <c r="O3938" s="256"/>
    </row>
    <row r="3939" spans="1:15">
      <c r="A3939" s="207"/>
      <c r="B3939" s="207"/>
      <c r="N3939" s="4"/>
      <c r="O3939" s="256"/>
    </row>
    <row r="3940" spans="1:15">
      <c r="A3940" s="207"/>
      <c r="B3940" s="207"/>
      <c r="N3940" s="4"/>
      <c r="O3940" s="256"/>
    </row>
    <row r="3941" spans="1:15">
      <c r="A3941" s="207"/>
      <c r="B3941" s="207"/>
      <c r="N3941" s="4"/>
      <c r="O3941" s="256"/>
    </row>
    <row r="3942" spans="1:15">
      <c r="A3942" s="207"/>
      <c r="B3942" s="207"/>
      <c r="N3942" s="4"/>
      <c r="O3942" s="256"/>
    </row>
    <row r="3943" spans="1:15">
      <c r="A3943" s="207"/>
      <c r="B3943" s="207"/>
      <c r="N3943" s="4"/>
      <c r="O3943" s="256"/>
    </row>
    <row r="3944" spans="1:15">
      <c r="A3944" s="207"/>
      <c r="B3944" s="207"/>
      <c r="N3944" s="4"/>
      <c r="O3944" s="256"/>
    </row>
    <row r="3945" spans="1:15">
      <c r="A3945" s="207"/>
      <c r="B3945" s="207"/>
      <c r="N3945" s="4"/>
      <c r="O3945" s="256"/>
    </row>
    <row r="3946" spans="1:15">
      <c r="A3946" s="207"/>
      <c r="B3946" s="207"/>
      <c r="N3946" s="4"/>
      <c r="O3946" s="256"/>
    </row>
    <row r="3947" spans="1:15">
      <c r="A3947" s="207"/>
      <c r="B3947" s="207"/>
      <c r="N3947" s="4"/>
      <c r="O3947" s="256"/>
    </row>
    <row r="3948" spans="1:15">
      <c r="A3948" s="207"/>
      <c r="B3948" s="207"/>
      <c r="N3948" s="4"/>
      <c r="O3948" s="256"/>
    </row>
    <row r="3949" spans="1:15">
      <c r="A3949" s="207"/>
      <c r="B3949" s="207"/>
      <c r="N3949" s="4"/>
      <c r="O3949" s="256"/>
    </row>
    <row r="3950" spans="1:15">
      <c r="A3950" s="207"/>
      <c r="B3950" s="207"/>
      <c r="N3950" s="4"/>
      <c r="O3950" s="256"/>
    </row>
    <row r="3951" spans="1:15">
      <c r="A3951" s="207"/>
      <c r="B3951" s="207"/>
      <c r="N3951" s="4"/>
      <c r="O3951" s="256"/>
    </row>
    <row r="3952" spans="1:15">
      <c r="A3952" s="207"/>
      <c r="B3952" s="207"/>
      <c r="N3952" s="4"/>
      <c r="O3952" s="256"/>
    </row>
    <row r="3953" spans="1:15">
      <c r="A3953" s="207"/>
      <c r="B3953" s="207"/>
      <c r="N3953" s="4"/>
      <c r="O3953" s="256"/>
    </row>
    <row r="3954" spans="1:15">
      <c r="A3954" s="207"/>
      <c r="B3954" s="207"/>
      <c r="N3954" s="4"/>
      <c r="O3954" s="256"/>
    </row>
    <row r="3955" spans="1:15">
      <c r="A3955" s="207"/>
      <c r="B3955" s="207"/>
      <c r="N3955" s="4"/>
      <c r="O3955" s="256"/>
    </row>
    <row r="3956" spans="1:15">
      <c r="A3956" s="207"/>
      <c r="B3956" s="207"/>
      <c r="N3956" s="4"/>
      <c r="O3956" s="256"/>
    </row>
    <row r="3957" spans="1:15">
      <c r="A3957" s="207"/>
      <c r="B3957" s="207"/>
      <c r="N3957" s="4"/>
      <c r="O3957" s="256"/>
    </row>
    <row r="3958" spans="1:15">
      <c r="A3958" s="207"/>
      <c r="B3958" s="207"/>
      <c r="N3958" s="4"/>
      <c r="O3958" s="256"/>
    </row>
    <row r="3959" spans="1:15">
      <c r="A3959" s="207"/>
      <c r="B3959" s="207"/>
      <c r="N3959" s="4"/>
      <c r="O3959" s="256"/>
    </row>
    <row r="3960" spans="1:15">
      <c r="A3960" s="207"/>
      <c r="B3960" s="207"/>
      <c r="N3960" s="4"/>
      <c r="O3960" s="256"/>
    </row>
    <row r="3961" spans="1:15">
      <c r="A3961" s="207"/>
      <c r="B3961" s="207"/>
      <c r="N3961" s="4"/>
      <c r="O3961" s="256"/>
    </row>
    <row r="3962" spans="1:15">
      <c r="A3962" s="207"/>
      <c r="B3962" s="207"/>
      <c r="N3962" s="4"/>
      <c r="O3962" s="256"/>
    </row>
    <row r="3963" spans="1:15">
      <c r="A3963" s="207"/>
      <c r="B3963" s="207"/>
      <c r="N3963" s="4"/>
      <c r="O3963" s="256"/>
    </row>
    <row r="3964" spans="1:15">
      <c r="A3964" s="207"/>
      <c r="B3964" s="207"/>
      <c r="N3964" s="4"/>
      <c r="O3964" s="256"/>
    </row>
    <row r="3965" spans="1:15">
      <c r="A3965" s="207"/>
      <c r="B3965" s="207"/>
      <c r="N3965" s="4"/>
      <c r="O3965" s="256"/>
    </row>
    <row r="3966" spans="1:15">
      <c r="A3966" s="207"/>
      <c r="B3966" s="207"/>
      <c r="N3966" s="4"/>
      <c r="O3966" s="256"/>
    </row>
    <row r="3967" spans="1:15">
      <c r="A3967" s="207"/>
      <c r="B3967" s="207"/>
      <c r="N3967" s="4"/>
      <c r="O3967" s="256"/>
    </row>
    <row r="3968" spans="1:15">
      <c r="A3968" s="207"/>
      <c r="B3968" s="207"/>
      <c r="N3968" s="4"/>
      <c r="O3968" s="256"/>
    </row>
    <row r="3969" spans="1:15">
      <c r="A3969" s="207"/>
      <c r="B3969" s="207"/>
      <c r="N3969" s="4"/>
      <c r="O3969" s="256"/>
    </row>
    <row r="3970" spans="1:15">
      <c r="A3970" s="207"/>
      <c r="B3970" s="207"/>
      <c r="N3970" s="4"/>
      <c r="O3970" s="256"/>
    </row>
    <row r="3971" spans="1:15">
      <c r="A3971" s="207"/>
      <c r="B3971" s="207"/>
      <c r="N3971" s="4"/>
      <c r="O3971" s="256"/>
    </row>
    <row r="3972" spans="1:15">
      <c r="A3972" s="207"/>
      <c r="B3972" s="207"/>
      <c r="N3972" s="4"/>
      <c r="O3972" s="256"/>
    </row>
    <row r="3973" spans="1:15">
      <c r="A3973" s="207"/>
      <c r="B3973" s="207"/>
      <c r="N3973" s="4"/>
      <c r="O3973" s="256"/>
    </row>
    <row r="3974" spans="1:15">
      <c r="A3974" s="207"/>
      <c r="B3974" s="207"/>
      <c r="N3974" s="4"/>
      <c r="O3974" s="256"/>
    </row>
    <row r="3975" spans="1:15">
      <c r="A3975" s="207"/>
      <c r="B3975" s="207"/>
      <c r="N3975" s="4"/>
      <c r="O3975" s="256"/>
    </row>
    <row r="3976" spans="1:15">
      <c r="A3976" s="207"/>
      <c r="B3976" s="207"/>
      <c r="N3976" s="4"/>
      <c r="O3976" s="256"/>
    </row>
    <row r="3977" spans="1:15">
      <c r="A3977" s="207"/>
      <c r="B3977" s="207"/>
      <c r="N3977" s="4"/>
      <c r="O3977" s="256"/>
    </row>
    <row r="3978" spans="1:15">
      <c r="A3978" s="207"/>
      <c r="B3978" s="207"/>
      <c r="N3978" s="4"/>
      <c r="O3978" s="256"/>
    </row>
    <row r="3979" spans="1:15">
      <c r="A3979" s="207"/>
      <c r="B3979" s="207"/>
      <c r="N3979" s="4"/>
      <c r="O3979" s="256"/>
    </row>
    <row r="3980" spans="1:15">
      <c r="A3980" s="207"/>
      <c r="B3980" s="207"/>
      <c r="N3980" s="4"/>
      <c r="O3980" s="256"/>
    </row>
    <row r="3981" spans="1:15">
      <c r="A3981" s="207"/>
      <c r="B3981" s="207"/>
      <c r="N3981" s="4"/>
      <c r="O3981" s="256"/>
    </row>
    <row r="3982" spans="1:15">
      <c r="A3982" s="207"/>
      <c r="B3982" s="207"/>
      <c r="N3982" s="4"/>
      <c r="O3982" s="256"/>
    </row>
    <row r="3983" spans="1:15">
      <c r="A3983" s="207"/>
      <c r="B3983" s="207"/>
      <c r="N3983" s="4"/>
      <c r="O3983" s="256"/>
    </row>
    <row r="3984" spans="1:15">
      <c r="A3984" s="207"/>
      <c r="B3984" s="207"/>
      <c r="N3984" s="4"/>
      <c r="O3984" s="256"/>
    </row>
    <row r="3985" spans="1:15">
      <c r="A3985" s="207"/>
      <c r="B3985" s="207"/>
      <c r="N3985" s="4"/>
      <c r="O3985" s="256"/>
    </row>
    <row r="3986" spans="1:15">
      <c r="A3986" s="207"/>
      <c r="B3986" s="207"/>
      <c r="N3986" s="4"/>
      <c r="O3986" s="256"/>
    </row>
    <row r="3987" spans="1:15">
      <c r="A3987" s="207"/>
      <c r="B3987" s="207"/>
      <c r="N3987" s="4"/>
      <c r="O3987" s="256"/>
    </row>
    <row r="3988" spans="1:15">
      <c r="A3988" s="207"/>
      <c r="B3988" s="207"/>
      <c r="N3988" s="4"/>
      <c r="O3988" s="256"/>
    </row>
    <row r="3989" spans="1:15">
      <c r="A3989" s="207"/>
      <c r="B3989" s="207"/>
      <c r="N3989" s="4"/>
      <c r="O3989" s="256"/>
    </row>
    <row r="3990" spans="1:15">
      <c r="A3990" s="207"/>
      <c r="B3990" s="207"/>
      <c r="N3990" s="4"/>
      <c r="O3990" s="256"/>
    </row>
    <row r="3991" spans="1:15">
      <c r="A3991" s="207"/>
      <c r="B3991" s="207"/>
      <c r="N3991" s="4"/>
      <c r="O3991" s="256"/>
    </row>
    <row r="3992" spans="1:15">
      <c r="A3992" s="207"/>
      <c r="B3992" s="207"/>
      <c r="N3992" s="4"/>
      <c r="O3992" s="256"/>
    </row>
    <row r="3993" spans="1:15">
      <c r="A3993" s="207"/>
      <c r="B3993" s="207"/>
      <c r="N3993" s="4"/>
      <c r="O3993" s="256"/>
    </row>
    <row r="3994" spans="1:15">
      <c r="A3994" s="207"/>
      <c r="B3994" s="207"/>
      <c r="N3994" s="4"/>
      <c r="O3994" s="256"/>
    </row>
    <row r="3995" spans="1:15">
      <c r="A3995" s="207"/>
      <c r="B3995" s="207"/>
      <c r="N3995" s="4"/>
      <c r="O3995" s="256"/>
    </row>
    <row r="3996" spans="1:15">
      <c r="A3996" s="207"/>
      <c r="B3996" s="207"/>
      <c r="N3996" s="4"/>
      <c r="O3996" s="256"/>
    </row>
    <row r="3997" spans="1:15">
      <c r="A3997" s="207"/>
      <c r="B3997" s="207"/>
      <c r="N3997" s="4"/>
      <c r="O3997" s="256"/>
    </row>
    <row r="3998" spans="1:15">
      <c r="A3998" s="207"/>
      <c r="B3998" s="207"/>
      <c r="N3998" s="4"/>
      <c r="O3998" s="256"/>
    </row>
    <row r="3999" spans="1:15">
      <c r="A3999" s="207"/>
      <c r="B3999" s="207"/>
      <c r="N3999" s="4"/>
      <c r="O3999" s="256"/>
    </row>
    <row r="4000" spans="1:15">
      <c r="A4000" s="207"/>
      <c r="B4000" s="207"/>
      <c r="N4000" s="4"/>
      <c r="O4000" s="256"/>
    </row>
    <row r="4001" spans="1:15">
      <c r="A4001" s="207"/>
      <c r="B4001" s="207"/>
      <c r="N4001" s="4"/>
      <c r="O4001" s="256"/>
    </row>
    <row r="4002" spans="1:15">
      <c r="A4002" s="207"/>
      <c r="B4002" s="207"/>
      <c r="N4002" s="4"/>
      <c r="O4002" s="256"/>
    </row>
    <row r="4003" spans="1:15">
      <c r="A4003" s="207"/>
      <c r="B4003" s="207"/>
      <c r="N4003" s="4"/>
      <c r="O4003" s="256"/>
    </row>
    <row r="4004" spans="1:15">
      <c r="A4004" s="207"/>
      <c r="B4004" s="207"/>
      <c r="N4004" s="4"/>
      <c r="O4004" s="256"/>
    </row>
    <row r="4005" spans="1:15">
      <c r="A4005" s="207"/>
      <c r="B4005" s="207"/>
      <c r="N4005" s="4"/>
      <c r="O4005" s="256"/>
    </row>
    <row r="4006" spans="1:15">
      <c r="A4006" s="207"/>
      <c r="B4006" s="207"/>
      <c r="N4006" s="4"/>
      <c r="O4006" s="256"/>
    </row>
    <row r="4007" spans="1:15">
      <c r="A4007" s="207"/>
      <c r="B4007" s="207"/>
      <c r="N4007" s="4"/>
      <c r="O4007" s="256"/>
    </row>
    <row r="4008" spans="1:15">
      <c r="A4008" s="207"/>
      <c r="B4008" s="207"/>
      <c r="N4008" s="4"/>
      <c r="O4008" s="256"/>
    </row>
    <row r="4009" spans="1:15">
      <c r="A4009" s="207"/>
      <c r="B4009" s="207"/>
      <c r="N4009" s="4"/>
      <c r="O4009" s="256"/>
    </row>
    <row r="4010" spans="1:15">
      <c r="A4010" s="207"/>
      <c r="B4010" s="207"/>
      <c r="N4010" s="4"/>
      <c r="O4010" s="256"/>
    </row>
    <row r="4011" spans="1:15">
      <c r="A4011" s="207"/>
      <c r="B4011" s="207"/>
      <c r="N4011" s="4"/>
      <c r="O4011" s="256"/>
    </row>
    <row r="4012" spans="1:15">
      <c r="A4012" s="207"/>
      <c r="B4012" s="207"/>
      <c r="N4012" s="4"/>
      <c r="O4012" s="256"/>
    </row>
    <row r="4013" spans="1:15">
      <c r="A4013" s="207"/>
      <c r="B4013" s="207"/>
      <c r="N4013" s="4"/>
      <c r="O4013" s="256"/>
    </row>
    <row r="4014" spans="1:15">
      <c r="A4014" s="207"/>
      <c r="B4014" s="207"/>
      <c r="N4014" s="4"/>
      <c r="O4014" s="256"/>
    </row>
    <row r="4015" spans="1:15">
      <c r="A4015" s="207"/>
      <c r="B4015" s="207"/>
      <c r="N4015" s="4"/>
      <c r="O4015" s="256"/>
    </row>
    <row r="4016" spans="1:15">
      <c r="A4016" s="207"/>
      <c r="B4016" s="207"/>
      <c r="N4016" s="4"/>
      <c r="O4016" s="256"/>
    </row>
    <row r="4017" spans="1:15">
      <c r="A4017" s="207"/>
      <c r="B4017" s="207"/>
      <c r="N4017" s="4"/>
      <c r="O4017" s="256"/>
    </row>
    <row r="4018" spans="1:15">
      <c r="A4018" s="207"/>
      <c r="B4018" s="207"/>
      <c r="N4018" s="4"/>
      <c r="O4018" s="256"/>
    </row>
    <row r="4019" spans="1:15">
      <c r="A4019" s="207"/>
      <c r="B4019" s="207"/>
      <c r="N4019" s="4"/>
      <c r="O4019" s="256"/>
    </row>
    <row r="4020" spans="1:15">
      <c r="A4020" s="207"/>
      <c r="B4020" s="207"/>
      <c r="N4020" s="4"/>
      <c r="O4020" s="256"/>
    </row>
    <row r="4021" spans="1:15">
      <c r="A4021" s="207"/>
      <c r="B4021" s="207"/>
      <c r="N4021" s="4"/>
      <c r="O4021" s="256"/>
    </row>
    <row r="4022" spans="1:15">
      <c r="A4022" s="207"/>
      <c r="B4022" s="207"/>
      <c r="N4022" s="4"/>
      <c r="O4022" s="256"/>
    </row>
    <row r="4023" spans="1:15">
      <c r="A4023" s="207"/>
      <c r="B4023" s="207"/>
      <c r="N4023" s="4"/>
      <c r="O4023" s="256"/>
    </row>
    <row r="4024" spans="1:15">
      <c r="A4024" s="207"/>
      <c r="B4024" s="207"/>
      <c r="N4024" s="4"/>
      <c r="O4024" s="256"/>
    </row>
    <row r="4025" spans="1:15">
      <c r="A4025" s="207"/>
      <c r="B4025" s="207"/>
      <c r="N4025" s="4"/>
      <c r="O4025" s="256"/>
    </row>
    <row r="4026" spans="1:15">
      <c r="A4026" s="207"/>
      <c r="B4026" s="207"/>
      <c r="N4026" s="4"/>
      <c r="O4026" s="256"/>
    </row>
    <row r="4027" spans="1:15">
      <c r="A4027" s="207"/>
      <c r="B4027" s="207"/>
      <c r="N4027" s="4"/>
      <c r="O4027" s="256"/>
    </row>
    <row r="4028" spans="1:15">
      <c r="A4028" s="207"/>
      <c r="B4028" s="207"/>
      <c r="N4028" s="4"/>
      <c r="O4028" s="256"/>
    </row>
    <row r="4029" spans="1:15">
      <c r="A4029" s="207"/>
      <c r="B4029" s="207"/>
      <c r="N4029" s="4"/>
      <c r="O4029" s="256"/>
    </row>
    <row r="4030" spans="1:15">
      <c r="A4030" s="207"/>
      <c r="B4030" s="207"/>
      <c r="N4030" s="4"/>
      <c r="O4030" s="256"/>
    </row>
    <row r="4031" spans="1:15">
      <c r="A4031" s="207"/>
      <c r="B4031" s="207"/>
      <c r="N4031" s="4"/>
      <c r="O4031" s="256"/>
    </row>
    <row r="4032" spans="1:15">
      <c r="A4032" s="207"/>
      <c r="B4032" s="207"/>
      <c r="N4032" s="4"/>
      <c r="O4032" s="256"/>
    </row>
    <row r="4033" spans="1:15">
      <c r="A4033" s="207"/>
      <c r="B4033" s="207"/>
      <c r="N4033" s="4"/>
      <c r="O4033" s="256"/>
    </row>
    <row r="4034" spans="1:15">
      <c r="A4034" s="207"/>
      <c r="B4034" s="207"/>
      <c r="N4034" s="4"/>
      <c r="O4034" s="256"/>
    </row>
    <row r="4035" spans="1:15">
      <c r="A4035" s="207"/>
      <c r="B4035" s="207"/>
      <c r="N4035" s="4"/>
      <c r="O4035" s="256"/>
    </row>
    <row r="4036" spans="1:15">
      <c r="A4036" s="207"/>
      <c r="B4036" s="207"/>
      <c r="N4036" s="4"/>
      <c r="O4036" s="256"/>
    </row>
    <row r="4037" spans="1:15">
      <c r="A4037" s="207"/>
      <c r="B4037" s="207"/>
      <c r="N4037" s="4"/>
      <c r="O4037" s="256"/>
    </row>
    <row r="4038" spans="1:15">
      <c r="A4038" s="207"/>
      <c r="B4038" s="207"/>
      <c r="N4038" s="4"/>
      <c r="O4038" s="256"/>
    </row>
    <row r="4039" spans="1:15">
      <c r="A4039" s="207"/>
      <c r="B4039" s="207"/>
      <c r="N4039" s="4"/>
      <c r="O4039" s="256"/>
    </row>
    <row r="4040" spans="1:15">
      <c r="A4040" s="207"/>
      <c r="B4040" s="207"/>
      <c r="N4040" s="4"/>
      <c r="O4040" s="256"/>
    </row>
    <row r="4041" spans="1:15">
      <c r="A4041" s="207"/>
      <c r="B4041" s="207"/>
      <c r="N4041" s="4"/>
      <c r="O4041" s="256"/>
    </row>
    <row r="4042" spans="1:15">
      <c r="A4042" s="207"/>
      <c r="B4042" s="207"/>
      <c r="N4042" s="4"/>
      <c r="O4042" s="256"/>
    </row>
    <row r="4043" spans="1:15">
      <c r="A4043" s="207"/>
      <c r="B4043" s="207"/>
      <c r="N4043" s="4"/>
      <c r="O4043" s="256"/>
    </row>
    <row r="4044" spans="1:15">
      <c r="A4044" s="207"/>
      <c r="B4044" s="207"/>
      <c r="N4044" s="4"/>
      <c r="O4044" s="256"/>
    </row>
    <row r="4045" spans="1:15">
      <c r="A4045" s="207"/>
      <c r="B4045" s="207"/>
      <c r="N4045" s="4"/>
      <c r="O4045" s="256"/>
    </row>
    <row r="4046" spans="1:15">
      <c r="A4046" s="207"/>
      <c r="B4046" s="207"/>
      <c r="N4046" s="4"/>
      <c r="O4046" s="256"/>
    </row>
    <row r="4047" spans="1:15">
      <c r="A4047" s="207"/>
      <c r="B4047" s="207"/>
      <c r="N4047" s="4"/>
      <c r="O4047" s="256"/>
    </row>
    <row r="4048" spans="1:15">
      <c r="A4048" s="207"/>
      <c r="B4048" s="207"/>
      <c r="N4048" s="4"/>
      <c r="O4048" s="256"/>
    </row>
    <row r="4049" spans="1:15">
      <c r="A4049" s="207"/>
      <c r="B4049" s="207"/>
      <c r="N4049" s="4"/>
      <c r="O4049" s="256"/>
    </row>
    <row r="4050" spans="1:15">
      <c r="A4050" s="207"/>
      <c r="B4050" s="207"/>
      <c r="N4050" s="4"/>
      <c r="O4050" s="256"/>
    </row>
    <row r="4051" spans="1:15">
      <c r="A4051" s="207"/>
      <c r="B4051" s="207"/>
      <c r="N4051" s="4"/>
      <c r="O4051" s="256"/>
    </row>
    <row r="4052" spans="1:15">
      <c r="A4052" s="207"/>
      <c r="B4052" s="207"/>
      <c r="N4052" s="4"/>
      <c r="O4052" s="256"/>
    </row>
    <row r="4053" spans="1:15">
      <c r="A4053" s="207"/>
      <c r="B4053" s="207"/>
      <c r="N4053" s="4"/>
      <c r="O4053" s="256"/>
    </row>
    <row r="4054" spans="1:15">
      <c r="A4054" s="207"/>
      <c r="B4054" s="207"/>
      <c r="N4054" s="4"/>
      <c r="O4054" s="256"/>
    </row>
    <row r="4055" spans="1:15">
      <c r="A4055" s="207"/>
      <c r="B4055" s="207"/>
      <c r="N4055" s="4"/>
      <c r="O4055" s="256"/>
    </row>
    <row r="4056" spans="1:15">
      <c r="A4056" s="207"/>
      <c r="B4056" s="207"/>
      <c r="N4056" s="4"/>
      <c r="O4056" s="256"/>
    </row>
    <row r="4057" spans="1:15">
      <c r="A4057" s="207"/>
      <c r="B4057" s="207"/>
      <c r="N4057" s="4"/>
      <c r="O4057" s="256"/>
    </row>
    <row r="4058" spans="1:15">
      <c r="A4058" s="207"/>
      <c r="B4058" s="207"/>
      <c r="N4058" s="4"/>
      <c r="O4058" s="256"/>
    </row>
    <row r="4059" spans="1:15">
      <c r="A4059" s="207"/>
      <c r="B4059" s="207"/>
      <c r="N4059" s="4"/>
      <c r="O4059" s="256"/>
    </row>
    <row r="4060" spans="1:15">
      <c r="A4060" s="207"/>
      <c r="B4060" s="207"/>
      <c r="N4060" s="4"/>
      <c r="O4060" s="256"/>
    </row>
    <row r="4061" spans="1:15">
      <c r="A4061" s="207"/>
      <c r="B4061" s="207"/>
      <c r="N4061" s="4"/>
      <c r="O4061" s="256"/>
    </row>
    <row r="4062" spans="1:15">
      <c r="A4062" s="207"/>
      <c r="B4062" s="207"/>
      <c r="N4062" s="4"/>
      <c r="O4062" s="256"/>
    </row>
    <row r="4063" spans="1:15">
      <c r="A4063" s="207"/>
      <c r="B4063" s="207"/>
      <c r="N4063" s="4"/>
      <c r="O4063" s="256"/>
    </row>
    <row r="4064" spans="1:15">
      <c r="A4064" s="207"/>
      <c r="B4064" s="207"/>
      <c r="N4064" s="4"/>
      <c r="O4064" s="256"/>
    </row>
    <row r="4065" spans="1:15">
      <c r="A4065" s="207"/>
      <c r="B4065" s="207"/>
      <c r="N4065" s="4"/>
      <c r="O4065" s="256"/>
    </row>
    <row r="4066" spans="1:15">
      <c r="A4066" s="207"/>
      <c r="B4066" s="207"/>
      <c r="N4066" s="4"/>
      <c r="O4066" s="256"/>
    </row>
    <row r="4067" spans="1:15">
      <c r="A4067" s="207"/>
      <c r="B4067" s="207"/>
      <c r="N4067" s="4"/>
      <c r="O4067" s="256"/>
    </row>
    <row r="4068" spans="1:15">
      <c r="A4068" s="207"/>
      <c r="B4068" s="207"/>
      <c r="N4068" s="4"/>
      <c r="O4068" s="256"/>
    </row>
    <row r="4069" spans="1:15">
      <c r="A4069" s="207"/>
      <c r="B4069" s="207"/>
      <c r="N4069" s="4"/>
      <c r="O4069" s="256"/>
    </row>
    <row r="4070" spans="1:15">
      <c r="A4070" s="207"/>
      <c r="B4070" s="207"/>
      <c r="N4070" s="4"/>
      <c r="O4070" s="256"/>
    </row>
    <row r="4071" spans="1:15">
      <c r="A4071" s="207"/>
      <c r="B4071" s="207"/>
      <c r="N4071" s="4"/>
      <c r="O4071" s="256"/>
    </row>
    <row r="4072" spans="1:15">
      <c r="A4072" s="207"/>
      <c r="B4072" s="207"/>
      <c r="N4072" s="4"/>
      <c r="O4072" s="256"/>
    </row>
    <row r="4073" spans="1:15">
      <c r="A4073" s="207"/>
      <c r="B4073" s="207"/>
      <c r="N4073" s="4"/>
      <c r="O4073" s="256"/>
    </row>
    <row r="4074" spans="1:15">
      <c r="A4074" s="207"/>
      <c r="B4074" s="207"/>
      <c r="N4074" s="4"/>
      <c r="O4074" s="256"/>
    </row>
    <row r="4075" spans="1:15">
      <c r="A4075" s="207"/>
      <c r="B4075" s="207"/>
      <c r="N4075" s="4"/>
      <c r="O4075" s="256"/>
    </row>
    <row r="4076" spans="1:15">
      <c r="A4076" s="207"/>
      <c r="B4076" s="207"/>
      <c r="N4076" s="4"/>
      <c r="O4076" s="256"/>
    </row>
    <row r="4077" spans="1:15">
      <c r="A4077" s="207"/>
      <c r="B4077" s="207"/>
      <c r="N4077" s="4"/>
      <c r="O4077" s="256"/>
    </row>
    <row r="4078" spans="1:15">
      <c r="A4078" s="207"/>
      <c r="B4078" s="207"/>
      <c r="N4078" s="4"/>
      <c r="O4078" s="256"/>
    </row>
    <row r="4079" spans="1:15">
      <c r="A4079" s="207"/>
      <c r="B4079" s="207"/>
      <c r="N4079" s="4"/>
      <c r="O4079" s="256"/>
    </row>
    <row r="4080" spans="1:15">
      <c r="A4080" s="207"/>
      <c r="B4080" s="207"/>
      <c r="N4080" s="4"/>
      <c r="O4080" s="256"/>
    </row>
    <row r="4081" spans="1:15">
      <c r="A4081" s="207"/>
      <c r="B4081" s="207"/>
      <c r="N4081" s="4"/>
      <c r="O4081" s="256"/>
    </row>
    <row r="4082" spans="1:15">
      <c r="A4082" s="207"/>
      <c r="B4082" s="207"/>
      <c r="N4082" s="4"/>
      <c r="O4082" s="256"/>
    </row>
    <row r="4083" spans="1:15">
      <c r="A4083" s="207"/>
      <c r="B4083" s="207"/>
      <c r="N4083" s="4"/>
      <c r="O4083" s="256"/>
    </row>
    <row r="4084" spans="1:15">
      <c r="A4084" s="207"/>
      <c r="B4084" s="207"/>
      <c r="N4084" s="4"/>
      <c r="O4084" s="256"/>
    </row>
    <row r="4085" spans="1:15">
      <c r="A4085" s="207"/>
      <c r="B4085" s="207"/>
      <c r="N4085" s="4"/>
      <c r="O4085" s="256"/>
    </row>
    <row r="4086" spans="1:15">
      <c r="A4086" s="207"/>
      <c r="B4086" s="207"/>
      <c r="N4086" s="4"/>
      <c r="O4086" s="256"/>
    </row>
    <row r="4087" spans="1:15">
      <c r="A4087" s="207"/>
      <c r="B4087" s="207"/>
      <c r="N4087" s="4"/>
      <c r="O4087" s="256"/>
    </row>
    <row r="4088" spans="1:15">
      <c r="A4088" s="207"/>
      <c r="B4088" s="207"/>
      <c r="N4088" s="4"/>
      <c r="O4088" s="256"/>
    </row>
    <row r="4089" spans="1:15">
      <c r="A4089" s="207"/>
      <c r="B4089" s="207"/>
      <c r="N4089" s="4"/>
      <c r="O4089" s="256"/>
    </row>
    <row r="4090" spans="1:15">
      <c r="A4090" s="207"/>
      <c r="B4090" s="207"/>
      <c r="N4090" s="4"/>
      <c r="O4090" s="256"/>
    </row>
    <row r="4091" spans="1:15">
      <c r="A4091" s="207"/>
      <c r="B4091" s="207"/>
      <c r="N4091" s="4"/>
      <c r="O4091" s="256"/>
    </row>
    <row r="4092" spans="1:15">
      <c r="A4092" s="207"/>
      <c r="B4092" s="207"/>
      <c r="N4092" s="4"/>
      <c r="O4092" s="256"/>
    </row>
    <row r="4093" spans="1:15">
      <c r="A4093" s="207"/>
      <c r="B4093" s="207"/>
      <c r="N4093" s="4"/>
      <c r="O4093" s="256"/>
    </row>
    <row r="4094" spans="1:15">
      <c r="A4094" s="207"/>
      <c r="B4094" s="207"/>
      <c r="N4094" s="4"/>
      <c r="O4094" s="256"/>
    </row>
    <row r="4095" spans="1:15">
      <c r="A4095" s="207"/>
      <c r="B4095" s="207"/>
      <c r="N4095" s="4"/>
      <c r="O4095" s="256"/>
    </row>
    <row r="4096" spans="1:15">
      <c r="A4096" s="207"/>
      <c r="B4096" s="207"/>
      <c r="N4096" s="4"/>
      <c r="O4096" s="256"/>
    </row>
    <row r="4097" spans="1:15">
      <c r="A4097" s="207"/>
      <c r="B4097" s="207"/>
      <c r="N4097" s="4"/>
      <c r="O4097" s="256"/>
    </row>
    <row r="4098" spans="1:15">
      <c r="A4098" s="207"/>
      <c r="B4098" s="207"/>
      <c r="N4098" s="4"/>
      <c r="O4098" s="256"/>
    </row>
    <row r="4099" spans="1:15">
      <c r="A4099" s="207"/>
      <c r="B4099" s="207"/>
      <c r="N4099" s="4"/>
      <c r="O4099" s="256"/>
    </row>
    <row r="4100" spans="1:15">
      <c r="A4100" s="207"/>
      <c r="B4100" s="207"/>
      <c r="N4100" s="4"/>
      <c r="O4100" s="256"/>
    </row>
    <row r="4101" spans="1:15">
      <c r="A4101" s="207"/>
      <c r="B4101" s="207"/>
      <c r="N4101" s="4"/>
      <c r="O4101" s="256"/>
    </row>
    <row r="4102" spans="1:15">
      <c r="A4102" s="207"/>
      <c r="B4102" s="207"/>
      <c r="N4102" s="4"/>
      <c r="O4102" s="256"/>
    </row>
    <row r="4103" spans="1:15">
      <c r="A4103" s="207"/>
      <c r="B4103" s="207"/>
      <c r="N4103" s="4"/>
      <c r="O4103" s="256"/>
    </row>
    <row r="4104" spans="1:15">
      <c r="A4104" s="207"/>
      <c r="B4104" s="207"/>
      <c r="N4104" s="4"/>
      <c r="O4104" s="256"/>
    </row>
    <row r="4105" spans="1:15">
      <c r="A4105" s="207"/>
      <c r="B4105" s="207"/>
      <c r="N4105" s="4"/>
      <c r="O4105" s="256"/>
    </row>
    <row r="4106" spans="1:15">
      <c r="A4106" s="207"/>
      <c r="B4106" s="207"/>
      <c r="N4106" s="4"/>
      <c r="O4106" s="256"/>
    </row>
    <row r="4107" spans="1:15">
      <c r="A4107" s="207"/>
      <c r="B4107" s="207"/>
      <c r="N4107" s="4"/>
      <c r="O4107" s="256"/>
    </row>
    <row r="4108" spans="1:15">
      <c r="A4108" s="207"/>
      <c r="B4108" s="207"/>
      <c r="N4108" s="4"/>
      <c r="O4108" s="256"/>
    </row>
    <row r="4109" spans="1:15">
      <c r="A4109" s="207"/>
      <c r="B4109" s="207"/>
      <c r="N4109" s="4"/>
      <c r="O4109" s="256"/>
    </row>
    <row r="4110" spans="1:15">
      <c r="A4110" s="207"/>
      <c r="B4110" s="207"/>
      <c r="N4110" s="4"/>
      <c r="O4110" s="256"/>
    </row>
    <row r="4111" spans="1:15">
      <c r="A4111" s="207"/>
      <c r="B4111" s="207"/>
      <c r="N4111" s="4"/>
      <c r="O4111" s="256"/>
    </row>
    <row r="4112" spans="1:15">
      <c r="A4112" s="207"/>
      <c r="B4112" s="207"/>
      <c r="N4112" s="4"/>
      <c r="O4112" s="256"/>
    </row>
    <row r="4113" spans="1:15">
      <c r="A4113" s="207"/>
      <c r="B4113" s="207"/>
      <c r="N4113" s="4"/>
      <c r="O4113" s="256"/>
    </row>
    <row r="4114" spans="1:15">
      <c r="A4114" s="207"/>
      <c r="B4114" s="207"/>
      <c r="N4114" s="4"/>
      <c r="O4114" s="256"/>
    </row>
    <row r="4115" spans="1:15">
      <c r="A4115" s="207"/>
      <c r="B4115" s="207"/>
      <c r="N4115" s="4"/>
      <c r="O4115" s="256"/>
    </row>
    <row r="4116" spans="1:15">
      <c r="A4116" s="207"/>
      <c r="B4116" s="207"/>
      <c r="N4116" s="4"/>
      <c r="O4116" s="256"/>
    </row>
    <row r="4117" spans="1:15">
      <c r="A4117" s="207"/>
      <c r="B4117" s="207"/>
      <c r="N4117" s="4"/>
      <c r="O4117" s="256"/>
    </row>
    <row r="4118" spans="1:15">
      <c r="A4118" s="207"/>
      <c r="B4118" s="207"/>
      <c r="N4118" s="4"/>
      <c r="O4118" s="256"/>
    </row>
    <row r="4119" spans="1:15">
      <c r="A4119" s="207"/>
      <c r="B4119" s="207"/>
      <c r="N4119" s="4"/>
      <c r="O4119" s="256"/>
    </row>
    <row r="4120" spans="1:15">
      <c r="A4120" s="207"/>
      <c r="B4120" s="207"/>
      <c r="N4120" s="4"/>
      <c r="O4120" s="256"/>
    </row>
    <row r="4121" spans="1:15">
      <c r="A4121" s="207"/>
      <c r="B4121" s="207"/>
      <c r="N4121" s="4"/>
      <c r="O4121" s="256"/>
    </row>
    <row r="4122" spans="1:15">
      <c r="A4122" s="207"/>
      <c r="B4122" s="207"/>
      <c r="N4122" s="4"/>
      <c r="O4122" s="256"/>
    </row>
    <row r="4123" spans="1:15">
      <c r="A4123" s="207"/>
      <c r="B4123" s="207"/>
      <c r="N4123" s="4"/>
      <c r="O4123" s="256"/>
    </row>
    <row r="4124" spans="1:15">
      <c r="A4124" s="207"/>
      <c r="B4124" s="207"/>
      <c r="N4124" s="4"/>
      <c r="O4124" s="256"/>
    </row>
    <row r="4125" spans="1:15">
      <c r="A4125" s="207"/>
      <c r="B4125" s="207"/>
      <c r="N4125" s="4"/>
      <c r="O4125" s="256"/>
    </row>
    <row r="4126" spans="1:15">
      <c r="A4126" s="207"/>
      <c r="B4126" s="207"/>
      <c r="N4126" s="4"/>
      <c r="O4126" s="256"/>
    </row>
    <row r="4127" spans="1:15">
      <c r="A4127" s="207"/>
      <c r="B4127" s="207"/>
      <c r="N4127" s="4"/>
      <c r="O4127" s="256"/>
    </row>
    <row r="4128" spans="1:15">
      <c r="A4128" s="207"/>
      <c r="B4128" s="207"/>
      <c r="N4128" s="4"/>
      <c r="O4128" s="256"/>
    </row>
    <row r="4129" spans="1:15">
      <c r="A4129" s="207"/>
      <c r="B4129" s="207"/>
      <c r="N4129" s="4"/>
      <c r="O4129" s="256"/>
    </row>
    <row r="4130" spans="1:15">
      <c r="A4130" s="207"/>
      <c r="B4130" s="207"/>
      <c r="N4130" s="4"/>
      <c r="O4130" s="256"/>
    </row>
    <row r="4131" spans="1:15">
      <c r="A4131" s="207"/>
      <c r="B4131" s="207"/>
      <c r="N4131" s="4"/>
      <c r="O4131" s="256"/>
    </row>
    <row r="4132" spans="1:15">
      <c r="A4132" s="207"/>
      <c r="B4132" s="207"/>
      <c r="N4132" s="4"/>
      <c r="O4132" s="256"/>
    </row>
    <row r="4133" spans="1:15">
      <c r="A4133" s="207"/>
      <c r="B4133" s="207"/>
      <c r="N4133" s="4"/>
      <c r="O4133" s="256"/>
    </row>
    <row r="4134" spans="1:15">
      <c r="A4134" s="207"/>
      <c r="B4134" s="207"/>
      <c r="N4134" s="4"/>
      <c r="O4134" s="256"/>
    </row>
    <row r="4135" spans="1:15">
      <c r="A4135" s="207"/>
      <c r="B4135" s="207"/>
      <c r="N4135" s="4"/>
      <c r="O4135" s="256"/>
    </row>
    <row r="4136" spans="1:15">
      <c r="A4136" s="207"/>
      <c r="B4136" s="207"/>
      <c r="N4136" s="4"/>
      <c r="O4136" s="256"/>
    </row>
    <row r="4137" spans="1:15">
      <c r="A4137" s="207"/>
      <c r="B4137" s="207"/>
      <c r="N4137" s="4"/>
      <c r="O4137" s="256"/>
    </row>
    <row r="4138" spans="1:15">
      <c r="A4138" s="207"/>
      <c r="B4138" s="207"/>
      <c r="N4138" s="4"/>
      <c r="O4138" s="256"/>
    </row>
    <row r="4139" spans="1:15">
      <c r="A4139" s="207"/>
      <c r="B4139" s="207"/>
      <c r="N4139" s="4"/>
      <c r="O4139" s="256"/>
    </row>
    <row r="4140" spans="1:15">
      <c r="A4140" s="207"/>
      <c r="B4140" s="207"/>
      <c r="N4140" s="4"/>
      <c r="O4140" s="256"/>
    </row>
    <row r="4141" spans="1:15">
      <c r="A4141" s="207"/>
      <c r="B4141" s="207"/>
      <c r="N4141" s="4"/>
      <c r="O4141" s="256"/>
    </row>
    <row r="4142" spans="1:15">
      <c r="A4142" s="207"/>
      <c r="B4142" s="207"/>
      <c r="N4142" s="4"/>
      <c r="O4142" s="256"/>
    </row>
    <row r="4143" spans="1:15">
      <c r="A4143" s="207"/>
      <c r="B4143" s="207"/>
      <c r="N4143" s="4"/>
      <c r="O4143" s="256"/>
    </row>
    <row r="4144" spans="1:15">
      <c r="A4144" s="207"/>
      <c r="B4144" s="207"/>
      <c r="N4144" s="4"/>
      <c r="O4144" s="256"/>
    </row>
    <row r="4145" spans="1:15">
      <c r="A4145" s="207"/>
      <c r="B4145" s="207"/>
      <c r="N4145" s="4"/>
      <c r="O4145" s="256"/>
    </row>
    <row r="4146" spans="1:15">
      <c r="A4146" s="207"/>
      <c r="B4146" s="207"/>
      <c r="N4146" s="4"/>
      <c r="O4146" s="256"/>
    </row>
    <row r="4147" spans="1:15">
      <c r="A4147" s="207"/>
      <c r="B4147" s="207"/>
      <c r="N4147" s="4"/>
      <c r="O4147" s="256"/>
    </row>
    <row r="4148" spans="1:15">
      <c r="A4148" s="207"/>
      <c r="B4148" s="207"/>
      <c r="N4148" s="4"/>
      <c r="O4148" s="256"/>
    </row>
    <row r="4149" spans="1:15">
      <c r="A4149" s="207"/>
      <c r="B4149" s="207"/>
      <c r="N4149" s="4"/>
      <c r="O4149" s="256"/>
    </row>
    <row r="4150" spans="1:15">
      <c r="A4150" s="207"/>
      <c r="B4150" s="207"/>
      <c r="N4150" s="4"/>
      <c r="O4150" s="256"/>
    </row>
    <row r="4151" spans="1:15">
      <c r="A4151" s="207"/>
      <c r="B4151" s="207"/>
      <c r="N4151" s="4"/>
      <c r="O4151" s="256"/>
    </row>
    <row r="4152" spans="1:15">
      <c r="A4152" s="207"/>
      <c r="B4152" s="207"/>
      <c r="N4152" s="4"/>
      <c r="O4152" s="256"/>
    </row>
    <row r="4153" spans="1:15">
      <c r="A4153" s="207"/>
      <c r="B4153" s="207"/>
      <c r="N4153" s="4"/>
      <c r="O4153" s="256"/>
    </row>
    <row r="4154" spans="1:15">
      <c r="A4154" s="207"/>
      <c r="B4154" s="207"/>
      <c r="N4154" s="4"/>
      <c r="O4154" s="256"/>
    </row>
    <row r="4155" spans="1:15">
      <c r="A4155" s="207"/>
      <c r="B4155" s="207"/>
      <c r="N4155" s="4"/>
      <c r="O4155" s="256"/>
    </row>
    <row r="4156" spans="1:15">
      <c r="A4156" s="207"/>
      <c r="B4156" s="207"/>
      <c r="N4156" s="4"/>
      <c r="O4156" s="256"/>
    </row>
    <row r="4157" spans="1:15">
      <c r="A4157" s="207"/>
      <c r="B4157" s="207"/>
      <c r="N4157" s="4"/>
      <c r="O4157" s="256"/>
    </row>
    <row r="4158" spans="1:15">
      <c r="A4158" s="207"/>
      <c r="B4158" s="207"/>
      <c r="N4158" s="4"/>
      <c r="O4158" s="256"/>
    </row>
    <row r="4159" spans="1:15">
      <c r="A4159" s="207"/>
      <c r="B4159" s="207"/>
      <c r="N4159" s="4"/>
      <c r="O4159" s="256"/>
    </row>
    <row r="4160" spans="1:15">
      <c r="A4160" s="207"/>
      <c r="B4160" s="207"/>
      <c r="N4160" s="4"/>
      <c r="O4160" s="256"/>
    </row>
    <row r="4161" spans="1:15">
      <c r="A4161" s="207"/>
      <c r="B4161" s="207"/>
      <c r="N4161" s="4"/>
      <c r="O4161" s="256"/>
    </row>
    <row r="4162" spans="1:15">
      <c r="A4162" s="207"/>
      <c r="B4162" s="207"/>
      <c r="N4162" s="4"/>
      <c r="O4162" s="256"/>
    </row>
    <row r="4163" spans="1:15">
      <c r="A4163" s="207"/>
      <c r="B4163" s="207"/>
      <c r="N4163" s="4"/>
      <c r="O4163" s="256"/>
    </row>
    <row r="4164" spans="1:15">
      <c r="A4164" s="207"/>
      <c r="B4164" s="207"/>
      <c r="N4164" s="4"/>
      <c r="O4164" s="256"/>
    </row>
    <row r="4165" spans="1:15">
      <c r="A4165" s="207"/>
      <c r="B4165" s="207"/>
      <c r="N4165" s="4"/>
      <c r="O4165" s="256"/>
    </row>
    <row r="4166" spans="1:15">
      <c r="A4166" s="207"/>
      <c r="B4166" s="207"/>
      <c r="N4166" s="4"/>
      <c r="O4166" s="256"/>
    </row>
    <row r="4167" spans="1:15">
      <c r="A4167" s="207"/>
      <c r="B4167" s="207"/>
      <c r="N4167" s="4"/>
      <c r="O4167" s="256"/>
    </row>
    <row r="4168" spans="1:15">
      <c r="A4168" s="207"/>
      <c r="B4168" s="207"/>
      <c r="N4168" s="4"/>
      <c r="O4168" s="256"/>
    </row>
    <row r="4169" spans="1:15">
      <c r="A4169" s="207"/>
      <c r="B4169" s="207"/>
      <c r="N4169" s="4"/>
      <c r="O4169" s="256"/>
    </row>
    <row r="4170" spans="1:15">
      <c r="A4170" s="207"/>
      <c r="B4170" s="207"/>
      <c r="N4170" s="4"/>
      <c r="O4170" s="256"/>
    </row>
    <row r="4171" spans="1:15">
      <c r="A4171" s="207"/>
      <c r="B4171" s="207"/>
      <c r="N4171" s="4"/>
      <c r="O4171" s="256"/>
    </row>
    <row r="4172" spans="1:15">
      <c r="A4172" s="207"/>
      <c r="B4172" s="207"/>
      <c r="N4172" s="4"/>
      <c r="O4172" s="256"/>
    </row>
    <row r="4173" spans="1:15">
      <c r="A4173" s="207"/>
      <c r="B4173" s="207"/>
      <c r="N4173" s="4"/>
      <c r="O4173" s="256"/>
    </row>
    <row r="4174" spans="1:15">
      <c r="A4174" s="207"/>
      <c r="B4174" s="207"/>
      <c r="N4174" s="4"/>
      <c r="O4174" s="256"/>
    </row>
    <row r="4175" spans="1:15">
      <c r="A4175" s="207"/>
      <c r="B4175" s="207"/>
      <c r="N4175" s="4"/>
      <c r="O4175" s="256"/>
    </row>
    <row r="4176" spans="1:15">
      <c r="A4176" s="207"/>
      <c r="B4176" s="207"/>
      <c r="N4176" s="4"/>
      <c r="O4176" s="256"/>
    </row>
    <row r="4177" spans="1:15">
      <c r="A4177" s="207"/>
      <c r="B4177" s="207"/>
      <c r="N4177" s="4"/>
      <c r="O4177" s="256"/>
    </row>
    <row r="4178" spans="1:15">
      <c r="A4178" s="207"/>
      <c r="B4178" s="207"/>
      <c r="N4178" s="4"/>
      <c r="O4178" s="256"/>
    </row>
    <row r="4179" spans="1:15">
      <c r="A4179" s="207"/>
      <c r="B4179" s="207"/>
      <c r="N4179" s="4"/>
      <c r="O4179" s="256"/>
    </row>
    <row r="4180" spans="1:15">
      <c r="A4180" s="207"/>
      <c r="B4180" s="207"/>
      <c r="N4180" s="4"/>
      <c r="O4180" s="256"/>
    </row>
    <row r="4181" spans="1:15">
      <c r="A4181" s="207"/>
      <c r="B4181" s="207"/>
      <c r="N4181" s="4"/>
      <c r="O4181" s="256"/>
    </row>
    <row r="4182" spans="1:15">
      <c r="A4182" s="207"/>
      <c r="B4182" s="207"/>
      <c r="N4182" s="4"/>
      <c r="O4182" s="256"/>
    </row>
    <row r="4183" spans="1:15">
      <c r="A4183" s="207"/>
      <c r="B4183" s="207"/>
      <c r="N4183" s="4"/>
      <c r="O4183" s="256"/>
    </row>
    <row r="4184" spans="1:15">
      <c r="A4184" s="207"/>
      <c r="B4184" s="207"/>
      <c r="N4184" s="4"/>
      <c r="O4184" s="256"/>
    </row>
    <row r="4185" spans="1:15">
      <c r="A4185" s="207"/>
      <c r="B4185" s="207"/>
      <c r="N4185" s="4"/>
      <c r="O4185" s="256"/>
    </row>
    <row r="4186" spans="1:15">
      <c r="A4186" s="207"/>
      <c r="B4186" s="207"/>
      <c r="N4186" s="4"/>
      <c r="O4186" s="256"/>
    </row>
    <row r="4187" spans="1:15">
      <c r="A4187" s="207"/>
      <c r="B4187" s="207"/>
      <c r="N4187" s="4"/>
      <c r="O4187" s="256"/>
    </row>
    <row r="4188" spans="1:15">
      <c r="A4188" s="207"/>
      <c r="B4188" s="207"/>
      <c r="N4188" s="4"/>
      <c r="O4188" s="256"/>
    </row>
    <row r="4189" spans="1:15">
      <c r="A4189" s="207"/>
      <c r="B4189" s="207"/>
      <c r="N4189" s="4"/>
      <c r="O4189" s="256"/>
    </row>
    <row r="4190" spans="1:15">
      <c r="A4190" s="207"/>
      <c r="B4190" s="207"/>
      <c r="N4190" s="4"/>
      <c r="O4190" s="256"/>
    </row>
    <row r="4191" spans="1:15">
      <c r="A4191" s="207"/>
      <c r="B4191" s="207"/>
      <c r="N4191" s="4"/>
      <c r="O4191" s="256"/>
    </row>
    <row r="4192" spans="1:15">
      <c r="A4192" s="207"/>
      <c r="B4192" s="207"/>
      <c r="N4192" s="4"/>
      <c r="O4192" s="256"/>
    </row>
    <row r="4193" spans="1:15">
      <c r="A4193" s="207"/>
      <c r="B4193" s="207"/>
      <c r="N4193" s="4"/>
      <c r="O4193" s="256"/>
    </row>
    <row r="4194" spans="1:15">
      <c r="A4194" s="207"/>
      <c r="B4194" s="207"/>
      <c r="N4194" s="4"/>
      <c r="O4194" s="256"/>
    </row>
    <row r="4195" spans="1:15">
      <c r="A4195" s="207"/>
      <c r="B4195" s="207"/>
      <c r="N4195" s="4"/>
      <c r="O4195" s="256"/>
    </row>
    <row r="4196" spans="1:15">
      <c r="A4196" s="207"/>
      <c r="B4196" s="207"/>
      <c r="N4196" s="4"/>
      <c r="O4196" s="256"/>
    </row>
    <row r="4197" spans="1:15">
      <c r="A4197" s="207"/>
      <c r="B4197" s="207"/>
      <c r="N4197" s="4"/>
      <c r="O4197" s="256"/>
    </row>
    <row r="4198" spans="1:15">
      <c r="A4198" s="207"/>
      <c r="B4198" s="207"/>
      <c r="N4198" s="4"/>
      <c r="O4198" s="256"/>
    </row>
    <row r="4199" spans="1:15">
      <c r="A4199" s="207"/>
      <c r="B4199" s="207"/>
      <c r="N4199" s="4"/>
      <c r="O4199" s="256"/>
    </row>
    <row r="4200" spans="1:15">
      <c r="A4200" s="207"/>
      <c r="B4200" s="207"/>
      <c r="N4200" s="4"/>
      <c r="O4200" s="256"/>
    </row>
    <row r="4201" spans="1:15">
      <c r="A4201" s="207"/>
      <c r="B4201" s="207"/>
      <c r="N4201" s="4"/>
      <c r="O4201" s="256"/>
    </row>
    <row r="4202" spans="1:15">
      <c r="A4202" s="207"/>
      <c r="B4202" s="207"/>
      <c r="N4202" s="4"/>
      <c r="O4202" s="256"/>
    </row>
    <row r="4203" spans="1:15">
      <c r="A4203" s="207"/>
      <c r="B4203" s="207"/>
      <c r="N4203" s="4"/>
      <c r="O4203" s="256"/>
    </row>
    <row r="4204" spans="1:15">
      <c r="A4204" s="207"/>
      <c r="B4204" s="207"/>
      <c r="N4204" s="4"/>
      <c r="O4204" s="256"/>
    </row>
    <row r="4205" spans="1:15">
      <c r="A4205" s="207"/>
      <c r="B4205" s="207"/>
      <c r="N4205" s="4"/>
      <c r="O4205" s="256"/>
    </row>
    <row r="4206" spans="1:15">
      <c r="A4206" s="207"/>
      <c r="B4206" s="207"/>
      <c r="N4206" s="4"/>
      <c r="O4206" s="256"/>
    </row>
    <row r="4207" spans="1:15">
      <c r="A4207" s="207"/>
      <c r="B4207" s="207"/>
      <c r="N4207" s="4"/>
      <c r="O4207" s="256"/>
    </row>
    <row r="4208" spans="1:15">
      <c r="A4208" s="207"/>
      <c r="B4208" s="207"/>
      <c r="N4208" s="4"/>
      <c r="O4208" s="256"/>
    </row>
    <row r="4209" spans="1:15">
      <c r="A4209" s="207"/>
      <c r="B4209" s="207"/>
      <c r="N4209" s="4"/>
      <c r="O4209" s="256"/>
    </row>
    <row r="4210" spans="1:15">
      <c r="A4210" s="207"/>
      <c r="B4210" s="207"/>
      <c r="N4210" s="4"/>
      <c r="O4210" s="256"/>
    </row>
    <row r="4211" spans="1:15">
      <c r="A4211" s="207"/>
      <c r="B4211" s="207"/>
      <c r="N4211" s="4"/>
      <c r="O4211" s="256"/>
    </row>
    <row r="4212" spans="1:15">
      <c r="A4212" s="207"/>
      <c r="B4212" s="207"/>
      <c r="N4212" s="4"/>
      <c r="O4212" s="256"/>
    </row>
    <row r="4213" spans="1:15">
      <c r="A4213" s="207"/>
      <c r="B4213" s="207"/>
      <c r="N4213" s="4"/>
      <c r="O4213" s="256"/>
    </row>
    <row r="4214" spans="1:15">
      <c r="A4214" s="207"/>
      <c r="B4214" s="207"/>
      <c r="N4214" s="4"/>
      <c r="O4214" s="256"/>
    </row>
    <row r="4215" spans="1:15">
      <c r="A4215" s="207"/>
      <c r="B4215" s="207"/>
      <c r="N4215" s="4"/>
      <c r="O4215" s="256"/>
    </row>
    <row r="4216" spans="1:15">
      <c r="A4216" s="207"/>
      <c r="B4216" s="207"/>
      <c r="N4216" s="4"/>
      <c r="O4216" s="256"/>
    </row>
    <row r="4217" spans="1:15">
      <c r="A4217" s="207"/>
      <c r="B4217" s="207"/>
      <c r="N4217" s="4"/>
      <c r="O4217" s="256"/>
    </row>
    <row r="4218" spans="1:15">
      <c r="A4218" s="207"/>
      <c r="B4218" s="207"/>
      <c r="N4218" s="4"/>
      <c r="O4218" s="256"/>
    </row>
    <row r="4219" spans="1:15">
      <c r="A4219" s="207"/>
      <c r="B4219" s="207"/>
      <c r="N4219" s="4"/>
      <c r="O4219" s="256"/>
    </row>
    <row r="4220" spans="1:15">
      <c r="A4220" s="207"/>
      <c r="B4220" s="207"/>
      <c r="N4220" s="4"/>
      <c r="O4220" s="256"/>
    </row>
    <row r="4221" spans="1:15">
      <c r="A4221" s="207"/>
      <c r="B4221" s="207"/>
      <c r="N4221" s="4"/>
      <c r="O4221" s="256"/>
    </row>
    <row r="4222" spans="1:15">
      <c r="A4222" s="207"/>
      <c r="B4222" s="207"/>
      <c r="N4222" s="4"/>
      <c r="O4222" s="256"/>
    </row>
    <row r="4223" spans="1:15">
      <c r="A4223" s="207"/>
      <c r="B4223" s="207"/>
      <c r="N4223" s="4"/>
      <c r="O4223" s="256"/>
    </row>
    <row r="4224" spans="1:15">
      <c r="A4224" s="207"/>
      <c r="B4224" s="207"/>
      <c r="N4224" s="4"/>
      <c r="O4224" s="256"/>
    </row>
    <row r="4225" spans="1:15">
      <c r="A4225" s="207"/>
      <c r="B4225" s="207"/>
      <c r="N4225" s="4"/>
      <c r="O4225" s="256"/>
    </row>
    <row r="4226" spans="1:15">
      <c r="A4226" s="207"/>
      <c r="B4226" s="207"/>
      <c r="N4226" s="4"/>
      <c r="O4226" s="256"/>
    </row>
    <row r="4227" spans="1:15">
      <c r="A4227" s="207"/>
      <c r="B4227" s="207"/>
      <c r="N4227" s="4"/>
      <c r="O4227" s="256"/>
    </row>
    <row r="4228" spans="1:15">
      <c r="A4228" s="207"/>
      <c r="B4228" s="207"/>
      <c r="N4228" s="4"/>
      <c r="O4228" s="256"/>
    </row>
    <row r="4229" spans="1:15">
      <c r="A4229" s="207"/>
      <c r="B4229" s="207"/>
      <c r="N4229" s="4"/>
      <c r="O4229" s="256"/>
    </row>
    <row r="4230" spans="1:15">
      <c r="A4230" s="207"/>
      <c r="B4230" s="207"/>
      <c r="N4230" s="4"/>
      <c r="O4230" s="256"/>
    </row>
    <row r="4231" spans="1:15">
      <c r="A4231" s="207"/>
      <c r="B4231" s="207"/>
      <c r="N4231" s="4"/>
      <c r="O4231" s="256"/>
    </row>
    <row r="4232" spans="1:15">
      <c r="A4232" s="207"/>
      <c r="B4232" s="207"/>
      <c r="N4232" s="4"/>
      <c r="O4232" s="256"/>
    </row>
    <row r="4233" spans="1:15">
      <c r="A4233" s="207"/>
      <c r="B4233" s="207"/>
      <c r="N4233" s="4"/>
      <c r="O4233" s="256"/>
    </row>
    <row r="4234" spans="1:15">
      <c r="A4234" s="207"/>
      <c r="B4234" s="207"/>
      <c r="N4234" s="4"/>
      <c r="O4234" s="256"/>
    </row>
    <row r="4235" spans="1:15">
      <c r="A4235" s="207"/>
      <c r="B4235" s="207"/>
      <c r="N4235" s="4"/>
      <c r="O4235" s="256"/>
    </row>
    <row r="4236" spans="1:15">
      <c r="A4236" s="207"/>
      <c r="B4236" s="207"/>
      <c r="N4236" s="4"/>
      <c r="O4236" s="256"/>
    </row>
    <row r="4237" spans="1:15">
      <c r="A4237" s="207"/>
      <c r="B4237" s="207"/>
      <c r="N4237" s="4"/>
      <c r="O4237" s="256"/>
    </row>
    <row r="4238" spans="1:15">
      <c r="A4238" s="207"/>
      <c r="B4238" s="207"/>
      <c r="N4238" s="4"/>
      <c r="O4238" s="256"/>
    </row>
    <row r="4239" spans="1:15">
      <c r="A4239" s="207"/>
      <c r="B4239" s="207"/>
      <c r="N4239" s="4"/>
      <c r="O4239" s="256"/>
    </row>
    <row r="4240" spans="1:15">
      <c r="A4240" s="207"/>
      <c r="B4240" s="207"/>
      <c r="N4240" s="4"/>
      <c r="O4240" s="256"/>
    </row>
    <row r="4241" spans="1:15">
      <c r="A4241" s="207"/>
      <c r="B4241" s="207"/>
      <c r="N4241" s="4"/>
      <c r="O4241" s="256"/>
    </row>
    <row r="4242" spans="1:15">
      <c r="A4242" s="207"/>
      <c r="B4242" s="207"/>
      <c r="N4242" s="4"/>
      <c r="O4242" s="256"/>
    </row>
    <row r="4243" spans="1:15">
      <c r="A4243" s="207"/>
      <c r="B4243" s="207"/>
      <c r="N4243" s="4"/>
      <c r="O4243" s="256"/>
    </row>
    <row r="4244" spans="1:15">
      <c r="A4244" s="207"/>
      <c r="B4244" s="207"/>
      <c r="N4244" s="4"/>
      <c r="O4244" s="256"/>
    </row>
    <row r="4245" spans="1:15">
      <c r="A4245" s="207"/>
      <c r="B4245" s="207"/>
      <c r="N4245" s="4"/>
      <c r="O4245" s="256"/>
    </row>
    <row r="4246" spans="1:15">
      <c r="A4246" s="207"/>
      <c r="B4246" s="207"/>
      <c r="N4246" s="4"/>
      <c r="O4246" s="256"/>
    </row>
    <row r="4247" spans="1:15">
      <c r="A4247" s="207"/>
      <c r="B4247" s="207"/>
      <c r="N4247" s="4"/>
      <c r="O4247" s="256"/>
    </row>
    <row r="4248" spans="1:15">
      <c r="A4248" s="207"/>
      <c r="B4248" s="207"/>
      <c r="N4248" s="4"/>
      <c r="O4248" s="256"/>
    </row>
    <row r="4249" spans="1:15">
      <c r="A4249" s="207"/>
      <c r="B4249" s="207"/>
      <c r="N4249" s="4"/>
      <c r="O4249" s="256"/>
    </row>
    <row r="4250" spans="1:15">
      <c r="A4250" s="207"/>
      <c r="B4250" s="207"/>
      <c r="N4250" s="4"/>
      <c r="O4250" s="256"/>
    </row>
    <row r="4251" spans="1:15">
      <c r="A4251" s="207"/>
      <c r="B4251" s="207"/>
      <c r="N4251" s="4"/>
      <c r="O4251" s="256"/>
    </row>
    <row r="4252" spans="1:15">
      <c r="A4252" s="207"/>
      <c r="B4252" s="207"/>
      <c r="N4252" s="4"/>
      <c r="O4252" s="256"/>
    </row>
    <row r="4253" spans="1:15">
      <c r="A4253" s="207"/>
      <c r="B4253" s="207"/>
      <c r="N4253" s="4"/>
      <c r="O4253" s="256"/>
    </row>
    <row r="4254" spans="1:15">
      <c r="A4254" s="207"/>
      <c r="B4254" s="207"/>
      <c r="N4254" s="4"/>
      <c r="O4254" s="256"/>
    </row>
    <row r="4255" spans="1:15">
      <c r="A4255" s="207"/>
      <c r="B4255" s="207"/>
      <c r="N4255" s="4"/>
      <c r="O4255" s="256"/>
    </row>
    <row r="4256" spans="1:15">
      <c r="A4256" s="207"/>
      <c r="B4256" s="207"/>
      <c r="N4256" s="4"/>
      <c r="O4256" s="256"/>
    </row>
    <row r="4257" spans="1:15">
      <c r="A4257" s="207"/>
      <c r="B4257" s="207"/>
      <c r="N4257" s="4"/>
      <c r="O4257" s="256"/>
    </row>
    <row r="4258" spans="1:15">
      <c r="A4258" s="207"/>
      <c r="B4258" s="207"/>
      <c r="N4258" s="4"/>
      <c r="O4258" s="256"/>
    </row>
    <row r="4259" spans="1:15">
      <c r="A4259" s="207"/>
      <c r="B4259" s="207"/>
      <c r="N4259" s="4"/>
      <c r="O4259" s="256"/>
    </row>
    <row r="4260" spans="1:15">
      <c r="A4260" s="207"/>
      <c r="B4260" s="207"/>
      <c r="N4260" s="4"/>
      <c r="O4260" s="256"/>
    </row>
    <row r="4261" spans="1:15">
      <c r="A4261" s="207"/>
      <c r="B4261" s="207"/>
      <c r="N4261" s="4"/>
      <c r="O4261" s="256"/>
    </row>
    <row r="4262" spans="1:15">
      <c r="A4262" s="207"/>
      <c r="B4262" s="207"/>
      <c r="N4262" s="4"/>
      <c r="O4262" s="256"/>
    </row>
    <row r="4263" spans="1:15">
      <c r="A4263" s="207"/>
      <c r="B4263" s="207"/>
      <c r="N4263" s="4"/>
      <c r="O4263" s="256"/>
    </row>
    <row r="4264" spans="1:15">
      <c r="A4264" s="207"/>
      <c r="B4264" s="207"/>
      <c r="N4264" s="4"/>
      <c r="O4264" s="256"/>
    </row>
    <row r="4265" spans="1:15">
      <c r="A4265" s="207"/>
      <c r="B4265" s="207"/>
      <c r="N4265" s="4"/>
      <c r="O4265" s="256"/>
    </row>
    <row r="4266" spans="1:15">
      <c r="A4266" s="207"/>
      <c r="B4266" s="207"/>
      <c r="N4266" s="4"/>
      <c r="O4266" s="256"/>
    </row>
    <row r="4267" spans="1:15">
      <c r="A4267" s="207"/>
      <c r="B4267" s="207"/>
      <c r="N4267" s="4"/>
      <c r="O4267" s="256"/>
    </row>
    <row r="4268" spans="1:15">
      <c r="A4268" s="207"/>
      <c r="B4268" s="207"/>
      <c r="N4268" s="4"/>
      <c r="O4268" s="256"/>
    </row>
    <row r="4269" spans="1:15">
      <c r="A4269" s="207"/>
      <c r="B4269" s="207"/>
      <c r="N4269" s="4"/>
      <c r="O4269" s="256"/>
    </row>
    <row r="4270" spans="1:15">
      <c r="A4270" s="207"/>
      <c r="B4270" s="207"/>
      <c r="N4270" s="4"/>
      <c r="O4270" s="256"/>
    </row>
    <row r="4271" spans="1:15">
      <c r="A4271" s="207"/>
      <c r="B4271" s="207"/>
      <c r="N4271" s="4"/>
      <c r="O4271" s="256"/>
    </row>
    <row r="4272" spans="1:15">
      <c r="A4272" s="207"/>
      <c r="B4272" s="207"/>
      <c r="N4272" s="4"/>
      <c r="O4272" s="256"/>
    </row>
    <row r="4273" spans="1:15">
      <c r="A4273" s="207"/>
      <c r="B4273" s="207"/>
      <c r="N4273" s="4"/>
      <c r="O4273" s="256"/>
    </row>
    <row r="4274" spans="1:15">
      <c r="A4274" s="207"/>
      <c r="B4274" s="207"/>
      <c r="N4274" s="4"/>
      <c r="O4274" s="256"/>
    </row>
    <row r="4275" spans="1:15">
      <c r="A4275" s="207"/>
      <c r="B4275" s="207"/>
      <c r="N4275" s="4"/>
      <c r="O4275" s="256"/>
    </row>
    <row r="4276" spans="1:15">
      <c r="A4276" s="207"/>
      <c r="B4276" s="207"/>
      <c r="N4276" s="4"/>
      <c r="O4276" s="256"/>
    </row>
    <row r="4277" spans="1:15">
      <c r="A4277" s="207"/>
      <c r="B4277" s="207"/>
      <c r="N4277" s="4"/>
      <c r="O4277" s="256"/>
    </row>
    <row r="4278" spans="1:15">
      <c r="A4278" s="207"/>
      <c r="B4278" s="207"/>
      <c r="N4278" s="4"/>
      <c r="O4278" s="256"/>
    </row>
    <row r="4279" spans="1:15">
      <c r="A4279" s="207"/>
      <c r="B4279" s="207"/>
      <c r="N4279" s="4"/>
      <c r="O4279" s="256"/>
    </row>
    <row r="4280" spans="1:15">
      <c r="A4280" s="207"/>
      <c r="B4280" s="207"/>
      <c r="N4280" s="4"/>
      <c r="O4280" s="256"/>
    </row>
    <row r="4281" spans="1:15">
      <c r="A4281" s="207"/>
      <c r="B4281" s="207"/>
      <c r="N4281" s="4"/>
      <c r="O4281" s="256"/>
    </row>
    <row r="4282" spans="1:15">
      <c r="A4282" s="207"/>
      <c r="B4282" s="207"/>
      <c r="N4282" s="4"/>
      <c r="O4282" s="256"/>
    </row>
    <row r="4283" spans="1:15">
      <c r="A4283" s="207"/>
      <c r="B4283" s="207"/>
      <c r="N4283" s="4"/>
      <c r="O4283" s="256"/>
    </row>
    <row r="4284" spans="1:15">
      <c r="A4284" s="207"/>
      <c r="B4284" s="207"/>
      <c r="N4284" s="4"/>
      <c r="O4284" s="256"/>
    </row>
    <row r="4285" spans="1:15">
      <c r="A4285" s="207"/>
      <c r="B4285" s="207"/>
      <c r="N4285" s="4"/>
      <c r="O4285" s="256"/>
    </row>
    <row r="4286" spans="1:15">
      <c r="A4286" s="207"/>
      <c r="B4286" s="207"/>
      <c r="N4286" s="4"/>
      <c r="O4286" s="256"/>
    </row>
    <row r="4287" spans="1:15">
      <c r="A4287" s="207"/>
      <c r="B4287" s="207"/>
      <c r="N4287" s="4"/>
      <c r="O4287" s="256"/>
    </row>
    <row r="4288" spans="1:15">
      <c r="A4288" s="207"/>
      <c r="B4288" s="207"/>
      <c r="N4288" s="4"/>
      <c r="O4288" s="256"/>
    </row>
    <row r="4289" spans="1:15">
      <c r="A4289" s="207"/>
      <c r="B4289" s="207"/>
      <c r="N4289" s="4"/>
      <c r="O4289" s="256"/>
    </row>
    <row r="4290" spans="1:15">
      <c r="A4290" s="207"/>
      <c r="B4290" s="207"/>
      <c r="N4290" s="4"/>
      <c r="O4290" s="256"/>
    </row>
    <row r="4291" spans="1:15">
      <c r="A4291" s="207"/>
      <c r="B4291" s="207"/>
      <c r="N4291" s="4"/>
      <c r="O4291" s="256"/>
    </row>
    <row r="4292" spans="1:15">
      <c r="A4292" s="207"/>
      <c r="B4292" s="207"/>
      <c r="N4292" s="4"/>
      <c r="O4292" s="256"/>
    </row>
    <row r="4293" spans="1:15">
      <c r="A4293" s="207"/>
      <c r="B4293" s="207"/>
      <c r="N4293" s="4"/>
      <c r="O4293" s="256"/>
    </row>
    <row r="4294" spans="1:15">
      <c r="A4294" s="207"/>
      <c r="B4294" s="207"/>
      <c r="N4294" s="4"/>
      <c r="O4294" s="256"/>
    </row>
    <row r="4295" spans="1:15">
      <c r="A4295" s="207"/>
      <c r="B4295" s="207"/>
      <c r="N4295" s="4"/>
      <c r="O4295" s="256"/>
    </row>
    <row r="4296" spans="1:15">
      <c r="A4296" s="207"/>
      <c r="B4296" s="207"/>
      <c r="N4296" s="4"/>
      <c r="O4296" s="256"/>
    </row>
    <row r="4297" spans="1:15">
      <c r="A4297" s="207"/>
      <c r="B4297" s="207"/>
      <c r="N4297" s="4"/>
      <c r="O4297" s="256"/>
    </row>
    <row r="4298" spans="1:15">
      <c r="A4298" s="207"/>
      <c r="B4298" s="207"/>
      <c r="N4298" s="4"/>
      <c r="O4298" s="256"/>
    </row>
    <row r="4299" spans="1:15">
      <c r="A4299" s="207"/>
      <c r="B4299" s="207"/>
      <c r="N4299" s="4"/>
      <c r="O4299" s="256"/>
    </row>
    <row r="4300" spans="1:15">
      <c r="A4300" s="207"/>
      <c r="B4300" s="207"/>
      <c r="N4300" s="4"/>
      <c r="O4300" s="256"/>
    </row>
    <row r="4301" spans="1:15">
      <c r="A4301" s="207"/>
      <c r="B4301" s="207"/>
      <c r="N4301" s="4"/>
      <c r="O4301" s="256"/>
    </row>
    <row r="4302" spans="1:15">
      <c r="A4302" s="207"/>
      <c r="B4302" s="207"/>
      <c r="N4302" s="4"/>
      <c r="O4302" s="256"/>
    </row>
    <row r="4303" spans="1:15">
      <c r="A4303" s="207"/>
      <c r="B4303" s="207"/>
      <c r="N4303" s="4"/>
      <c r="O4303" s="256"/>
    </row>
    <row r="4304" spans="1:15">
      <c r="A4304" s="207"/>
      <c r="B4304" s="207"/>
      <c r="N4304" s="4"/>
      <c r="O4304" s="256"/>
    </row>
    <row r="4305" spans="1:15">
      <c r="A4305" s="207"/>
      <c r="B4305" s="207"/>
      <c r="N4305" s="4"/>
      <c r="O4305" s="256"/>
    </row>
    <row r="4306" spans="1:15">
      <c r="A4306" s="207"/>
      <c r="B4306" s="207"/>
      <c r="N4306" s="4"/>
      <c r="O4306" s="256"/>
    </row>
    <row r="4307" spans="1:15">
      <c r="A4307" s="207"/>
      <c r="B4307" s="207"/>
      <c r="N4307" s="4"/>
      <c r="O4307" s="256"/>
    </row>
    <row r="4308" spans="1:15">
      <c r="A4308" s="207"/>
      <c r="B4308" s="207"/>
      <c r="N4308" s="4"/>
      <c r="O4308" s="256"/>
    </row>
    <row r="4309" spans="1:15">
      <c r="A4309" s="207"/>
      <c r="B4309" s="207"/>
      <c r="N4309" s="4"/>
      <c r="O4309" s="256"/>
    </row>
    <row r="4310" spans="1:15">
      <c r="A4310" s="207"/>
      <c r="B4310" s="207"/>
      <c r="N4310" s="4"/>
      <c r="O4310" s="256"/>
    </row>
    <row r="4311" spans="1:15">
      <c r="A4311" s="207"/>
      <c r="B4311" s="207"/>
      <c r="N4311" s="4"/>
      <c r="O4311" s="256"/>
    </row>
    <row r="4312" spans="1:15">
      <c r="A4312" s="207"/>
      <c r="B4312" s="207"/>
      <c r="N4312" s="4"/>
      <c r="O4312" s="256"/>
    </row>
    <row r="4313" spans="1:15">
      <c r="A4313" s="207"/>
      <c r="B4313" s="207"/>
      <c r="N4313" s="4"/>
      <c r="O4313" s="256"/>
    </row>
    <row r="4314" spans="1:15">
      <c r="A4314" s="207"/>
      <c r="B4314" s="207"/>
      <c r="N4314" s="4"/>
      <c r="O4314" s="256"/>
    </row>
    <row r="4315" spans="1:15">
      <c r="A4315" s="207"/>
      <c r="B4315" s="207"/>
      <c r="N4315" s="4"/>
      <c r="O4315" s="256"/>
    </row>
    <row r="4316" spans="1:15">
      <c r="A4316" s="207"/>
      <c r="B4316" s="207"/>
      <c r="N4316" s="4"/>
      <c r="O4316" s="256"/>
    </row>
    <row r="4317" spans="1:15">
      <c r="A4317" s="207"/>
      <c r="B4317" s="207"/>
      <c r="N4317" s="4"/>
      <c r="O4317" s="256"/>
    </row>
    <row r="4318" spans="1:15">
      <c r="A4318" s="207"/>
      <c r="B4318" s="207"/>
      <c r="N4318" s="4"/>
      <c r="O4318" s="256"/>
    </row>
    <row r="4319" spans="1:15">
      <c r="A4319" s="207"/>
      <c r="B4319" s="207"/>
      <c r="N4319" s="4"/>
      <c r="O4319" s="256"/>
    </row>
    <row r="4320" spans="1:15">
      <c r="A4320" s="207"/>
      <c r="B4320" s="207"/>
      <c r="N4320" s="4"/>
      <c r="O4320" s="256"/>
    </row>
    <row r="4321" spans="1:15">
      <c r="A4321" s="207"/>
      <c r="B4321" s="207"/>
      <c r="N4321" s="4"/>
      <c r="O4321" s="256"/>
    </row>
    <row r="4322" spans="1:15">
      <c r="A4322" s="207"/>
      <c r="B4322" s="207"/>
      <c r="N4322" s="4"/>
      <c r="O4322" s="256"/>
    </row>
    <row r="4323" spans="1:15">
      <c r="A4323" s="207"/>
      <c r="B4323" s="207"/>
      <c r="N4323" s="4"/>
      <c r="O4323" s="256"/>
    </row>
    <row r="4324" spans="1:15">
      <c r="A4324" s="207"/>
      <c r="B4324" s="207"/>
      <c r="N4324" s="4"/>
      <c r="O4324" s="256"/>
    </row>
    <row r="4325" spans="1:15">
      <c r="A4325" s="207"/>
      <c r="B4325" s="207"/>
      <c r="N4325" s="4"/>
      <c r="O4325" s="256"/>
    </row>
    <row r="4326" spans="1:15">
      <c r="A4326" s="207"/>
      <c r="B4326" s="207"/>
      <c r="N4326" s="4"/>
      <c r="O4326" s="256"/>
    </row>
    <row r="4327" spans="1:15">
      <c r="A4327" s="207"/>
      <c r="B4327" s="207"/>
      <c r="N4327" s="4"/>
      <c r="O4327" s="256"/>
    </row>
    <row r="4328" spans="1:15">
      <c r="A4328" s="207"/>
      <c r="B4328" s="207"/>
      <c r="N4328" s="4"/>
      <c r="O4328" s="256"/>
    </row>
    <row r="4329" spans="1:15">
      <c r="A4329" s="207"/>
      <c r="B4329" s="207"/>
      <c r="N4329" s="4"/>
      <c r="O4329" s="256"/>
    </row>
    <row r="4330" spans="1:15">
      <c r="A4330" s="207"/>
      <c r="B4330" s="207"/>
      <c r="N4330" s="4"/>
      <c r="O4330" s="256"/>
    </row>
    <row r="4331" spans="1:15">
      <c r="A4331" s="207"/>
      <c r="B4331" s="207"/>
      <c r="N4331" s="4"/>
      <c r="O4331" s="256"/>
    </row>
    <row r="4332" spans="1:15">
      <c r="A4332" s="207"/>
      <c r="B4332" s="207"/>
      <c r="N4332" s="4"/>
      <c r="O4332" s="256"/>
    </row>
    <row r="4333" spans="1:15">
      <c r="A4333" s="207"/>
      <c r="B4333" s="207"/>
      <c r="N4333" s="4"/>
      <c r="O4333" s="256"/>
    </row>
    <row r="4334" spans="1:15">
      <c r="A4334" s="207"/>
      <c r="B4334" s="207"/>
      <c r="N4334" s="4"/>
      <c r="O4334" s="256"/>
    </row>
    <row r="4335" spans="1:15">
      <c r="A4335" s="207"/>
      <c r="B4335" s="207"/>
      <c r="N4335" s="4"/>
      <c r="O4335" s="256"/>
    </row>
    <row r="4336" spans="1:15">
      <c r="A4336" s="207"/>
      <c r="B4336" s="207"/>
      <c r="N4336" s="4"/>
      <c r="O4336" s="256"/>
    </row>
    <row r="4337" spans="1:15">
      <c r="A4337" s="207"/>
      <c r="B4337" s="207"/>
      <c r="N4337" s="4"/>
      <c r="O4337" s="256"/>
    </row>
    <row r="4338" spans="1:15">
      <c r="A4338" s="207"/>
      <c r="B4338" s="207"/>
      <c r="N4338" s="4"/>
      <c r="O4338" s="256"/>
    </row>
    <row r="4339" spans="1:15">
      <c r="A4339" s="207"/>
      <c r="B4339" s="207"/>
      <c r="N4339" s="4"/>
      <c r="O4339" s="256"/>
    </row>
    <row r="4340" spans="1:15">
      <c r="A4340" s="207"/>
      <c r="B4340" s="207"/>
      <c r="N4340" s="4"/>
      <c r="O4340" s="256"/>
    </row>
    <row r="4341" spans="1:15">
      <c r="A4341" s="207"/>
      <c r="B4341" s="207"/>
      <c r="N4341" s="4"/>
      <c r="O4341" s="256"/>
    </row>
    <row r="4342" spans="1:15">
      <c r="A4342" s="207"/>
      <c r="B4342" s="207"/>
      <c r="N4342" s="4"/>
      <c r="O4342" s="256"/>
    </row>
    <row r="4343" spans="1:15">
      <c r="A4343" s="207"/>
      <c r="B4343" s="207"/>
      <c r="N4343" s="4"/>
      <c r="O4343" s="256"/>
    </row>
    <row r="4344" spans="1:15">
      <c r="A4344" s="207"/>
      <c r="B4344" s="207"/>
      <c r="N4344" s="4"/>
      <c r="O4344" s="256"/>
    </row>
    <row r="4345" spans="1:15">
      <c r="A4345" s="207"/>
      <c r="B4345" s="207"/>
      <c r="N4345" s="4"/>
      <c r="O4345" s="256"/>
    </row>
    <row r="4346" spans="1:15">
      <c r="A4346" s="207"/>
      <c r="B4346" s="207"/>
      <c r="N4346" s="4"/>
      <c r="O4346" s="256"/>
    </row>
    <row r="4347" spans="1:15">
      <c r="A4347" s="207"/>
      <c r="B4347" s="207"/>
      <c r="N4347" s="4"/>
      <c r="O4347" s="256"/>
    </row>
    <row r="4348" spans="1:15">
      <c r="A4348" s="207"/>
      <c r="B4348" s="207"/>
      <c r="N4348" s="4"/>
      <c r="O4348" s="256"/>
    </row>
    <row r="4349" spans="1:15">
      <c r="A4349" s="207"/>
      <c r="B4349" s="207"/>
      <c r="N4349" s="4"/>
      <c r="O4349" s="256"/>
    </row>
    <row r="4350" spans="1:15">
      <c r="A4350" s="207"/>
      <c r="B4350" s="207"/>
      <c r="N4350" s="4"/>
      <c r="O4350" s="256"/>
    </row>
    <row r="4351" spans="1:15">
      <c r="A4351" s="207"/>
      <c r="B4351" s="207"/>
      <c r="N4351" s="4"/>
      <c r="O4351" s="256"/>
    </row>
    <row r="4352" spans="1:15">
      <c r="A4352" s="207"/>
      <c r="B4352" s="207"/>
      <c r="N4352" s="4"/>
      <c r="O4352" s="256"/>
    </row>
    <row r="4353" spans="1:15">
      <c r="A4353" s="207"/>
      <c r="B4353" s="207"/>
      <c r="N4353" s="4"/>
      <c r="O4353" s="256"/>
    </row>
    <row r="4354" spans="1:15">
      <c r="A4354" s="207"/>
      <c r="B4354" s="207"/>
      <c r="N4354" s="4"/>
      <c r="O4354" s="256"/>
    </row>
    <row r="4355" spans="1:15">
      <c r="A4355" s="207"/>
      <c r="B4355" s="207"/>
      <c r="N4355" s="4"/>
      <c r="O4355" s="256"/>
    </row>
    <row r="4356" spans="1:15">
      <c r="A4356" s="207"/>
      <c r="B4356" s="207"/>
      <c r="N4356" s="4"/>
      <c r="O4356" s="256"/>
    </row>
    <row r="4357" spans="1:15">
      <c r="A4357" s="207"/>
      <c r="B4357" s="207"/>
      <c r="N4357" s="4"/>
      <c r="O4357" s="256"/>
    </row>
    <row r="4358" spans="1:15">
      <c r="A4358" s="207"/>
      <c r="B4358" s="207"/>
      <c r="N4358" s="4"/>
      <c r="O4358" s="256"/>
    </row>
    <row r="4359" spans="1:15">
      <c r="A4359" s="207"/>
      <c r="B4359" s="207"/>
      <c r="N4359" s="4"/>
      <c r="O4359" s="256"/>
    </row>
    <row r="4360" spans="1:15">
      <c r="A4360" s="207"/>
      <c r="B4360" s="207"/>
      <c r="N4360" s="4"/>
      <c r="O4360" s="256"/>
    </row>
    <row r="4361" spans="1:15">
      <c r="A4361" s="207"/>
      <c r="B4361" s="207"/>
      <c r="N4361" s="4"/>
      <c r="O4361" s="256"/>
    </row>
    <row r="4362" spans="1:15">
      <c r="A4362" s="207"/>
      <c r="B4362" s="207"/>
      <c r="N4362" s="4"/>
      <c r="O4362" s="256"/>
    </row>
    <row r="4363" spans="1:15">
      <c r="A4363" s="207"/>
      <c r="B4363" s="207"/>
      <c r="N4363" s="4"/>
      <c r="O4363" s="256"/>
    </row>
    <row r="4364" spans="1:15">
      <c r="A4364" s="207"/>
      <c r="B4364" s="207"/>
      <c r="N4364" s="4"/>
      <c r="O4364" s="256"/>
    </row>
    <row r="4365" spans="1:15">
      <c r="A4365" s="207"/>
      <c r="B4365" s="207"/>
      <c r="N4365" s="4"/>
      <c r="O4365" s="256"/>
    </row>
    <row r="4366" spans="1:15">
      <c r="A4366" s="207"/>
      <c r="B4366" s="207"/>
      <c r="N4366" s="4"/>
      <c r="O4366" s="256"/>
    </row>
    <row r="4367" spans="1:15">
      <c r="A4367" s="207"/>
      <c r="B4367" s="207"/>
      <c r="N4367" s="4"/>
      <c r="O4367" s="256"/>
    </row>
    <row r="4368" spans="1:15">
      <c r="A4368" s="207"/>
      <c r="B4368" s="207"/>
      <c r="N4368" s="4"/>
      <c r="O4368" s="256"/>
    </row>
    <row r="4369" spans="1:15">
      <c r="A4369" s="207"/>
      <c r="B4369" s="207"/>
      <c r="N4369" s="4"/>
      <c r="O4369" s="256"/>
    </row>
    <row r="4370" spans="1:15">
      <c r="A4370" s="207"/>
      <c r="B4370" s="207"/>
      <c r="N4370" s="4"/>
      <c r="O4370" s="256"/>
    </row>
    <row r="4371" spans="1:15">
      <c r="A4371" s="207"/>
      <c r="B4371" s="207"/>
      <c r="N4371" s="4"/>
      <c r="O4371" s="256"/>
    </row>
    <row r="4372" spans="1:15">
      <c r="A4372" s="207"/>
      <c r="B4372" s="207"/>
      <c r="N4372" s="4"/>
      <c r="O4372" s="256"/>
    </row>
    <row r="4373" spans="1:15">
      <c r="A4373" s="207"/>
      <c r="B4373" s="207"/>
      <c r="N4373" s="4"/>
      <c r="O4373" s="256"/>
    </row>
    <row r="4374" spans="1:15">
      <c r="A4374" s="207"/>
      <c r="B4374" s="207"/>
      <c r="N4374" s="4"/>
      <c r="O4374" s="256"/>
    </row>
    <row r="4375" spans="1:15">
      <c r="A4375" s="207"/>
      <c r="B4375" s="207"/>
      <c r="N4375" s="4"/>
      <c r="O4375" s="256"/>
    </row>
    <row r="4376" spans="1:15">
      <c r="A4376" s="207"/>
      <c r="B4376" s="207"/>
      <c r="N4376" s="4"/>
      <c r="O4376" s="256"/>
    </row>
    <row r="4377" spans="1:15">
      <c r="A4377" s="207"/>
      <c r="B4377" s="207"/>
      <c r="N4377" s="4"/>
      <c r="O4377" s="256"/>
    </row>
    <row r="4378" spans="1:15">
      <c r="A4378" s="207"/>
      <c r="B4378" s="207"/>
      <c r="N4378" s="4"/>
      <c r="O4378" s="256"/>
    </row>
    <row r="4379" spans="1:15">
      <c r="A4379" s="207"/>
      <c r="B4379" s="207"/>
      <c r="N4379" s="4"/>
      <c r="O4379" s="256"/>
    </row>
    <row r="4380" spans="1:15">
      <c r="A4380" s="207"/>
      <c r="B4380" s="207"/>
      <c r="N4380" s="4"/>
      <c r="O4380" s="256"/>
    </row>
    <row r="4381" spans="1:15">
      <c r="A4381" s="207"/>
      <c r="B4381" s="207"/>
      <c r="N4381" s="4"/>
      <c r="O4381" s="256"/>
    </row>
    <row r="4382" spans="1:15">
      <c r="A4382" s="207"/>
      <c r="B4382" s="207"/>
      <c r="N4382" s="4"/>
      <c r="O4382" s="256"/>
    </row>
    <row r="4383" spans="1:15">
      <c r="A4383" s="207"/>
      <c r="B4383" s="207"/>
      <c r="N4383" s="4"/>
      <c r="O4383" s="256"/>
    </row>
    <row r="4384" spans="1:15">
      <c r="A4384" s="207"/>
      <c r="B4384" s="207"/>
      <c r="N4384" s="4"/>
      <c r="O4384" s="256"/>
    </row>
    <row r="4385" spans="1:15">
      <c r="A4385" s="207"/>
      <c r="B4385" s="207"/>
      <c r="N4385" s="4"/>
      <c r="O4385" s="256"/>
    </row>
    <row r="4386" spans="1:15">
      <c r="A4386" s="207"/>
      <c r="B4386" s="207"/>
      <c r="N4386" s="4"/>
      <c r="O4386" s="256"/>
    </row>
    <row r="4387" spans="1:15">
      <c r="A4387" s="207"/>
      <c r="B4387" s="207"/>
      <c r="N4387" s="4"/>
      <c r="O4387" s="256"/>
    </row>
    <row r="4388" spans="1:15">
      <c r="A4388" s="207"/>
      <c r="B4388" s="207"/>
      <c r="N4388" s="4"/>
      <c r="O4388" s="256"/>
    </row>
    <row r="4389" spans="1:15">
      <c r="A4389" s="207"/>
      <c r="B4389" s="207"/>
      <c r="N4389" s="4"/>
      <c r="O4389" s="256"/>
    </row>
    <row r="4390" spans="1:15">
      <c r="A4390" s="207"/>
      <c r="B4390" s="207"/>
      <c r="N4390" s="4"/>
      <c r="O4390" s="256"/>
    </row>
    <row r="4391" spans="1:15">
      <c r="A4391" s="207"/>
      <c r="B4391" s="207"/>
      <c r="N4391" s="4"/>
      <c r="O4391" s="256"/>
    </row>
    <row r="4392" spans="1:15">
      <c r="A4392" s="207"/>
      <c r="B4392" s="207"/>
      <c r="N4392" s="4"/>
      <c r="O4392" s="256"/>
    </row>
    <row r="4393" spans="1:15">
      <c r="A4393" s="207"/>
      <c r="B4393" s="207"/>
      <c r="N4393" s="4"/>
      <c r="O4393" s="256"/>
    </row>
    <row r="4394" spans="1:15">
      <c r="A4394" s="207"/>
      <c r="B4394" s="207"/>
      <c r="N4394" s="4"/>
      <c r="O4394" s="256"/>
    </row>
    <row r="4395" spans="1:15">
      <c r="A4395" s="207"/>
      <c r="B4395" s="207"/>
      <c r="N4395" s="4"/>
      <c r="O4395" s="256"/>
    </row>
    <row r="4396" spans="1:15">
      <c r="A4396" s="207"/>
      <c r="B4396" s="207"/>
      <c r="N4396" s="4"/>
      <c r="O4396" s="256"/>
    </row>
    <row r="4397" spans="1:15">
      <c r="A4397" s="207"/>
      <c r="B4397" s="207"/>
      <c r="N4397" s="4"/>
      <c r="O4397" s="256"/>
    </row>
    <row r="4398" spans="1:15">
      <c r="A4398" s="207"/>
      <c r="B4398" s="207"/>
      <c r="N4398" s="4"/>
      <c r="O4398" s="256"/>
    </row>
    <row r="4399" spans="1:15">
      <c r="A4399" s="207"/>
      <c r="B4399" s="207"/>
      <c r="N4399" s="4"/>
      <c r="O4399" s="256"/>
    </row>
    <row r="4400" spans="1:15">
      <c r="A4400" s="207"/>
      <c r="B4400" s="207"/>
      <c r="N4400" s="4"/>
      <c r="O4400" s="256"/>
    </row>
    <row r="4401" spans="1:15">
      <c r="A4401" s="207"/>
      <c r="B4401" s="207"/>
      <c r="N4401" s="4"/>
      <c r="O4401" s="256"/>
    </row>
    <row r="4402" spans="1:15">
      <c r="A4402" s="207"/>
      <c r="B4402" s="207"/>
      <c r="N4402" s="4"/>
      <c r="O4402" s="256"/>
    </row>
    <row r="4403" spans="1:15">
      <c r="A4403" s="207"/>
      <c r="B4403" s="207"/>
      <c r="N4403" s="4"/>
      <c r="O4403" s="256"/>
    </row>
    <row r="4404" spans="1:15">
      <c r="A4404" s="207"/>
      <c r="B4404" s="207"/>
      <c r="N4404" s="4"/>
      <c r="O4404" s="256"/>
    </row>
    <row r="4405" spans="1:15">
      <c r="A4405" s="207"/>
      <c r="B4405" s="207"/>
      <c r="N4405" s="4"/>
      <c r="O4405" s="256"/>
    </row>
    <row r="4406" spans="1:15">
      <c r="A4406" s="207"/>
      <c r="B4406" s="207"/>
      <c r="N4406" s="4"/>
      <c r="O4406" s="256"/>
    </row>
    <row r="4407" spans="1:15">
      <c r="A4407" s="207"/>
      <c r="B4407" s="207"/>
      <c r="N4407" s="4"/>
      <c r="O4407" s="256"/>
    </row>
    <row r="4408" spans="1:15">
      <c r="A4408" s="207"/>
      <c r="B4408" s="207"/>
      <c r="N4408" s="4"/>
      <c r="O4408" s="256"/>
    </row>
    <row r="4409" spans="1:15">
      <c r="A4409" s="207"/>
      <c r="B4409" s="207"/>
      <c r="N4409" s="4"/>
      <c r="O4409" s="256"/>
    </row>
    <row r="4410" spans="1:15">
      <c r="A4410" s="207"/>
      <c r="B4410" s="207"/>
      <c r="N4410" s="4"/>
      <c r="O4410" s="256"/>
    </row>
    <row r="4411" spans="1:15">
      <c r="A4411" s="207"/>
      <c r="B4411" s="207"/>
      <c r="N4411" s="4"/>
      <c r="O4411" s="256"/>
    </row>
    <row r="4412" spans="1:15">
      <c r="A4412" s="207"/>
      <c r="B4412" s="207"/>
      <c r="N4412" s="4"/>
      <c r="O4412" s="256"/>
    </row>
    <row r="4413" spans="1:15">
      <c r="A4413" s="207"/>
      <c r="B4413" s="207"/>
      <c r="N4413" s="4"/>
      <c r="O4413" s="256"/>
    </row>
    <row r="4414" spans="1:15">
      <c r="A4414" s="207"/>
      <c r="B4414" s="207"/>
      <c r="N4414" s="4"/>
      <c r="O4414" s="256"/>
    </row>
    <row r="4415" spans="1:15">
      <c r="A4415" s="207"/>
      <c r="B4415" s="207"/>
      <c r="N4415" s="4"/>
      <c r="O4415" s="256"/>
    </row>
    <row r="4416" spans="1:15">
      <c r="A4416" s="207"/>
      <c r="B4416" s="207"/>
      <c r="N4416" s="4"/>
      <c r="O4416" s="256"/>
    </row>
    <row r="4417" spans="1:15">
      <c r="A4417" s="207"/>
      <c r="B4417" s="207"/>
      <c r="N4417" s="4"/>
      <c r="O4417" s="256"/>
    </row>
    <row r="4418" spans="1:15">
      <c r="A4418" s="207"/>
      <c r="B4418" s="207"/>
      <c r="N4418" s="4"/>
      <c r="O4418" s="256"/>
    </row>
    <row r="4419" spans="1:15">
      <c r="A4419" s="207"/>
      <c r="B4419" s="207"/>
      <c r="N4419" s="4"/>
      <c r="O4419" s="256"/>
    </row>
    <row r="4420" spans="1:15">
      <c r="A4420" s="207"/>
      <c r="B4420" s="207"/>
      <c r="N4420" s="4"/>
      <c r="O4420" s="256"/>
    </row>
    <row r="4421" spans="1:15">
      <c r="A4421" s="207"/>
      <c r="B4421" s="207"/>
      <c r="N4421" s="4"/>
      <c r="O4421" s="256"/>
    </row>
    <row r="4422" spans="1:15">
      <c r="A4422" s="207"/>
      <c r="B4422" s="207"/>
      <c r="N4422" s="4"/>
      <c r="O4422" s="256"/>
    </row>
    <row r="4423" spans="1:15">
      <c r="A4423" s="207"/>
      <c r="B4423" s="207"/>
      <c r="N4423" s="4"/>
      <c r="O4423" s="256"/>
    </row>
    <row r="4424" spans="1:15">
      <c r="A4424" s="207"/>
      <c r="B4424" s="207"/>
      <c r="N4424" s="4"/>
      <c r="O4424" s="256"/>
    </row>
    <row r="4425" spans="1:15">
      <c r="A4425" s="207"/>
      <c r="B4425" s="207"/>
      <c r="N4425" s="4"/>
      <c r="O4425" s="256"/>
    </row>
    <row r="4426" spans="1:15">
      <c r="A4426" s="207"/>
      <c r="B4426" s="207"/>
      <c r="N4426" s="4"/>
      <c r="O4426" s="256"/>
    </row>
    <row r="4427" spans="1:15">
      <c r="A4427" s="207"/>
      <c r="B4427" s="207"/>
      <c r="N4427" s="4"/>
      <c r="O4427" s="256"/>
    </row>
    <row r="4428" spans="1:15">
      <c r="A4428" s="207"/>
      <c r="B4428" s="207"/>
      <c r="N4428" s="4"/>
      <c r="O4428" s="256"/>
    </row>
    <row r="4429" spans="1:15">
      <c r="A4429" s="207"/>
      <c r="B4429" s="207"/>
      <c r="N4429" s="4"/>
      <c r="O4429" s="256"/>
    </row>
    <row r="4430" spans="1:15">
      <c r="A4430" s="207"/>
      <c r="B4430" s="207"/>
      <c r="N4430" s="4"/>
      <c r="O4430" s="256"/>
    </row>
    <row r="4431" spans="1:15">
      <c r="A4431" s="207"/>
      <c r="B4431" s="207"/>
      <c r="N4431" s="4"/>
      <c r="O4431" s="256"/>
    </row>
    <row r="4432" spans="1:15">
      <c r="A4432" s="207"/>
      <c r="B4432" s="207"/>
      <c r="N4432" s="4"/>
      <c r="O4432" s="256"/>
    </row>
    <row r="4433" spans="1:15">
      <c r="A4433" s="207"/>
      <c r="B4433" s="207"/>
      <c r="N4433" s="4"/>
      <c r="O4433" s="256"/>
    </row>
    <row r="4434" spans="1:15">
      <c r="A4434" s="207"/>
      <c r="B4434" s="207"/>
      <c r="N4434" s="4"/>
      <c r="O4434" s="256"/>
    </row>
    <row r="4435" spans="1:15">
      <c r="A4435" s="207"/>
      <c r="B4435" s="207"/>
      <c r="N4435" s="4"/>
      <c r="O4435" s="256"/>
    </row>
    <row r="4436" spans="1:15">
      <c r="A4436" s="207"/>
      <c r="B4436" s="207"/>
      <c r="N4436" s="4"/>
      <c r="O4436" s="256"/>
    </row>
    <row r="4437" spans="1:15">
      <c r="A4437" s="207"/>
      <c r="B4437" s="207"/>
      <c r="N4437" s="4"/>
      <c r="O4437" s="256"/>
    </row>
    <row r="4438" spans="1:15">
      <c r="A4438" s="207"/>
      <c r="B4438" s="207"/>
      <c r="N4438" s="4"/>
      <c r="O4438" s="256"/>
    </row>
    <row r="4439" spans="1:15">
      <c r="A4439" s="207"/>
      <c r="B4439" s="207"/>
      <c r="N4439" s="4"/>
      <c r="O4439" s="256"/>
    </row>
    <row r="4440" spans="1:15">
      <c r="A4440" s="207"/>
      <c r="B4440" s="207"/>
      <c r="N4440" s="4"/>
      <c r="O4440" s="256"/>
    </row>
    <row r="4441" spans="1:15">
      <c r="A4441" s="207"/>
      <c r="B4441" s="207"/>
      <c r="N4441" s="4"/>
      <c r="O4441" s="256"/>
    </row>
    <row r="4442" spans="1:15">
      <c r="A4442" s="207"/>
      <c r="B4442" s="207"/>
      <c r="N4442" s="4"/>
      <c r="O4442" s="256"/>
    </row>
    <row r="4443" spans="1:15">
      <c r="A4443" s="207"/>
      <c r="B4443" s="207"/>
      <c r="N4443" s="4"/>
      <c r="O4443" s="256"/>
    </row>
    <row r="4444" spans="1:15">
      <c r="A4444" s="207"/>
      <c r="B4444" s="207"/>
      <c r="N4444" s="4"/>
      <c r="O4444" s="256"/>
    </row>
    <row r="4445" spans="1:15">
      <c r="A4445" s="207"/>
      <c r="B4445" s="207"/>
      <c r="N4445" s="4"/>
      <c r="O4445" s="256"/>
    </row>
    <row r="4446" spans="1:15">
      <c r="A4446" s="207"/>
      <c r="B4446" s="207"/>
      <c r="N4446" s="4"/>
      <c r="O4446" s="256"/>
    </row>
    <row r="4447" spans="1:15">
      <c r="A4447" s="207"/>
      <c r="B4447" s="207"/>
      <c r="N4447" s="4"/>
      <c r="O4447" s="256"/>
    </row>
    <row r="4448" spans="1:15">
      <c r="A4448" s="207"/>
      <c r="B4448" s="207"/>
      <c r="N4448" s="4"/>
      <c r="O4448" s="256"/>
    </row>
    <row r="4449" spans="1:15">
      <c r="A4449" s="207"/>
      <c r="B4449" s="207"/>
      <c r="N4449" s="4"/>
      <c r="O4449" s="256"/>
    </row>
    <row r="4450" spans="1:15">
      <c r="A4450" s="207"/>
      <c r="B4450" s="207"/>
      <c r="N4450" s="4"/>
      <c r="O4450" s="256"/>
    </row>
    <row r="4451" spans="1:15">
      <c r="A4451" s="207"/>
      <c r="B4451" s="207"/>
      <c r="N4451" s="4"/>
      <c r="O4451" s="256"/>
    </row>
    <row r="4452" spans="1:15">
      <c r="A4452" s="207"/>
      <c r="B4452" s="207"/>
      <c r="N4452" s="4"/>
      <c r="O4452" s="256"/>
    </row>
    <row r="4453" spans="1:15">
      <c r="A4453" s="207"/>
      <c r="B4453" s="207"/>
      <c r="N4453" s="4"/>
      <c r="O4453" s="256"/>
    </row>
    <row r="4454" spans="1:15">
      <c r="A4454" s="207"/>
      <c r="B4454" s="207"/>
      <c r="N4454" s="4"/>
      <c r="O4454" s="256"/>
    </row>
    <row r="4455" spans="1:15">
      <c r="A4455" s="207"/>
      <c r="B4455" s="207"/>
      <c r="N4455" s="4"/>
      <c r="O4455" s="256"/>
    </row>
    <row r="4456" spans="1:15">
      <c r="A4456" s="207"/>
      <c r="B4456" s="207"/>
      <c r="N4456" s="4"/>
      <c r="O4456" s="256"/>
    </row>
    <row r="4457" spans="1:15">
      <c r="A4457" s="207"/>
      <c r="B4457" s="207"/>
      <c r="N4457" s="4"/>
      <c r="O4457" s="256"/>
    </row>
    <row r="4458" spans="1:15">
      <c r="A4458" s="207"/>
      <c r="B4458" s="207"/>
      <c r="N4458" s="4"/>
      <c r="O4458" s="256"/>
    </row>
    <row r="4459" spans="1:15">
      <c r="A4459" s="207"/>
      <c r="B4459" s="207"/>
      <c r="N4459" s="4"/>
      <c r="O4459" s="256"/>
    </row>
    <row r="4460" spans="1:15">
      <c r="A4460" s="207"/>
      <c r="B4460" s="207"/>
      <c r="N4460" s="4"/>
      <c r="O4460" s="256"/>
    </row>
    <row r="4461" spans="1:15">
      <c r="A4461" s="207"/>
      <c r="B4461" s="207"/>
      <c r="N4461" s="4"/>
      <c r="O4461" s="256"/>
    </row>
    <row r="4462" spans="1:15">
      <c r="A4462" s="207"/>
      <c r="B4462" s="207"/>
      <c r="N4462" s="4"/>
      <c r="O4462" s="256"/>
    </row>
    <row r="4463" spans="1:15">
      <c r="A4463" s="207"/>
      <c r="B4463" s="207"/>
      <c r="N4463" s="4"/>
      <c r="O4463" s="256"/>
    </row>
    <row r="4464" spans="1:15">
      <c r="A4464" s="207"/>
      <c r="B4464" s="207"/>
      <c r="N4464" s="4"/>
      <c r="O4464" s="256"/>
    </row>
    <row r="4465" spans="1:15">
      <c r="A4465" s="207"/>
      <c r="B4465" s="207"/>
      <c r="N4465" s="4"/>
      <c r="O4465" s="256"/>
    </row>
    <row r="4466" spans="1:15">
      <c r="A4466" s="207"/>
      <c r="B4466" s="207"/>
      <c r="N4466" s="4"/>
      <c r="O4466" s="256"/>
    </row>
    <row r="4467" spans="1:15">
      <c r="A4467" s="207"/>
      <c r="B4467" s="207"/>
      <c r="N4467" s="4"/>
      <c r="O4467" s="256"/>
    </row>
    <row r="4468" spans="1:15">
      <c r="A4468" s="207"/>
      <c r="B4468" s="207"/>
      <c r="N4468" s="4"/>
      <c r="O4468" s="256"/>
    </row>
    <row r="4469" spans="1:15">
      <c r="A4469" s="207"/>
      <c r="B4469" s="207"/>
      <c r="N4469" s="4"/>
      <c r="O4469" s="256"/>
    </row>
    <row r="4470" spans="1:15">
      <c r="A4470" s="207"/>
      <c r="B4470" s="207"/>
      <c r="N4470" s="4"/>
      <c r="O4470" s="256"/>
    </row>
    <row r="4471" spans="1:15">
      <c r="A4471" s="207"/>
      <c r="B4471" s="207"/>
      <c r="N4471" s="4"/>
      <c r="O4471" s="256"/>
    </row>
    <row r="4472" spans="1:15">
      <c r="A4472" s="207"/>
      <c r="B4472" s="207"/>
      <c r="N4472" s="4"/>
      <c r="O4472" s="256"/>
    </row>
    <row r="4473" spans="1:15">
      <c r="A4473" s="207"/>
      <c r="B4473" s="207"/>
      <c r="N4473" s="4"/>
      <c r="O4473" s="256"/>
    </row>
    <row r="4474" spans="1:15">
      <c r="A4474" s="207"/>
      <c r="B4474" s="207"/>
      <c r="N4474" s="4"/>
      <c r="O4474" s="256"/>
    </row>
    <row r="4475" spans="1:15">
      <c r="A4475" s="207"/>
      <c r="B4475" s="207"/>
      <c r="N4475" s="4"/>
      <c r="O4475" s="256"/>
    </row>
    <row r="4476" spans="1:15">
      <c r="A4476" s="207"/>
      <c r="B4476" s="207"/>
      <c r="N4476" s="4"/>
      <c r="O4476" s="256"/>
    </row>
    <row r="4477" spans="1:15">
      <c r="A4477" s="207"/>
      <c r="B4477" s="207"/>
      <c r="N4477" s="4"/>
      <c r="O4477" s="256"/>
    </row>
    <row r="4478" spans="1:15">
      <c r="A4478" s="207"/>
      <c r="B4478" s="207"/>
      <c r="N4478" s="4"/>
      <c r="O4478" s="256"/>
    </row>
    <row r="4479" spans="1:15">
      <c r="A4479" s="207"/>
      <c r="B4479" s="207"/>
      <c r="N4479" s="4"/>
      <c r="O4479" s="256"/>
    </row>
    <row r="4480" spans="1:15">
      <c r="A4480" s="207"/>
      <c r="B4480" s="207"/>
      <c r="N4480" s="4"/>
      <c r="O4480" s="256"/>
    </row>
    <row r="4481" spans="1:15">
      <c r="A4481" s="207"/>
      <c r="B4481" s="207"/>
      <c r="N4481" s="4"/>
      <c r="O4481" s="256"/>
    </row>
    <row r="4482" spans="1:15">
      <c r="A4482" s="207"/>
      <c r="B4482" s="207"/>
      <c r="N4482" s="4"/>
      <c r="O4482" s="256"/>
    </row>
    <row r="4483" spans="1:15">
      <c r="A4483" s="207"/>
      <c r="B4483" s="207"/>
      <c r="N4483" s="4"/>
      <c r="O4483" s="256"/>
    </row>
    <row r="4484" spans="1:15">
      <c r="A4484" s="207"/>
      <c r="B4484" s="207"/>
      <c r="N4484" s="4"/>
      <c r="O4484" s="256"/>
    </row>
    <row r="4485" spans="1:15">
      <c r="A4485" s="207"/>
      <c r="B4485" s="207"/>
      <c r="N4485" s="4"/>
      <c r="O4485" s="256"/>
    </row>
    <row r="4486" spans="1:15">
      <c r="A4486" s="207"/>
      <c r="B4486" s="207"/>
      <c r="N4486" s="4"/>
      <c r="O4486" s="256"/>
    </row>
    <row r="4487" spans="1:15">
      <c r="A4487" s="207"/>
      <c r="B4487" s="207"/>
      <c r="N4487" s="4"/>
      <c r="O4487" s="256"/>
    </row>
    <row r="4488" spans="1:15">
      <c r="A4488" s="207"/>
      <c r="B4488" s="207"/>
      <c r="N4488" s="4"/>
      <c r="O4488" s="256"/>
    </row>
    <row r="4489" spans="1:15">
      <c r="A4489" s="207"/>
      <c r="B4489" s="207"/>
      <c r="N4489" s="4"/>
      <c r="O4489" s="256"/>
    </row>
    <row r="4490" spans="1:15">
      <c r="A4490" s="207"/>
      <c r="B4490" s="207"/>
      <c r="N4490" s="4"/>
      <c r="O4490" s="256"/>
    </row>
    <row r="4491" spans="1:15">
      <c r="A4491" s="207"/>
      <c r="B4491" s="207"/>
      <c r="N4491" s="4"/>
      <c r="O4491" s="256"/>
    </row>
    <row r="4492" spans="1:15">
      <c r="A4492" s="207"/>
      <c r="B4492" s="207"/>
      <c r="N4492" s="4"/>
      <c r="O4492" s="256"/>
    </row>
    <row r="4493" spans="1:15">
      <c r="A4493" s="207"/>
      <c r="B4493" s="207"/>
      <c r="N4493" s="4"/>
      <c r="O4493" s="256"/>
    </row>
    <row r="4494" spans="1:15">
      <c r="A4494" s="207"/>
      <c r="B4494" s="207"/>
      <c r="N4494" s="4"/>
      <c r="O4494" s="256"/>
    </row>
    <row r="4495" spans="1:15">
      <c r="A4495" s="207"/>
      <c r="B4495" s="207"/>
      <c r="N4495" s="4"/>
      <c r="O4495" s="256"/>
    </row>
    <row r="4496" spans="1:15">
      <c r="A4496" s="207"/>
      <c r="B4496" s="207"/>
      <c r="N4496" s="4"/>
      <c r="O4496" s="256"/>
    </row>
    <row r="4497" spans="1:15">
      <c r="A4497" s="207"/>
      <c r="B4497" s="207"/>
      <c r="N4497" s="4"/>
      <c r="O4497" s="256"/>
    </row>
    <row r="4498" spans="1:15">
      <c r="A4498" s="207"/>
      <c r="B4498" s="207"/>
      <c r="N4498" s="4"/>
      <c r="O4498" s="256"/>
    </row>
    <row r="4499" spans="1:15">
      <c r="A4499" s="207"/>
      <c r="B4499" s="207"/>
      <c r="N4499" s="4"/>
      <c r="O4499" s="256"/>
    </row>
    <row r="4500" spans="1:15">
      <c r="A4500" s="207"/>
      <c r="B4500" s="207"/>
      <c r="N4500" s="4"/>
      <c r="O4500" s="256"/>
    </row>
    <row r="4501" spans="1:15">
      <c r="A4501" s="207"/>
      <c r="B4501" s="207"/>
      <c r="N4501" s="4"/>
      <c r="O4501" s="256"/>
    </row>
    <row r="4502" spans="1:15">
      <c r="A4502" s="207"/>
      <c r="B4502" s="207"/>
      <c r="N4502" s="4"/>
      <c r="O4502" s="256"/>
    </row>
    <row r="4503" spans="1:15">
      <c r="A4503" s="207"/>
      <c r="B4503" s="207"/>
      <c r="N4503" s="4"/>
      <c r="O4503" s="256"/>
    </row>
    <row r="4504" spans="1:15">
      <c r="A4504" s="207"/>
      <c r="B4504" s="207"/>
      <c r="N4504" s="4"/>
      <c r="O4504" s="256"/>
    </row>
    <row r="4505" spans="1:15">
      <c r="A4505" s="207"/>
      <c r="B4505" s="207"/>
      <c r="N4505" s="4"/>
      <c r="O4505" s="256"/>
    </row>
    <row r="4506" spans="1:15">
      <c r="A4506" s="207"/>
      <c r="B4506" s="207"/>
      <c r="N4506" s="4"/>
      <c r="O4506" s="256"/>
    </row>
    <row r="4507" spans="1:15">
      <c r="A4507" s="207"/>
      <c r="B4507" s="207"/>
      <c r="N4507" s="4"/>
      <c r="O4507" s="256"/>
    </row>
    <row r="4508" spans="1:15">
      <c r="A4508" s="207"/>
      <c r="B4508" s="207"/>
      <c r="N4508" s="4"/>
      <c r="O4508" s="256"/>
    </row>
    <row r="4509" spans="1:15">
      <c r="A4509" s="207"/>
      <c r="B4509" s="207"/>
      <c r="N4509" s="4"/>
      <c r="O4509" s="256"/>
    </row>
    <row r="4510" spans="1:15">
      <c r="A4510" s="207"/>
      <c r="B4510" s="207"/>
      <c r="N4510" s="4"/>
      <c r="O4510" s="256"/>
    </row>
    <row r="4511" spans="1:15">
      <c r="A4511" s="207"/>
      <c r="B4511" s="207"/>
      <c r="N4511" s="4"/>
      <c r="O4511" s="256"/>
    </row>
    <row r="4512" spans="1:15">
      <c r="A4512" s="207"/>
      <c r="B4512" s="207"/>
      <c r="N4512" s="4"/>
      <c r="O4512" s="256"/>
    </row>
    <row r="4513" spans="1:15">
      <c r="A4513" s="207"/>
      <c r="B4513" s="207"/>
      <c r="N4513" s="4"/>
      <c r="O4513" s="256"/>
    </row>
    <row r="4514" spans="1:15">
      <c r="A4514" s="207"/>
      <c r="B4514" s="207"/>
      <c r="N4514" s="4"/>
      <c r="O4514" s="256"/>
    </row>
    <row r="4515" spans="1:15">
      <c r="A4515" s="207"/>
      <c r="B4515" s="207"/>
      <c r="N4515" s="4"/>
      <c r="O4515" s="256"/>
    </row>
    <row r="4516" spans="1:15">
      <c r="A4516" s="207"/>
      <c r="B4516" s="207"/>
      <c r="N4516" s="4"/>
      <c r="O4516" s="256"/>
    </row>
    <row r="4517" spans="1:15">
      <c r="A4517" s="207"/>
      <c r="B4517" s="207"/>
      <c r="N4517" s="4"/>
      <c r="O4517" s="256"/>
    </row>
    <row r="4518" spans="1:15">
      <c r="A4518" s="207"/>
      <c r="B4518" s="207"/>
      <c r="N4518" s="4"/>
      <c r="O4518" s="256"/>
    </row>
    <row r="4519" spans="1:15">
      <c r="A4519" s="207"/>
      <c r="B4519" s="207"/>
      <c r="N4519" s="4"/>
      <c r="O4519" s="256"/>
    </row>
    <row r="4520" spans="1:15">
      <c r="A4520" s="207"/>
      <c r="B4520" s="207"/>
      <c r="N4520" s="4"/>
      <c r="O4520" s="256"/>
    </row>
    <row r="4521" spans="1:15">
      <c r="A4521" s="207"/>
      <c r="B4521" s="207"/>
      <c r="N4521" s="4"/>
      <c r="O4521" s="256"/>
    </row>
    <row r="4522" spans="1:15">
      <c r="A4522" s="207"/>
      <c r="B4522" s="207"/>
      <c r="N4522" s="4"/>
      <c r="O4522" s="256"/>
    </row>
    <row r="4523" spans="1:15">
      <c r="A4523" s="207"/>
      <c r="B4523" s="207"/>
      <c r="N4523" s="4"/>
      <c r="O4523" s="256"/>
    </row>
    <row r="4524" spans="1:15">
      <c r="A4524" s="207"/>
      <c r="B4524" s="207"/>
      <c r="N4524" s="4"/>
      <c r="O4524" s="256"/>
    </row>
    <row r="4525" spans="1:15">
      <c r="A4525" s="207"/>
      <c r="B4525" s="207"/>
      <c r="N4525" s="4"/>
      <c r="O4525" s="256"/>
    </row>
    <row r="4526" spans="1:15">
      <c r="A4526" s="207"/>
      <c r="B4526" s="207"/>
      <c r="N4526" s="4"/>
      <c r="O4526" s="256"/>
    </row>
    <row r="4527" spans="1:15">
      <c r="A4527" s="207"/>
      <c r="B4527" s="207"/>
      <c r="N4527" s="4"/>
      <c r="O4527" s="256"/>
    </row>
    <row r="4528" spans="1:15">
      <c r="A4528" s="207"/>
      <c r="B4528" s="207"/>
      <c r="N4528" s="4"/>
      <c r="O4528" s="256"/>
    </row>
    <row r="4529" spans="1:15">
      <c r="A4529" s="207"/>
      <c r="B4529" s="207"/>
      <c r="N4529" s="4"/>
      <c r="O4529" s="256"/>
    </row>
    <row r="4530" spans="1:15">
      <c r="A4530" s="207"/>
      <c r="B4530" s="207"/>
      <c r="N4530" s="4"/>
      <c r="O4530" s="256"/>
    </row>
    <row r="4531" spans="1:15">
      <c r="A4531" s="207"/>
      <c r="B4531" s="207"/>
      <c r="N4531" s="4"/>
      <c r="O4531" s="256"/>
    </row>
    <row r="4532" spans="1:15">
      <c r="A4532" s="207"/>
      <c r="B4532" s="207"/>
      <c r="N4532" s="4"/>
      <c r="O4532" s="256"/>
    </row>
    <row r="4533" spans="1:15">
      <c r="A4533" s="207"/>
      <c r="B4533" s="207"/>
      <c r="N4533" s="4"/>
      <c r="O4533" s="256"/>
    </row>
    <row r="4534" spans="1:15">
      <c r="A4534" s="207"/>
      <c r="B4534" s="207"/>
      <c r="N4534" s="4"/>
      <c r="O4534" s="256"/>
    </row>
    <row r="4535" spans="1:15">
      <c r="A4535" s="207"/>
      <c r="B4535" s="207"/>
      <c r="N4535" s="4"/>
      <c r="O4535" s="256"/>
    </row>
    <row r="4536" spans="1:15">
      <c r="A4536" s="207"/>
      <c r="B4536" s="207"/>
      <c r="N4536" s="4"/>
      <c r="O4536" s="256"/>
    </row>
    <row r="4537" spans="1:15">
      <c r="A4537" s="207"/>
      <c r="B4537" s="207"/>
      <c r="N4537" s="4"/>
      <c r="O4537" s="256"/>
    </row>
    <row r="4538" spans="1:15">
      <c r="A4538" s="207"/>
      <c r="B4538" s="207"/>
      <c r="N4538" s="4"/>
      <c r="O4538" s="256"/>
    </row>
    <row r="4539" spans="1:15">
      <c r="A4539" s="207"/>
      <c r="B4539" s="207"/>
      <c r="N4539" s="4"/>
      <c r="O4539" s="256"/>
    </row>
    <row r="4540" spans="1:15">
      <c r="A4540" s="207"/>
      <c r="B4540" s="207"/>
      <c r="N4540" s="4"/>
      <c r="O4540" s="256"/>
    </row>
    <row r="4541" spans="1:15">
      <c r="A4541" s="207"/>
      <c r="B4541" s="207"/>
      <c r="N4541" s="4"/>
      <c r="O4541" s="256"/>
    </row>
    <row r="4542" spans="1:15">
      <c r="A4542" s="207"/>
      <c r="B4542" s="207"/>
      <c r="N4542" s="4"/>
      <c r="O4542" s="256"/>
    </row>
    <row r="4543" spans="1:15">
      <c r="A4543" s="207"/>
      <c r="B4543" s="207"/>
      <c r="N4543" s="4"/>
      <c r="O4543" s="256"/>
    </row>
    <row r="4544" spans="1:15">
      <c r="A4544" s="207"/>
      <c r="B4544" s="207"/>
      <c r="N4544" s="4"/>
      <c r="O4544" s="256"/>
    </row>
    <row r="4545" spans="1:15">
      <c r="A4545" s="207"/>
      <c r="B4545" s="207"/>
      <c r="N4545" s="4"/>
      <c r="O4545" s="256"/>
    </row>
    <row r="4546" spans="1:15">
      <c r="A4546" s="207"/>
      <c r="B4546" s="207"/>
      <c r="N4546" s="4"/>
      <c r="O4546" s="256"/>
    </row>
    <row r="4547" spans="1:15">
      <c r="A4547" s="207"/>
      <c r="B4547" s="207"/>
      <c r="N4547" s="4"/>
      <c r="O4547" s="256"/>
    </row>
    <row r="4548" spans="1:15">
      <c r="A4548" s="207"/>
      <c r="B4548" s="207"/>
      <c r="N4548" s="4"/>
      <c r="O4548" s="256"/>
    </row>
    <row r="4549" spans="1:15">
      <c r="A4549" s="207"/>
      <c r="B4549" s="207"/>
      <c r="N4549" s="4"/>
      <c r="O4549" s="256"/>
    </row>
    <row r="4550" spans="1:15">
      <c r="A4550" s="207"/>
      <c r="B4550" s="207"/>
      <c r="N4550" s="4"/>
      <c r="O4550" s="256"/>
    </row>
    <row r="4551" spans="1:15">
      <c r="A4551" s="207"/>
      <c r="B4551" s="207"/>
      <c r="N4551" s="4"/>
      <c r="O4551" s="256"/>
    </row>
    <row r="4552" spans="1:15">
      <c r="A4552" s="207"/>
      <c r="B4552" s="207"/>
      <c r="N4552" s="4"/>
      <c r="O4552" s="256"/>
    </row>
    <row r="4553" spans="1:15">
      <c r="A4553" s="207"/>
      <c r="B4553" s="207"/>
      <c r="N4553" s="4"/>
      <c r="O4553" s="256"/>
    </row>
    <row r="4554" spans="1:15">
      <c r="A4554" s="207"/>
      <c r="B4554" s="207"/>
      <c r="N4554" s="4"/>
      <c r="O4554" s="256"/>
    </row>
    <row r="4555" spans="1:15">
      <c r="A4555" s="207"/>
      <c r="B4555" s="207"/>
      <c r="N4555" s="4"/>
      <c r="O4555" s="256"/>
    </row>
    <row r="4556" spans="1:15">
      <c r="A4556" s="207"/>
      <c r="B4556" s="207"/>
      <c r="N4556" s="4"/>
      <c r="O4556" s="256"/>
    </row>
    <row r="4557" spans="1:15">
      <c r="A4557" s="207"/>
      <c r="B4557" s="207"/>
      <c r="N4557" s="4"/>
      <c r="O4557" s="256"/>
    </row>
    <row r="4558" spans="1:15">
      <c r="A4558" s="207"/>
      <c r="B4558" s="207"/>
      <c r="N4558" s="4"/>
      <c r="O4558" s="256"/>
    </row>
    <row r="4559" spans="1:15">
      <c r="A4559" s="207"/>
      <c r="B4559" s="207"/>
      <c r="N4559" s="4"/>
      <c r="O4559" s="256"/>
    </row>
    <row r="4560" spans="1:15">
      <c r="A4560" s="207"/>
      <c r="B4560" s="207"/>
      <c r="N4560" s="4"/>
      <c r="O4560" s="256"/>
    </row>
    <row r="4561" spans="1:15">
      <c r="A4561" s="207"/>
      <c r="B4561" s="207"/>
      <c r="N4561" s="4"/>
      <c r="O4561" s="256"/>
    </row>
    <row r="4562" spans="1:15">
      <c r="A4562" s="207"/>
      <c r="B4562" s="207"/>
      <c r="N4562" s="4"/>
      <c r="O4562" s="256"/>
    </row>
    <row r="4563" spans="1:15">
      <c r="A4563" s="207"/>
      <c r="B4563" s="207"/>
      <c r="N4563" s="4"/>
      <c r="O4563" s="256"/>
    </row>
    <row r="4564" spans="1:15">
      <c r="A4564" s="207"/>
      <c r="B4564" s="207"/>
      <c r="N4564" s="4"/>
      <c r="O4564" s="256"/>
    </row>
    <row r="4565" spans="1:15">
      <c r="A4565" s="207"/>
      <c r="B4565" s="207"/>
      <c r="N4565" s="4"/>
      <c r="O4565" s="256"/>
    </row>
    <row r="4566" spans="1:15">
      <c r="A4566" s="207"/>
      <c r="B4566" s="207"/>
      <c r="N4566" s="4"/>
      <c r="O4566" s="256"/>
    </row>
    <row r="4567" spans="1:15">
      <c r="A4567" s="207"/>
      <c r="B4567" s="207"/>
      <c r="N4567" s="4"/>
      <c r="O4567" s="256"/>
    </row>
    <row r="4568" spans="1:15">
      <c r="A4568" s="207"/>
      <c r="B4568" s="207"/>
      <c r="N4568" s="4"/>
      <c r="O4568" s="256"/>
    </row>
    <row r="4569" spans="1:15">
      <c r="A4569" s="207"/>
      <c r="B4569" s="207"/>
      <c r="N4569" s="4"/>
      <c r="O4569" s="256"/>
    </row>
    <row r="4570" spans="1:15">
      <c r="A4570" s="207"/>
      <c r="B4570" s="207"/>
      <c r="N4570" s="4"/>
      <c r="O4570" s="256"/>
    </row>
    <row r="4571" spans="1:15">
      <c r="A4571" s="207"/>
      <c r="B4571" s="207"/>
      <c r="N4571" s="4"/>
      <c r="O4571" s="256"/>
    </row>
    <row r="4572" spans="1:15">
      <c r="A4572" s="207"/>
      <c r="B4572" s="207"/>
      <c r="N4572" s="4"/>
      <c r="O4572" s="256"/>
    </row>
    <row r="4573" spans="1:15">
      <c r="A4573" s="207"/>
      <c r="B4573" s="207"/>
      <c r="N4573" s="4"/>
      <c r="O4573" s="256"/>
    </row>
    <row r="4574" spans="1:15">
      <c r="A4574" s="207"/>
      <c r="B4574" s="207"/>
      <c r="N4574" s="4"/>
      <c r="O4574" s="256"/>
    </row>
    <row r="4575" spans="1:15">
      <c r="A4575" s="207"/>
      <c r="B4575" s="207"/>
      <c r="N4575" s="4"/>
      <c r="O4575" s="256"/>
    </row>
    <row r="4576" spans="1:15">
      <c r="A4576" s="207"/>
      <c r="B4576" s="207"/>
      <c r="N4576" s="4"/>
      <c r="O4576" s="256"/>
    </row>
    <row r="4577" spans="1:15">
      <c r="A4577" s="207"/>
      <c r="B4577" s="207"/>
      <c r="N4577" s="4"/>
      <c r="O4577" s="256"/>
    </row>
    <row r="4578" spans="1:15">
      <c r="A4578" s="207"/>
      <c r="B4578" s="207"/>
      <c r="N4578" s="4"/>
      <c r="O4578" s="256"/>
    </row>
    <row r="4579" spans="1:15">
      <c r="A4579" s="207"/>
      <c r="B4579" s="207"/>
      <c r="N4579" s="4"/>
      <c r="O4579" s="256"/>
    </row>
    <row r="4580" spans="1:15">
      <c r="A4580" s="207"/>
      <c r="B4580" s="207"/>
      <c r="N4580" s="4"/>
      <c r="O4580" s="256"/>
    </row>
    <row r="4581" spans="1:15">
      <c r="A4581" s="207"/>
      <c r="B4581" s="207"/>
      <c r="N4581" s="4"/>
      <c r="O4581" s="256"/>
    </row>
    <row r="4582" spans="1:15">
      <c r="A4582" s="207"/>
      <c r="B4582" s="207"/>
      <c r="N4582" s="4"/>
      <c r="O4582" s="256"/>
    </row>
    <row r="4583" spans="1:15">
      <c r="A4583" s="207"/>
      <c r="B4583" s="207"/>
      <c r="N4583" s="4"/>
      <c r="O4583" s="256"/>
    </row>
    <row r="4584" spans="1:15">
      <c r="A4584" s="207"/>
      <c r="B4584" s="207"/>
      <c r="N4584" s="4"/>
      <c r="O4584" s="256"/>
    </row>
    <row r="4585" spans="1:15">
      <c r="A4585" s="207"/>
      <c r="B4585" s="207"/>
      <c r="N4585" s="4"/>
      <c r="O4585" s="256"/>
    </row>
    <row r="4586" spans="1:15">
      <c r="A4586" s="207"/>
      <c r="B4586" s="207"/>
      <c r="N4586" s="4"/>
      <c r="O4586" s="256"/>
    </row>
    <row r="4587" spans="1:15">
      <c r="A4587" s="207"/>
      <c r="B4587" s="207"/>
      <c r="N4587" s="4"/>
      <c r="O4587" s="256"/>
    </row>
    <row r="4588" spans="1:15">
      <c r="A4588" s="207"/>
      <c r="B4588" s="207"/>
      <c r="N4588" s="4"/>
      <c r="O4588" s="256"/>
    </row>
    <row r="4589" spans="1:15">
      <c r="A4589" s="207"/>
      <c r="B4589" s="207"/>
      <c r="N4589" s="4"/>
      <c r="O4589" s="256"/>
    </row>
    <row r="4590" spans="1:15">
      <c r="A4590" s="207"/>
      <c r="B4590" s="207"/>
      <c r="N4590" s="4"/>
      <c r="O4590" s="256"/>
    </row>
    <row r="4591" spans="1:15">
      <c r="A4591" s="207"/>
      <c r="B4591" s="207"/>
      <c r="N4591" s="4"/>
      <c r="O4591" s="256"/>
    </row>
    <row r="4592" spans="1:15">
      <c r="A4592" s="207"/>
      <c r="B4592" s="207"/>
      <c r="N4592" s="4"/>
      <c r="O4592" s="256"/>
    </row>
    <row r="4593" spans="1:15">
      <c r="A4593" s="207"/>
      <c r="B4593" s="207"/>
      <c r="N4593" s="4"/>
      <c r="O4593" s="256"/>
    </row>
    <row r="4594" spans="1:15">
      <c r="A4594" s="207"/>
      <c r="B4594" s="207"/>
      <c r="N4594" s="4"/>
      <c r="O4594" s="256"/>
    </row>
    <row r="4595" spans="1:15">
      <c r="A4595" s="207"/>
      <c r="B4595" s="207"/>
      <c r="N4595" s="4"/>
      <c r="O4595" s="256"/>
    </row>
    <row r="4596" spans="1:15">
      <c r="A4596" s="207"/>
      <c r="B4596" s="207"/>
      <c r="N4596" s="4"/>
      <c r="O4596" s="256"/>
    </row>
    <row r="4597" spans="1:15">
      <c r="A4597" s="207"/>
      <c r="B4597" s="207"/>
      <c r="N4597" s="4"/>
      <c r="O4597" s="256"/>
    </row>
    <row r="4598" spans="1:15">
      <c r="A4598" s="207"/>
      <c r="B4598" s="207"/>
      <c r="N4598" s="4"/>
      <c r="O4598" s="256"/>
    </row>
    <row r="4599" spans="1:15">
      <c r="A4599" s="207"/>
      <c r="B4599" s="207"/>
      <c r="N4599" s="4"/>
      <c r="O4599" s="256"/>
    </row>
    <row r="4600" spans="1:15">
      <c r="A4600" s="207"/>
      <c r="B4600" s="207"/>
      <c r="N4600" s="4"/>
      <c r="O4600" s="256"/>
    </row>
    <row r="4601" spans="1:15">
      <c r="A4601" s="207"/>
      <c r="B4601" s="207"/>
      <c r="N4601" s="4"/>
      <c r="O4601" s="256"/>
    </row>
    <row r="4602" spans="1:15">
      <c r="A4602" s="207"/>
      <c r="B4602" s="207"/>
      <c r="N4602" s="4"/>
      <c r="O4602" s="256"/>
    </row>
    <row r="4603" spans="1:15">
      <c r="A4603" s="207"/>
      <c r="B4603" s="207"/>
      <c r="N4603" s="4"/>
      <c r="O4603" s="256"/>
    </row>
    <row r="4604" spans="1:15">
      <c r="A4604" s="207"/>
      <c r="B4604" s="207"/>
      <c r="N4604" s="4"/>
      <c r="O4604" s="256"/>
    </row>
    <row r="4605" spans="1:15">
      <c r="A4605" s="207"/>
      <c r="B4605" s="207"/>
      <c r="N4605" s="4"/>
      <c r="O4605" s="256"/>
    </row>
    <row r="4606" spans="1:15">
      <c r="A4606" s="207"/>
      <c r="B4606" s="207"/>
      <c r="N4606" s="4"/>
      <c r="O4606" s="256"/>
    </row>
    <row r="4607" spans="1:15">
      <c r="A4607" s="207"/>
      <c r="B4607" s="207"/>
      <c r="N4607" s="4"/>
      <c r="O4607" s="256"/>
    </row>
    <row r="4608" spans="1:15">
      <c r="A4608" s="207"/>
      <c r="B4608" s="207"/>
      <c r="N4608" s="4"/>
      <c r="O4608" s="256"/>
    </row>
    <row r="4609" spans="1:15">
      <c r="A4609" s="207"/>
      <c r="B4609" s="207"/>
      <c r="N4609" s="4"/>
      <c r="O4609" s="256"/>
    </row>
    <row r="4610" spans="1:15">
      <c r="A4610" s="207"/>
      <c r="B4610" s="207"/>
      <c r="N4610" s="4"/>
      <c r="O4610" s="256"/>
    </row>
    <row r="4611" spans="1:15">
      <c r="A4611" s="207"/>
      <c r="B4611" s="207"/>
      <c r="N4611" s="4"/>
      <c r="O4611" s="256"/>
    </row>
    <row r="4612" spans="1:15">
      <c r="A4612" s="207"/>
      <c r="B4612" s="207"/>
      <c r="N4612" s="4"/>
      <c r="O4612" s="256"/>
    </row>
    <row r="4613" spans="1:15">
      <c r="A4613" s="207"/>
      <c r="B4613" s="207"/>
      <c r="N4613" s="4"/>
      <c r="O4613" s="256"/>
    </row>
    <row r="4614" spans="1:15">
      <c r="A4614" s="207"/>
      <c r="B4614" s="207"/>
      <c r="N4614" s="4"/>
      <c r="O4614" s="256"/>
    </row>
    <row r="4615" spans="1:15">
      <c r="A4615" s="207"/>
      <c r="B4615" s="207"/>
      <c r="N4615" s="4"/>
      <c r="O4615" s="256"/>
    </row>
    <row r="4616" spans="1:15">
      <c r="A4616" s="207"/>
      <c r="B4616" s="207"/>
      <c r="N4616" s="4"/>
      <c r="O4616" s="256"/>
    </row>
    <row r="4617" spans="1:15">
      <c r="A4617" s="207"/>
      <c r="B4617" s="207"/>
      <c r="N4617" s="4"/>
      <c r="O4617" s="256"/>
    </row>
    <row r="4618" spans="1:15">
      <c r="A4618" s="207"/>
      <c r="B4618" s="207"/>
      <c r="N4618" s="4"/>
      <c r="O4618" s="256"/>
    </row>
    <row r="4619" spans="1:15">
      <c r="A4619" s="207"/>
      <c r="B4619" s="207"/>
      <c r="N4619" s="4"/>
      <c r="O4619" s="256"/>
    </row>
    <row r="4620" spans="1:15">
      <c r="A4620" s="207"/>
      <c r="B4620" s="207"/>
      <c r="N4620" s="4"/>
      <c r="O4620" s="256"/>
    </row>
    <row r="4621" spans="1:15">
      <c r="A4621" s="207"/>
      <c r="B4621" s="207"/>
      <c r="N4621" s="4"/>
      <c r="O4621" s="256"/>
    </row>
    <row r="4622" spans="1:15">
      <c r="A4622" s="207"/>
      <c r="B4622" s="207"/>
      <c r="N4622" s="4"/>
      <c r="O4622" s="256"/>
    </row>
    <row r="4623" spans="1:15">
      <c r="A4623" s="207"/>
      <c r="B4623" s="207"/>
      <c r="N4623" s="4"/>
      <c r="O4623" s="256"/>
    </row>
    <row r="4624" spans="1:15">
      <c r="A4624" s="207"/>
      <c r="B4624" s="207"/>
      <c r="N4624" s="4"/>
      <c r="O4624" s="256"/>
    </row>
    <row r="4625" spans="1:15">
      <c r="A4625" s="207"/>
      <c r="B4625" s="207"/>
      <c r="N4625" s="4"/>
      <c r="O4625" s="256"/>
    </row>
    <row r="4626" spans="1:15">
      <c r="A4626" s="207"/>
      <c r="B4626" s="207"/>
      <c r="N4626" s="4"/>
      <c r="O4626" s="256"/>
    </row>
    <row r="4627" spans="1:15">
      <c r="A4627" s="207"/>
      <c r="B4627" s="207"/>
      <c r="N4627" s="4"/>
      <c r="O4627" s="256"/>
    </row>
    <row r="4628" spans="1:15">
      <c r="A4628" s="207"/>
      <c r="B4628" s="207"/>
      <c r="N4628" s="4"/>
      <c r="O4628" s="256"/>
    </row>
    <row r="4629" spans="1:15">
      <c r="A4629" s="207"/>
      <c r="B4629" s="207"/>
      <c r="N4629" s="4"/>
      <c r="O4629" s="256"/>
    </row>
    <row r="4630" spans="1:15">
      <c r="A4630" s="207"/>
      <c r="B4630" s="207"/>
      <c r="N4630" s="4"/>
      <c r="O4630" s="256"/>
    </row>
    <row r="4631" spans="1:15">
      <c r="A4631" s="207"/>
      <c r="B4631" s="207"/>
      <c r="N4631" s="4"/>
      <c r="O4631" s="256"/>
    </row>
    <row r="4632" spans="1:15">
      <c r="A4632" s="207"/>
      <c r="B4632" s="207"/>
      <c r="N4632" s="4"/>
      <c r="O4632" s="256"/>
    </row>
    <row r="4633" spans="1:15">
      <c r="A4633" s="207"/>
      <c r="B4633" s="207"/>
      <c r="N4633" s="4"/>
      <c r="O4633" s="256"/>
    </row>
    <row r="4634" spans="1:15">
      <c r="A4634" s="207"/>
      <c r="B4634" s="207"/>
      <c r="N4634" s="4"/>
      <c r="O4634" s="256"/>
    </row>
    <row r="4635" spans="1:15">
      <c r="A4635" s="207"/>
      <c r="B4635" s="207"/>
      <c r="N4635" s="4"/>
      <c r="O4635" s="256"/>
    </row>
    <row r="4636" spans="1:15">
      <c r="A4636" s="207"/>
      <c r="B4636" s="207"/>
      <c r="N4636" s="4"/>
      <c r="O4636" s="256"/>
    </row>
    <row r="4637" spans="1:15">
      <c r="A4637" s="207"/>
      <c r="B4637" s="207"/>
      <c r="N4637" s="4"/>
      <c r="O4637" s="256"/>
    </row>
    <row r="4638" spans="1:15">
      <c r="A4638" s="207"/>
      <c r="B4638" s="207"/>
      <c r="N4638" s="4"/>
      <c r="O4638" s="256"/>
    </row>
    <row r="4639" spans="1:15">
      <c r="A4639" s="207"/>
      <c r="B4639" s="207"/>
      <c r="N4639" s="4"/>
      <c r="O4639" s="256"/>
    </row>
    <row r="4640" spans="1:15">
      <c r="A4640" s="207"/>
      <c r="B4640" s="207"/>
      <c r="N4640" s="4"/>
      <c r="O4640" s="256"/>
    </row>
    <row r="4641" spans="1:15">
      <c r="A4641" s="207"/>
      <c r="B4641" s="207"/>
      <c r="N4641" s="4"/>
      <c r="O4641" s="256"/>
    </row>
    <row r="4642" spans="1:15">
      <c r="A4642" s="207"/>
      <c r="B4642" s="207"/>
      <c r="N4642" s="4"/>
      <c r="O4642" s="256"/>
    </row>
    <row r="4643" spans="1:15">
      <c r="A4643" s="207"/>
      <c r="B4643" s="207"/>
      <c r="N4643" s="4"/>
      <c r="O4643" s="256"/>
    </row>
    <row r="4644" spans="1:15">
      <c r="A4644" s="207"/>
      <c r="B4644" s="207"/>
      <c r="N4644" s="4"/>
      <c r="O4644" s="256"/>
    </row>
    <row r="4645" spans="1:15">
      <c r="A4645" s="207"/>
      <c r="B4645" s="207"/>
      <c r="N4645" s="4"/>
      <c r="O4645" s="256"/>
    </row>
    <row r="4646" spans="1:15">
      <c r="A4646" s="207"/>
      <c r="B4646" s="207"/>
      <c r="N4646" s="4"/>
      <c r="O4646" s="256"/>
    </row>
    <row r="4647" spans="1:15">
      <c r="A4647" s="207"/>
      <c r="B4647" s="207"/>
      <c r="N4647" s="4"/>
      <c r="O4647" s="256"/>
    </row>
    <row r="4648" spans="1:15">
      <c r="A4648" s="207"/>
      <c r="B4648" s="207"/>
      <c r="N4648" s="4"/>
      <c r="O4648" s="256"/>
    </row>
    <row r="4649" spans="1:15">
      <c r="A4649" s="207"/>
      <c r="B4649" s="207"/>
      <c r="N4649" s="4"/>
      <c r="O4649" s="256"/>
    </row>
    <row r="4650" spans="1:15">
      <c r="A4650" s="207"/>
      <c r="B4650" s="207"/>
      <c r="N4650" s="4"/>
      <c r="O4650" s="256"/>
    </row>
    <row r="4651" spans="1:15">
      <c r="A4651" s="207"/>
      <c r="B4651" s="207"/>
      <c r="N4651" s="4"/>
      <c r="O4651" s="256"/>
    </row>
    <row r="4652" spans="1:15">
      <c r="A4652" s="207"/>
      <c r="B4652" s="207"/>
      <c r="N4652" s="4"/>
      <c r="O4652" s="256"/>
    </row>
    <row r="4653" spans="1:15">
      <c r="A4653" s="207"/>
      <c r="B4653" s="207"/>
      <c r="N4653" s="4"/>
      <c r="O4653" s="256"/>
    </row>
    <row r="4654" spans="1:15">
      <c r="A4654" s="207"/>
      <c r="B4654" s="207"/>
      <c r="N4654" s="4"/>
      <c r="O4654" s="256"/>
    </row>
    <row r="4655" spans="1:15">
      <c r="A4655" s="207"/>
      <c r="B4655" s="207"/>
      <c r="N4655" s="4"/>
      <c r="O4655" s="256"/>
    </row>
    <row r="4656" spans="1:15">
      <c r="A4656" s="207"/>
      <c r="B4656" s="207"/>
      <c r="N4656" s="4"/>
      <c r="O4656" s="256"/>
    </row>
    <row r="4657" spans="1:15">
      <c r="A4657" s="207"/>
      <c r="B4657" s="207"/>
      <c r="N4657" s="4"/>
      <c r="O4657" s="256"/>
    </row>
    <row r="4658" spans="1:15">
      <c r="A4658" s="207"/>
      <c r="B4658" s="207"/>
      <c r="N4658" s="4"/>
      <c r="O4658" s="256"/>
    </row>
    <row r="4659" spans="1:15">
      <c r="A4659" s="207"/>
      <c r="B4659" s="207"/>
      <c r="N4659" s="4"/>
      <c r="O4659" s="256"/>
    </row>
    <row r="4660" spans="1:15">
      <c r="A4660" s="207"/>
      <c r="B4660" s="207"/>
      <c r="N4660" s="4"/>
      <c r="O4660" s="256"/>
    </row>
    <row r="4661" spans="1:15">
      <c r="A4661" s="207"/>
      <c r="B4661" s="207"/>
      <c r="N4661" s="4"/>
      <c r="O4661" s="256"/>
    </row>
    <row r="4662" spans="1:15">
      <c r="A4662" s="207"/>
      <c r="B4662" s="207"/>
      <c r="N4662" s="4"/>
      <c r="O4662" s="256"/>
    </row>
    <row r="4663" spans="1:15">
      <c r="A4663" s="207"/>
      <c r="B4663" s="207"/>
      <c r="N4663" s="4"/>
      <c r="O4663" s="256"/>
    </row>
    <row r="4664" spans="1:15">
      <c r="A4664" s="207"/>
      <c r="B4664" s="207"/>
      <c r="N4664" s="4"/>
      <c r="O4664" s="256"/>
    </row>
    <row r="4665" spans="1:15">
      <c r="A4665" s="207"/>
      <c r="B4665" s="207"/>
      <c r="N4665" s="4"/>
      <c r="O4665" s="256"/>
    </row>
    <row r="4666" spans="1:15">
      <c r="A4666" s="207"/>
      <c r="B4666" s="207"/>
      <c r="N4666" s="4"/>
      <c r="O4666" s="256"/>
    </row>
    <row r="4667" spans="1:15">
      <c r="A4667" s="207"/>
      <c r="B4667" s="207"/>
      <c r="N4667" s="4"/>
      <c r="O4667" s="256"/>
    </row>
    <row r="4668" spans="1:15">
      <c r="A4668" s="207"/>
      <c r="B4668" s="207"/>
      <c r="N4668" s="4"/>
      <c r="O4668" s="256"/>
    </row>
    <row r="4669" spans="1:15">
      <c r="A4669" s="207"/>
      <c r="B4669" s="207"/>
      <c r="N4669" s="4"/>
      <c r="O4669" s="256"/>
    </row>
    <row r="4670" spans="1:15">
      <c r="A4670" s="207"/>
      <c r="B4670" s="207"/>
      <c r="N4670" s="4"/>
      <c r="O4670" s="256"/>
    </row>
    <row r="4671" spans="1:15">
      <c r="A4671" s="207"/>
      <c r="B4671" s="207"/>
      <c r="N4671" s="4"/>
      <c r="O4671" s="256"/>
    </row>
    <row r="4672" spans="1:15">
      <c r="A4672" s="207"/>
      <c r="B4672" s="207"/>
      <c r="N4672" s="4"/>
      <c r="O4672" s="256"/>
    </row>
    <row r="4673" spans="1:15">
      <c r="A4673" s="207"/>
      <c r="B4673" s="207"/>
      <c r="N4673" s="4"/>
      <c r="O4673" s="256"/>
    </row>
    <row r="4674" spans="1:15">
      <c r="A4674" s="207"/>
      <c r="B4674" s="207"/>
      <c r="N4674" s="4"/>
      <c r="O4674" s="256"/>
    </row>
    <row r="4675" spans="1:15">
      <c r="A4675" s="207"/>
      <c r="B4675" s="207"/>
      <c r="N4675" s="4"/>
      <c r="O4675" s="256"/>
    </row>
    <row r="4676" spans="1:15">
      <c r="A4676" s="207"/>
      <c r="B4676" s="207"/>
      <c r="N4676" s="4"/>
      <c r="O4676" s="256"/>
    </row>
    <row r="4677" spans="1:15">
      <c r="A4677" s="207"/>
      <c r="B4677" s="207"/>
      <c r="N4677" s="4"/>
      <c r="O4677" s="256"/>
    </row>
    <row r="4678" spans="1:15">
      <c r="A4678" s="207"/>
      <c r="B4678" s="207"/>
      <c r="N4678" s="4"/>
      <c r="O4678" s="256"/>
    </row>
    <row r="4679" spans="1:15">
      <c r="A4679" s="207"/>
      <c r="B4679" s="207"/>
      <c r="N4679" s="4"/>
      <c r="O4679" s="256"/>
    </row>
    <row r="4680" spans="1:15">
      <c r="A4680" s="207"/>
      <c r="B4680" s="207"/>
      <c r="N4680" s="4"/>
      <c r="O4680" s="256"/>
    </row>
    <row r="4681" spans="1:15">
      <c r="A4681" s="207"/>
      <c r="B4681" s="207"/>
      <c r="N4681" s="4"/>
      <c r="O4681" s="256"/>
    </row>
    <row r="4682" spans="1:15">
      <c r="A4682" s="207"/>
      <c r="B4682" s="207"/>
      <c r="N4682" s="4"/>
      <c r="O4682" s="256"/>
    </row>
    <row r="4683" spans="1:15">
      <c r="A4683" s="207"/>
      <c r="B4683" s="207"/>
      <c r="N4683" s="4"/>
      <c r="O4683" s="256"/>
    </row>
    <row r="4684" spans="1:15">
      <c r="A4684" s="207"/>
      <c r="B4684" s="207"/>
      <c r="N4684" s="4"/>
      <c r="O4684" s="256"/>
    </row>
    <row r="4685" spans="1:15">
      <c r="A4685" s="207"/>
      <c r="B4685" s="207"/>
      <c r="N4685" s="4"/>
      <c r="O4685" s="256"/>
    </row>
    <row r="4686" spans="1:15">
      <c r="A4686" s="207"/>
      <c r="B4686" s="207"/>
      <c r="N4686" s="4"/>
      <c r="O4686" s="256"/>
    </row>
    <row r="4687" spans="1:15">
      <c r="A4687" s="207"/>
      <c r="B4687" s="207"/>
      <c r="N4687" s="4"/>
      <c r="O4687" s="256"/>
    </row>
    <row r="4688" spans="1:15">
      <c r="A4688" s="207"/>
      <c r="B4688" s="207"/>
      <c r="N4688" s="4"/>
      <c r="O4688" s="256"/>
    </row>
    <row r="4689" spans="1:15">
      <c r="A4689" s="207"/>
      <c r="B4689" s="207"/>
      <c r="N4689" s="4"/>
      <c r="O4689" s="256"/>
    </row>
    <row r="4690" spans="1:15">
      <c r="A4690" s="207"/>
      <c r="B4690" s="207"/>
      <c r="N4690" s="4"/>
      <c r="O4690" s="256"/>
    </row>
    <row r="4691" spans="1:15">
      <c r="A4691" s="207"/>
      <c r="B4691" s="207"/>
      <c r="N4691" s="4"/>
      <c r="O4691" s="256"/>
    </row>
    <row r="4692" spans="1:15">
      <c r="A4692" s="207"/>
      <c r="B4692" s="207"/>
      <c r="N4692" s="4"/>
      <c r="O4692" s="256"/>
    </row>
    <row r="4693" spans="1:15">
      <c r="A4693" s="207"/>
      <c r="B4693" s="207"/>
      <c r="N4693" s="4"/>
      <c r="O4693" s="256"/>
    </row>
    <row r="4694" spans="1:15">
      <c r="A4694" s="207"/>
      <c r="B4694" s="207"/>
      <c r="N4694" s="4"/>
      <c r="O4694" s="256"/>
    </row>
    <row r="4695" spans="1:15">
      <c r="A4695" s="207"/>
      <c r="B4695" s="207"/>
      <c r="N4695" s="4"/>
      <c r="O4695" s="256"/>
    </row>
    <row r="4696" spans="1:15">
      <c r="A4696" s="207"/>
      <c r="B4696" s="207"/>
      <c r="N4696" s="4"/>
      <c r="O4696" s="256"/>
    </row>
    <row r="4697" spans="1:15">
      <c r="A4697" s="207"/>
      <c r="B4697" s="207"/>
      <c r="N4697" s="4"/>
      <c r="O4697" s="256"/>
    </row>
    <row r="4698" spans="1:15">
      <c r="A4698" s="207"/>
      <c r="B4698" s="207"/>
      <c r="N4698" s="4"/>
      <c r="O4698" s="256"/>
    </row>
    <row r="4699" spans="1:15">
      <c r="A4699" s="207"/>
      <c r="B4699" s="207"/>
      <c r="N4699" s="4"/>
      <c r="O4699" s="256"/>
    </row>
    <row r="4700" spans="1:15">
      <c r="A4700" s="207"/>
      <c r="B4700" s="207"/>
      <c r="N4700" s="4"/>
      <c r="O4700" s="256"/>
    </row>
    <row r="4701" spans="1:15">
      <c r="A4701" s="207"/>
      <c r="B4701" s="207"/>
      <c r="N4701" s="4"/>
      <c r="O4701" s="256"/>
    </row>
    <row r="4702" spans="1:15">
      <c r="A4702" s="207"/>
      <c r="B4702" s="207"/>
      <c r="N4702" s="4"/>
      <c r="O4702" s="256"/>
    </row>
    <row r="4703" spans="1:15">
      <c r="A4703" s="207"/>
      <c r="B4703" s="207"/>
      <c r="N4703" s="4"/>
      <c r="O4703" s="256"/>
    </row>
    <row r="4704" spans="1:15">
      <c r="A4704" s="207"/>
      <c r="B4704" s="207"/>
      <c r="N4704" s="4"/>
      <c r="O4704" s="256"/>
    </row>
    <row r="4705" spans="1:15">
      <c r="A4705" s="207"/>
      <c r="B4705" s="207"/>
      <c r="N4705" s="4"/>
      <c r="O4705" s="256"/>
    </row>
    <row r="4706" spans="1:15">
      <c r="A4706" s="207"/>
      <c r="B4706" s="207"/>
      <c r="N4706" s="4"/>
      <c r="O4706" s="256"/>
    </row>
    <row r="4707" spans="1:15">
      <c r="A4707" s="207"/>
      <c r="B4707" s="207"/>
      <c r="N4707" s="4"/>
      <c r="O4707" s="256"/>
    </row>
    <row r="4708" spans="1:15">
      <c r="A4708" s="207"/>
      <c r="B4708" s="207"/>
      <c r="N4708" s="4"/>
      <c r="O4708" s="256"/>
    </row>
    <row r="4709" spans="1:15">
      <c r="A4709" s="207"/>
      <c r="B4709" s="207"/>
      <c r="N4709" s="4"/>
      <c r="O4709" s="256"/>
    </row>
    <row r="4710" spans="1:15">
      <c r="A4710" s="207"/>
      <c r="B4710" s="207"/>
      <c r="N4710" s="4"/>
      <c r="O4710" s="256"/>
    </row>
    <row r="4711" spans="1:15">
      <c r="A4711" s="207"/>
      <c r="B4711" s="207"/>
      <c r="N4711" s="4"/>
      <c r="O4711" s="256"/>
    </row>
    <row r="4712" spans="1:15">
      <c r="A4712" s="207"/>
      <c r="B4712" s="207"/>
      <c r="N4712" s="4"/>
      <c r="O4712" s="256"/>
    </row>
    <row r="4713" spans="1:15">
      <c r="A4713" s="207"/>
      <c r="B4713" s="207"/>
      <c r="N4713" s="4"/>
      <c r="O4713" s="256"/>
    </row>
    <row r="4714" spans="1:15">
      <c r="A4714" s="207"/>
      <c r="B4714" s="207"/>
      <c r="N4714" s="4"/>
      <c r="O4714" s="256"/>
    </row>
    <row r="4715" spans="1:15">
      <c r="A4715" s="207"/>
      <c r="B4715" s="207"/>
      <c r="N4715" s="4"/>
      <c r="O4715" s="256"/>
    </row>
    <row r="4716" spans="1:15">
      <c r="A4716" s="207"/>
      <c r="B4716" s="207"/>
      <c r="N4716" s="4"/>
      <c r="O4716" s="256"/>
    </row>
    <row r="4717" spans="1:15">
      <c r="A4717" s="207"/>
      <c r="B4717" s="207"/>
      <c r="N4717" s="4"/>
      <c r="O4717" s="256"/>
    </row>
    <row r="4718" spans="1:15">
      <c r="A4718" s="207"/>
      <c r="B4718" s="207"/>
      <c r="N4718" s="4"/>
      <c r="O4718" s="256"/>
    </row>
    <row r="4719" spans="1:15">
      <c r="A4719" s="207"/>
      <c r="B4719" s="207"/>
      <c r="N4719" s="4"/>
      <c r="O4719" s="256"/>
    </row>
    <row r="4720" spans="1:15">
      <c r="A4720" s="207"/>
      <c r="B4720" s="207"/>
      <c r="N4720" s="4"/>
      <c r="O4720" s="256"/>
    </row>
    <row r="4721" spans="1:15">
      <c r="A4721" s="207"/>
      <c r="B4721" s="207"/>
      <c r="N4721" s="4"/>
      <c r="O4721" s="256"/>
    </row>
    <row r="4722" spans="1:15">
      <c r="A4722" s="207"/>
      <c r="B4722" s="207"/>
      <c r="N4722" s="4"/>
      <c r="O4722" s="256"/>
    </row>
    <row r="4723" spans="1:15">
      <c r="A4723" s="207"/>
      <c r="B4723" s="207"/>
      <c r="N4723" s="4"/>
      <c r="O4723" s="256"/>
    </row>
    <row r="4724" spans="1:15">
      <c r="A4724" s="207"/>
      <c r="B4724" s="207"/>
      <c r="N4724" s="4"/>
      <c r="O4724" s="256"/>
    </row>
    <row r="4725" spans="1:15">
      <c r="A4725" s="207"/>
      <c r="B4725" s="207"/>
      <c r="N4725" s="4"/>
      <c r="O4725" s="256"/>
    </row>
    <row r="4726" spans="1:15">
      <c r="A4726" s="207"/>
      <c r="B4726" s="207"/>
      <c r="N4726" s="4"/>
      <c r="O4726" s="256"/>
    </row>
    <row r="4727" spans="1:15">
      <c r="A4727" s="207"/>
      <c r="B4727" s="207"/>
      <c r="N4727" s="4"/>
      <c r="O4727" s="256"/>
    </row>
    <row r="4728" spans="1:15">
      <c r="A4728" s="207"/>
      <c r="B4728" s="207"/>
      <c r="N4728" s="4"/>
      <c r="O4728" s="256"/>
    </row>
    <row r="4729" spans="1:15">
      <c r="A4729" s="207"/>
      <c r="B4729" s="207"/>
      <c r="N4729" s="4"/>
      <c r="O4729" s="256"/>
    </row>
    <row r="4730" spans="1:15">
      <c r="A4730" s="207"/>
      <c r="B4730" s="207"/>
      <c r="N4730" s="4"/>
      <c r="O4730" s="256"/>
    </row>
    <row r="4731" spans="1:15">
      <c r="A4731" s="207"/>
      <c r="B4731" s="207"/>
      <c r="N4731" s="4"/>
      <c r="O4731" s="256"/>
    </row>
    <row r="4732" spans="1:15">
      <c r="A4732" s="207"/>
      <c r="B4732" s="207"/>
      <c r="N4732" s="4"/>
      <c r="O4732" s="256"/>
    </row>
    <row r="4733" spans="1:15">
      <c r="A4733" s="207"/>
      <c r="B4733" s="207"/>
      <c r="N4733" s="4"/>
      <c r="O4733" s="256"/>
    </row>
    <row r="4734" spans="1:15">
      <c r="A4734" s="207"/>
      <c r="B4734" s="207"/>
      <c r="N4734" s="4"/>
      <c r="O4734" s="256"/>
    </row>
    <row r="4735" spans="1:15">
      <c r="A4735" s="207"/>
      <c r="B4735" s="207"/>
      <c r="N4735" s="4"/>
      <c r="O4735" s="256"/>
    </row>
    <row r="4736" spans="1:15">
      <c r="A4736" s="207"/>
      <c r="B4736" s="207"/>
      <c r="N4736" s="4"/>
      <c r="O4736" s="256"/>
    </row>
    <row r="4737" spans="1:15">
      <c r="A4737" s="207"/>
      <c r="B4737" s="207"/>
      <c r="N4737" s="4"/>
      <c r="O4737" s="256"/>
    </row>
    <row r="4738" spans="1:15">
      <c r="A4738" s="207"/>
      <c r="B4738" s="207"/>
      <c r="N4738" s="4"/>
      <c r="O4738" s="256"/>
    </row>
    <row r="4739" spans="1:15">
      <c r="A4739" s="207"/>
      <c r="B4739" s="207"/>
      <c r="N4739" s="4"/>
      <c r="O4739" s="256"/>
    </row>
    <row r="4740" spans="1:15">
      <c r="A4740" s="207"/>
      <c r="B4740" s="207"/>
      <c r="N4740" s="4"/>
      <c r="O4740" s="256"/>
    </row>
    <row r="4741" spans="1:15">
      <c r="A4741" s="207"/>
      <c r="B4741" s="207"/>
      <c r="N4741" s="4"/>
      <c r="O4741" s="256"/>
    </row>
    <row r="4742" spans="1:15">
      <c r="A4742" s="207"/>
      <c r="B4742" s="207"/>
      <c r="N4742" s="4"/>
      <c r="O4742" s="256"/>
    </row>
    <row r="4743" spans="1:15">
      <c r="A4743" s="207"/>
      <c r="B4743" s="207"/>
      <c r="N4743" s="4"/>
      <c r="O4743" s="256"/>
    </row>
    <row r="4744" spans="1:15">
      <c r="A4744" s="207"/>
      <c r="B4744" s="207"/>
      <c r="N4744" s="4"/>
      <c r="O4744" s="256"/>
    </row>
    <row r="4745" spans="1:15">
      <c r="A4745" s="207"/>
      <c r="B4745" s="207"/>
      <c r="N4745" s="4"/>
      <c r="O4745" s="256"/>
    </row>
    <row r="4746" spans="1:15">
      <c r="A4746" s="207"/>
      <c r="B4746" s="207"/>
      <c r="N4746" s="4"/>
      <c r="O4746" s="256"/>
    </row>
    <row r="4747" spans="1:15">
      <c r="A4747" s="207"/>
      <c r="B4747" s="207"/>
      <c r="N4747" s="4"/>
      <c r="O4747" s="256"/>
    </row>
    <row r="4748" spans="1:15">
      <c r="A4748" s="207"/>
      <c r="B4748" s="207"/>
      <c r="N4748" s="4"/>
      <c r="O4748" s="256"/>
    </row>
    <row r="4749" spans="1:15">
      <c r="A4749" s="207"/>
      <c r="B4749" s="207"/>
      <c r="N4749" s="4"/>
      <c r="O4749" s="256"/>
    </row>
    <row r="4750" spans="1:15">
      <c r="A4750" s="207"/>
      <c r="B4750" s="207"/>
      <c r="N4750" s="4"/>
      <c r="O4750" s="256"/>
    </row>
    <row r="4751" spans="1:15">
      <c r="A4751" s="207"/>
      <c r="B4751" s="207"/>
      <c r="N4751" s="4"/>
      <c r="O4751" s="256"/>
    </row>
    <row r="4752" spans="1:15">
      <c r="A4752" s="207"/>
      <c r="B4752" s="207"/>
      <c r="N4752" s="4"/>
      <c r="O4752" s="256"/>
    </row>
    <row r="4753" spans="1:15">
      <c r="A4753" s="207"/>
      <c r="B4753" s="207"/>
      <c r="N4753" s="4"/>
      <c r="O4753" s="256"/>
    </row>
    <row r="4754" spans="1:15">
      <c r="A4754" s="207"/>
      <c r="B4754" s="207"/>
      <c r="N4754" s="4"/>
      <c r="O4754" s="256"/>
    </row>
    <row r="4755" spans="1:15">
      <c r="A4755" s="207"/>
      <c r="B4755" s="207"/>
      <c r="N4755" s="4"/>
      <c r="O4755" s="256"/>
    </row>
    <row r="4756" spans="1:15">
      <c r="A4756" s="207"/>
      <c r="B4756" s="207"/>
      <c r="N4756" s="4"/>
      <c r="O4756" s="256"/>
    </row>
    <row r="4757" spans="1:15">
      <c r="A4757" s="207"/>
      <c r="B4757" s="207"/>
      <c r="N4757" s="4"/>
      <c r="O4757" s="256"/>
    </row>
    <row r="4758" spans="1:15">
      <c r="A4758" s="207"/>
      <c r="B4758" s="207"/>
      <c r="N4758" s="4"/>
      <c r="O4758" s="256"/>
    </row>
    <row r="4759" spans="1:15">
      <c r="A4759" s="207"/>
      <c r="B4759" s="207"/>
      <c r="N4759" s="4"/>
      <c r="O4759" s="256"/>
    </row>
    <row r="4760" spans="1:15">
      <c r="A4760" s="207"/>
      <c r="B4760" s="207"/>
      <c r="N4760" s="4"/>
      <c r="O4760" s="256"/>
    </row>
    <row r="4761" spans="1:15">
      <c r="A4761" s="207"/>
      <c r="B4761" s="207"/>
      <c r="N4761" s="4"/>
      <c r="O4761" s="256"/>
    </row>
    <row r="4762" spans="1:15">
      <c r="A4762" s="207"/>
      <c r="B4762" s="207"/>
      <c r="N4762" s="4"/>
      <c r="O4762" s="256"/>
    </row>
    <row r="4763" spans="1:15">
      <c r="A4763" s="207"/>
      <c r="B4763" s="207"/>
      <c r="N4763" s="4"/>
      <c r="O4763" s="256"/>
    </row>
    <row r="4764" spans="1:15">
      <c r="A4764" s="207"/>
      <c r="B4764" s="207"/>
      <c r="N4764" s="4"/>
      <c r="O4764" s="256"/>
    </row>
    <row r="4765" spans="1:15">
      <c r="A4765" s="207"/>
      <c r="B4765" s="207"/>
      <c r="N4765" s="4"/>
      <c r="O4765" s="256"/>
    </row>
    <row r="4766" spans="1:15">
      <c r="A4766" s="207"/>
      <c r="B4766" s="207"/>
      <c r="N4766" s="4"/>
      <c r="O4766" s="256"/>
    </row>
    <row r="4767" spans="1:15">
      <c r="A4767" s="207"/>
      <c r="B4767" s="207"/>
      <c r="N4767" s="4"/>
      <c r="O4767" s="256"/>
    </row>
    <row r="4768" spans="1:15">
      <c r="A4768" s="207"/>
      <c r="B4768" s="207"/>
      <c r="N4768" s="4"/>
      <c r="O4768" s="256"/>
    </row>
    <row r="4769" spans="1:15">
      <c r="A4769" s="207"/>
      <c r="B4769" s="207"/>
      <c r="N4769" s="4"/>
      <c r="O4769" s="256"/>
    </row>
    <row r="4770" spans="1:15">
      <c r="A4770" s="207"/>
      <c r="B4770" s="207"/>
      <c r="N4770" s="4"/>
      <c r="O4770" s="256"/>
    </row>
    <row r="4771" spans="1:15">
      <c r="A4771" s="207"/>
      <c r="B4771" s="207"/>
      <c r="N4771" s="4"/>
      <c r="O4771" s="256"/>
    </row>
    <row r="4772" spans="1:15">
      <c r="A4772" s="207"/>
      <c r="B4772" s="207"/>
      <c r="N4772" s="4"/>
      <c r="O4772" s="256"/>
    </row>
    <row r="4773" spans="1:15">
      <c r="A4773" s="207"/>
      <c r="B4773" s="207"/>
      <c r="N4773" s="4"/>
      <c r="O4773" s="256"/>
    </row>
    <row r="4774" spans="1:15">
      <c r="A4774" s="207"/>
      <c r="B4774" s="207"/>
      <c r="N4774" s="4"/>
      <c r="O4774" s="256"/>
    </row>
    <row r="4775" spans="1:15">
      <c r="A4775" s="207"/>
      <c r="B4775" s="207"/>
      <c r="N4775" s="4"/>
      <c r="O4775" s="256"/>
    </row>
    <row r="4776" spans="1:15">
      <c r="A4776" s="207"/>
      <c r="B4776" s="207"/>
      <c r="N4776" s="4"/>
      <c r="O4776" s="256"/>
    </row>
    <row r="4777" spans="1:15">
      <c r="A4777" s="207"/>
      <c r="B4777" s="207"/>
      <c r="N4777" s="4"/>
      <c r="O4777" s="256"/>
    </row>
    <row r="4778" spans="1:15">
      <c r="A4778" s="207"/>
      <c r="B4778" s="207"/>
      <c r="N4778" s="4"/>
      <c r="O4778" s="256"/>
    </row>
    <row r="4779" spans="1:15">
      <c r="A4779" s="207"/>
      <c r="B4779" s="207"/>
      <c r="N4779" s="4"/>
      <c r="O4779" s="256"/>
    </row>
    <row r="4780" spans="1:15">
      <c r="A4780" s="207"/>
      <c r="B4780" s="207"/>
      <c r="N4780" s="4"/>
      <c r="O4780" s="256"/>
    </row>
    <row r="4781" spans="1:15">
      <c r="A4781" s="207"/>
      <c r="B4781" s="207"/>
      <c r="N4781" s="4"/>
      <c r="O4781" s="256"/>
    </row>
    <row r="4782" spans="1:15">
      <c r="A4782" s="207"/>
      <c r="B4782" s="207"/>
      <c r="N4782" s="4"/>
      <c r="O4782" s="256"/>
    </row>
    <row r="4783" spans="1:15">
      <c r="A4783" s="207"/>
      <c r="B4783" s="207"/>
      <c r="N4783" s="4"/>
      <c r="O4783" s="256"/>
    </row>
    <row r="4784" spans="1:15">
      <c r="A4784" s="207"/>
      <c r="B4784" s="207"/>
      <c r="N4784" s="4"/>
      <c r="O4784" s="256"/>
    </row>
    <row r="4785" spans="1:15">
      <c r="A4785" s="207"/>
      <c r="B4785" s="207"/>
      <c r="N4785" s="4"/>
      <c r="O4785" s="256"/>
    </row>
    <row r="4786" spans="1:15">
      <c r="A4786" s="207"/>
      <c r="B4786" s="207"/>
      <c r="N4786" s="4"/>
      <c r="O4786" s="256"/>
    </row>
    <row r="4787" spans="1:15">
      <c r="A4787" s="207"/>
      <c r="B4787" s="207"/>
      <c r="N4787" s="4"/>
      <c r="O4787" s="256"/>
    </row>
    <row r="4788" spans="1:15">
      <c r="A4788" s="207"/>
      <c r="B4788" s="207"/>
      <c r="N4788" s="4"/>
      <c r="O4788" s="256"/>
    </row>
    <row r="4789" spans="1:15">
      <c r="A4789" s="207"/>
      <c r="B4789" s="207"/>
      <c r="N4789" s="4"/>
      <c r="O4789" s="256"/>
    </row>
    <row r="4790" spans="1:15">
      <c r="A4790" s="207"/>
      <c r="B4790" s="207"/>
      <c r="N4790" s="4"/>
      <c r="O4790" s="256"/>
    </row>
    <row r="4791" spans="1:15">
      <c r="A4791" s="207"/>
      <c r="B4791" s="207"/>
      <c r="N4791" s="4"/>
      <c r="O4791" s="256"/>
    </row>
    <row r="4792" spans="1:15">
      <c r="A4792" s="207"/>
      <c r="B4792" s="207"/>
      <c r="N4792" s="4"/>
      <c r="O4792" s="256"/>
    </row>
    <row r="4793" spans="1:15">
      <c r="A4793" s="207"/>
      <c r="B4793" s="207"/>
      <c r="N4793" s="4"/>
      <c r="O4793" s="256"/>
    </row>
    <row r="4794" spans="1:15">
      <c r="A4794" s="207"/>
      <c r="B4794" s="207"/>
      <c r="N4794" s="4"/>
      <c r="O4794" s="256"/>
    </row>
    <row r="4795" spans="1:15">
      <c r="A4795" s="207"/>
      <c r="B4795" s="207"/>
      <c r="N4795" s="4"/>
      <c r="O4795" s="256"/>
    </row>
    <row r="4796" spans="1:15">
      <c r="A4796" s="207"/>
      <c r="B4796" s="207"/>
      <c r="N4796" s="4"/>
      <c r="O4796" s="256"/>
    </row>
    <row r="4797" spans="1:15">
      <c r="A4797" s="207"/>
      <c r="B4797" s="207"/>
      <c r="N4797" s="4"/>
      <c r="O4797" s="256"/>
    </row>
    <row r="4798" spans="1:15">
      <c r="A4798" s="207"/>
      <c r="B4798" s="207"/>
      <c r="N4798" s="4"/>
      <c r="O4798" s="256"/>
    </row>
    <row r="4799" spans="1:15">
      <c r="A4799" s="207"/>
      <c r="B4799" s="207"/>
      <c r="N4799" s="4"/>
      <c r="O4799" s="256"/>
    </row>
    <row r="4800" spans="1:15">
      <c r="A4800" s="207"/>
      <c r="B4800" s="207"/>
      <c r="N4800" s="4"/>
      <c r="O4800" s="256"/>
    </row>
    <row r="4801" spans="1:15">
      <c r="A4801" s="207"/>
      <c r="B4801" s="207"/>
      <c r="N4801" s="4"/>
      <c r="O4801" s="256"/>
    </row>
    <row r="4802" spans="1:15">
      <c r="A4802" s="207"/>
      <c r="B4802" s="207"/>
      <c r="N4802" s="4"/>
      <c r="O4802" s="256"/>
    </row>
    <row r="4803" spans="1:15">
      <c r="A4803" s="207"/>
      <c r="B4803" s="207"/>
      <c r="N4803" s="4"/>
      <c r="O4803" s="256"/>
    </row>
    <row r="4804" spans="1:15">
      <c r="A4804" s="207"/>
      <c r="B4804" s="207"/>
      <c r="N4804" s="4"/>
      <c r="O4804" s="256"/>
    </row>
    <row r="4805" spans="1:15">
      <c r="A4805" s="207"/>
      <c r="B4805" s="207"/>
      <c r="N4805" s="4"/>
      <c r="O4805" s="256"/>
    </row>
    <row r="4806" spans="1:15">
      <c r="A4806" s="207"/>
      <c r="B4806" s="207"/>
      <c r="N4806" s="4"/>
      <c r="O4806" s="256"/>
    </row>
    <row r="4807" spans="1:15">
      <c r="A4807" s="207"/>
      <c r="B4807" s="207"/>
      <c r="N4807" s="4"/>
      <c r="O4807" s="256"/>
    </row>
    <row r="4808" spans="1:15">
      <c r="A4808" s="207"/>
      <c r="B4808" s="207"/>
      <c r="N4808" s="4"/>
      <c r="O4808" s="256"/>
    </row>
    <row r="4809" spans="1:15">
      <c r="A4809" s="207"/>
      <c r="B4809" s="207"/>
      <c r="N4809" s="4"/>
      <c r="O4809" s="256"/>
    </row>
    <row r="4810" spans="1:15">
      <c r="A4810" s="207"/>
      <c r="B4810" s="207"/>
      <c r="N4810" s="4"/>
      <c r="O4810" s="256"/>
    </row>
    <row r="4811" spans="1:15">
      <c r="A4811" s="207"/>
      <c r="B4811" s="207"/>
      <c r="N4811" s="4"/>
      <c r="O4811" s="256"/>
    </row>
    <row r="4812" spans="1:15">
      <c r="A4812" s="207"/>
      <c r="B4812" s="207"/>
      <c r="N4812" s="4"/>
      <c r="O4812" s="256"/>
    </row>
    <row r="4813" spans="1:15">
      <c r="A4813" s="207"/>
      <c r="B4813" s="207"/>
      <c r="N4813" s="4"/>
      <c r="O4813" s="256"/>
    </row>
    <row r="4814" spans="1:15">
      <c r="A4814" s="207"/>
      <c r="B4814" s="207"/>
      <c r="N4814" s="4"/>
      <c r="O4814" s="256"/>
    </row>
    <row r="4815" spans="1:15">
      <c r="A4815" s="207"/>
      <c r="B4815" s="207"/>
      <c r="N4815" s="4"/>
      <c r="O4815" s="256"/>
    </row>
    <row r="4816" spans="1:15">
      <c r="A4816" s="207"/>
      <c r="B4816" s="207"/>
      <c r="N4816" s="4"/>
      <c r="O4816" s="256"/>
    </row>
    <row r="4817" spans="1:15">
      <c r="A4817" s="207"/>
      <c r="B4817" s="207"/>
      <c r="N4817" s="4"/>
      <c r="O4817" s="256"/>
    </row>
    <row r="4818" spans="1:15">
      <c r="A4818" s="207"/>
      <c r="B4818" s="207"/>
      <c r="N4818" s="4"/>
      <c r="O4818" s="256"/>
    </row>
    <row r="4819" spans="1:15">
      <c r="A4819" s="207"/>
      <c r="B4819" s="207"/>
      <c r="N4819" s="4"/>
      <c r="O4819" s="256"/>
    </row>
    <row r="4820" spans="1:15">
      <c r="A4820" s="207"/>
      <c r="B4820" s="207"/>
      <c r="N4820" s="4"/>
      <c r="O4820" s="256"/>
    </row>
    <row r="4821" spans="1:15">
      <c r="A4821" s="207"/>
      <c r="B4821" s="207"/>
      <c r="N4821" s="4"/>
      <c r="O4821" s="256"/>
    </row>
    <row r="4822" spans="1:15">
      <c r="A4822" s="207"/>
      <c r="B4822" s="207"/>
      <c r="N4822" s="4"/>
      <c r="O4822" s="256"/>
    </row>
    <row r="4823" spans="1:15">
      <c r="A4823" s="207"/>
      <c r="B4823" s="207"/>
      <c r="N4823" s="4"/>
      <c r="O4823" s="256"/>
    </row>
    <row r="4824" spans="1:15">
      <c r="A4824" s="207"/>
      <c r="B4824" s="207"/>
      <c r="N4824" s="4"/>
      <c r="O4824" s="256"/>
    </row>
    <row r="4825" spans="1:15">
      <c r="A4825" s="207"/>
      <c r="B4825" s="207"/>
      <c r="N4825" s="4"/>
      <c r="O4825" s="256"/>
    </row>
    <row r="4826" spans="1:15">
      <c r="A4826" s="207"/>
      <c r="B4826" s="207"/>
      <c r="N4826" s="4"/>
      <c r="O4826" s="256"/>
    </row>
    <row r="4827" spans="1:15">
      <c r="A4827" s="207"/>
      <c r="B4827" s="207"/>
      <c r="N4827" s="4"/>
      <c r="O4827" s="256"/>
    </row>
    <row r="4828" spans="1:15">
      <c r="A4828" s="207"/>
      <c r="B4828" s="207"/>
      <c r="N4828" s="4"/>
      <c r="O4828" s="256"/>
    </row>
    <row r="4829" spans="1:15">
      <c r="A4829" s="207"/>
      <c r="B4829" s="207"/>
      <c r="N4829" s="4"/>
      <c r="O4829" s="256"/>
    </row>
    <row r="4830" spans="1:15">
      <c r="A4830" s="207"/>
      <c r="B4830" s="207"/>
      <c r="N4830" s="4"/>
      <c r="O4830" s="256"/>
    </row>
    <row r="4831" spans="1:15">
      <c r="A4831" s="207"/>
      <c r="B4831" s="207"/>
      <c r="N4831" s="4"/>
      <c r="O4831" s="256"/>
    </row>
    <row r="4832" spans="1:15">
      <c r="A4832" s="207"/>
      <c r="B4832" s="207"/>
      <c r="N4832" s="4"/>
      <c r="O4832" s="256"/>
    </row>
    <row r="4833" spans="1:15">
      <c r="A4833" s="207"/>
      <c r="B4833" s="207"/>
      <c r="N4833" s="4"/>
      <c r="O4833" s="256"/>
    </row>
    <row r="4834" spans="1:15">
      <c r="A4834" s="207"/>
      <c r="B4834" s="207"/>
      <c r="N4834" s="4"/>
      <c r="O4834" s="256"/>
    </row>
    <row r="4835" spans="1:15">
      <c r="A4835" s="207"/>
      <c r="B4835" s="207"/>
      <c r="N4835" s="4"/>
      <c r="O4835" s="256"/>
    </row>
    <row r="4836" spans="1:15">
      <c r="A4836" s="207"/>
      <c r="B4836" s="207"/>
      <c r="N4836" s="4"/>
      <c r="O4836" s="256"/>
    </row>
    <row r="4837" spans="1:15">
      <c r="A4837" s="207"/>
      <c r="B4837" s="207"/>
      <c r="N4837" s="4"/>
      <c r="O4837" s="256"/>
    </row>
    <row r="4838" spans="1:15">
      <c r="A4838" s="207"/>
      <c r="B4838" s="207"/>
      <c r="N4838" s="4"/>
      <c r="O4838" s="256"/>
    </row>
    <row r="4839" spans="1:15">
      <c r="A4839" s="207"/>
      <c r="B4839" s="207"/>
      <c r="N4839" s="4"/>
      <c r="O4839" s="256"/>
    </row>
    <row r="4840" spans="1:15">
      <c r="A4840" s="207"/>
      <c r="B4840" s="207"/>
      <c r="N4840" s="4"/>
      <c r="O4840" s="256"/>
    </row>
    <row r="4841" spans="1:15">
      <c r="A4841" s="207"/>
      <c r="B4841" s="207"/>
      <c r="N4841" s="4"/>
      <c r="O4841" s="256"/>
    </row>
    <row r="4842" spans="1:15">
      <c r="A4842" s="207"/>
      <c r="B4842" s="207"/>
      <c r="N4842" s="4"/>
      <c r="O4842" s="256"/>
    </row>
    <row r="4843" spans="1:15">
      <c r="A4843" s="207"/>
      <c r="B4843" s="207"/>
      <c r="N4843" s="4"/>
      <c r="O4843" s="256"/>
    </row>
    <row r="4844" spans="1:15">
      <c r="A4844" s="207"/>
      <c r="B4844" s="207"/>
      <c r="N4844" s="4"/>
      <c r="O4844" s="256"/>
    </row>
    <row r="4845" spans="1:15">
      <c r="A4845" s="207"/>
      <c r="B4845" s="207"/>
      <c r="N4845" s="4"/>
      <c r="O4845" s="256"/>
    </row>
    <row r="4846" spans="1:15">
      <c r="A4846" s="207"/>
      <c r="B4846" s="207"/>
      <c r="N4846" s="4"/>
      <c r="O4846" s="256"/>
    </row>
    <row r="4847" spans="1:15">
      <c r="A4847" s="207"/>
      <c r="B4847" s="207"/>
      <c r="N4847" s="4"/>
      <c r="O4847" s="256"/>
    </row>
    <row r="4848" spans="1:15">
      <c r="A4848" s="207"/>
      <c r="B4848" s="207"/>
      <c r="N4848" s="4"/>
      <c r="O4848" s="256"/>
    </row>
    <row r="4849" spans="1:15">
      <c r="A4849" s="207"/>
      <c r="B4849" s="207"/>
      <c r="N4849" s="4"/>
      <c r="O4849" s="256"/>
    </row>
    <row r="4850" spans="1:15">
      <c r="A4850" s="207"/>
      <c r="B4850" s="207"/>
      <c r="N4850" s="4"/>
      <c r="O4850" s="256"/>
    </row>
    <row r="4851" spans="1:15">
      <c r="A4851" s="207"/>
      <c r="B4851" s="207"/>
      <c r="N4851" s="4"/>
      <c r="O4851" s="256"/>
    </row>
    <row r="4852" spans="1:15">
      <c r="A4852" s="207"/>
      <c r="B4852" s="207"/>
      <c r="N4852" s="4"/>
      <c r="O4852" s="256"/>
    </row>
    <row r="4853" spans="1:15">
      <c r="A4853" s="207"/>
      <c r="B4853" s="207"/>
      <c r="N4853" s="4"/>
      <c r="O4853" s="256"/>
    </row>
    <row r="4854" spans="1:15">
      <c r="A4854" s="207"/>
      <c r="B4854" s="207"/>
      <c r="N4854" s="4"/>
      <c r="O4854" s="256"/>
    </row>
    <row r="4855" spans="1:15">
      <c r="A4855" s="207"/>
      <c r="B4855" s="207"/>
      <c r="N4855" s="4"/>
      <c r="O4855" s="256"/>
    </row>
    <row r="4856" spans="1:15">
      <c r="A4856" s="207"/>
      <c r="B4856" s="207"/>
      <c r="N4856" s="4"/>
      <c r="O4856" s="256"/>
    </row>
    <row r="4857" spans="1:15">
      <c r="A4857" s="207"/>
      <c r="B4857" s="207"/>
      <c r="N4857" s="4"/>
      <c r="O4857" s="256"/>
    </row>
    <row r="4858" spans="1:15">
      <c r="A4858" s="207"/>
      <c r="B4858" s="207"/>
      <c r="N4858" s="4"/>
      <c r="O4858" s="256"/>
    </row>
    <row r="4859" spans="1:15">
      <c r="A4859" s="207"/>
      <c r="B4859" s="207"/>
      <c r="N4859" s="4"/>
      <c r="O4859" s="256"/>
    </row>
    <row r="4860" spans="1:15">
      <c r="A4860" s="207"/>
      <c r="B4860" s="207"/>
      <c r="N4860" s="4"/>
      <c r="O4860" s="256"/>
    </row>
    <row r="4861" spans="1:15">
      <c r="A4861" s="207"/>
      <c r="B4861" s="207"/>
      <c r="N4861" s="4"/>
      <c r="O4861" s="256"/>
    </row>
    <row r="4862" spans="1:15">
      <c r="A4862" s="207"/>
      <c r="B4862" s="207"/>
      <c r="N4862" s="4"/>
      <c r="O4862" s="256"/>
    </row>
    <row r="4863" spans="1:15">
      <c r="A4863" s="207"/>
      <c r="B4863" s="207"/>
      <c r="N4863" s="4"/>
      <c r="O4863" s="256"/>
    </row>
    <row r="4864" spans="1:15">
      <c r="A4864" s="207"/>
      <c r="B4864" s="207"/>
      <c r="N4864" s="4"/>
      <c r="O4864" s="256"/>
    </row>
    <row r="4865" spans="1:15">
      <c r="A4865" s="207"/>
      <c r="B4865" s="207"/>
      <c r="N4865" s="4"/>
      <c r="O4865" s="256"/>
    </row>
    <row r="4866" spans="1:15">
      <c r="A4866" s="207"/>
      <c r="B4866" s="207"/>
      <c r="N4866" s="4"/>
      <c r="O4866" s="256"/>
    </row>
    <row r="4867" spans="1:15">
      <c r="A4867" s="207"/>
      <c r="B4867" s="207"/>
      <c r="N4867" s="4"/>
      <c r="O4867" s="256"/>
    </row>
    <row r="4868" spans="1:15">
      <c r="A4868" s="207"/>
      <c r="B4868" s="207"/>
      <c r="N4868" s="4"/>
      <c r="O4868" s="256"/>
    </row>
    <row r="4869" spans="1:15">
      <c r="A4869" s="207"/>
      <c r="B4869" s="207"/>
      <c r="N4869" s="4"/>
      <c r="O4869" s="256"/>
    </row>
    <row r="4870" spans="1:15">
      <c r="A4870" s="207"/>
      <c r="B4870" s="207"/>
      <c r="N4870" s="4"/>
      <c r="O4870" s="256"/>
    </row>
    <row r="4871" spans="1:15">
      <c r="A4871" s="207"/>
      <c r="B4871" s="207"/>
      <c r="N4871" s="4"/>
      <c r="O4871" s="256"/>
    </row>
    <row r="4872" spans="1:15">
      <c r="A4872" s="207"/>
      <c r="B4872" s="207"/>
      <c r="N4872" s="4"/>
      <c r="O4872" s="256"/>
    </row>
    <row r="4873" spans="1:15">
      <c r="A4873" s="207"/>
      <c r="B4873" s="207"/>
      <c r="N4873" s="4"/>
      <c r="O4873" s="256"/>
    </row>
    <row r="4874" spans="1:15">
      <c r="A4874" s="207"/>
      <c r="B4874" s="207"/>
      <c r="N4874" s="4"/>
      <c r="O4874" s="256"/>
    </row>
    <row r="4875" spans="1:15">
      <c r="A4875" s="207"/>
      <c r="B4875" s="207"/>
      <c r="N4875" s="4"/>
      <c r="O4875" s="256"/>
    </row>
    <row r="4876" spans="1:15">
      <c r="A4876" s="207"/>
      <c r="B4876" s="207"/>
      <c r="N4876" s="4"/>
      <c r="O4876" s="256"/>
    </row>
    <row r="4877" spans="1:15">
      <c r="A4877" s="207"/>
      <c r="B4877" s="207"/>
      <c r="N4877" s="4"/>
      <c r="O4877" s="256"/>
    </row>
    <row r="4878" spans="1:15">
      <c r="A4878" s="207"/>
      <c r="B4878" s="207"/>
      <c r="N4878" s="4"/>
      <c r="O4878" s="256"/>
    </row>
    <row r="4879" spans="1:15">
      <c r="A4879" s="207"/>
      <c r="B4879" s="207"/>
      <c r="N4879" s="4"/>
      <c r="O4879" s="256"/>
    </row>
    <row r="4880" spans="1:15">
      <c r="A4880" s="207"/>
      <c r="B4880" s="207"/>
      <c r="N4880" s="4"/>
      <c r="O4880" s="256"/>
    </row>
    <row r="4881" spans="1:15">
      <c r="A4881" s="207"/>
      <c r="B4881" s="207"/>
      <c r="N4881" s="4"/>
      <c r="O4881" s="256"/>
    </row>
    <row r="4882" spans="1:15">
      <c r="A4882" s="207"/>
      <c r="B4882" s="207"/>
      <c r="N4882" s="4"/>
      <c r="O4882" s="256"/>
    </row>
    <row r="4883" spans="1:15">
      <c r="A4883" s="207"/>
      <c r="B4883" s="207"/>
      <c r="N4883" s="4"/>
      <c r="O4883" s="256"/>
    </row>
    <row r="4884" spans="1:15">
      <c r="A4884" s="207"/>
      <c r="B4884" s="207"/>
      <c r="N4884" s="4"/>
      <c r="O4884" s="256"/>
    </row>
    <row r="4885" spans="1:15">
      <c r="A4885" s="207"/>
      <c r="B4885" s="207"/>
      <c r="N4885" s="4"/>
      <c r="O4885" s="256"/>
    </row>
    <row r="4886" spans="1:15">
      <c r="A4886" s="207"/>
      <c r="B4886" s="207"/>
      <c r="N4886" s="4"/>
      <c r="O4886" s="256"/>
    </row>
    <row r="4887" spans="1:15">
      <c r="A4887" s="207"/>
      <c r="B4887" s="207"/>
      <c r="N4887" s="4"/>
      <c r="O4887" s="256"/>
    </row>
    <row r="4888" spans="1:15">
      <c r="A4888" s="207"/>
      <c r="B4888" s="207"/>
      <c r="N4888" s="4"/>
      <c r="O4888" s="256"/>
    </row>
    <row r="4889" spans="1:15">
      <c r="A4889" s="207"/>
      <c r="B4889" s="207"/>
      <c r="N4889" s="4"/>
      <c r="O4889" s="256"/>
    </row>
    <row r="4890" spans="1:15">
      <c r="A4890" s="207"/>
      <c r="B4890" s="207"/>
      <c r="N4890" s="4"/>
      <c r="O4890" s="256"/>
    </row>
    <row r="4891" spans="1:15">
      <c r="A4891" s="207"/>
      <c r="B4891" s="207"/>
      <c r="N4891" s="4"/>
      <c r="O4891" s="256"/>
    </row>
    <row r="4892" spans="1:15">
      <c r="A4892" s="207"/>
      <c r="B4892" s="207"/>
      <c r="N4892" s="4"/>
      <c r="O4892" s="256"/>
    </row>
    <row r="4893" spans="1:15">
      <c r="A4893" s="207"/>
      <c r="B4893" s="207"/>
      <c r="N4893" s="4"/>
      <c r="O4893" s="256"/>
    </row>
    <row r="4894" spans="1:15">
      <c r="A4894" s="207"/>
      <c r="B4894" s="207"/>
      <c r="N4894" s="4"/>
      <c r="O4894" s="256"/>
    </row>
    <row r="4895" spans="1:15">
      <c r="A4895" s="207"/>
      <c r="B4895" s="207"/>
      <c r="N4895" s="4"/>
      <c r="O4895" s="256"/>
    </row>
    <row r="4896" spans="1:15">
      <c r="A4896" s="207"/>
      <c r="B4896" s="207"/>
      <c r="N4896" s="4"/>
      <c r="O4896" s="256"/>
    </row>
    <row r="4897" spans="1:15">
      <c r="A4897" s="207"/>
      <c r="B4897" s="207"/>
      <c r="N4897" s="4"/>
      <c r="O4897" s="256"/>
    </row>
    <row r="4898" spans="1:15">
      <c r="A4898" s="207"/>
      <c r="B4898" s="207"/>
      <c r="N4898" s="4"/>
      <c r="O4898" s="256"/>
    </row>
    <row r="4899" spans="1:15">
      <c r="A4899" s="207"/>
      <c r="B4899" s="207"/>
      <c r="N4899" s="4"/>
      <c r="O4899" s="256"/>
    </row>
    <row r="4900" spans="1:15">
      <c r="A4900" s="207"/>
      <c r="B4900" s="207"/>
      <c r="N4900" s="4"/>
      <c r="O4900" s="256"/>
    </row>
    <row r="4901" spans="1:15">
      <c r="A4901" s="207"/>
      <c r="B4901" s="207"/>
      <c r="N4901" s="4"/>
      <c r="O4901" s="256"/>
    </row>
    <row r="4902" spans="1:15">
      <c r="A4902" s="207"/>
      <c r="B4902" s="207"/>
      <c r="N4902" s="4"/>
      <c r="O4902" s="256"/>
    </row>
    <row r="4903" spans="1:15">
      <c r="A4903" s="207"/>
      <c r="B4903" s="207"/>
      <c r="N4903" s="4"/>
      <c r="O4903" s="256"/>
    </row>
    <row r="4904" spans="1:15">
      <c r="A4904" s="207"/>
      <c r="B4904" s="207"/>
      <c r="N4904" s="4"/>
      <c r="O4904" s="256"/>
    </row>
    <row r="4905" spans="1:15">
      <c r="A4905" s="207"/>
      <c r="B4905" s="207"/>
      <c r="N4905" s="4"/>
      <c r="O4905" s="256"/>
    </row>
    <row r="4906" spans="1:15">
      <c r="A4906" s="207"/>
      <c r="B4906" s="207"/>
      <c r="N4906" s="4"/>
      <c r="O4906" s="256"/>
    </row>
    <row r="4907" spans="1:15">
      <c r="A4907" s="207"/>
      <c r="B4907" s="207"/>
      <c r="N4907" s="4"/>
      <c r="O4907" s="256"/>
    </row>
    <row r="4908" spans="1:15">
      <c r="A4908" s="207"/>
      <c r="B4908" s="207"/>
      <c r="N4908" s="4"/>
      <c r="O4908" s="256"/>
    </row>
    <row r="4909" spans="1:15">
      <c r="A4909" s="207"/>
      <c r="B4909" s="207"/>
      <c r="N4909" s="4"/>
      <c r="O4909" s="256"/>
    </row>
    <row r="4910" spans="1:15">
      <c r="A4910" s="207"/>
      <c r="B4910" s="207"/>
      <c r="N4910" s="4"/>
      <c r="O4910" s="256"/>
    </row>
    <row r="4911" spans="1:15">
      <c r="A4911" s="207"/>
      <c r="B4911" s="207"/>
      <c r="N4911" s="4"/>
      <c r="O4911" s="256"/>
    </row>
    <row r="4912" spans="1:15">
      <c r="A4912" s="207"/>
      <c r="B4912" s="207"/>
      <c r="N4912" s="4"/>
      <c r="O4912" s="256"/>
    </row>
    <row r="4913" spans="1:15">
      <c r="A4913" s="207"/>
      <c r="B4913" s="207"/>
      <c r="N4913" s="4"/>
      <c r="O4913" s="256"/>
    </row>
    <row r="4914" spans="1:15">
      <c r="A4914" s="207"/>
      <c r="B4914" s="207"/>
      <c r="N4914" s="4"/>
      <c r="O4914" s="256"/>
    </row>
    <row r="4915" spans="1:15">
      <c r="A4915" s="207"/>
      <c r="B4915" s="207"/>
      <c r="N4915" s="4"/>
      <c r="O4915" s="256"/>
    </row>
    <row r="4916" spans="1:15">
      <c r="A4916" s="207"/>
      <c r="B4916" s="207"/>
      <c r="N4916" s="4"/>
      <c r="O4916" s="256"/>
    </row>
    <row r="4917" spans="1:15">
      <c r="A4917" s="207"/>
      <c r="B4917" s="207"/>
      <c r="N4917" s="4"/>
      <c r="O4917" s="256"/>
    </row>
    <row r="4918" spans="1:15">
      <c r="A4918" s="207"/>
      <c r="B4918" s="207"/>
      <c r="N4918" s="4"/>
      <c r="O4918" s="256"/>
    </row>
    <row r="4919" spans="1:15">
      <c r="A4919" s="207"/>
      <c r="B4919" s="207"/>
      <c r="N4919" s="4"/>
      <c r="O4919" s="256"/>
    </row>
    <row r="4920" spans="1:15">
      <c r="A4920" s="207"/>
      <c r="B4920" s="207"/>
      <c r="N4920" s="4"/>
      <c r="O4920" s="256"/>
    </row>
    <row r="4921" spans="1:15">
      <c r="A4921" s="207"/>
      <c r="B4921" s="207"/>
      <c r="N4921" s="4"/>
      <c r="O4921" s="256"/>
    </row>
    <row r="4922" spans="1:15">
      <c r="A4922" s="207"/>
      <c r="B4922" s="207"/>
      <c r="N4922" s="4"/>
      <c r="O4922" s="256"/>
    </row>
    <row r="4923" spans="1:15">
      <c r="A4923" s="207"/>
      <c r="B4923" s="207"/>
      <c r="N4923" s="4"/>
      <c r="O4923" s="256"/>
    </row>
    <row r="4924" spans="1:15">
      <c r="A4924" s="207"/>
      <c r="B4924" s="207"/>
      <c r="N4924" s="4"/>
      <c r="O4924" s="256"/>
    </row>
    <row r="4925" spans="1:15">
      <c r="A4925" s="207"/>
      <c r="B4925" s="207"/>
      <c r="N4925" s="4"/>
      <c r="O4925" s="256"/>
    </row>
    <row r="4926" spans="1:15">
      <c r="A4926" s="207"/>
      <c r="B4926" s="207"/>
      <c r="N4926" s="4"/>
      <c r="O4926" s="256"/>
    </row>
    <row r="4927" spans="1:15">
      <c r="A4927" s="207"/>
      <c r="B4927" s="207"/>
      <c r="N4927" s="4"/>
      <c r="O4927" s="256"/>
    </row>
    <row r="4928" spans="1:15">
      <c r="A4928" s="207"/>
      <c r="B4928" s="207"/>
      <c r="N4928" s="4"/>
      <c r="O4928" s="256"/>
    </row>
    <row r="4929" spans="1:15">
      <c r="A4929" s="207"/>
      <c r="B4929" s="207"/>
      <c r="N4929" s="4"/>
      <c r="O4929" s="256"/>
    </row>
    <row r="4930" spans="1:15">
      <c r="A4930" s="207"/>
      <c r="B4930" s="207"/>
      <c r="N4930" s="4"/>
      <c r="O4930" s="256"/>
    </row>
    <row r="4931" spans="1:15">
      <c r="A4931" s="207"/>
      <c r="B4931" s="207"/>
      <c r="N4931" s="4"/>
      <c r="O4931" s="256"/>
    </row>
    <row r="4932" spans="1:15">
      <c r="A4932" s="207"/>
      <c r="B4932" s="207"/>
      <c r="N4932" s="4"/>
      <c r="O4932" s="256"/>
    </row>
    <row r="4933" spans="1:15">
      <c r="A4933" s="207"/>
      <c r="B4933" s="207"/>
      <c r="N4933" s="4"/>
      <c r="O4933" s="256"/>
    </row>
    <row r="4934" spans="1:15">
      <c r="A4934" s="207"/>
      <c r="B4934" s="207"/>
      <c r="N4934" s="4"/>
      <c r="O4934" s="256"/>
    </row>
    <row r="4935" spans="1:15">
      <c r="A4935" s="207"/>
      <c r="B4935" s="207"/>
      <c r="N4935" s="4"/>
      <c r="O4935" s="256"/>
    </row>
    <row r="4936" spans="1:15">
      <c r="A4936" s="207"/>
      <c r="B4936" s="207"/>
      <c r="N4936" s="4"/>
      <c r="O4936" s="256"/>
    </row>
    <row r="4937" spans="1:15">
      <c r="A4937" s="207"/>
      <c r="B4937" s="207"/>
      <c r="N4937" s="4"/>
      <c r="O4937" s="256"/>
    </row>
    <row r="4938" spans="1:15">
      <c r="A4938" s="207"/>
      <c r="B4938" s="207"/>
      <c r="N4938" s="4"/>
      <c r="O4938" s="256"/>
    </row>
    <row r="4939" spans="1:15">
      <c r="A4939" s="207"/>
      <c r="B4939" s="207"/>
      <c r="N4939" s="4"/>
      <c r="O4939" s="256"/>
    </row>
    <row r="4940" spans="1:15">
      <c r="A4940" s="207"/>
      <c r="B4940" s="207"/>
      <c r="N4940" s="4"/>
      <c r="O4940" s="256"/>
    </row>
    <row r="4941" spans="1:15">
      <c r="A4941" s="207"/>
      <c r="B4941" s="207"/>
      <c r="N4941" s="4"/>
      <c r="O4941" s="256"/>
    </row>
    <row r="4942" spans="1:15">
      <c r="A4942" s="207"/>
      <c r="B4942" s="207"/>
      <c r="N4942" s="4"/>
      <c r="O4942" s="256"/>
    </row>
    <row r="4943" spans="1:15">
      <c r="A4943" s="207"/>
      <c r="B4943" s="207"/>
      <c r="N4943" s="4"/>
      <c r="O4943" s="256"/>
    </row>
    <row r="4944" spans="1:15">
      <c r="A4944" s="207"/>
      <c r="B4944" s="207"/>
      <c r="N4944" s="4"/>
      <c r="O4944" s="256"/>
    </row>
    <row r="4945" spans="1:15">
      <c r="A4945" s="207"/>
      <c r="B4945" s="207"/>
      <c r="N4945" s="4"/>
      <c r="O4945" s="256"/>
    </row>
    <row r="4946" spans="1:15">
      <c r="A4946" s="207"/>
      <c r="B4946" s="207"/>
      <c r="N4946" s="4"/>
      <c r="O4946" s="256"/>
    </row>
    <row r="4947" spans="1:15">
      <c r="A4947" s="207"/>
      <c r="B4947" s="207"/>
      <c r="N4947" s="4"/>
      <c r="O4947" s="256"/>
    </row>
    <row r="4948" spans="1:15">
      <c r="A4948" s="207"/>
      <c r="B4948" s="207"/>
      <c r="N4948" s="4"/>
      <c r="O4948" s="256"/>
    </row>
    <row r="4949" spans="1:15">
      <c r="A4949" s="207"/>
      <c r="B4949" s="207"/>
      <c r="N4949" s="4"/>
      <c r="O4949" s="256"/>
    </row>
    <row r="4950" spans="1:15">
      <c r="A4950" s="207"/>
      <c r="B4950" s="207"/>
      <c r="N4950" s="4"/>
      <c r="O4950" s="256"/>
    </row>
    <row r="4951" spans="1:15">
      <c r="A4951" s="207"/>
      <c r="B4951" s="207"/>
      <c r="N4951" s="4"/>
      <c r="O4951" s="256"/>
    </row>
    <row r="4952" spans="1:15">
      <c r="A4952" s="207"/>
      <c r="B4952" s="207"/>
      <c r="N4952" s="4"/>
      <c r="O4952" s="256"/>
    </row>
    <row r="4953" spans="1:15">
      <c r="A4953" s="207"/>
      <c r="B4953" s="207"/>
      <c r="N4953" s="4"/>
      <c r="O4953" s="256"/>
    </row>
    <row r="4954" spans="1:15">
      <c r="A4954" s="207"/>
      <c r="B4954" s="207"/>
      <c r="N4954" s="4"/>
      <c r="O4954" s="256"/>
    </row>
    <row r="4955" spans="1:15">
      <c r="A4955" s="207"/>
      <c r="B4955" s="207"/>
      <c r="N4955" s="4"/>
      <c r="O4955" s="256"/>
    </row>
    <row r="4956" spans="1:15">
      <c r="A4956" s="207"/>
      <c r="B4956" s="207"/>
      <c r="N4956" s="4"/>
      <c r="O4956" s="256"/>
    </row>
    <row r="4957" spans="1:15">
      <c r="A4957" s="207"/>
      <c r="B4957" s="207"/>
      <c r="N4957" s="4"/>
      <c r="O4957" s="256"/>
    </row>
    <row r="4958" spans="1:15">
      <c r="A4958" s="207"/>
      <c r="B4958" s="207"/>
      <c r="N4958" s="4"/>
      <c r="O4958" s="256"/>
    </row>
    <row r="4959" spans="1:15">
      <c r="A4959" s="207"/>
      <c r="B4959" s="207"/>
      <c r="N4959" s="4"/>
      <c r="O4959" s="256"/>
    </row>
    <row r="4960" spans="1:15">
      <c r="A4960" s="207"/>
      <c r="B4960" s="207"/>
      <c r="N4960" s="4"/>
      <c r="O4960" s="256"/>
    </row>
    <row r="4961" spans="1:15">
      <c r="A4961" s="207"/>
      <c r="B4961" s="207"/>
      <c r="N4961" s="4"/>
      <c r="O4961" s="256"/>
    </row>
    <row r="4962" spans="1:15">
      <c r="A4962" s="207"/>
      <c r="B4962" s="207"/>
      <c r="N4962" s="4"/>
      <c r="O4962" s="256"/>
    </row>
    <row r="4963" spans="1:15">
      <c r="A4963" s="207"/>
      <c r="B4963" s="207"/>
      <c r="N4963" s="4"/>
      <c r="O4963" s="256"/>
    </row>
    <row r="4964" spans="1:15">
      <c r="A4964" s="207"/>
      <c r="B4964" s="207"/>
      <c r="N4964" s="4"/>
      <c r="O4964" s="256"/>
    </row>
    <row r="4965" spans="1:15">
      <c r="A4965" s="207"/>
      <c r="B4965" s="207"/>
      <c r="N4965" s="4"/>
      <c r="O4965" s="256"/>
    </row>
    <row r="4966" spans="1:15">
      <c r="A4966" s="207"/>
      <c r="B4966" s="207"/>
      <c r="N4966" s="4"/>
      <c r="O4966" s="256"/>
    </row>
    <row r="4967" spans="1:15">
      <c r="A4967" s="207"/>
      <c r="B4967" s="207"/>
      <c r="N4967" s="4"/>
      <c r="O4967" s="256"/>
    </row>
    <row r="4968" spans="1:15">
      <c r="A4968" s="207"/>
      <c r="B4968" s="207"/>
      <c r="N4968" s="4"/>
      <c r="O4968" s="256"/>
    </row>
    <row r="4969" spans="1:15">
      <c r="A4969" s="207"/>
      <c r="B4969" s="207"/>
      <c r="N4969" s="4"/>
      <c r="O4969" s="256"/>
    </row>
    <row r="4970" spans="1:15">
      <c r="A4970" s="207"/>
      <c r="B4970" s="207"/>
      <c r="N4970" s="4"/>
      <c r="O4970" s="256"/>
    </row>
    <row r="4971" spans="1:15">
      <c r="A4971" s="207"/>
      <c r="B4971" s="207"/>
      <c r="N4971" s="4"/>
      <c r="O4971" s="256"/>
    </row>
    <row r="4972" spans="1:15">
      <c r="A4972" s="207"/>
      <c r="B4972" s="207"/>
      <c r="N4972" s="4"/>
      <c r="O4972" s="256"/>
    </row>
    <row r="4973" spans="1:15">
      <c r="A4973" s="207"/>
      <c r="B4973" s="207"/>
      <c r="N4973" s="4"/>
      <c r="O4973" s="256"/>
    </row>
    <row r="4974" spans="1:15">
      <c r="A4974" s="207"/>
      <c r="B4974" s="207"/>
      <c r="N4974" s="4"/>
      <c r="O4974" s="256"/>
    </row>
    <row r="4975" spans="1:15">
      <c r="A4975" s="207"/>
      <c r="B4975" s="207"/>
      <c r="N4975" s="4"/>
      <c r="O4975" s="256"/>
    </row>
    <row r="4976" spans="1:15">
      <c r="A4976" s="207"/>
      <c r="B4976" s="207"/>
      <c r="N4976" s="4"/>
      <c r="O4976" s="256"/>
    </row>
    <row r="4977" spans="1:15">
      <c r="A4977" s="207"/>
      <c r="B4977" s="207"/>
      <c r="N4977" s="4"/>
      <c r="O4977" s="256"/>
    </row>
    <row r="4978" spans="1:15">
      <c r="A4978" s="207"/>
      <c r="B4978" s="207"/>
      <c r="N4978" s="4"/>
      <c r="O4978" s="256"/>
    </row>
    <row r="4979" spans="1:15">
      <c r="A4979" s="207"/>
      <c r="B4979" s="207"/>
      <c r="N4979" s="4"/>
      <c r="O4979" s="256"/>
    </row>
    <row r="4980" spans="1:15">
      <c r="A4980" s="207"/>
      <c r="B4980" s="207"/>
      <c r="N4980" s="4"/>
      <c r="O4980" s="256"/>
    </row>
    <row r="4981" spans="1:15">
      <c r="A4981" s="207"/>
      <c r="B4981" s="207"/>
      <c r="N4981" s="4"/>
      <c r="O4981" s="256"/>
    </row>
    <row r="4982" spans="1:15">
      <c r="A4982" s="207"/>
      <c r="B4982" s="207"/>
      <c r="N4982" s="4"/>
      <c r="O4982" s="256"/>
    </row>
    <row r="4983" spans="1:15">
      <c r="A4983" s="207"/>
      <c r="B4983" s="207"/>
      <c r="N4983" s="4"/>
      <c r="O4983" s="256"/>
    </row>
    <row r="4984" spans="1:15">
      <c r="A4984" s="207"/>
      <c r="B4984" s="207"/>
      <c r="N4984" s="4"/>
      <c r="O4984" s="256"/>
    </row>
    <row r="4985" spans="1:15">
      <c r="A4985" s="207"/>
      <c r="B4985" s="207"/>
      <c r="N4985" s="4"/>
      <c r="O4985" s="256"/>
    </row>
    <row r="4986" spans="1:15">
      <c r="A4986" s="207"/>
      <c r="B4986" s="207"/>
      <c r="N4986" s="4"/>
      <c r="O4986" s="256"/>
    </row>
    <row r="4987" spans="1:15">
      <c r="A4987" s="207"/>
      <c r="B4987" s="207"/>
      <c r="N4987" s="4"/>
      <c r="O4987" s="256"/>
    </row>
    <row r="4988" spans="1:15">
      <c r="A4988" s="207"/>
      <c r="B4988" s="207"/>
      <c r="N4988" s="4"/>
      <c r="O4988" s="256"/>
    </row>
    <row r="4989" spans="1:15">
      <c r="A4989" s="207"/>
      <c r="B4989" s="207"/>
      <c r="N4989" s="4"/>
      <c r="O4989" s="256"/>
    </row>
    <row r="4990" spans="1:15">
      <c r="A4990" s="207"/>
      <c r="B4990" s="207"/>
      <c r="N4990" s="4"/>
      <c r="O4990" s="256"/>
    </row>
    <row r="4991" spans="1:15">
      <c r="A4991" s="207"/>
      <c r="B4991" s="207"/>
      <c r="N4991" s="4"/>
      <c r="O4991" s="256"/>
    </row>
    <row r="4992" spans="1:15">
      <c r="A4992" s="207"/>
      <c r="B4992" s="207"/>
      <c r="N4992" s="4"/>
      <c r="O4992" s="256"/>
    </row>
    <row r="4993" spans="1:15">
      <c r="A4993" s="207"/>
      <c r="B4993" s="207"/>
      <c r="N4993" s="4"/>
      <c r="O4993" s="256"/>
    </row>
    <row r="4994" spans="1:15">
      <c r="A4994" s="207"/>
      <c r="B4994" s="207"/>
      <c r="N4994" s="4"/>
      <c r="O4994" s="256"/>
    </row>
    <row r="4995" spans="1:15">
      <c r="A4995" s="207"/>
      <c r="B4995" s="207"/>
      <c r="N4995" s="4"/>
      <c r="O4995" s="256"/>
    </row>
    <row r="4996" spans="1:15">
      <c r="A4996" s="207"/>
      <c r="B4996" s="207"/>
      <c r="N4996" s="4"/>
      <c r="O4996" s="256"/>
    </row>
    <row r="4997" spans="1:15">
      <c r="A4997" s="207"/>
      <c r="B4997" s="207"/>
      <c r="N4997" s="4"/>
      <c r="O4997" s="256"/>
    </row>
    <row r="4998" spans="1:15">
      <c r="A4998" s="207"/>
      <c r="B4998" s="207"/>
      <c r="N4998" s="4"/>
      <c r="O4998" s="256"/>
    </row>
    <row r="4999" spans="1:15">
      <c r="A4999" s="207"/>
      <c r="B4999" s="207"/>
      <c r="N4999" s="4"/>
      <c r="O4999" s="256"/>
    </row>
    <row r="5000" spans="1:15">
      <c r="A5000" s="207"/>
      <c r="B5000" s="207"/>
      <c r="N5000" s="4"/>
      <c r="O5000" s="256"/>
    </row>
    <row r="5001" spans="1:15">
      <c r="A5001" s="207"/>
      <c r="B5001" s="207"/>
      <c r="N5001" s="4"/>
      <c r="O5001" s="256"/>
    </row>
    <row r="5002" spans="1:15">
      <c r="A5002" s="207"/>
      <c r="B5002" s="207"/>
      <c r="N5002" s="4"/>
      <c r="O5002" s="256"/>
    </row>
    <row r="5003" spans="1:15">
      <c r="A5003" s="207"/>
      <c r="B5003" s="207"/>
      <c r="N5003" s="4"/>
      <c r="O5003" s="256"/>
    </row>
    <row r="5004" spans="1:15">
      <c r="A5004" s="207"/>
      <c r="B5004" s="207"/>
      <c r="N5004" s="4"/>
      <c r="O5004" s="256"/>
    </row>
    <row r="5005" spans="1:15">
      <c r="A5005" s="207"/>
      <c r="B5005" s="207"/>
      <c r="N5005" s="4"/>
      <c r="O5005" s="256"/>
    </row>
    <row r="5006" spans="1:15">
      <c r="A5006" s="207"/>
      <c r="B5006" s="207"/>
      <c r="N5006" s="4"/>
      <c r="O5006" s="256"/>
    </row>
    <row r="5007" spans="1:15">
      <c r="A5007" s="207"/>
      <c r="B5007" s="207"/>
      <c r="N5007" s="4"/>
      <c r="O5007" s="256"/>
    </row>
    <row r="5008" spans="1:15">
      <c r="A5008" s="207"/>
      <c r="B5008" s="207"/>
      <c r="N5008" s="4"/>
      <c r="O5008" s="256"/>
    </row>
    <row r="5009" spans="1:15">
      <c r="A5009" s="207"/>
      <c r="B5009" s="207"/>
      <c r="N5009" s="4"/>
      <c r="O5009" s="256"/>
    </row>
    <row r="5010" spans="1:15">
      <c r="A5010" s="207"/>
      <c r="B5010" s="207"/>
      <c r="N5010" s="4"/>
      <c r="O5010" s="256"/>
    </row>
    <row r="5011" spans="1:15">
      <c r="A5011" s="207"/>
      <c r="B5011" s="207"/>
      <c r="N5011" s="4"/>
      <c r="O5011" s="256"/>
    </row>
    <row r="5012" spans="1:15">
      <c r="A5012" s="207"/>
      <c r="B5012" s="207"/>
      <c r="N5012" s="4"/>
      <c r="O5012" s="256"/>
    </row>
    <row r="5013" spans="1:15">
      <c r="A5013" s="207"/>
      <c r="B5013" s="207"/>
      <c r="N5013" s="4"/>
      <c r="O5013" s="256"/>
    </row>
    <row r="5014" spans="1:15">
      <c r="A5014" s="207"/>
      <c r="B5014" s="207"/>
      <c r="N5014" s="4"/>
      <c r="O5014" s="256"/>
    </row>
    <row r="5015" spans="1:15">
      <c r="A5015" s="207"/>
      <c r="B5015" s="207"/>
      <c r="N5015" s="4"/>
      <c r="O5015" s="256"/>
    </row>
    <row r="5016" spans="1:15">
      <c r="A5016" s="207"/>
      <c r="B5016" s="207"/>
      <c r="N5016" s="4"/>
      <c r="O5016" s="256"/>
    </row>
    <row r="5017" spans="1:15">
      <c r="A5017" s="207"/>
      <c r="B5017" s="207"/>
      <c r="N5017" s="4"/>
      <c r="O5017" s="256"/>
    </row>
    <row r="5018" spans="1:15">
      <c r="A5018" s="207"/>
      <c r="B5018" s="207"/>
      <c r="N5018" s="4"/>
      <c r="O5018" s="256"/>
    </row>
    <row r="5019" spans="1:15">
      <c r="A5019" s="207"/>
      <c r="B5019" s="207"/>
      <c r="N5019" s="4"/>
      <c r="O5019" s="256"/>
    </row>
    <row r="5020" spans="1:15">
      <c r="A5020" s="207"/>
      <c r="B5020" s="207"/>
      <c r="N5020" s="4"/>
      <c r="O5020" s="256"/>
    </row>
    <row r="5021" spans="1:15">
      <c r="A5021" s="207"/>
      <c r="B5021" s="207"/>
      <c r="N5021" s="4"/>
      <c r="O5021" s="256"/>
    </row>
    <row r="5022" spans="1:15">
      <c r="A5022" s="207"/>
      <c r="B5022" s="207"/>
      <c r="N5022" s="4"/>
      <c r="O5022" s="256"/>
    </row>
    <row r="5023" spans="1:15">
      <c r="A5023" s="207"/>
      <c r="B5023" s="207"/>
      <c r="N5023" s="4"/>
      <c r="O5023" s="256"/>
    </row>
    <row r="5024" spans="1:15">
      <c r="A5024" s="207"/>
      <c r="B5024" s="207"/>
      <c r="N5024" s="4"/>
      <c r="O5024" s="256"/>
    </row>
    <row r="5025" spans="1:15">
      <c r="A5025" s="207"/>
      <c r="B5025" s="207"/>
      <c r="N5025" s="4"/>
      <c r="O5025" s="256"/>
    </row>
    <row r="5026" spans="1:15">
      <c r="A5026" s="207"/>
      <c r="B5026" s="207"/>
      <c r="N5026" s="4"/>
      <c r="O5026" s="256"/>
    </row>
    <row r="5027" spans="1:15">
      <c r="A5027" s="207"/>
      <c r="B5027" s="207"/>
      <c r="N5027" s="4"/>
      <c r="O5027" s="256"/>
    </row>
    <row r="5028" spans="1:15">
      <c r="A5028" s="207"/>
      <c r="B5028" s="207"/>
      <c r="N5028" s="4"/>
      <c r="O5028" s="256"/>
    </row>
    <row r="5029" spans="1:15">
      <c r="A5029" s="207"/>
      <c r="B5029" s="207"/>
      <c r="N5029" s="4"/>
      <c r="O5029" s="256"/>
    </row>
    <row r="5030" spans="1:15">
      <c r="A5030" s="207"/>
      <c r="B5030" s="207"/>
      <c r="N5030" s="4"/>
      <c r="O5030" s="256"/>
    </row>
    <row r="5031" spans="1:15">
      <c r="A5031" s="207"/>
      <c r="B5031" s="207"/>
      <c r="N5031" s="4"/>
      <c r="O5031" s="256"/>
    </row>
    <row r="5032" spans="1:15">
      <c r="A5032" s="207"/>
      <c r="B5032" s="207"/>
      <c r="N5032" s="4"/>
      <c r="O5032" s="256"/>
    </row>
    <row r="5033" spans="1:15">
      <c r="A5033" s="207"/>
      <c r="B5033" s="207"/>
      <c r="N5033" s="4"/>
      <c r="O5033" s="256"/>
    </row>
    <row r="5034" spans="1:15">
      <c r="A5034" s="207"/>
      <c r="B5034" s="207"/>
      <c r="N5034" s="4"/>
      <c r="O5034" s="256"/>
    </row>
    <row r="5035" spans="1:15">
      <c r="A5035" s="207"/>
      <c r="B5035" s="207"/>
      <c r="N5035" s="4"/>
      <c r="O5035" s="256"/>
    </row>
    <row r="5036" spans="1:15">
      <c r="A5036" s="207"/>
      <c r="B5036" s="207"/>
      <c r="N5036" s="4"/>
      <c r="O5036" s="256"/>
    </row>
    <row r="5037" spans="1:15">
      <c r="A5037" s="207"/>
      <c r="B5037" s="207"/>
      <c r="N5037" s="4"/>
      <c r="O5037" s="256"/>
    </row>
    <row r="5038" spans="1:15">
      <c r="A5038" s="207"/>
      <c r="B5038" s="207"/>
      <c r="N5038" s="4"/>
      <c r="O5038" s="256"/>
    </row>
    <row r="5039" spans="1:15">
      <c r="A5039" s="207"/>
      <c r="B5039" s="207"/>
      <c r="N5039" s="4"/>
      <c r="O5039" s="256"/>
    </row>
    <row r="5040" spans="1:15">
      <c r="A5040" s="207"/>
      <c r="B5040" s="207"/>
      <c r="N5040" s="4"/>
      <c r="O5040" s="256"/>
    </row>
    <row r="5041" spans="1:15">
      <c r="A5041" s="207"/>
      <c r="B5041" s="207"/>
      <c r="N5041" s="4"/>
      <c r="O5041" s="256"/>
    </row>
    <row r="5042" spans="1:15">
      <c r="A5042" s="207"/>
      <c r="B5042" s="207"/>
      <c r="N5042" s="4"/>
      <c r="O5042" s="256"/>
    </row>
    <row r="5043" spans="1:15">
      <c r="A5043" s="207"/>
      <c r="B5043" s="207"/>
      <c r="N5043" s="4"/>
      <c r="O5043" s="256"/>
    </row>
    <row r="5044" spans="1:15">
      <c r="A5044" s="207"/>
      <c r="B5044" s="207"/>
      <c r="N5044" s="4"/>
      <c r="O5044" s="256"/>
    </row>
    <row r="5045" spans="1:15">
      <c r="A5045" s="207"/>
      <c r="B5045" s="207"/>
      <c r="N5045" s="4"/>
      <c r="O5045" s="256"/>
    </row>
    <row r="5046" spans="1:15">
      <c r="A5046" s="207"/>
      <c r="B5046" s="207"/>
      <c r="N5046" s="4"/>
      <c r="O5046" s="256"/>
    </row>
    <row r="5047" spans="1:15">
      <c r="A5047" s="207"/>
      <c r="B5047" s="207"/>
      <c r="N5047" s="4"/>
      <c r="O5047" s="256"/>
    </row>
    <row r="5048" spans="1:15">
      <c r="A5048" s="207"/>
      <c r="B5048" s="207"/>
      <c r="N5048" s="4"/>
      <c r="O5048" s="256"/>
    </row>
    <row r="5049" spans="1:15">
      <c r="A5049" s="207"/>
      <c r="B5049" s="207"/>
      <c r="N5049" s="4"/>
      <c r="O5049" s="256"/>
    </row>
    <row r="5050" spans="1:15">
      <c r="A5050" s="207"/>
      <c r="B5050" s="207"/>
      <c r="N5050" s="4"/>
      <c r="O5050" s="256"/>
    </row>
    <row r="5051" spans="1:15">
      <c r="A5051" s="207"/>
      <c r="B5051" s="207"/>
      <c r="N5051" s="4"/>
      <c r="O5051" s="256"/>
    </row>
    <row r="5052" spans="1:15">
      <c r="A5052" s="207"/>
      <c r="B5052" s="207"/>
      <c r="N5052" s="4"/>
      <c r="O5052" s="256"/>
    </row>
    <row r="5053" spans="1:15">
      <c r="A5053" s="207"/>
      <c r="B5053" s="207"/>
      <c r="N5053" s="4"/>
      <c r="O5053" s="256"/>
    </row>
    <row r="5054" spans="1:15">
      <c r="A5054" s="207"/>
      <c r="B5054" s="207"/>
      <c r="N5054" s="4"/>
      <c r="O5054" s="256"/>
    </row>
    <row r="5055" spans="1:15">
      <c r="A5055" s="207"/>
      <c r="B5055" s="207"/>
      <c r="N5055" s="4"/>
      <c r="O5055" s="256"/>
    </row>
    <row r="5056" spans="1:15">
      <c r="A5056" s="207"/>
      <c r="B5056" s="207"/>
      <c r="N5056" s="4"/>
      <c r="O5056" s="256"/>
    </row>
    <row r="5057" spans="1:15">
      <c r="A5057" s="207"/>
      <c r="B5057" s="207"/>
      <c r="N5057" s="4"/>
      <c r="O5057" s="256"/>
    </row>
    <row r="5058" spans="1:15">
      <c r="A5058" s="207"/>
      <c r="B5058" s="207"/>
      <c r="N5058" s="4"/>
      <c r="O5058" s="256"/>
    </row>
    <row r="5059" spans="1:15">
      <c r="A5059" s="207"/>
      <c r="B5059" s="207"/>
      <c r="N5059" s="4"/>
      <c r="O5059" s="256"/>
    </row>
    <row r="5060" spans="1:15">
      <c r="A5060" s="207"/>
      <c r="B5060" s="207"/>
      <c r="N5060" s="4"/>
      <c r="O5060" s="256"/>
    </row>
    <row r="5061" spans="1:15">
      <c r="A5061" s="207"/>
      <c r="B5061" s="207"/>
      <c r="N5061" s="4"/>
      <c r="O5061" s="256"/>
    </row>
    <row r="5062" spans="1:15">
      <c r="A5062" s="207"/>
      <c r="B5062" s="207"/>
      <c r="N5062" s="4"/>
      <c r="O5062" s="256"/>
    </row>
    <row r="5063" spans="1:15">
      <c r="A5063" s="207"/>
      <c r="B5063" s="207"/>
      <c r="N5063" s="4"/>
      <c r="O5063" s="256"/>
    </row>
    <row r="5064" spans="1:15">
      <c r="A5064" s="207"/>
      <c r="B5064" s="207"/>
      <c r="N5064" s="4"/>
      <c r="O5064" s="256"/>
    </row>
    <row r="5065" spans="1:15">
      <c r="A5065" s="207"/>
      <c r="B5065" s="207"/>
      <c r="N5065" s="4"/>
      <c r="O5065" s="256"/>
    </row>
    <row r="5066" spans="1:15">
      <c r="A5066" s="207"/>
      <c r="B5066" s="207"/>
      <c r="N5066" s="4"/>
      <c r="O5066" s="256"/>
    </row>
    <row r="5067" spans="1:15">
      <c r="A5067" s="207"/>
      <c r="B5067" s="207"/>
      <c r="N5067" s="4"/>
      <c r="O5067" s="256"/>
    </row>
    <row r="5068" spans="1:15">
      <c r="A5068" s="207"/>
      <c r="B5068" s="207"/>
      <c r="N5068" s="4"/>
      <c r="O5068" s="256"/>
    </row>
    <row r="5069" spans="1:15">
      <c r="A5069" s="207"/>
      <c r="B5069" s="207"/>
      <c r="N5069" s="4"/>
      <c r="O5069" s="256"/>
    </row>
    <row r="5070" spans="1:15">
      <c r="A5070" s="207"/>
      <c r="B5070" s="207"/>
      <c r="N5070" s="4"/>
      <c r="O5070" s="256"/>
    </row>
    <row r="5071" spans="1:15">
      <c r="A5071" s="207"/>
      <c r="B5071" s="207"/>
      <c r="N5071" s="4"/>
      <c r="O5071" s="256"/>
    </row>
    <row r="5072" spans="1:15">
      <c r="A5072" s="207"/>
      <c r="B5072" s="207"/>
      <c r="N5072" s="4"/>
      <c r="O5072" s="256"/>
    </row>
    <row r="5073" spans="1:15">
      <c r="A5073" s="207"/>
      <c r="B5073" s="207"/>
      <c r="N5073" s="4"/>
      <c r="O5073" s="256"/>
    </row>
    <row r="5074" spans="1:15">
      <c r="A5074" s="207"/>
      <c r="B5074" s="207"/>
      <c r="N5074" s="4"/>
      <c r="O5074" s="256"/>
    </row>
    <row r="5075" spans="1:15">
      <c r="A5075" s="207"/>
      <c r="B5075" s="207"/>
      <c r="N5075" s="4"/>
      <c r="O5075" s="256"/>
    </row>
    <row r="5076" spans="1:15">
      <c r="A5076" s="207"/>
      <c r="B5076" s="207"/>
      <c r="N5076" s="4"/>
      <c r="O5076" s="256"/>
    </row>
    <row r="5077" spans="1:15">
      <c r="A5077" s="207"/>
      <c r="B5077" s="207"/>
      <c r="N5077" s="4"/>
      <c r="O5077" s="256"/>
    </row>
    <row r="5078" spans="1:15">
      <c r="A5078" s="207"/>
      <c r="B5078" s="207"/>
      <c r="N5078" s="4"/>
      <c r="O5078" s="256"/>
    </row>
    <row r="5079" spans="1:15">
      <c r="A5079" s="207"/>
      <c r="B5079" s="207"/>
      <c r="N5079" s="4"/>
      <c r="O5079" s="256"/>
    </row>
    <row r="5080" spans="1:15">
      <c r="A5080" s="207"/>
      <c r="B5080" s="207"/>
      <c r="N5080" s="4"/>
      <c r="O5080" s="256"/>
    </row>
    <row r="5081" spans="1:15">
      <c r="A5081" s="207"/>
      <c r="B5081" s="207"/>
      <c r="N5081" s="4"/>
      <c r="O5081" s="256"/>
    </row>
    <row r="5082" spans="1:15">
      <c r="A5082" s="207"/>
      <c r="B5082" s="207"/>
      <c r="N5082" s="4"/>
      <c r="O5082" s="256"/>
    </row>
    <row r="5083" spans="1:15">
      <c r="A5083" s="207"/>
      <c r="B5083" s="207"/>
      <c r="N5083" s="4"/>
      <c r="O5083" s="256"/>
    </row>
    <row r="5084" spans="1:15">
      <c r="A5084" s="207"/>
      <c r="B5084" s="207"/>
      <c r="N5084" s="4"/>
      <c r="O5084" s="256"/>
    </row>
    <row r="5085" spans="1:15">
      <c r="A5085" s="207"/>
      <c r="B5085" s="207"/>
      <c r="N5085" s="4"/>
      <c r="O5085" s="256"/>
    </row>
    <row r="5086" spans="1:15">
      <c r="A5086" s="207"/>
      <c r="B5086" s="207"/>
      <c r="N5086" s="4"/>
      <c r="O5086" s="256"/>
    </row>
    <row r="5087" spans="1:15">
      <c r="A5087" s="207"/>
      <c r="B5087" s="207"/>
      <c r="N5087" s="4"/>
      <c r="O5087" s="256"/>
    </row>
    <row r="5088" spans="1:15">
      <c r="A5088" s="207"/>
      <c r="B5088" s="207"/>
      <c r="N5088" s="4"/>
      <c r="O5088" s="256"/>
    </row>
    <row r="5089" spans="1:15">
      <c r="A5089" s="207"/>
      <c r="B5089" s="207"/>
      <c r="N5089" s="4"/>
      <c r="O5089" s="256"/>
    </row>
    <row r="5090" spans="1:15">
      <c r="A5090" s="207"/>
      <c r="B5090" s="207"/>
      <c r="N5090" s="4"/>
      <c r="O5090" s="256"/>
    </row>
    <row r="5091" spans="1:15">
      <c r="A5091" s="207"/>
      <c r="B5091" s="207"/>
      <c r="N5091" s="4"/>
      <c r="O5091" s="256"/>
    </row>
    <row r="5092" spans="1:15">
      <c r="A5092" s="207"/>
      <c r="B5092" s="207"/>
      <c r="N5092" s="4"/>
      <c r="O5092" s="256"/>
    </row>
    <row r="5093" spans="1:15">
      <c r="A5093" s="207"/>
      <c r="B5093" s="207"/>
      <c r="N5093" s="4"/>
      <c r="O5093" s="256"/>
    </row>
    <row r="5094" spans="1:15">
      <c r="A5094" s="207"/>
      <c r="B5094" s="207"/>
      <c r="N5094" s="4"/>
      <c r="O5094" s="256"/>
    </row>
    <row r="5095" spans="1:15">
      <c r="A5095" s="207"/>
      <c r="B5095" s="207"/>
      <c r="N5095" s="4"/>
      <c r="O5095" s="256"/>
    </row>
    <row r="5096" spans="1:15">
      <c r="A5096" s="207"/>
      <c r="B5096" s="207"/>
      <c r="N5096" s="4"/>
      <c r="O5096" s="256"/>
    </row>
    <row r="5097" spans="1:15">
      <c r="A5097" s="207"/>
      <c r="B5097" s="207"/>
      <c r="N5097" s="4"/>
      <c r="O5097" s="256"/>
    </row>
    <row r="5098" spans="1:15">
      <c r="A5098" s="207"/>
      <c r="B5098" s="207"/>
      <c r="N5098" s="4"/>
      <c r="O5098" s="256"/>
    </row>
    <row r="5099" spans="1:15">
      <c r="A5099" s="207"/>
      <c r="B5099" s="207"/>
      <c r="N5099" s="4"/>
      <c r="O5099" s="256"/>
    </row>
    <row r="5100" spans="1:15">
      <c r="A5100" s="207"/>
      <c r="B5100" s="207"/>
      <c r="N5100" s="4"/>
      <c r="O5100" s="256"/>
    </row>
    <row r="5101" spans="1:15">
      <c r="A5101" s="207"/>
      <c r="B5101" s="207"/>
      <c r="N5101" s="4"/>
      <c r="O5101" s="256"/>
    </row>
    <row r="5102" spans="1:15">
      <c r="A5102" s="207"/>
      <c r="B5102" s="207"/>
      <c r="N5102" s="4"/>
      <c r="O5102" s="256"/>
    </row>
    <row r="5103" spans="1:15">
      <c r="A5103" s="207"/>
      <c r="B5103" s="207"/>
      <c r="N5103" s="4"/>
      <c r="O5103" s="256"/>
    </row>
    <row r="5104" spans="1:15">
      <c r="A5104" s="207"/>
      <c r="B5104" s="207"/>
      <c r="N5104" s="4"/>
      <c r="O5104" s="256"/>
    </row>
    <row r="5105" spans="1:15">
      <c r="A5105" s="207"/>
      <c r="B5105" s="207"/>
      <c r="N5105" s="4"/>
      <c r="O5105" s="256"/>
    </row>
    <row r="5106" spans="1:15">
      <c r="A5106" s="207"/>
      <c r="B5106" s="207"/>
      <c r="N5106" s="4"/>
      <c r="O5106" s="256"/>
    </row>
    <row r="5107" spans="1:15">
      <c r="A5107" s="207"/>
      <c r="B5107" s="207"/>
      <c r="N5107" s="4"/>
      <c r="O5107" s="256"/>
    </row>
    <row r="5108" spans="1:15">
      <c r="A5108" s="207"/>
      <c r="B5108" s="207"/>
      <c r="N5108" s="4"/>
      <c r="O5108" s="256"/>
    </row>
    <row r="5109" spans="1:15">
      <c r="A5109" s="207"/>
      <c r="B5109" s="207"/>
      <c r="N5109" s="4"/>
      <c r="O5109" s="256"/>
    </row>
    <row r="5110" spans="1:15">
      <c r="A5110" s="207"/>
      <c r="B5110" s="207"/>
      <c r="N5110" s="4"/>
      <c r="O5110" s="256"/>
    </row>
    <row r="5111" spans="1:15">
      <c r="A5111" s="207"/>
      <c r="B5111" s="207"/>
      <c r="N5111" s="4"/>
      <c r="O5111" s="256"/>
    </row>
    <row r="5112" spans="1:15">
      <c r="A5112" s="207"/>
      <c r="B5112" s="207"/>
      <c r="N5112" s="4"/>
      <c r="O5112" s="256"/>
    </row>
    <row r="5113" spans="1:15">
      <c r="A5113" s="207"/>
      <c r="B5113" s="207"/>
      <c r="N5113" s="4"/>
      <c r="O5113" s="256"/>
    </row>
    <row r="5114" spans="1:15">
      <c r="A5114" s="207"/>
      <c r="B5114" s="207"/>
      <c r="N5114" s="4"/>
      <c r="O5114" s="256"/>
    </row>
    <row r="5115" spans="1:15">
      <c r="A5115" s="207"/>
      <c r="B5115" s="207"/>
      <c r="N5115" s="4"/>
      <c r="O5115" s="256"/>
    </row>
    <row r="5116" spans="1:15">
      <c r="A5116" s="207"/>
      <c r="B5116" s="207"/>
      <c r="N5116" s="4"/>
      <c r="O5116" s="256"/>
    </row>
    <row r="5117" spans="1:15">
      <c r="A5117" s="207"/>
      <c r="B5117" s="207"/>
      <c r="N5117" s="4"/>
      <c r="O5117" s="256"/>
    </row>
    <row r="5118" spans="1:15">
      <c r="A5118" s="207"/>
      <c r="B5118" s="207"/>
      <c r="N5118" s="4"/>
      <c r="O5118" s="256"/>
    </row>
    <row r="5119" spans="1:15">
      <c r="A5119" s="207"/>
      <c r="B5119" s="207"/>
      <c r="N5119" s="4"/>
      <c r="O5119" s="256"/>
    </row>
    <row r="5120" spans="1:15">
      <c r="A5120" s="207"/>
      <c r="B5120" s="207"/>
      <c r="N5120" s="4"/>
      <c r="O5120" s="256"/>
    </row>
    <row r="5121" spans="1:15">
      <c r="A5121" s="207"/>
      <c r="B5121" s="207"/>
      <c r="N5121" s="4"/>
      <c r="O5121" s="256"/>
    </row>
    <row r="5122" spans="1:15">
      <c r="A5122" s="207"/>
      <c r="B5122" s="207"/>
      <c r="N5122" s="4"/>
      <c r="O5122" s="256"/>
    </row>
    <row r="5123" spans="1:15">
      <c r="A5123" s="207"/>
      <c r="B5123" s="207"/>
      <c r="N5123" s="4"/>
      <c r="O5123" s="256"/>
    </row>
    <row r="5124" spans="1:15">
      <c r="A5124" s="207"/>
      <c r="B5124" s="207"/>
      <c r="N5124" s="4"/>
      <c r="O5124" s="256"/>
    </row>
    <row r="5125" spans="1:15">
      <c r="A5125" s="207"/>
      <c r="B5125" s="207"/>
      <c r="N5125" s="4"/>
      <c r="O5125" s="256"/>
    </row>
    <row r="5126" spans="1:15">
      <c r="A5126" s="207"/>
      <c r="B5126" s="207"/>
      <c r="N5126" s="4"/>
      <c r="O5126" s="256"/>
    </row>
    <row r="5127" spans="1:15">
      <c r="A5127" s="207"/>
      <c r="B5127" s="207"/>
      <c r="N5127" s="4"/>
      <c r="O5127" s="256"/>
    </row>
    <row r="5128" spans="1:15">
      <c r="A5128" s="207"/>
      <c r="B5128" s="207"/>
      <c r="N5128" s="4"/>
      <c r="O5128" s="256"/>
    </row>
    <row r="5129" spans="1:15">
      <c r="A5129" s="207"/>
      <c r="B5129" s="207"/>
      <c r="N5129" s="4"/>
      <c r="O5129" s="256"/>
    </row>
    <row r="5130" spans="1:15">
      <c r="A5130" s="207"/>
      <c r="B5130" s="207"/>
      <c r="N5130" s="4"/>
      <c r="O5130" s="256"/>
    </row>
    <row r="5131" spans="1:15">
      <c r="A5131" s="207"/>
      <c r="B5131" s="207"/>
      <c r="N5131" s="4"/>
      <c r="O5131" s="256"/>
    </row>
    <row r="5132" spans="1:15">
      <c r="A5132" s="207"/>
      <c r="B5132" s="207"/>
      <c r="N5132" s="4"/>
      <c r="O5132" s="256"/>
    </row>
    <row r="5133" spans="1:15">
      <c r="A5133" s="207"/>
      <c r="B5133" s="207"/>
      <c r="N5133" s="4"/>
      <c r="O5133" s="256"/>
    </row>
    <row r="5134" spans="1:15">
      <c r="A5134" s="207"/>
      <c r="B5134" s="207"/>
      <c r="N5134" s="4"/>
      <c r="O5134" s="256"/>
    </row>
    <row r="5135" spans="1:15">
      <c r="A5135" s="207"/>
      <c r="B5135" s="207"/>
      <c r="N5135" s="4"/>
      <c r="O5135" s="256"/>
    </row>
    <row r="5136" spans="1:15">
      <c r="A5136" s="207"/>
      <c r="B5136" s="207"/>
      <c r="N5136" s="4"/>
      <c r="O5136" s="256"/>
    </row>
    <row r="5137" spans="1:15">
      <c r="A5137" s="207"/>
      <c r="B5137" s="207"/>
      <c r="N5137" s="4"/>
      <c r="O5137" s="256"/>
    </row>
    <row r="5138" spans="1:15">
      <c r="A5138" s="207"/>
      <c r="B5138" s="207"/>
      <c r="N5138" s="4"/>
      <c r="O5138" s="256"/>
    </row>
    <row r="5139" spans="1:15">
      <c r="A5139" s="207"/>
      <c r="B5139" s="207"/>
      <c r="N5139" s="4"/>
      <c r="O5139" s="256"/>
    </row>
    <row r="5140" spans="1:15">
      <c r="A5140" s="207"/>
      <c r="B5140" s="207"/>
      <c r="N5140" s="4"/>
      <c r="O5140" s="256"/>
    </row>
    <row r="5141" spans="1:15">
      <c r="A5141" s="207"/>
      <c r="B5141" s="207"/>
      <c r="N5141" s="4"/>
      <c r="O5141" s="256"/>
    </row>
    <row r="5142" spans="1:15">
      <c r="A5142" s="207"/>
      <c r="B5142" s="207"/>
      <c r="N5142" s="4"/>
      <c r="O5142" s="256"/>
    </row>
    <row r="5143" spans="1:15">
      <c r="A5143" s="207"/>
      <c r="B5143" s="207"/>
      <c r="N5143" s="4"/>
      <c r="O5143" s="256"/>
    </row>
    <row r="5144" spans="1:15">
      <c r="A5144" s="207"/>
      <c r="B5144" s="207"/>
      <c r="N5144" s="4"/>
      <c r="O5144" s="256"/>
    </row>
    <row r="5145" spans="1:15">
      <c r="A5145" s="207"/>
      <c r="B5145" s="207"/>
      <c r="N5145" s="4"/>
      <c r="O5145" s="256"/>
    </row>
    <row r="5146" spans="1:15">
      <c r="A5146" s="207"/>
      <c r="B5146" s="207"/>
      <c r="N5146" s="4"/>
      <c r="O5146" s="256"/>
    </row>
    <row r="5147" spans="1:15">
      <c r="A5147" s="207"/>
      <c r="B5147" s="207"/>
      <c r="N5147" s="4"/>
      <c r="O5147" s="256"/>
    </row>
    <row r="5148" spans="1:15">
      <c r="A5148" s="207"/>
      <c r="B5148" s="207"/>
      <c r="N5148" s="4"/>
      <c r="O5148" s="256"/>
    </row>
    <row r="5149" spans="1:15">
      <c r="A5149" s="207"/>
      <c r="B5149" s="207"/>
      <c r="N5149" s="4"/>
      <c r="O5149" s="256"/>
    </row>
    <row r="5150" spans="1:15">
      <c r="A5150" s="207"/>
      <c r="B5150" s="207"/>
      <c r="N5150" s="4"/>
      <c r="O5150" s="256"/>
    </row>
    <row r="5151" spans="1:15">
      <c r="A5151" s="207"/>
      <c r="B5151" s="207"/>
      <c r="N5151" s="4"/>
      <c r="O5151" s="256"/>
    </row>
    <row r="5152" spans="1:15">
      <c r="A5152" s="207"/>
      <c r="B5152" s="207"/>
      <c r="N5152" s="4"/>
      <c r="O5152" s="256"/>
    </row>
    <row r="5153" spans="1:15">
      <c r="A5153" s="207"/>
      <c r="B5153" s="207"/>
      <c r="N5153" s="4"/>
      <c r="O5153" s="256"/>
    </row>
    <row r="5154" spans="1:15">
      <c r="A5154" s="207"/>
      <c r="B5154" s="207"/>
      <c r="N5154" s="4"/>
      <c r="O5154" s="256"/>
    </row>
    <row r="5155" spans="1:15">
      <c r="A5155" s="207"/>
      <c r="B5155" s="207"/>
      <c r="N5155" s="4"/>
      <c r="O5155" s="256"/>
    </row>
    <row r="5156" spans="1:15">
      <c r="A5156" s="207"/>
      <c r="B5156" s="207"/>
      <c r="N5156" s="4"/>
      <c r="O5156" s="256"/>
    </row>
    <row r="5157" spans="1:15">
      <c r="A5157" s="207"/>
      <c r="B5157" s="207"/>
      <c r="N5157" s="4"/>
      <c r="O5157" s="256"/>
    </row>
    <row r="5158" spans="1:15">
      <c r="A5158" s="207"/>
      <c r="B5158" s="207"/>
      <c r="N5158" s="4"/>
      <c r="O5158" s="256"/>
    </row>
    <row r="5159" spans="1:15">
      <c r="A5159" s="207"/>
      <c r="B5159" s="207"/>
      <c r="N5159" s="4"/>
      <c r="O5159" s="256"/>
    </row>
    <row r="5160" spans="1:15">
      <c r="A5160" s="207"/>
      <c r="B5160" s="207"/>
      <c r="N5160" s="4"/>
      <c r="O5160" s="256"/>
    </row>
    <row r="5161" spans="1:15">
      <c r="A5161" s="207"/>
      <c r="B5161" s="207"/>
      <c r="N5161" s="4"/>
      <c r="O5161" s="256"/>
    </row>
    <row r="5162" spans="1:15">
      <c r="A5162" s="207"/>
      <c r="B5162" s="207"/>
      <c r="N5162" s="4"/>
      <c r="O5162" s="256"/>
    </row>
    <row r="5163" spans="1:15">
      <c r="A5163" s="207"/>
      <c r="B5163" s="207"/>
      <c r="N5163" s="4"/>
      <c r="O5163" s="256"/>
    </row>
    <row r="5164" spans="1:15">
      <c r="A5164" s="207"/>
      <c r="B5164" s="207"/>
      <c r="N5164" s="4"/>
      <c r="O5164" s="256"/>
    </row>
    <row r="5165" spans="1:15">
      <c r="A5165" s="207"/>
      <c r="B5165" s="207"/>
      <c r="N5165" s="4"/>
      <c r="O5165" s="256"/>
    </row>
    <row r="5166" spans="1:15">
      <c r="A5166" s="207"/>
      <c r="B5166" s="207"/>
      <c r="N5166" s="4"/>
      <c r="O5166" s="256"/>
    </row>
    <row r="5167" spans="1:15">
      <c r="A5167" s="207"/>
      <c r="B5167" s="207"/>
      <c r="N5167" s="4"/>
      <c r="O5167" s="256"/>
    </row>
    <row r="5168" spans="1:15">
      <c r="A5168" s="207"/>
      <c r="B5168" s="207"/>
      <c r="N5168" s="4"/>
      <c r="O5168" s="256"/>
    </row>
    <row r="5169" spans="1:15">
      <c r="A5169" s="207"/>
      <c r="B5169" s="207"/>
      <c r="N5169" s="4"/>
      <c r="O5169" s="256"/>
    </row>
    <row r="5170" spans="1:15">
      <c r="A5170" s="207"/>
      <c r="B5170" s="207"/>
      <c r="N5170" s="4"/>
      <c r="O5170" s="256"/>
    </row>
    <row r="5171" spans="1:15">
      <c r="A5171" s="207"/>
      <c r="B5171" s="207"/>
      <c r="N5171" s="4"/>
      <c r="O5171" s="256"/>
    </row>
    <row r="5172" spans="1:15">
      <c r="A5172" s="207"/>
      <c r="B5172" s="207"/>
      <c r="N5172" s="4"/>
      <c r="O5172" s="256"/>
    </row>
    <row r="5173" spans="1:15">
      <c r="A5173" s="207"/>
      <c r="B5173" s="207"/>
      <c r="N5173" s="4"/>
      <c r="O5173" s="256"/>
    </row>
    <row r="5174" spans="1:15">
      <c r="A5174" s="207"/>
      <c r="B5174" s="207"/>
      <c r="N5174" s="4"/>
      <c r="O5174" s="256"/>
    </row>
    <row r="5175" spans="1:15">
      <c r="A5175" s="207"/>
      <c r="B5175" s="207"/>
      <c r="N5175" s="4"/>
      <c r="O5175" s="256"/>
    </row>
    <row r="5176" spans="1:15">
      <c r="A5176" s="207"/>
      <c r="B5176" s="207"/>
      <c r="N5176" s="4"/>
      <c r="O5176" s="256"/>
    </row>
    <row r="5177" spans="1:15">
      <c r="A5177" s="207"/>
      <c r="B5177" s="207"/>
      <c r="N5177" s="4"/>
      <c r="O5177" s="256"/>
    </row>
    <row r="5178" spans="1:15">
      <c r="A5178" s="207"/>
      <c r="B5178" s="207"/>
      <c r="N5178" s="4"/>
      <c r="O5178" s="256"/>
    </row>
    <row r="5179" spans="1:15">
      <c r="A5179" s="207"/>
      <c r="B5179" s="207"/>
      <c r="N5179" s="4"/>
      <c r="O5179" s="256"/>
    </row>
    <row r="5180" spans="1:15">
      <c r="A5180" s="207"/>
      <c r="B5180" s="207"/>
      <c r="N5180" s="4"/>
      <c r="O5180" s="256"/>
    </row>
    <row r="5181" spans="1:15">
      <c r="A5181" s="207"/>
      <c r="B5181" s="207"/>
      <c r="N5181" s="4"/>
      <c r="O5181" s="256"/>
    </row>
    <row r="5182" spans="1:15">
      <c r="A5182" s="207"/>
      <c r="B5182" s="207"/>
      <c r="N5182" s="4"/>
      <c r="O5182" s="256"/>
    </row>
    <row r="5183" spans="1:15">
      <c r="A5183" s="207"/>
      <c r="B5183" s="207"/>
      <c r="N5183" s="4"/>
      <c r="O5183" s="256"/>
    </row>
    <row r="5184" spans="1:15">
      <c r="A5184" s="207"/>
      <c r="B5184" s="207"/>
      <c r="N5184" s="4"/>
      <c r="O5184" s="256"/>
    </row>
    <row r="5185" spans="1:15">
      <c r="A5185" s="207"/>
      <c r="B5185" s="207"/>
      <c r="N5185" s="4"/>
      <c r="O5185" s="256"/>
    </row>
    <row r="5186" spans="1:15">
      <c r="A5186" s="207"/>
      <c r="B5186" s="207"/>
      <c r="N5186" s="4"/>
      <c r="O5186" s="256"/>
    </row>
    <row r="5187" spans="1:15">
      <c r="A5187" s="207"/>
      <c r="B5187" s="207"/>
      <c r="N5187" s="4"/>
      <c r="O5187" s="256"/>
    </row>
    <row r="5188" spans="1:15">
      <c r="A5188" s="207"/>
      <c r="B5188" s="207"/>
      <c r="N5188" s="4"/>
      <c r="O5188" s="256"/>
    </row>
    <row r="5189" spans="1:15">
      <c r="A5189" s="207"/>
      <c r="B5189" s="207"/>
      <c r="N5189" s="4"/>
      <c r="O5189" s="256"/>
    </row>
    <row r="5190" spans="1:15">
      <c r="A5190" s="207"/>
      <c r="B5190" s="207"/>
      <c r="N5190" s="4"/>
      <c r="O5190" s="256"/>
    </row>
    <row r="5191" spans="1:15">
      <c r="A5191" s="207"/>
      <c r="B5191" s="207"/>
      <c r="N5191" s="4"/>
      <c r="O5191" s="256"/>
    </row>
    <row r="5192" spans="1:15">
      <c r="A5192" s="207"/>
      <c r="B5192" s="207"/>
      <c r="N5192" s="4"/>
      <c r="O5192" s="256"/>
    </row>
    <row r="5193" spans="1:15">
      <c r="A5193" s="207"/>
      <c r="B5193" s="207"/>
      <c r="N5193" s="4"/>
      <c r="O5193" s="256"/>
    </row>
    <row r="5194" spans="1:15">
      <c r="A5194" s="207"/>
      <c r="B5194" s="207"/>
      <c r="N5194" s="4"/>
      <c r="O5194" s="256"/>
    </row>
    <row r="5195" spans="1:15">
      <c r="A5195" s="207"/>
      <c r="B5195" s="207"/>
      <c r="N5195" s="4"/>
      <c r="O5195" s="256"/>
    </row>
    <row r="5196" spans="1:15">
      <c r="A5196" s="207"/>
      <c r="B5196" s="207"/>
      <c r="N5196" s="4"/>
      <c r="O5196" s="256"/>
    </row>
    <row r="5197" spans="1:15">
      <c r="A5197" s="207"/>
      <c r="B5197" s="207"/>
      <c r="N5197" s="4"/>
      <c r="O5197" s="256"/>
    </row>
    <row r="5198" spans="1:15">
      <c r="A5198" s="207"/>
      <c r="B5198" s="207"/>
      <c r="N5198" s="4"/>
      <c r="O5198" s="256"/>
    </row>
    <row r="5199" spans="1:15">
      <c r="A5199" s="207"/>
      <c r="B5199" s="207"/>
      <c r="N5199" s="4"/>
      <c r="O5199" s="256"/>
    </row>
    <row r="5200" spans="1:15">
      <c r="A5200" s="207"/>
      <c r="B5200" s="207"/>
      <c r="N5200" s="4"/>
      <c r="O5200" s="256"/>
    </row>
    <row r="5201" spans="1:15">
      <c r="A5201" s="207"/>
      <c r="B5201" s="207"/>
      <c r="N5201" s="4"/>
      <c r="O5201" s="256"/>
    </row>
    <row r="5202" spans="1:15">
      <c r="A5202" s="207"/>
      <c r="B5202" s="207"/>
      <c r="N5202" s="4"/>
      <c r="O5202" s="256"/>
    </row>
    <row r="5203" spans="1:15">
      <c r="A5203" s="207"/>
      <c r="B5203" s="207"/>
      <c r="N5203" s="4"/>
      <c r="O5203" s="256"/>
    </row>
    <row r="5204" spans="1:15">
      <c r="A5204" s="207"/>
      <c r="B5204" s="207"/>
      <c r="N5204" s="4"/>
      <c r="O5204" s="256"/>
    </row>
    <row r="5205" spans="1:15">
      <c r="A5205" s="207"/>
      <c r="B5205" s="207"/>
      <c r="N5205" s="4"/>
      <c r="O5205" s="256"/>
    </row>
    <row r="5206" spans="1:15">
      <c r="A5206" s="207"/>
      <c r="B5206" s="207"/>
      <c r="N5206" s="4"/>
      <c r="O5206" s="256"/>
    </row>
    <row r="5207" spans="1:15">
      <c r="A5207" s="207"/>
      <c r="B5207" s="207"/>
      <c r="N5207" s="4"/>
      <c r="O5207" s="256"/>
    </row>
    <row r="5208" spans="1:15">
      <c r="A5208" s="207"/>
      <c r="B5208" s="207"/>
      <c r="N5208" s="4"/>
      <c r="O5208" s="256"/>
    </row>
    <row r="5209" spans="1:15">
      <c r="A5209" s="207"/>
      <c r="B5209" s="207"/>
      <c r="N5209" s="4"/>
      <c r="O5209" s="256"/>
    </row>
    <row r="5210" spans="1:15">
      <c r="A5210" s="207"/>
      <c r="B5210" s="207"/>
      <c r="N5210" s="4"/>
      <c r="O5210" s="256"/>
    </row>
    <row r="5211" spans="1:15">
      <c r="A5211" s="207"/>
      <c r="B5211" s="207"/>
      <c r="N5211" s="4"/>
      <c r="O5211" s="256"/>
    </row>
    <row r="5212" spans="1:15">
      <c r="A5212" s="207"/>
      <c r="B5212" s="207"/>
      <c r="N5212" s="4"/>
      <c r="O5212" s="256"/>
    </row>
    <row r="5213" spans="1:15">
      <c r="A5213" s="207"/>
      <c r="B5213" s="207"/>
      <c r="N5213" s="4"/>
      <c r="O5213" s="256"/>
    </row>
    <row r="5214" spans="1:15">
      <c r="A5214" s="207"/>
      <c r="B5214" s="207"/>
      <c r="N5214" s="4"/>
      <c r="O5214" s="256"/>
    </row>
    <row r="5215" spans="1:15">
      <c r="A5215" s="207"/>
      <c r="B5215" s="207"/>
      <c r="N5215" s="4"/>
      <c r="O5215" s="256"/>
    </row>
    <row r="5216" spans="1:15">
      <c r="A5216" s="207"/>
      <c r="B5216" s="207"/>
      <c r="N5216" s="4"/>
      <c r="O5216" s="256"/>
    </row>
    <row r="5217" spans="1:15">
      <c r="A5217" s="207"/>
      <c r="B5217" s="207"/>
      <c r="N5217" s="4"/>
      <c r="O5217" s="256"/>
    </row>
    <row r="5218" spans="1:15">
      <c r="A5218" s="207"/>
      <c r="B5218" s="207"/>
      <c r="N5218" s="4"/>
      <c r="O5218" s="256"/>
    </row>
    <row r="5219" spans="1:15">
      <c r="A5219" s="207"/>
      <c r="B5219" s="207"/>
      <c r="N5219" s="4"/>
      <c r="O5219" s="256"/>
    </row>
    <row r="5220" spans="1:15">
      <c r="A5220" s="207"/>
      <c r="B5220" s="207"/>
      <c r="N5220" s="4"/>
      <c r="O5220" s="256"/>
    </row>
    <row r="5221" spans="1:15">
      <c r="A5221" s="207"/>
      <c r="B5221" s="207"/>
      <c r="N5221" s="4"/>
      <c r="O5221" s="256"/>
    </row>
    <row r="5222" spans="1:15">
      <c r="A5222" s="207"/>
      <c r="B5222" s="207"/>
      <c r="N5222" s="4"/>
      <c r="O5222" s="256"/>
    </row>
    <row r="5223" spans="1:15">
      <c r="A5223" s="207"/>
      <c r="B5223" s="207"/>
      <c r="N5223" s="4"/>
      <c r="O5223" s="256"/>
    </row>
    <row r="5224" spans="1:15">
      <c r="A5224" s="207"/>
      <c r="B5224" s="207"/>
      <c r="N5224" s="4"/>
      <c r="O5224" s="256"/>
    </row>
    <row r="5225" spans="1:15">
      <c r="A5225" s="207"/>
      <c r="B5225" s="207"/>
      <c r="N5225" s="4"/>
      <c r="O5225" s="256"/>
    </row>
    <row r="5226" spans="1:15">
      <c r="A5226" s="207"/>
      <c r="B5226" s="207"/>
      <c r="N5226" s="4"/>
      <c r="O5226" s="256"/>
    </row>
    <row r="5227" spans="1:15">
      <c r="A5227" s="207"/>
      <c r="B5227" s="207"/>
      <c r="N5227" s="4"/>
      <c r="O5227" s="256"/>
    </row>
    <row r="5228" spans="1:15">
      <c r="A5228" s="207"/>
      <c r="B5228" s="207"/>
      <c r="N5228" s="4"/>
      <c r="O5228" s="256"/>
    </row>
    <row r="5229" spans="1:15">
      <c r="A5229" s="207"/>
      <c r="B5229" s="207"/>
      <c r="N5229" s="4"/>
      <c r="O5229" s="256"/>
    </row>
    <row r="5230" spans="1:15">
      <c r="A5230" s="207"/>
      <c r="B5230" s="207"/>
      <c r="N5230" s="4"/>
      <c r="O5230" s="256"/>
    </row>
    <row r="5231" spans="1:15">
      <c r="A5231" s="207"/>
      <c r="B5231" s="207"/>
      <c r="N5231" s="4"/>
      <c r="O5231" s="256"/>
    </row>
    <row r="5232" spans="1:15">
      <c r="A5232" s="207"/>
      <c r="B5232" s="207"/>
      <c r="N5232" s="4"/>
      <c r="O5232" s="256"/>
    </row>
    <row r="5233" spans="1:15">
      <c r="A5233" s="207"/>
      <c r="B5233" s="207"/>
      <c r="N5233" s="4"/>
      <c r="O5233" s="256"/>
    </row>
    <row r="5234" spans="1:15">
      <c r="A5234" s="207"/>
      <c r="B5234" s="207"/>
      <c r="N5234" s="4"/>
      <c r="O5234" s="256"/>
    </row>
    <row r="5235" spans="1:15">
      <c r="A5235" s="207"/>
      <c r="B5235" s="207"/>
      <c r="N5235" s="4"/>
      <c r="O5235" s="256"/>
    </row>
    <row r="5236" spans="1:15">
      <c r="A5236" s="207"/>
      <c r="B5236" s="207"/>
      <c r="N5236" s="4"/>
      <c r="O5236" s="256"/>
    </row>
    <row r="5237" spans="1:15">
      <c r="A5237" s="207"/>
      <c r="B5237" s="207"/>
      <c r="N5237" s="4"/>
      <c r="O5237" s="256"/>
    </row>
    <row r="5238" spans="1:15">
      <c r="A5238" s="207"/>
      <c r="B5238" s="207"/>
      <c r="N5238" s="4"/>
      <c r="O5238" s="256"/>
    </row>
    <row r="5239" spans="1:15">
      <c r="A5239" s="207"/>
      <c r="B5239" s="207"/>
      <c r="N5239" s="4"/>
      <c r="O5239" s="256"/>
    </row>
    <row r="5240" spans="1:15">
      <c r="A5240" s="207"/>
      <c r="B5240" s="207"/>
      <c r="N5240" s="4"/>
      <c r="O5240" s="256"/>
    </row>
    <row r="5241" spans="1:15">
      <c r="A5241" s="207"/>
      <c r="B5241" s="207"/>
      <c r="N5241" s="4"/>
      <c r="O5241" s="256"/>
    </row>
    <row r="5242" spans="1:15">
      <c r="A5242" s="207"/>
      <c r="B5242" s="207"/>
      <c r="N5242" s="4"/>
      <c r="O5242" s="256"/>
    </row>
    <row r="5243" spans="1:15">
      <c r="A5243" s="207"/>
      <c r="B5243" s="207"/>
      <c r="N5243" s="4"/>
      <c r="O5243" s="256"/>
    </row>
    <row r="5244" spans="1:15">
      <c r="A5244" s="207"/>
      <c r="B5244" s="207"/>
      <c r="N5244" s="4"/>
      <c r="O5244" s="256"/>
    </row>
    <row r="5245" spans="1:15">
      <c r="A5245" s="207"/>
      <c r="B5245" s="207"/>
      <c r="N5245" s="4"/>
      <c r="O5245" s="256"/>
    </row>
    <row r="5246" spans="1:15">
      <c r="A5246" s="207"/>
      <c r="B5246" s="207"/>
      <c r="N5246" s="4"/>
      <c r="O5246" s="256"/>
    </row>
    <row r="5247" spans="1:15">
      <c r="A5247" s="207"/>
      <c r="B5247" s="207"/>
      <c r="N5247" s="4"/>
      <c r="O5247" s="256"/>
    </row>
    <row r="5248" spans="1:15">
      <c r="A5248" s="207"/>
      <c r="B5248" s="207"/>
      <c r="N5248" s="4"/>
      <c r="O5248" s="256"/>
    </row>
    <row r="5249" spans="1:15">
      <c r="A5249" s="207"/>
      <c r="B5249" s="207"/>
      <c r="N5249" s="4"/>
      <c r="O5249" s="256"/>
    </row>
    <row r="5250" spans="1:15">
      <c r="A5250" s="207"/>
      <c r="B5250" s="207"/>
      <c r="N5250" s="4"/>
      <c r="O5250" s="256"/>
    </row>
    <row r="5251" spans="1:15">
      <c r="A5251" s="207"/>
      <c r="B5251" s="207"/>
      <c r="N5251" s="4"/>
      <c r="O5251" s="256"/>
    </row>
    <row r="5252" spans="1:15">
      <c r="A5252" s="207"/>
      <c r="B5252" s="207"/>
      <c r="N5252" s="4"/>
      <c r="O5252" s="256"/>
    </row>
    <row r="5253" spans="1:15">
      <c r="A5253" s="207"/>
      <c r="B5253" s="207"/>
      <c r="N5253" s="4"/>
      <c r="O5253" s="256"/>
    </row>
    <row r="5254" spans="1:15">
      <c r="A5254" s="207"/>
      <c r="B5254" s="207"/>
      <c r="N5254" s="4"/>
      <c r="O5254" s="256"/>
    </row>
    <row r="5255" spans="1:15">
      <c r="A5255" s="207"/>
      <c r="B5255" s="207"/>
      <c r="N5255" s="4"/>
      <c r="O5255" s="256"/>
    </row>
    <row r="5256" spans="1:15">
      <c r="A5256" s="207"/>
      <c r="B5256" s="207"/>
      <c r="N5256" s="4"/>
      <c r="O5256" s="256"/>
    </row>
    <row r="5257" spans="1:15">
      <c r="A5257" s="207"/>
      <c r="B5257" s="207"/>
      <c r="N5257" s="4"/>
      <c r="O5257" s="256"/>
    </row>
    <row r="5258" spans="1:15">
      <c r="A5258" s="207"/>
      <c r="B5258" s="207"/>
      <c r="N5258" s="4"/>
      <c r="O5258" s="256"/>
    </row>
    <row r="5259" spans="1:15">
      <c r="A5259" s="207"/>
      <c r="B5259" s="207"/>
      <c r="N5259" s="4"/>
      <c r="O5259" s="256"/>
    </row>
    <row r="5260" spans="1:15">
      <c r="A5260" s="207"/>
      <c r="B5260" s="207"/>
      <c r="N5260" s="4"/>
      <c r="O5260" s="256"/>
    </row>
    <row r="5261" spans="1:15">
      <c r="A5261" s="207"/>
      <c r="B5261" s="207"/>
      <c r="N5261" s="4"/>
      <c r="O5261" s="256"/>
    </row>
    <row r="5262" spans="1:15">
      <c r="A5262" s="207"/>
      <c r="B5262" s="207"/>
      <c r="N5262" s="4"/>
      <c r="O5262" s="256"/>
    </row>
    <row r="5263" spans="1:15">
      <c r="A5263" s="207"/>
      <c r="B5263" s="207"/>
      <c r="N5263" s="4"/>
      <c r="O5263" s="256"/>
    </row>
    <row r="5264" spans="1:15">
      <c r="A5264" s="207"/>
      <c r="B5264" s="207"/>
      <c r="N5264" s="4"/>
      <c r="O5264" s="256"/>
    </row>
    <row r="5265" spans="1:15">
      <c r="A5265" s="207"/>
      <c r="B5265" s="207"/>
      <c r="N5265" s="4"/>
      <c r="O5265" s="256"/>
    </row>
    <row r="5266" spans="1:15">
      <c r="A5266" s="207"/>
      <c r="B5266" s="207"/>
      <c r="N5266" s="4"/>
      <c r="O5266" s="256"/>
    </row>
    <row r="5267" spans="1:15">
      <c r="A5267" s="207"/>
      <c r="B5267" s="207"/>
      <c r="N5267" s="4"/>
      <c r="O5267" s="256"/>
    </row>
    <row r="5268" spans="1:15">
      <c r="A5268" s="207"/>
      <c r="B5268" s="207"/>
      <c r="N5268" s="4"/>
      <c r="O5268" s="256"/>
    </row>
    <row r="5269" spans="1:15">
      <c r="A5269" s="207"/>
      <c r="B5269" s="207"/>
      <c r="N5269" s="4"/>
      <c r="O5269" s="256"/>
    </row>
    <row r="5270" spans="1:15">
      <c r="A5270" s="207"/>
      <c r="B5270" s="207"/>
      <c r="N5270" s="4"/>
      <c r="O5270" s="256"/>
    </row>
    <row r="5271" spans="1:15">
      <c r="A5271" s="207"/>
      <c r="B5271" s="207"/>
      <c r="N5271" s="4"/>
      <c r="O5271" s="256"/>
    </row>
    <row r="5272" spans="1:15">
      <c r="A5272" s="207"/>
      <c r="B5272" s="207"/>
      <c r="N5272" s="4"/>
      <c r="O5272" s="256"/>
    </row>
    <row r="5273" spans="1:15">
      <c r="A5273" s="207"/>
      <c r="B5273" s="207"/>
      <c r="N5273" s="4"/>
      <c r="O5273" s="256"/>
    </row>
    <row r="5274" spans="1:15">
      <c r="A5274" s="207"/>
      <c r="B5274" s="207"/>
      <c r="N5274" s="4"/>
      <c r="O5274" s="256"/>
    </row>
    <row r="5275" spans="1:15">
      <c r="A5275" s="207"/>
      <c r="B5275" s="207"/>
      <c r="N5275" s="4"/>
      <c r="O5275" s="256"/>
    </row>
    <row r="5276" spans="1:15">
      <c r="A5276" s="207"/>
      <c r="B5276" s="207"/>
      <c r="N5276" s="4"/>
      <c r="O5276" s="256"/>
    </row>
    <row r="5277" spans="1:15">
      <c r="A5277" s="207"/>
      <c r="B5277" s="207"/>
      <c r="N5277" s="4"/>
      <c r="O5277" s="256"/>
    </row>
    <row r="5278" spans="1:15">
      <c r="A5278" s="207"/>
      <c r="B5278" s="207"/>
      <c r="N5278" s="4"/>
      <c r="O5278" s="256"/>
    </row>
    <row r="5279" spans="1:15">
      <c r="A5279" s="207"/>
      <c r="B5279" s="207"/>
      <c r="N5279" s="4"/>
      <c r="O5279" s="256"/>
    </row>
    <row r="5280" spans="1:15">
      <c r="A5280" s="207"/>
      <c r="B5280" s="207"/>
      <c r="N5280" s="4"/>
      <c r="O5280" s="256"/>
    </row>
    <row r="5281" spans="1:15">
      <c r="A5281" s="207"/>
      <c r="B5281" s="207"/>
      <c r="N5281" s="4"/>
      <c r="O5281" s="256"/>
    </row>
    <row r="5282" spans="1:15">
      <c r="A5282" s="207"/>
      <c r="B5282" s="207"/>
      <c r="N5282" s="4"/>
      <c r="O5282" s="256"/>
    </row>
    <row r="5283" spans="1:15">
      <c r="A5283" s="207"/>
      <c r="B5283" s="207"/>
      <c r="N5283" s="4"/>
      <c r="O5283" s="256"/>
    </row>
    <row r="5284" spans="1:15">
      <c r="A5284" s="207"/>
      <c r="B5284" s="207"/>
      <c r="N5284" s="4"/>
      <c r="O5284" s="256"/>
    </row>
    <row r="5285" spans="1:15">
      <c r="A5285" s="207"/>
      <c r="B5285" s="207"/>
      <c r="N5285" s="4"/>
      <c r="O5285" s="256"/>
    </row>
    <row r="5286" spans="1:15">
      <c r="A5286" s="207"/>
      <c r="B5286" s="207"/>
      <c r="N5286" s="4"/>
      <c r="O5286" s="256"/>
    </row>
    <row r="5287" spans="1:15">
      <c r="A5287" s="207"/>
      <c r="B5287" s="207"/>
      <c r="N5287" s="4"/>
      <c r="O5287" s="256"/>
    </row>
    <row r="5288" spans="1:15">
      <c r="A5288" s="207"/>
      <c r="B5288" s="207"/>
      <c r="N5288" s="4"/>
      <c r="O5288" s="256"/>
    </row>
    <row r="5289" spans="1:15">
      <c r="A5289" s="207"/>
      <c r="B5289" s="207"/>
      <c r="N5289" s="4"/>
      <c r="O5289" s="256"/>
    </row>
    <row r="5290" spans="1:15">
      <c r="A5290" s="207"/>
      <c r="B5290" s="207"/>
      <c r="N5290" s="4"/>
      <c r="O5290" s="256"/>
    </row>
    <row r="5291" spans="1:15">
      <c r="A5291" s="207"/>
      <c r="B5291" s="207"/>
      <c r="N5291" s="4"/>
      <c r="O5291" s="256"/>
    </row>
    <row r="5292" spans="1:15">
      <c r="A5292" s="207"/>
      <c r="B5292" s="207"/>
      <c r="N5292" s="4"/>
      <c r="O5292" s="256"/>
    </row>
    <row r="5293" spans="1:15">
      <c r="A5293" s="207"/>
      <c r="B5293" s="207"/>
      <c r="N5293" s="4"/>
      <c r="O5293" s="256"/>
    </row>
    <row r="5294" spans="1:15">
      <c r="A5294" s="207"/>
      <c r="B5294" s="207"/>
      <c r="N5294" s="4"/>
      <c r="O5294" s="256"/>
    </row>
    <row r="5295" spans="1:15">
      <c r="A5295" s="207"/>
      <c r="B5295" s="207"/>
      <c r="N5295" s="4"/>
      <c r="O5295" s="256"/>
    </row>
    <row r="5296" spans="1:15">
      <c r="A5296" s="207"/>
      <c r="B5296" s="207"/>
      <c r="N5296" s="4"/>
      <c r="O5296" s="256"/>
    </row>
    <row r="5297" spans="1:15">
      <c r="A5297" s="207"/>
      <c r="B5297" s="207"/>
      <c r="N5297" s="4"/>
      <c r="O5297" s="256"/>
    </row>
    <row r="5298" spans="1:15">
      <c r="A5298" s="207"/>
      <c r="B5298" s="207"/>
      <c r="N5298" s="4"/>
      <c r="O5298" s="256"/>
    </row>
    <row r="5299" spans="1:15">
      <c r="A5299" s="207"/>
      <c r="B5299" s="207"/>
      <c r="N5299" s="4"/>
      <c r="O5299" s="256"/>
    </row>
    <row r="5300" spans="1:15">
      <c r="A5300" s="207"/>
      <c r="B5300" s="207"/>
      <c r="N5300" s="4"/>
      <c r="O5300" s="256"/>
    </row>
    <row r="5301" spans="1:15">
      <c r="A5301" s="207"/>
      <c r="B5301" s="207"/>
      <c r="N5301" s="4"/>
      <c r="O5301" s="256"/>
    </row>
    <row r="5302" spans="1:15">
      <c r="A5302" s="207"/>
      <c r="B5302" s="207"/>
      <c r="N5302" s="4"/>
      <c r="O5302" s="256"/>
    </row>
    <row r="5303" spans="1:15">
      <c r="A5303" s="207"/>
      <c r="B5303" s="207"/>
      <c r="N5303" s="4"/>
      <c r="O5303" s="256"/>
    </row>
    <row r="5304" spans="1:15">
      <c r="A5304" s="207"/>
      <c r="B5304" s="207"/>
      <c r="N5304" s="4"/>
      <c r="O5304" s="256"/>
    </row>
    <row r="5305" spans="1:15">
      <c r="A5305" s="207"/>
      <c r="B5305" s="207"/>
      <c r="N5305" s="4"/>
      <c r="O5305" s="256"/>
    </row>
    <row r="5306" spans="1:15">
      <c r="A5306" s="207"/>
      <c r="B5306" s="207"/>
      <c r="N5306" s="4"/>
      <c r="O5306" s="256"/>
    </row>
    <row r="5307" spans="1:15">
      <c r="A5307" s="207"/>
      <c r="B5307" s="207"/>
      <c r="N5307" s="4"/>
      <c r="O5307" s="256"/>
    </row>
    <row r="5308" spans="1:15">
      <c r="A5308" s="207"/>
      <c r="B5308" s="207"/>
      <c r="N5308" s="4"/>
      <c r="O5308" s="256"/>
    </row>
    <row r="5309" spans="1:15">
      <c r="A5309" s="207"/>
      <c r="B5309" s="207"/>
      <c r="N5309" s="4"/>
      <c r="O5309" s="256"/>
    </row>
    <row r="5310" spans="1:15">
      <c r="A5310" s="207"/>
      <c r="B5310" s="207"/>
      <c r="N5310" s="4"/>
      <c r="O5310" s="256"/>
    </row>
    <row r="5311" spans="1:15">
      <c r="A5311" s="207"/>
      <c r="B5311" s="207"/>
      <c r="N5311" s="4"/>
      <c r="O5311" s="256"/>
    </row>
    <row r="5312" spans="1:15">
      <c r="A5312" s="207"/>
      <c r="B5312" s="207"/>
      <c r="N5312" s="4"/>
      <c r="O5312" s="256"/>
    </row>
    <row r="5313" spans="1:15">
      <c r="A5313" s="207"/>
      <c r="B5313" s="207"/>
      <c r="N5313" s="4"/>
      <c r="O5313" s="256"/>
    </row>
    <row r="5314" spans="1:15">
      <c r="A5314" s="207"/>
      <c r="B5314" s="207"/>
      <c r="N5314" s="4"/>
      <c r="O5314" s="256"/>
    </row>
    <row r="5315" spans="1:15">
      <c r="A5315" s="207"/>
      <c r="B5315" s="207"/>
      <c r="N5315" s="4"/>
      <c r="O5315" s="256"/>
    </row>
    <row r="5316" spans="1:15">
      <c r="A5316" s="207"/>
      <c r="B5316" s="207"/>
      <c r="N5316" s="4"/>
      <c r="O5316" s="256"/>
    </row>
    <row r="5317" spans="1:15">
      <c r="A5317" s="207"/>
      <c r="B5317" s="207"/>
      <c r="N5317" s="4"/>
      <c r="O5317" s="256"/>
    </row>
    <row r="5318" spans="1:15">
      <c r="A5318" s="207"/>
      <c r="B5318" s="207"/>
      <c r="N5318" s="4"/>
      <c r="O5318" s="256"/>
    </row>
    <row r="5319" spans="1:15">
      <c r="A5319" s="207"/>
      <c r="B5319" s="207"/>
      <c r="N5319" s="4"/>
      <c r="O5319" s="256"/>
    </row>
    <row r="5320" spans="1:15">
      <c r="A5320" s="207"/>
      <c r="B5320" s="207"/>
      <c r="N5320" s="4"/>
      <c r="O5320" s="256"/>
    </row>
    <row r="5321" spans="1:15">
      <c r="A5321" s="207"/>
      <c r="B5321" s="207"/>
      <c r="N5321" s="4"/>
      <c r="O5321" s="256"/>
    </row>
    <row r="5322" spans="1:15">
      <c r="A5322" s="207"/>
      <c r="B5322" s="207"/>
      <c r="N5322" s="4"/>
      <c r="O5322" s="256"/>
    </row>
    <row r="5323" spans="1:15">
      <c r="A5323" s="207"/>
      <c r="B5323" s="207"/>
      <c r="N5323" s="4"/>
      <c r="O5323" s="256"/>
    </row>
    <row r="5324" spans="1:15">
      <c r="A5324" s="207"/>
      <c r="B5324" s="207"/>
      <c r="N5324" s="4"/>
      <c r="O5324" s="256"/>
    </row>
    <row r="5325" spans="1:15">
      <c r="A5325" s="207"/>
      <c r="B5325" s="207"/>
      <c r="N5325" s="4"/>
      <c r="O5325" s="256"/>
    </row>
    <row r="5326" spans="1:15">
      <c r="A5326" s="207"/>
      <c r="B5326" s="207"/>
      <c r="N5326" s="4"/>
      <c r="O5326" s="256"/>
    </row>
    <row r="5327" spans="1:15">
      <c r="A5327" s="207"/>
      <c r="B5327" s="207"/>
      <c r="N5327" s="4"/>
      <c r="O5327" s="256"/>
    </row>
    <row r="5328" spans="1:15">
      <c r="A5328" s="207"/>
      <c r="B5328" s="207"/>
      <c r="N5328" s="4"/>
      <c r="O5328" s="256"/>
    </row>
    <row r="5329" spans="1:15">
      <c r="A5329" s="207"/>
      <c r="B5329" s="207"/>
      <c r="N5329" s="4"/>
      <c r="O5329" s="256"/>
    </row>
    <row r="5330" spans="1:15">
      <c r="A5330" s="207"/>
      <c r="B5330" s="207"/>
      <c r="N5330" s="4"/>
      <c r="O5330" s="256"/>
    </row>
    <row r="5331" spans="1:15">
      <c r="A5331" s="207"/>
      <c r="B5331" s="207"/>
      <c r="N5331" s="4"/>
      <c r="O5331" s="256"/>
    </row>
    <row r="5332" spans="1:15">
      <c r="A5332" s="207"/>
      <c r="B5332" s="207"/>
      <c r="N5332" s="4"/>
      <c r="O5332" s="256"/>
    </row>
    <row r="5333" spans="1:15">
      <c r="A5333" s="207"/>
      <c r="B5333" s="207"/>
      <c r="N5333" s="4"/>
      <c r="O5333" s="256"/>
    </row>
    <row r="5334" spans="1:15">
      <c r="A5334" s="207"/>
      <c r="B5334" s="207"/>
      <c r="N5334" s="4"/>
      <c r="O5334" s="256"/>
    </row>
    <row r="5335" spans="1:15">
      <c r="A5335" s="207"/>
      <c r="B5335" s="207"/>
      <c r="N5335" s="4"/>
      <c r="O5335" s="256"/>
    </row>
    <row r="5336" spans="1:15">
      <c r="A5336" s="207"/>
      <c r="B5336" s="207"/>
      <c r="N5336" s="4"/>
      <c r="O5336" s="256"/>
    </row>
    <row r="5337" spans="1:15">
      <c r="A5337" s="207"/>
      <c r="B5337" s="207"/>
      <c r="N5337" s="4"/>
      <c r="O5337" s="256"/>
    </row>
    <row r="5338" spans="1:15">
      <c r="A5338" s="207"/>
      <c r="B5338" s="207"/>
      <c r="N5338" s="4"/>
      <c r="O5338" s="256"/>
    </row>
    <row r="5339" spans="1:15">
      <c r="A5339" s="207"/>
      <c r="B5339" s="207"/>
      <c r="N5339" s="4"/>
      <c r="O5339" s="256"/>
    </row>
    <row r="5340" spans="1:15">
      <c r="A5340" s="207"/>
      <c r="B5340" s="207"/>
      <c r="N5340" s="4"/>
      <c r="O5340" s="256"/>
    </row>
    <row r="5341" spans="1:15">
      <c r="A5341" s="207"/>
      <c r="B5341" s="207"/>
      <c r="N5341" s="4"/>
      <c r="O5341" s="256"/>
    </row>
    <row r="5342" spans="1:15">
      <c r="A5342" s="207"/>
      <c r="B5342" s="207"/>
      <c r="N5342" s="4"/>
      <c r="O5342" s="256"/>
    </row>
    <row r="5343" spans="1:15">
      <c r="A5343" s="207"/>
      <c r="B5343" s="207"/>
      <c r="N5343" s="4"/>
      <c r="O5343" s="256"/>
    </row>
    <row r="5344" spans="1:15">
      <c r="A5344" s="207"/>
      <c r="B5344" s="207"/>
      <c r="N5344" s="4"/>
      <c r="O5344" s="256"/>
    </row>
    <row r="5345" spans="1:15">
      <c r="A5345" s="207"/>
      <c r="B5345" s="207"/>
      <c r="N5345" s="4"/>
      <c r="O5345" s="256"/>
    </row>
    <row r="5346" spans="1:15">
      <c r="A5346" s="207"/>
      <c r="B5346" s="207"/>
      <c r="N5346" s="4"/>
      <c r="O5346" s="256"/>
    </row>
    <row r="5347" spans="1:15">
      <c r="A5347" s="207"/>
      <c r="B5347" s="207"/>
      <c r="N5347" s="4"/>
      <c r="O5347" s="256"/>
    </row>
    <row r="5348" spans="1:15">
      <c r="A5348" s="207"/>
      <c r="B5348" s="207"/>
      <c r="N5348" s="4"/>
      <c r="O5348" s="256"/>
    </row>
    <row r="5349" spans="1:15">
      <c r="A5349" s="207"/>
      <c r="B5349" s="207"/>
      <c r="N5349" s="4"/>
      <c r="O5349" s="256"/>
    </row>
    <row r="5350" spans="1:15">
      <c r="A5350" s="207"/>
      <c r="B5350" s="207"/>
      <c r="N5350" s="4"/>
      <c r="O5350" s="256"/>
    </row>
    <row r="5351" spans="1:15">
      <c r="A5351" s="207"/>
      <c r="B5351" s="207"/>
      <c r="N5351" s="4"/>
      <c r="O5351" s="256"/>
    </row>
    <row r="5352" spans="1:15">
      <c r="A5352" s="207"/>
      <c r="B5352" s="207"/>
      <c r="N5352" s="4"/>
      <c r="O5352" s="256"/>
    </row>
    <row r="5353" spans="1:15">
      <c r="A5353" s="207"/>
      <c r="B5353" s="207"/>
      <c r="N5353" s="4"/>
      <c r="O5353" s="256"/>
    </row>
    <row r="5354" spans="1:15">
      <c r="A5354" s="207"/>
      <c r="B5354" s="207"/>
      <c r="N5354" s="4"/>
      <c r="O5354" s="256"/>
    </row>
    <row r="5355" spans="1:15">
      <c r="A5355" s="207"/>
      <c r="B5355" s="207"/>
      <c r="N5355" s="4"/>
      <c r="O5355" s="256"/>
    </row>
    <row r="5356" spans="1:15">
      <c r="A5356" s="207"/>
      <c r="B5356" s="207"/>
      <c r="N5356" s="4"/>
      <c r="O5356" s="256"/>
    </row>
    <row r="5357" spans="1:15">
      <c r="A5357" s="207"/>
      <c r="B5357" s="207"/>
      <c r="N5357" s="4"/>
      <c r="O5357" s="256"/>
    </row>
    <row r="5358" spans="1:15">
      <c r="A5358" s="207"/>
      <c r="B5358" s="207"/>
      <c r="N5358" s="4"/>
      <c r="O5358" s="256"/>
    </row>
    <row r="5359" spans="1:15">
      <c r="A5359" s="207"/>
      <c r="B5359" s="207"/>
      <c r="N5359" s="4"/>
      <c r="O5359" s="256"/>
    </row>
    <row r="5360" spans="1:15">
      <c r="A5360" s="207"/>
      <c r="B5360" s="207"/>
      <c r="N5360" s="4"/>
      <c r="O5360" s="256"/>
    </row>
    <row r="5361" spans="1:15">
      <c r="A5361" s="207"/>
      <c r="B5361" s="207"/>
      <c r="N5361" s="4"/>
      <c r="O5361" s="256"/>
    </row>
    <row r="5362" spans="1:15">
      <c r="A5362" s="207"/>
      <c r="B5362" s="207"/>
      <c r="N5362" s="4"/>
      <c r="O5362" s="256"/>
    </row>
    <row r="5363" spans="1:15">
      <c r="A5363" s="207"/>
      <c r="B5363" s="207"/>
      <c r="N5363" s="4"/>
      <c r="O5363" s="256"/>
    </row>
    <row r="5364" spans="1:15">
      <c r="A5364" s="207"/>
      <c r="B5364" s="207"/>
      <c r="N5364" s="4"/>
      <c r="O5364" s="256"/>
    </row>
    <row r="5365" spans="1:15">
      <c r="A5365" s="207"/>
      <c r="B5365" s="207"/>
      <c r="N5365" s="4"/>
      <c r="O5365" s="256"/>
    </row>
    <row r="5366" spans="1:15">
      <c r="A5366" s="207"/>
      <c r="B5366" s="207"/>
      <c r="N5366" s="4"/>
      <c r="O5366" s="256"/>
    </row>
    <row r="5367" spans="1:15">
      <c r="A5367" s="207"/>
      <c r="B5367" s="207"/>
      <c r="N5367" s="4"/>
      <c r="O5367" s="256"/>
    </row>
    <row r="5368" spans="1:15">
      <c r="A5368" s="207"/>
      <c r="B5368" s="207"/>
      <c r="N5368" s="4"/>
      <c r="O5368" s="256"/>
    </row>
    <row r="5369" spans="1:15">
      <c r="A5369" s="207"/>
      <c r="B5369" s="207"/>
      <c r="N5369" s="4"/>
      <c r="O5369" s="256"/>
    </row>
    <row r="5370" spans="1:15">
      <c r="A5370" s="207"/>
      <c r="B5370" s="207"/>
      <c r="N5370" s="4"/>
      <c r="O5370" s="256"/>
    </row>
    <row r="5371" spans="1:15">
      <c r="A5371" s="207"/>
      <c r="B5371" s="207"/>
      <c r="N5371" s="4"/>
      <c r="O5371" s="256"/>
    </row>
    <row r="5372" spans="1:15">
      <c r="A5372" s="207"/>
      <c r="B5372" s="207"/>
      <c r="N5372" s="4"/>
      <c r="O5372" s="256"/>
    </row>
    <row r="5373" spans="1:15">
      <c r="A5373" s="207"/>
      <c r="B5373" s="207"/>
      <c r="N5373" s="4"/>
      <c r="O5373" s="256"/>
    </row>
    <row r="5374" spans="1:15">
      <c r="A5374" s="207"/>
      <c r="B5374" s="207"/>
      <c r="N5374" s="4"/>
      <c r="O5374" s="256"/>
    </row>
    <row r="5375" spans="1:15">
      <c r="A5375" s="207"/>
      <c r="B5375" s="207"/>
      <c r="N5375" s="4"/>
      <c r="O5375" s="256"/>
    </row>
    <row r="5376" spans="1:15">
      <c r="A5376" s="207"/>
      <c r="B5376" s="207"/>
      <c r="N5376" s="4"/>
      <c r="O5376" s="256"/>
    </row>
    <row r="5377" spans="1:15">
      <c r="A5377" s="207"/>
      <c r="B5377" s="207"/>
      <c r="N5377" s="4"/>
      <c r="O5377" s="256"/>
    </row>
    <row r="5378" spans="1:15">
      <c r="A5378" s="207"/>
      <c r="B5378" s="207"/>
      <c r="N5378" s="4"/>
      <c r="O5378" s="256"/>
    </row>
    <row r="5379" spans="1:15">
      <c r="A5379" s="207"/>
      <c r="B5379" s="207"/>
      <c r="N5379" s="4"/>
      <c r="O5379" s="256"/>
    </row>
    <row r="5380" spans="1:15">
      <c r="A5380" s="207"/>
      <c r="B5380" s="207"/>
      <c r="N5380" s="4"/>
      <c r="O5380" s="256"/>
    </row>
    <row r="5381" spans="1:15">
      <c r="A5381" s="207"/>
      <c r="B5381" s="207"/>
      <c r="N5381" s="4"/>
      <c r="O5381" s="256"/>
    </row>
    <row r="5382" spans="1:15">
      <c r="A5382" s="207"/>
      <c r="B5382" s="207"/>
      <c r="N5382" s="4"/>
      <c r="O5382" s="256"/>
    </row>
    <row r="5383" spans="1:15">
      <c r="A5383" s="207"/>
      <c r="B5383" s="207"/>
      <c r="N5383" s="4"/>
      <c r="O5383" s="256"/>
    </row>
    <row r="5384" spans="1:15">
      <c r="A5384" s="207"/>
      <c r="B5384" s="207"/>
      <c r="N5384" s="4"/>
      <c r="O5384" s="256"/>
    </row>
    <row r="5385" spans="1:15">
      <c r="A5385" s="207"/>
      <c r="B5385" s="207"/>
      <c r="N5385" s="4"/>
      <c r="O5385" s="256"/>
    </row>
    <row r="5386" spans="1:15">
      <c r="A5386" s="207"/>
      <c r="B5386" s="207"/>
      <c r="N5386" s="4"/>
      <c r="O5386" s="256"/>
    </row>
    <row r="5387" spans="1:15">
      <c r="A5387" s="207"/>
      <c r="B5387" s="207"/>
      <c r="N5387" s="4"/>
      <c r="O5387" s="256"/>
    </row>
    <row r="5388" spans="1:15">
      <c r="A5388" s="207"/>
      <c r="B5388" s="207"/>
      <c r="N5388" s="4"/>
      <c r="O5388" s="256"/>
    </row>
    <row r="5389" spans="1:15">
      <c r="A5389" s="207"/>
      <c r="B5389" s="207"/>
      <c r="N5389" s="4"/>
      <c r="O5389" s="256"/>
    </row>
    <row r="5390" spans="1:15">
      <c r="A5390" s="207"/>
      <c r="B5390" s="207"/>
      <c r="N5390" s="4"/>
      <c r="O5390" s="256"/>
    </row>
    <row r="5391" spans="1:15">
      <c r="A5391" s="207"/>
      <c r="B5391" s="207"/>
      <c r="N5391" s="4"/>
      <c r="O5391" s="256"/>
    </row>
    <row r="5392" spans="1:15">
      <c r="A5392" s="207"/>
      <c r="B5392" s="207"/>
      <c r="N5392" s="4"/>
      <c r="O5392" s="256"/>
    </row>
    <row r="5393" spans="1:15">
      <c r="A5393" s="207"/>
      <c r="B5393" s="207"/>
      <c r="N5393" s="4"/>
      <c r="O5393" s="256"/>
    </row>
    <row r="5394" spans="1:15">
      <c r="A5394" s="207"/>
      <c r="B5394" s="207"/>
      <c r="N5394" s="4"/>
      <c r="O5394" s="256"/>
    </row>
    <row r="5395" spans="1:15">
      <c r="A5395" s="207"/>
      <c r="B5395" s="207"/>
      <c r="N5395" s="4"/>
      <c r="O5395" s="256"/>
    </row>
    <row r="5396" spans="1:15">
      <c r="A5396" s="207"/>
      <c r="B5396" s="207"/>
      <c r="N5396" s="4"/>
      <c r="O5396" s="256"/>
    </row>
    <row r="5397" spans="1:15">
      <c r="A5397" s="207"/>
      <c r="B5397" s="207"/>
      <c r="N5397" s="4"/>
      <c r="O5397" s="256"/>
    </row>
    <row r="5398" spans="1:15">
      <c r="A5398" s="207"/>
      <c r="B5398" s="207"/>
      <c r="N5398" s="4"/>
      <c r="O5398" s="256"/>
    </row>
    <row r="5399" spans="1:15">
      <c r="A5399" s="207"/>
      <c r="B5399" s="207"/>
      <c r="N5399" s="4"/>
      <c r="O5399" s="256"/>
    </row>
    <row r="5400" spans="1:15">
      <c r="A5400" s="207"/>
      <c r="B5400" s="207"/>
      <c r="N5400" s="4"/>
      <c r="O5400" s="256"/>
    </row>
    <row r="5401" spans="1:15">
      <c r="A5401" s="207"/>
      <c r="B5401" s="207"/>
      <c r="N5401" s="4"/>
      <c r="O5401" s="256"/>
    </row>
    <row r="5402" spans="1:15">
      <c r="A5402" s="207"/>
      <c r="B5402" s="207"/>
      <c r="N5402" s="4"/>
      <c r="O5402" s="256"/>
    </row>
    <row r="5403" spans="1:15">
      <c r="A5403" s="207"/>
      <c r="B5403" s="207"/>
      <c r="N5403" s="4"/>
      <c r="O5403" s="256"/>
    </row>
    <row r="5404" spans="1:15">
      <c r="A5404" s="207"/>
      <c r="B5404" s="207"/>
      <c r="N5404" s="4"/>
      <c r="O5404" s="256"/>
    </row>
    <row r="5405" spans="1:15">
      <c r="A5405" s="207"/>
      <c r="B5405" s="207"/>
      <c r="N5405" s="4"/>
      <c r="O5405" s="256"/>
    </row>
    <row r="5406" spans="1:15">
      <c r="A5406" s="207"/>
      <c r="B5406" s="207"/>
      <c r="N5406" s="4"/>
      <c r="O5406" s="256"/>
    </row>
    <row r="5407" spans="1:15">
      <c r="A5407" s="207"/>
      <c r="B5407" s="207"/>
      <c r="N5407" s="4"/>
      <c r="O5407" s="256"/>
    </row>
    <row r="5408" spans="1:15">
      <c r="A5408" s="207"/>
      <c r="B5408" s="207"/>
      <c r="N5408" s="4"/>
      <c r="O5408" s="256"/>
    </row>
    <row r="5409" spans="1:15">
      <c r="A5409" s="207"/>
      <c r="B5409" s="207"/>
      <c r="N5409" s="4"/>
      <c r="O5409" s="256"/>
    </row>
    <row r="5410" spans="1:15">
      <c r="A5410" s="207"/>
      <c r="B5410" s="207"/>
      <c r="N5410" s="4"/>
      <c r="O5410" s="256"/>
    </row>
    <row r="5411" spans="1:15">
      <c r="A5411" s="207"/>
      <c r="B5411" s="207"/>
      <c r="N5411" s="4"/>
      <c r="O5411" s="256"/>
    </row>
    <row r="5412" spans="1:15">
      <c r="A5412" s="207"/>
      <c r="B5412" s="207"/>
      <c r="N5412" s="4"/>
      <c r="O5412" s="256"/>
    </row>
    <row r="5413" spans="1:15">
      <c r="A5413" s="207"/>
      <c r="B5413" s="207"/>
      <c r="N5413" s="4"/>
      <c r="O5413" s="256"/>
    </row>
    <row r="5414" spans="1:15">
      <c r="A5414" s="207"/>
      <c r="B5414" s="207"/>
      <c r="N5414" s="4"/>
      <c r="O5414" s="256"/>
    </row>
    <row r="5415" spans="1:15">
      <c r="A5415" s="207"/>
      <c r="B5415" s="207"/>
      <c r="N5415" s="4"/>
      <c r="O5415" s="256"/>
    </row>
    <row r="5416" spans="1:15">
      <c r="A5416" s="207"/>
      <c r="B5416" s="207"/>
      <c r="N5416" s="4"/>
      <c r="O5416" s="256"/>
    </row>
    <row r="5417" spans="1:15">
      <c r="A5417" s="207"/>
      <c r="B5417" s="207"/>
      <c r="N5417" s="4"/>
      <c r="O5417" s="256"/>
    </row>
    <row r="5418" spans="1:15">
      <c r="A5418" s="207"/>
      <c r="B5418" s="207"/>
      <c r="N5418" s="4"/>
      <c r="O5418" s="256"/>
    </row>
    <row r="5419" spans="1:15">
      <c r="A5419" s="207"/>
      <c r="B5419" s="207"/>
      <c r="N5419" s="4"/>
      <c r="O5419" s="256"/>
    </row>
    <row r="5420" spans="1:15">
      <c r="A5420" s="207"/>
      <c r="B5420" s="207"/>
      <c r="N5420" s="4"/>
      <c r="O5420" s="256"/>
    </row>
    <row r="5421" spans="1:15">
      <c r="A5421" s="207"/>
      <c r="B5421" s="207"/>
      <c r="N5421" s="4"/>
      <c r="O5421" s="256"/>
    </row>
    <row r="5422" spans="1:15">
      <c r="A5422" s="207"/>
      <c r="B5422" s="207"/>
      <c r="N5422" s="4"/>
      <c r="O5422" s="256"/>
    </row>
    <row r="5423" spans="1:15">
      <c r="A5423" s="207"/>
      <c r="B5423" s="207"/>
      <c r="N5423" s="4"/>
      <c r="O5423" s="256"/>
    </row>
    <row r="5424" spans="1:15">
      <c r="A5424" s="207"/>
      <c r="B5424" s="207"/>
      <c r="N5424" s="4"/>
      <c r="O5424" s="256"/>
    </row>
    <row r="5425" spans="1:15">
      <c r="A5425" s="207"/>
      <c r="B5425" s="207"/>
      <c r="N5425" s="4"/>
      <c r="O5425" s="256"/>
    </row>
    <row r="5426" spans="1:15">
      <c r="A5426" s="207"/>
      <c r="B5426" s="207"/>
      <c r="N5426" s="4"/>
      <c r="O5426" s="256"/>
    </row>
    <row r="5427" spans="1:15">
      <c r="A5427" s="207"/>
      <c r="B5427" s="207"/>
      <c r="N5427" s="4"/>
      <c r="O5427" s="256"/>
    </row>
    <row r="5428" spans="1:15">
      <c r="A5428" s="207"/>
      <c r="B5428" s="207"/>
      <c r="N5428" s="4"/>
      <c r="O5428" s="256"/>
    </row>
    <row r="5429" spans="1:15">
      <c r="A5429" s="207"/>
      <c r="B5429" s="207"/>
      <c r="N5429" s="4"/>
      <c r="O5429" s="256"/>
    </row>
    <row r="5430" spans="1:15">
      <c r="A5430" s="207"/>
      <c r="B5430" s="207"/>
      <c r="N5430" s="4"/>
      <c r="O5430" s="256"/>
    </row>
    <row r="5431" spans="1:15">
      <c r="A5431" s="207"/>
      <c r="B5431" s="207"/>
      <c r="N5431" s="4"/>
      <c r="O5431" s="256"/>
    </row>
    <row r="5432" spans="1:15">
      <c r="A5432" s="207"/>
      <c r="B5432" s="207"/>
      <c r="N5432" s="4"/>
      <c r="O5432" s="256"/>
    </row>
    <row r="5433" spans="1:15">
      <c r="A5433" s="207"/>
      <c r="B5433" s="207"/>
      <c r="N5433" s="4"/>
      <c r="O5433" s="256"/>
    </row>
    <row r="5434" spans="1:15">
      <c r="A5434" s="207"/>
      <c r="B5434" s="207"/>
      <c r="N5434" s="4"/>
      <c r="O5434" s="256"/>
    </row>
    <row r="5435" spans="1:15">
      <c r="A5435" s="207"/>
      <c r="B5435" s="207"/>
      <c r="N5435" s="4"/>
      <c r="O5435" s="256"/>
    </row>
    <row r="5436" spans="1:15">
      <c r="A5436" s="207"/>
      <c r="B5436" s="207"/>
      <c r="N5436" s="4"/>
      <c r="O5436" s="256"/>
    </row>
    <row r="5437" spans="1:15">
      <c r="A5437" s="207"/>
      <c r="B5437" s="207"/>
      <c r="N5437" s="4"/>
      <c r="O5437" s="256"/>
    </row>
    <row r="5438" spans="1:15">
      <c r="A5438" s="207"/>
      <c r="B5438" s="207"/>
      <c r="N5438" s="4"/>
      <c r="O5438" s="256"/>
    </row>
    <row r="5439" spans="1:15">
      <c r="A5439" s="207"/>
      <c r="B5439" s="207"/>
      <c r="N5439" s="4"/>
      <c r="O5439" s="256"/>
    </row>
    <row r="5440" spans="1:15">
      <c r="A5440" s="207"/>
      <c r="B5440" s="207"/>
      <c r="N5440" s="4"/>
      <c r="O5440" s="256"/>
    </row>
    <row r="5441" spans="1:15">
      <c r="A5441" s="207"/>
      <c r="B5441" s="207"/>
      <c r="N5441" s="4"/>
      <c r="O5441" s="256"/>
    </row>
    <row r="5442" spans="1:15">
      <c r="A5442" s="207"/>
      <c r="B5442" s="207"/>
      <c r="N5442" s="4"/>
      <c r="O5442" s="256"/>
    </row>
    <row r="5443" spans="1:15">
      <c r="A5443" s="207"/>
      <c r="B5443" s="207"/>
      <c r="N5443" s="4"/>
      <c r="O5443" s="256"/>
    </row>
    <row r="5444" spans="1:15">
      <c r="A5444" s="207"/>
      <c r="B5444" s="207"/>
      <c r="N5444" s="4"/>
      <c r="O5444" s="256"/>
    </row>
    <row r="5445" spans="1:15">
      <c r="A5445" s="207"/>
      <c r="B5445" s="207"/>
      <c r="N5445" s="4"/>
      <c r="O5445" s="256"/>
    </row>
    <row r="5446" spans="1:15">
      <c r="A5446" s="207"/>
      <c r="B5446" s="207"/>
      <c r="N5446" s="4"/>
      <c r="O5446" s="256"/>
    </row>
    <row r="5447" spans="1:15">
      <c r="A5447" s="207"/>
      <c r="B5447" s="207"/>
      <c r="N5447" s="4"/>
      <c r="O5447" s="256"/>
    </row>
    <row r="5448" spans="1:15">
      <c r="A5448" s="207"/>
      <c r="B5448" s="207"/>
      <c r="N5448" s="4"/>
      <c r="O5448" s="256"/>
    </row>
    <row r="5449" spans="1:15">
      <c r="A5449" s="207"/>
      <c r="B5449" s="207"/>
      <c r="N5449" s="4"/>
      <c r="O5449" s="256"/>
    </row>
    <row r="5450" spans="1:15">
      <c r="A5450" s="207"/>
      <c r="B5450" s="207"/>
      <c r="N5450" s="4"/>
      <c r="O5450" s="256"/>
    </row>
    <row r="5451" spans="1:15">
      <c r="A5451" s="207"/>
      <c r="B5451" s="207"/>
      <c r="N5451" s="4"/>
      <c r="O5451" s="256"/>
    </row>
    <row r="5452" spans="1:15">
      <c r="A5452" s="207"/>
      <c r="B5452" s="207"/>
      <c r="N5452" s="4"/>
      <c r="O5452" s="256"/>
    </row>
    <row r="5453" spans="1:15">
      <c r="A5453" s="207"/>
      <c r="B5453" s="207"/>
      <c r="N5453" s="4"/>
      <c r="O5453" s="256"/>
    </row>
    <row r="5454" spans="1:15">
      <c r="A5454" s="207"/>
      <c r="B5454" s="207"/>
      <c r="N5454" s="4"/>
      <c r="O5454" s="256"/>
    </row>
    <row r="5455" spans="1:15">
      <c r="A5455" s="207"/>
      <c r="B5455" s="207"/>
      <c r="N5455" s="4"/>
      <c r="O5455" s="256"/>
    </row>
    <row r="5456" spans="1:15">
      <c r="A5456" s="207"/>
      <c r="B5456" s="207"/>
      <c r="N5456" s="4"/>
      <c r="O5456" s="256"/>
    </row>
    <row r="5457" spans="1:15">
      <c r="A5457" s="207"/>
      <c r="B5457" s="207"/>
      <c r="N5457" s="4"/>
      <c r="O5457" s="256"/>
    </row>
    <row r="5458" spans="1:15">
      <c r="A5458" s="207"/>
      <c r="B5458" s="207"/>
      <c r="N5458" s="4"/>
      <c r="O5458" s="256"/>
    </row>
    <row r="5459" spans="1:15">
      <c r="A5459" s="207"/>
      <c r="B5459" s="207"/>
      <c r="N5459" s="4"/>
      <c r="O5459" s="256"/>
    </row>
    <row r="5460" spans="1:15">
      <c r="A5460" s="207"/>
      <c r="B5460" s="207"/>
      <c r="N5460" s="4"/>
      <c r="O5460" s="256"/>
    </row>
    <row r="5461" spans="1:15">
      <c r="A5461" s="207"/>
      <c r="B5461" s="207"/>
      <c r="N5461" s="4"/>
      <c r="O5461" s="256"/>
    </row>
    <row r="5462" spans="1:15">
      <c r="A5462" s="207"/>
      <c r="B5462" s="207"/>
      <c r="N5462" s="4"/>
      <c r="O5462" s="256"/>
    </row>
    <row r="5463" spans="1:15">
      <c r="A5463" s="207"/>
      <c r="B5463" s="207"/>
      <c r="N5463" s="4"/>
      <c r="O5463" s="256"/>
    </row>
    <row r="5464" spans="1:15">
      <c r="A5464" s="207"/>
      <c r="B5464" s="207"/>
      <c r="N5464" s="4"/>
      <c r="O5464" s="256"/>
    </row>
    <row r="5465" spans="1:15">
      <c r="A5465" s="207"/>
      <c r="B5465" s="207"/>
      <c r="N5465" s="4"/>
      <c r="O5465" s="256"/>
    </row>
    <row r="5466" spans="1:15">
      <c r="A5466" s="207"/>
      <c r="B5466" s="207"/>
      <c r="N5466" s="4"/>
      <c r="O5466" s="256"/>
    </row>
    <row r="5467" spans="1:15">
      <c r="A5467" s="207"/>
      <c r="B5467" s="207"/>
      <c r="N5467" s="4"/>
      <c r="O5467" s="256"/>
    </row>
    <row r="5468" spans="1:15">
      <c r="A5468" s="207"/>
      <c r="B5468" s="207"/>
      <c r="N5468" s="4"/>
      <c r="O5468" s="256"/>
    </row>
    <row r="5469" spans="1:15">
      <c r="A5469" s="207"/>
      <c r="B5469" s="207"/>
      <c r="N5469" s="4"/>
      <c r="O5469" s="256"/>
    </row>
    <row r="5470" spans="1:15">
      <c r="A5470" s="207"/>
      <c r="B5470" s="207"/>
      <c r="N5470" s="4"/>
      <c r="O5470" s="256"/>
    </row>
    <row r="5471" spans="1:15">
      <c r="A5471" s="207"/>
      <c r="B5471" s="207"/>
      <c r="N5471" s="4"/>
      <c r="O5471" s="256"/>
    </row>
    <row r="5472" spans="1:15">
      <c r="A5472" s="207"/>
      <c r="B5472" s="207"/>
      <c r="N5472" s="4"/>
      <c r="O5472" s="256"/>
    </row>
    <row r="5473" spans="1:15">
      <c r="A5473" s="207"/>
      <c r="B5473" s="207"/>
      <c r="N5473" s="4"/>
      <c r="O5473" s="256"/>
    </row>
    <row r="5474" spans="1:15">
      <c r="A5474" s="207"/>
      <c r="B5474" s="207"/>
      <c r="N5474" s="4"/>
      <c r="O5474" s="256"/>
    </row>
    <row r="5475" spans="1:15">
      <c r="A5475" s="207"/>
      <c r="B5475" s="207"/>
      <c r="N5475" s="4"/>
      <c r="O5475" s="256"/>
    </row>
    <row r="5476" spans="1:15">
      <c r="A5476" s="207"/>
      <c r="B5476" s="207"/>
      <c r="N5476" s="4"/>
      <c r="O5476" s="256"/>
    </row>
    <row r="5477" spans="1:15">
      <c r="A5477" s="207"/>
      <c r="B5477" s="207"/>
      <c r="N5477" s="4"/>
      <c r="O5477" s="256"/>
    </row>
    <row r="5478" spans="1:15">
      <c r="A5478" s="207"/>
      <c r="B5478" s="207"/>
      <c r="N5478" s="4"/>
      <c r="O5478" s="256"/>
    </row>
    <row r="5479" spans="1:15">
      <c r="A5479" s="207"/>
      <c r="B5479" s="207"/>
      <c r="N5479" s="4"/>
      <c r="O5479" s="256"/>
    </row>
    <row r="5480" spans="1:15">
      <c r="A5480" s="207"/>
      <c r="B5480" s="207"/>
      <c r="N5480" s="4"/>
      <c r="O5480" s="256"/>
    </row>
    <row r="5481" spans="1:15">
      <c r="A5481" s="207"/>
      <c r="B5481" s="207"/>
      <c r="N5481" s="4"/>
      <c r="O5481" s="256"/>
    </row>
    <row r="5482" spans="1:15">
      <c r="A5482" s="207"/>
      <c r="B5482" s="207"/>
      <c r="N5482" s="4"/>
      <c r="O5482" s="256"/>
    </row>
    <row r="5483" spans="1:15">
      <c r="A5483" s="207"/>
      <c r="B5483" s="207"/>
      <c r="N5483" s="4"/>
      <c r="O5483" s="256"/>
    </row>
    <row r="5484" spans="1:15">
      <c r="A5484" s="207"/>
      <c r="B5484" s="207"/>
      <c r="N5484" s="4"/>
      <c r="O5484" s="256"/>
    </row>
    <row r="5485" spans="1:15">
      <c r="A5485" s="207"/>
      <c r="B5485" s="207"/>
      <c r="N5485" s="4"/>
      <c r="O5485" s="256"/>
    </row>
    <row r="5486" spans="1:15">
      <c r="A5486" s="207"/>
      <c r="B5486" s="207"/>
      <c r="N5486" s="4"/>
      <c r="O5486" s="256"/>
    </row>
    <row r="5487" spans="1:15">
      <c r="A5487" s="207"/>
      <c r="B5487" s="207"/>
      <c r="N5487" s="4"/>
      <c r="O5487" s="256"/>
    </row>
    <row r="5488" spans="1:15">
      <c r="A5488" s="207"/>
      <c r="B5488" s="207"/>
      <c r="N5488" s="4"/>
      <c r="O5488" s="256"/>
    </row>
    <row r="5489" spans="1:15">
      <c r="A5489" s="207"/>
      <c r="B5489" s="207"/>
      <c r="N5489" s="4"/>
      <c r="O5489" s="256"/>
    </row>
    <row r="5490" spans="1:15">
      <c r="A5490" s="207"/>
      <c r="B5490" s="207"/>
      <c r="N5490" s="4"/>
      <c r="O5490" s="256"/>
    </row>
    <row r="5491" spans="1:15">
      <c r="A5491" s="207"/>
      <c r="B5491" s="207"/>
      <c r="N5491" s="4"/>
      <c r="O5491" s="256"/>
    </row>
    <row r="5492" spans="1:15">
      <c r="A5492" s="207"/>
      <c r="B5492" s="207"/>
      <c r="N5492" s="4"/>
      <c r="O5492" s="256"/>
    </row>
    <row r="5493" spans="1:15">
      <c r="A5493" s="207"/>
      <c r="B5493" s="207"/>
      <c r="N5493" s="4"/>
      <c r="O5493" s="256"/>
    </row>
    <row r="5494" spans="1:15">
      <c r="A5494" s="207"/>
      <c r="B5494" s="207"/>
      <c r="N5494" s="4"/>
      <c r="O5494" s="256"/>
    </row>
    <row r="5495" spans="1:15">
      <c r="A5495" s="207"/>
      <c r="B5495" s="207"/>
      <c r="N5495" s="4"/>
      <c r="O5495" s="256"/>
    </row>
    <row r="5496" spans="1:15">
      <c r="A5496" s="207"/>
      <c r="B5496" s="207"/>
      <c r="N5496" s="4"/>
      <c r="O5496" s="256"/>
    </row>
    <row r="5497" spans="1:15">
      <c r="A5497" s="207"/>
      <c r="B5497" s="207"/>
      <c r="N5497" s="4"/>
      <c r="O5497" s="256"/>
    </row>
    <row r="5498" spans="1:15">
      <c r="A5498" s="207"/>
      <c r="B5498" s="207"/>
      <c r="N5498" s="4"/>
      <c r="O5498" s="256"/>
    </row>
    <row r="5499" spans="1:15">
      <c r="A5499" s="207"/>
      <c r="B5499" s="207"/>
      <c r="N5499" s="4"/>
      <c r="O5499" s="256"/>
    </row>
    <row r="5500" spans="1:15">
      <c r="A5500" s="207"/>
      <c r="B5500" s="207"/>
      <c r="N5500" s="4"/>
      <c r="O5500" s="256"/>
    </row>
    <row r="5501" spans="1:15">
      <c r="A5501" s="207"/>
      <c r="B5501" s="207"/>
      <c r="N5501" s="4"/>
      <c r="O5501" s="256"/>
    </row>
    <row r="5502" spans="1:15">
      <c r="A5502" s="207"/>
      <c r="B5502" s="207"/>
      <c r="N5502" s="4"/>
      <c r="O5502" s="256"/>
    </row>
    <row r="5503" spans="1:15">
      <c r="A5503" s="207"/>
      <c r="B5503" s="207"/>
      <c r="N5503" s="4"/>
      <c r="O5503" s="256"/>
    </row>
    <row r="5504" spans="1:15">
      <c r="A5504" s="207"/>
      <c r="B5504" s="207"/>
      <c r="N5504" s="4"/>
      <c r="O5504" s="256"/>
    </row>
    <row r="5505" spans="1:15">
      <c r="A5505" s="207"/>
      <c r="B5505" s="207"/>
      <c r="N5505" s="4"/>
      <c r="O5505" s="256"/>
    </row>
    <row r="5506" spans="1:15">
      <c r="A5506" s="207"/>
      <c r="B5506" s="207"/>
      <c r="N5506" s="4"/>
      <c r="O5506" s="256"/>
    </row>
    <row r="5507" spans="1:15">
      <c r="A5507" s="207"/>
      <c r="B5507" s="207"/>
      <c r="N5507" s="4"/>
      <c r="O5507" s="256"/>
    </row>
    <row r="5508" spans="1:15">
      <c r="A5508" s="207"/>
      <c r="B5508" s="207"/>
      <c r="N5508" s="4"/>
      <c r="O5508" s="256"/>
    </row>
    <row r="5509" spans="1:15">
      <c r="A5509" s="207"/>
      <c r="B5509" s="207"/>
      <c r="N5509" s="4"/>
      <c r="O5509" s="256"/>
    </row>
    <row r="5510" spans="1:15">
      <c r="A5510" s="207"/>
      <c r="B5510" s="207"/>
      <c r="N5510" s="4"/>
      <c r="O5510" s="256"/>
    </row>
    <row r="5511" spans="1:15">
      <c r="A5511" s="207"/>
      <c r="B5511" s="207"/>
      <c r="N5511" s="4"/>
      <c r="O5511" s="256"/>
    </row>
    <row r="5512" spans="1:15">
      <c r="A5512" s="207"/>
      <c r="B5512" s="207"/>
      <c r="N5512" s="4"/>
      <c r="O5512" s="256"/>
    </row>
    <row r="5513" spans="1:15">
      <c r="A5513" s="207"/>
      <c r="B5513" s="207"/>
      <c r="N5513" s="4"/>
      <c r="O5513" s="256"/>
    </row>
    <row r="5514" spans="1:15">
      <c r="A5514" s="207"/>
      <c r="B5514" s="207"/>
      <c r="N5514" s="4"/>
      <c r="O5514" s="256"/>
    </row>
    <row r="5515" spans="1:15">
      <c r="A5515" s="207"/>
      <c r="B5515" s="207"/>
      <c r="N5515" s="4"/>
      <c r="O5515" s="256"/>
    </row>
    <row r="5516" spans="1:15">
      <c r="A5516" s="207"/>
      <c r="B5516" s="207"/>
      <c r="N5516" s="4"/>
      <c r="O5516" s="256"/>
    </row>
    <row r="5517" spans="1:15">
      <c r="A5517" s="207"/>
      <c r="B5517" s="207"/>
      <c r="N5517" s="4"/>
      <c r="O5517" s="256"/>
    </row>
    <row r="5518" spans="1:15">
      <c r="A5518" s="207"/>
      <c r="B5518" s="207"/>
      <c r="N5518" s="4"/>
      <c r="O5518" s="256"/>
    </row>
    <row r="5519" spans="1:15">
      <c r="A5519" s="207"/>
      <c r="B5519" s="207"/>
      <c r="N5519" s="4"/>
      <c r="O5519" s="256"/>
    </row>
    <row r="5520" spans="1:15">
      <c r="A5520" s="207"/>
      <c r="B5520" s="207"/>
      <c r="N5520" s="4"/>
      <c r="O5520" s="256"/>
    </row>
    <row r="5521" spans="1:15">
      <c r="A5521" s="207"/>
      <c r="B5521" s="207"/>
      <c r="N5521" s="4"/>
      <c r="O5521" s="256"/>
    </row>
    <row r="5522" spans="1:15">
      <c r="A5522" s="207"/>
      <c r="B5522" s="207"/>
      <c r="N5522" s="4"/>
      <c r="O5522" s="256"/>
    </row>
    <row r="5523" spans="1:15">
      <c r="A5523" s="207"/>
      <c r="B5523" s="207"/>
      <c r="N5523" s="4"/>
      <c r="O5523" s="256"/>
    </row>
    <row r="5524" spans="1:15">
      <c r="A5524" s="207"/>
      <c r="B5524" s="207"/>
      <c r="N5524" s="4"/>
      <c r="O5524" s="256"/>
    </row>
    <row r="5525" spans="1:15">
      <c r="A5525" s="207"/>
      <c r="B5525" s="207"/>
      <c r="N5525" s="4"/>
      <c r="O5525" s="256"/>
    </row>
    <row r="5526" spans="1:15">
      <c r="A5526" s="207"/>
      <c r="B5526" s="207"/>
      <c r="N5526" s="4"/>
      <c r="O5526" s="256"/>
    </row>
    <row r="5527" spans="1:15">
      <c r="A5527" s="207"/>
      <c r="B5527" s="207"/>
      <c r="N5527" s="4"/>
      <c r="O5527" s="256"/>
    </row>
    <row r="5528" spans="1:15">
      <c r="A5528" s="207"/>
      <c r="B5528" s="207"/>
      <c r="N5528" s="4"/>
      <c r="O5528" s="256"/>
    </row>
    <row r="5529" spans="1:15">
      <c r="A5529" s="207"/>
      <c r="B5529" s="207"/>
      <c r="N5529" s="4"/>
      <c r="O5529" s="256"/>
    </row>
    <row r="5530" spans="1:15">
      <c r="A5530" s="207"/>
      <c r="B5530" s="207"/>
      <c r="N5530" s="4"/>
      <c r="O5530" s="256"/>
    </row>
    <row r="5531" spans="1:15">
      <c r="A5531" s="207"/>
      <c r="B5531" s="207"/>
      <c r="N5531" s="4"/>
      <c r="O5531" s="256"/>
    </row>
    <row r="5532" spans="1:15">
      <c r="A5532" s="207"/>
      <c r="B5532" s="207"/>
      <c r="N5532" s="4"/>
      <c r="O5532" s="256"/>
    </row>
    <row r="5533" spans="1:15">
      <c r="A5533" s="207"/>
      <c r="B5533" s="207"/>
      <c r="N5533" s="4"/>
      <c r="O5533" s="256"/>
    </row>
    <row r="5534" spans="1:15">
      <c r="A5534" s="207"/>
      <c r="B5534" s="207"/>
      <c r="N5534" s="4"/>
      <c r="O5534" s="256"/>
    </row>
    <row r="5535" spans="1:15">
      <c r="A5535" s="207"/>
      <c r="B5535" s="207"/>
      <c r="N5535" s="4"/>
      <c r="O5535" s="256"/>
    </row>
    <row r="5536" spans="1:15">
      <c r="A5536" s="207"/>
      <c r="B5536" s="207"/>
      <c r="N5536" s="4"/>
      <c r="O5536" s="256"/>
    </row>
    <row r="5537" spans="1:15">
      <c r="A5537" s="207"/>
      <c r="B5537" s="207"/>
      <c r="N5537" s="4"/>
      <c r="O5537" s="256"/>
    </row>
    <row r="5538" spans="1:15">
      <c r="A5538" s="207"/>
      <c r="B5538" s="207"/>
      <c r="N5538" s="4"/>
      <c r="O5538" s="256"/>
    </row>
    <row r="5539" spans="1:15">
      <c r="A5539" s="207"/>
      <c r="B5539" s="207"/>
      <c r="N5539" s="4"/>
      <c r="O5539" s="256"/>
    </row>
    <row r="5540" spans="1:15">
      <c r="A5540" s="207"/>
      <c r="B5540" s="207"/>
      <c r="N5540" s="4"/>
      <c r="O5540" s="256"/>
    </row>
    <row r="5541" spans="1:15">
      <c r="A5541" s="207"/>
      <c r="B5541" s="207"/>
      <c r="N5541" s="4"/>
      <c r="O5541" s="256"/>
    </row>
    <row r="5542" spans="1:15">
      <c r="A5542" s="207"/>
      <c r="B5542" s="207"/>
      <c r="N5542" s="4"/>
      <c r="O5542" s="256"/>
    </row>
    <row r="5543" spans="1:15">
      <c r="A5543" s="207"/>
      <c r="B5543" s="207"/>
      <c r="N5543" s="4"/>
      <c r="O5543" s="256"/>
    </row>
    <row r="5544" spans="1:15">
      <c r="A5544" s="207"/>
      <c r="B5544" s="207"/>
      <c r="N5544" s="4"/>
      <c r="O5544" s="256"/>
    </row>
    <row r="5545" spans="1:15">
      <c r="A5545" s="207"/>
      <c r="B5545" s="207"/>
      <c r="N5545" s="4"/>
      <c r="O5545" s="256"/>
    </row>
    <row r="5546" spans="1:15">
      <c r="A5546" s="207"/>
      <c r="B5546" s="207"/>
      <c r="N5546" s="4"/>
      <c r="O5546" s="256"/>
    </row>
    <row r="5547" spans="1:15">
      <c r="A5547" s="207"/>
      <c r="B5547" s="207"/>
      <c r="N5547" s="4"/>
      <c r="O5547" s="256"/>
    </row>
    <row r="5548" spans="1:15">
      <c r="A5548" s="207"/>
      <c r="B5548" s="207"/>
      <c r="N5548" s="4"/>
      <c r="O5548" s="256"/>
    </row>
    <row r="5549" spans="1:15">
      <c r="A5549" s="207"/>
      <c r="B5549" s="207"/>
      <c r="N5549" s="4"/>
      <c r="O5549" s="256"/>
    </row>
    <row r="5550" spans="1:15">
      <c r="A5550" s="207"/>
      <c r="B5550" s="207"/>
      <c r="N5550" s="4"/>
      <c r="O5550" s="256"/>
    </row>
    <row r="5551" spans="1:15">
      <c r="A5551" s="207"/>
      <c r="B5551" s="207"/>
      <c r="N5551" s="4"/>
      <c r="O5551" s="256"/>
    </row>
    <row r="5552" spans="1:15">
      <c r="A5552" s="207"/>
      <c r="B5552" s="207"/>
      <c r="N5552" s="4"/>
      <c r="O5552" s="256"/>
    </row>
    <row r="5553" spans="1:15">
      <c r="A5553" s="207"/>
      <c r="B5553" s="207"/>
      <c r="N5553" s="4"/>
      <c r="O5553" s="256"/>
    </row>
    <row r="5554" spans="1:15">
      <c r="A5554" s="207"/>
      <c r="B5554" s="207"/>
      <c r="N5554" s="4"/>
      <c r="O5554" s="256"/>
    </row>
    <row r="5555" spans="1:15">
      <c r="A5555" s="207"/>
      <c r="B5555" s="207"/>
      <c r="N5555" s="4"/>
      <c r="O5555" s="256"/>
    </row>
    <row r="5556" spans="1:15">
      <c r="A5556" s="207"/>
      <c r="B5556" s="207"/>
      <c r="N5556" s="4"/>
      <c r="O5556" s="256"/>
    </row>
    <row r="5557" spans="1:15">
      <c r="A5557" s="207"/>
      <c r="B5557" s="207"/>
      <c r="N5557" s="4"/>
      <c r="O5557" s="256"/>
    </row>
    <row r="5558" spans="1:15">
      <c r="A5558" s="207"/>
      <c r="B5558" s="207"/>
      <c r="N5558" s="4"/>
      <c r="O5558" s="256"/>
    </row>
    <row r="5559" spans="1:15">
      <c r="A5559" s="207"/>
      <c r="B5559" s="207"/>
      <c r="N5559" s="4"/>
      <c r="O5559" s="256"/>
    </row>
    <row r="5560" spans="1:15">
      <c r="A5560" s="207"/>
      <c r="B5560" s="207"/>
      <c r="N5560" s="4"/>
      <c r="O5560" s="256"/>
    </row>
    <row r="5561" spans="1:15">
      <c r="A5561" s="207"/>
      <c r="B5561" s="207"/>
      <c r="N5561" s="4"/>
      <c r="O5561" s="256"/>
    </row>
    <row r="5562" spans="1:15">
      <c r="A5562" s="207"/>
      <c r="B5562" s="207"/>
      <c r="N5562" s="4"/>
      <c r="O5562" s="256"/>
    </row>
    <row r="5563" spans="1:15">
      <c r="A5563" s="207"/>
      <c r="B5563" s="207"/>
      <c r="N5563" s="4"/>
      <c r="O5563" s="256"/>
    </row>
    <row r="5564" spans="1:15">
      <c r="A5564" s="207"/>
      <c r="B5564" s="207"/>
      <c r="N5564" s="4"/>
      <c r="O5564" s="256"/>
    </row>
    <row r="5565" spans="1:15">
      <c r="A5565" s="207"/>
      <c r="B5565" s="207"/>
      <c r="N5565" s="4"/>
      <c r="O5565" s="256"/>
    </row>
    <row r="5566" spans="1:15">
      <c r="A5566" s="207"/>
      <c r="B5566" s="207"/>
      <c r="N5566" s="4"/>
      <c r="O5566" s="256"/>
    </row>
    <row r="5567" spans="1:15">
      <c r="A5567" s="207"/>
      <c r="B5567" s="207"/>
      <c r="N5567" s="4"/>
      <c r="O5567" s="256"/>
    </row>
    <row r="5568" spans="1:15">
      <c r="A5568" s="207"/>
      <c r="B5568" s="207"/>
      <c r="N5568" s="4"/>
      <c r="O5568" s="256"/>
    </row>
    <row r="5569" spans="1:15">
      <c r="A5569" s="207"/>
      <c r="B5569" s="207"/>
      <c r="N5569" s="4"/>
      <c r="O5569" s="256"/>
    </row>
    <row r="5570" spans="1:15">
      <c r="A5570" s="207"/>
      <c r="B5570" s="207"/>
      <c r="N5570" s="4"/>
      <c r="O5570" s="256"/>
    </row>
    <row r="5571" spans="1:15">
      <c r="A5571" s="207"/>
      <c r="B5571" s="207"/>
      <c r="N5571" s="4"/>
      <c r="O5571" s="256"/>
    </row>
    <row r="5572" spans="1:15">
      <c r="A5572" s="207"/>
      <c r="B5572" s="207"/>
      <c r="N5572" s="4"/>
      <c r="O5572" s="256"/>
    </row>
    <row r="5573" spans="1:15">
      <c r="A5573" s="207"/>
      <c r="B5573" s="207"/>
      <c r="N5573" s="4"/>
      <c r="O5573" s="256"/>
    </row>
    <row r="5574" spans="1:15">
      <c r="A5574" s="207"/>
      <c r="B5574" s="207"/>
      <c r="N5574" s="4"/>
      <c r="O5574" s="256"/>
    </row>
    <row r="5575" spans="1:15">
      <c r="A5575" s="207"/>
      <c r="B5575" s="207"/>
      <c r="N5575" s="4"/>
      <c r="O5575" s="256"/>
    </row>
    <row r="5576" spans="1:15">
      <c r="A5576" s="207"/>
      <c r="B5576" s="207"/>
      <c r="N5576" s="4"/>
      <c r="O5576" s="256"/>
    </row>
    <row r="5577" spans="1:15">
      <c r="A5577" s="207"/>
      <c r="B5577" s="207"/>
      <c r="N5577" s="4"/>
      <c r="O5577" s="256"/>
    </row>
    <row r="5578" spans="1:15">
      <c r="A5578" s="207"/>
      <c r="B5578" s="207"/>
      <c r="N5578" s="4"/>
      <c r="O5578" s="256"/>
    </row>
    <row r="5579" spans="1:15">
      <c r="A5579" s="207"/>
      <c r="B5579" s="207"/>
      <c r="N5579" s="4"/>
      <c r="O5579" s="256"/>
    </row>
    <row r="5580" spans="1:15">
      <c r="A5580" s="207"/>
      <c r="B5580" s="207"/>
      <c r="N5580" s="4"/>
      <c r="O5580" s="256"/>
    </row>
    <row r="5581" spans="1:15">
      <c r="A5581" s="207"/>
      <c r="B5581" s="207"/>
      <c r="N5581" s="4"/>
      <c r="O5581" s="256"/>
    </row>
    <row r="5582" spans="1:15">
      <c r="A5582" s="207"/>
      <c r="B5582" s="207"/>
      <c r="N5582" s="4"/>
      <c r="O5582" s="256"/>
    </row>
    <row r="5583" spans="1:15">
      <c r="A5583" s="207"/>
      <c r="B5583" s="207"/>
      <c r="N5583" s="4"/>
      <c r="O5583" s="256"/>
    </row>
    <row r="5584" spans="1:15">
      <c r="A5584" s="207"/>
      <c r="B5584" s="207"/>
      <c r="N5584" s="4"/>
      <c r="O5584" s="256"/>
    </row>
    <row r="5585" spans="1:15">
      <c r="A5585" s="207"/>
      <c r="B5585" s="207"/>
      <c r="N5585" s="4"/>
      <c r="O5585" s="256"/>
    </row>
    <row r="5586" spans="1:15">
      <c r="A5586" s="207"/>
      <c r="B5586" s="207"/>
      <c r="N5586" s="4"/>
      <c r="O5586" s="256"/>
    </row>
    <row r="5587" spans="1:15">
      <c r="A5587" s="207"/>
      <c r="B5587" s="207"/>
      <c r="N5587" s="4"/>
      <c r="O5587" s="256"/>
    </row>
    <row r="5588" spans="1:15">
      <c r="A5588" s="207"/>
      <c r="B5588" s="207"/>
      <c r="N5588" s="4"/>
      <c r="O5588" s="256"/>
    </row>
    <row r="5589" spans="1:15">
      <c r="A5589" s="207"/>
      <c r="B5589" s="207"/>
      <c r="N5589" s="4"/>
      <c r="O5589" s="256"/>
    </row>
    <row r="5590" spans="1:15">
      <c r="A5590" s="207"/>
      <c r="B5590" s="207"/>
      <c r="N5590" s="4"/>
      <c r="O5590" s="256"/>
    </row>
    <row r="5591" spans="1:15">
      <c r="A5591" s="207"/>
      <c r="B5591" s="207"/>
      <c r="N5591" s="4"/>
      <c r="O5591" s="256"/>
    </row>
    <row r="5592" spans="1:15">
      <c r="A5592" s="207"/>
      <c r="B5592" s="207"/>
      <c r="N5592" s="4"/>
      <c r="O5592" s="256"/>
    </row>
    <row r="5593" spans="1:15">
      <c r="A5593" s="207"/>
      <c r="B5593" s="207"/>
      <c r="N5593" s="4"/>
      <c r="O5593" s="256"/>
    </row>
    <row r="5594" spans="1:15">
      <c r="A5594" s="207"/>
      <c r="B5594" s="207"/>
      <c r="N5594" s="4"/>
      <c r="O5594" s="256"/>
    </row>
    <row r="5595" spans="1:15">
      <c r="A5595" s="207"/>
      <c r="B5595" s="207"/>
      <c r="N5595" s="4"/>
      <c r="O5595" s="256"/>
    </row>
    <row r="5596" spans="1:15">
      <c r="A5596" s="207"/>
      <c r="B5596" s="207"/>
      <c r="N5596" s="4"/>
      <c r="O5596" s="256"/>
    </row>
    <row r="5597" spans="1:15">
      <c r="A5597" s="207"/>
      <c r="B5597" s="207"/>
      <c r="N5597" s="4"/>
      <c r="O5597" s="256"/>
    </row>
    <row r="5598" spans="1:15">
      <c r="A5598" s="207"/>
      <c r="B5598" s="207"/>
      <c r="N5598" s="4"/>
      <c r="O5598" s="256"/>
    </row>
    <row r="5599" spans="1:15">
      <c r="A5599" s="207"/>
      <c r="B5599" s="207"/>
      <c r="N5599" s="4"/>
      <c r="O5599" s="256"/>
    </row>
    <row r="5600" spans="1:15">
      <c r="A5600" s="207"/>
      <c r="B5600" s="207"/>
      <c r="N5600" s="4"/>
      <c r="O5600" s="256"/>
    </row>
    <row r="5601" spans="1:15">
      <c r="A5601" s="207"/>
      <c r="B5601" s="207"/>
      <c r="N5601" s="4"/>
      <c r="O5601" s="256"/>
    </row>
    <row r="5602" spans="1:15">
      <c r="A5602" s="207"/>
      <c r="B5602" s="207"/>
      <c r="N5602" s="4"/>
      <c r="O5602" s="256"/>
    </row>
    <row r="5603" spans="1:15">
      <c r="A5603" s="207"/>
      <c r="B5603" s="207"/>
      <c r="N5603" s="4"/>
      <c r="O5603" s="256"/>
    </row>
    <row r="5604" spans="1:15">
      <c r="A5604" s="207"/>
      <c r="B5604" s="207"/>
      <c r="N5604" s="4"/>
      <c r="O5604" s="256"/>
    </row>
    <row r="5605" spans="1:15">
      <c r="A5605" s="207"/>
      <c r="B5605" s="207"/>
      <c r="N5605" s="4"/>
      <c r="O5605" s="256"/>
    </row>
    <row r="5606" spans="1:15">
      <c r="A5606" s="207"/>
      <c r="B5606" s="207"/>
      <c r="N5606" s="4"/>
      <c r="O5606" s="256"/>
    </row>
    <row r="5607" spans="1:15">
      <c r="A5607" s="207"/>
      <c r="B5607" s="207"/>
      <c r="N5607" s="4"/>
      <c r="O5607" s="256"/>
    </row>
    <row r="5608" spans="1:15">
      <c r="A5608" s="207"/>
      <c r="B5608" s="207"/>
      <c r="N5608" s="4"/>
      <c r="O5608" s="256"/>
    </row>
    <row r="5609" spans="1:15">
      <c r="A5609" s="207"/>
      <c r="B5609" s="207"/>
      <c r="N5609" s="4"/>
      <c r="O5609" s="256"/>
    </row>
    <row r="5610" spans="1:15">
      <c r="A5610" s="207"/>
      <c r="B5610" s="207"/>
      <c r="N5610" s="4"/>
      <c r="O5610" s="256"/>
    </row>
    <row r="5611" spans="1:15">
      <c r="A5611" s="207"/>
      <c r="B5611" s="207"/>
      <c r="N5611" s="4"/>
      <c r="O5611" s="256"/>
    </row>
    <row r="5612" spans="1:15">
      <c r="A5612" s="207"/>
      <c r="B5612" s="207"/>
      <c r="N5612" s="4"/>
      <c r="O5612" s="256"/>
    </row>
    <row r="5613" spans="1:15">
      <c r="A5613" s="207"/>
      <c r="B5613" s="207"/>
      <c r="N5613" s="4"/>
      <c r="O5613" s="256"/>
    </row>
    <row r="5614" spans="1:15">
      <c r="A5614" s="207"/>
      <c r="B5614" s="207"/>
      <c r="N5614" s="4"/>
      <c r="O5614" s="256"/>
    </row>
    <row r="5615" spans="1:15">
      <c r="A5615" s="207"/>
      <c r="B5615" s="207"/>
      <c r="N5615" s="4"/>
      <c r="O5615" s="256"/>
    </row>
    <row r="5616" spans="1:15">
      <c r="A5616" s="207"/>
      <c r="B5616" s="207"/>
      <c r="N5616" s="4"/>
      <c r="O5616" s="256"/>
    </row>
    <row r="5617" spans="1:15">
      <c r="A5617" s="207"/>
      <c r="B5617" s="207"/>
      <c r="N5617" s="4"/>
      <c r="O5617" s="256"/>
    </row>
    <row r="5618" spans="1:15">
      <c r="A5618" s="207"/>
      <c r="B5618" s="207"/>
      <c r="N5618" s="4"/>
      <c r="O5618" s="256"/>
    </row>
    <row r="5619" spans="1:15">
      <c r="A5619" s="207"/>
      <c r="B5619" s="207"/>
      <c r="N5619" s="4"/>
      <c r="O5619" s="256"/>
    </row>
    <row r="5620" spans="1:15">
      <c r="A5620" s="207"/>
      <c r="B5620" s="207"/>
      <c r="N5620" s="4"/>
      <c r="O5620" s="256"/>
    </row>
    <row r="5621" spans="1:15">
      <c r="A5621" s="207"/>
      <c r="B5621" s="207"/>
      <c r="N5621" s="4"/>
      <c r="O5621" s="256"/>
    </row>
    <row r="5622" spans="1:15">
      <c r="A5622" s="207"/>
      <c r="B5622" s="207"/>
      <c r="N5622" s="4"/>
      <c r="O5622" s="256"/>
    </row>
    <row r="5623" spans="1:15">
      <c r="A5623" s="207"/>
      <c r="B5623" s="207"/>
      <c r="N5623" s="4"/>
      <c r="O5623" s="256"/>
    </row>
    <row r="5624" spans="1:15">
      <c r="A5624" s="207"/>
      <c r="B5624" s="207"/>
      <c r="N5624" s="4"/>
      <c r="O5624" s="256"/>
    </row>
    <row r="5625" spans="1:15">
      <c r="A5625" s="207"/>
      <c r="B5625" s="207"/>
      <c r="N5625" s="4"/>
      <c r="O5625" s="256"/>
    </row>
    <row r="5626" spans="1:15">
      <c r="A5626" s="207"/>
      <c r="B5626" s="207"/>
      <c r="N5626" s="4"/>
      <c r="O5626" s="256"/>
    </row>
    <row r="5627" spans="1:15">
      <c r="A5627" s="207"/>
      <c r="B5627" s="207"/>
      <c r="N5627" s="4"/>
      <c r="O5627" s="256"/>
    </row>
    <row r="5628" spans="1:15">
      <c r="A5628" s="207"/>
      <c r="B5628" s="207"/>
      <c r="N5628" s="4"/>
      <c r="O5628" s="256"/>
    </row>
    <row r="5629" spans="1:15">
      <c r="A5629" s="207"/>
      <c r="B5629" s="207"/>
      <c r="N5629" s="4"/>
      <c r="O5629" s="256"/>
    </row>
    <row r="5630" spans="1:15">
      <c r="A5630" s="207"/>
      <c r="B5630" s="207"/>
      <c r="N5630" s="4"/>
      <c r="O5630" s="256"/>
    </row>
    <row r="5631" spans="1:15">
      <c r="A5631" s="207"/>
      <c r="B5631" s="207"/>
      <c r="N5631" s="4"/>
      <c r="O5631" s="256"/>
    </row>
    <row r="5632" spans="1:15">
      <c r="A5632" s="207"/>
      <c r="B5632" s="207"/>
      <c r="N5632" s="4"/>
      <c r="O5632" s="256"/>
    </row>
    <row r="5633" spans="1:15">
      <c r="A5633" s="207"/>
      <c r="B5633" s="207"/>
      <c r="N5633" s="4"/>
      <c r="O5633" s="256"/>
    </row>
    <row r="5634" spans="1:15">
      <c r="A5634" s="207"/>
      <c r="B5634" s="207"/>
      <c r="N5634" s="4"/>
      <c r="O5634" s="256"/>
    </row>
    <row r="5635" spans="1:15">
      <c r="A5635" s="207"/>
      <c r="B5635" s="207"/>
      <c r="N5635" s="4"/>
      <c r="O5635" s="256"/>
    </row>
    <row r="5636" spans="1:15">
      <c r="A5636" s="207"/>
      <c r="B5636" s="207"/>
      <c r="N5636" s="4"/>
      <c r="O5636" s="256"/>
    </row>
    <row r="5637" spans="1:15">
      <c r="A5637" s="207"/>
      <c r="B5637" s="207"/>
      <c r="N5637" s="4"/>
      <c r="O5637" s="256"/>
    </row>
    <row r="5638" spans="1:15">
      <c r="A5638" s="207"/>
      <c r="B5638" s="207"/>
      <c r="N5638" s="4"/>
      <c r="O5638" s="256"/>
    </row>
    <row r="5639" spans="1:15">
      <c r="A5639" s="207"/>
      <c r="B5639" s="207"/>
      <c r="N5639" s="4"/>
      <c r="O5639" s="256"/>
    </row>
    <row r="5640" spans="1:15">
      <c r="A5640" s="207"/>
      <c r="B5640" s="207"/>
      <c r="N5640" s="4"/>
      <c r="O5640" s="256"/>
    </row>
    <row r="5641" spans="1:15">
      <c r="A5641" s="207"/>
      <c r="B5641" s="207"/>
      <c r="N5641" s="4"/>
      <c r="O5641" s="256"/>
    </row>
    <row r="5642" spans="1:15">
      <c r="A5642" s="207"/>
      <c r="B5642" s="207"/>
      <c r="N5642" s="4"/>
      <c r="O5642" s="256"/>
    </row>
    <row r="5643" spans="1:15">
      <c r="A5643" s="207"/>
      <c r="B5643" s="207"/>
      <c r="N5643" s="4"/>
      <c r="O5643" s="256"/>
    </row>
    <row r="5644" spans="1:15">
      <c r="A5644" s="207"/>
      <c r="B5644" s="207"/>
      <c r="N5644" s="4"/>
      <c r="O5644" s="256"/>
    </row>
    <row r="5645" spans="1:15">
      <c r="A5645" s="207"/>
      <c r="B5645" s="207"/>
      <c r="N5645" s="4"/>
      <c r="O5645" s="256"/>
    </row>
    <row r="5646" spans="1:15">
      <c r="A5646" s="207"/>
      <c r="B5646" s="207"/>
      <c r="N5646" s="4"/>
      <c r="O5646" s="256"/>
    </row>
    <row r="5647" spans="1:15">
      <c r="A5647" s="207"/>
      <c r="B5647" s="207"/>
      <c r="N5647" s="4"/>
      <c r="O5647" s="256"/>
    </row>
    <row r="5648" spans="1:15">
      <c r="A5648" s="207"/>
      <c r="B5648" s="207"/>
      <c r="N5648" s="4"/>
      <c r="O5648" s="256"/>
    </row>
    <row r="5649" spans="1:15">
      <c r="A5649" s="207"/>
      <c r="B5649" s="207"/>
      <c r="N5649" s="4"/>
      <c r="O5649" s="256"/>
    </row>
    <row r="5650" spans="1:15">
      <c r="A5650" s="207"/>
      <c r="B5650" s="207"/>
      <c r="N5650" s="4"/>
      <c r="O5650" s="256"/>
    </row>
    <row r="5651" spans="1:15">
      <c r="A5651" s="207"/>
      <c r="B5651" s="207"/>
      <c r="N5651" s="4"/>
      <c r="O5651" s="256"/>
    </row>
    <row r="5652" spans="1:15">
      <c r="A5652" s="207"/>
      <c r="B5652" s="207"/>
      <c r="N5652" s="4"/>
      <c r="O5652" s="256"/>
    </row>
    <row r="5653" spans="1:15">
      <c r="A5653" s="207"/>
      <c r="B5653" s="207"/>
      <c r="N5653" s="4"/>
      <c r="O5653" s="256"/>
    </row>
    <row r="5654" spans="1:15">
      <c r="A5654" s="207"/>
      <c r="B5654" s="207"/>
      <c r="N5654" s="4"/>
      <c r="O5654" s="256"/>
    </row>
    <row r="5655" spans="1:15">
      <c r="A5655" s="207"/>
      <c r="B5655" s="207"/>
      <c r="N5655" s="4"/>
      <c r="O5655" s="256"/>
    </row>
    <row r="5656" spans="1:15">
      <c r="A5656" s="207"/>
      <c r="B5656" s="207"/>
      <c r="N5656" s="4"/>
      <c r="O5656" s="256"/>
    </row>
    <row r="5657" spans="1:15">
      <c r="A5657" s="207"/>
      <c r="B5657" s="207"/>
      <c r="N5657" s="4"/>
      <c r="O5657" s="256"/>
    </row>
    <row r="5658" spans="1:15">
      <c r="A5658" s="207"/>
      <c r="B5658" s="207"/>
      <c r="N5658" s="4"/>
      <c r="O5658" s="256"/>
    </row>
    <row r="5659" spans="1:15">
      <c r="A5659" s="207"/>
      <c r="B5659" s="207"/>
      <c r="N5659" s="4"/>
      <c r="O5659" s="256"/>
    </row>
    <row r="5660" spans="1:15">
      <c r="A5660" s="207"/>
      <c r="B5660" s="207"/>
      <c r="N5660" s="4"/>
      <c r="O5660" s="256"/>
    </row>
    <row r="5661" spans="1:15">
      <c r="A5661" s="207"/>
      <c r="B5661" s="207"/>
      <c r="N5661" s="4"/>
      <c r="O5661" s="256"/>
    </row>
    <row r="5662" spans="1:15">
      <c r="A5662" s="207"/>
      <c r="B5662" s="207"/>
      <c r="N5662" s="4"/>
      <c r="O5662" s="256"/>
    </row>
    <row r="5663" spans="1:15">
      <c r="A5663" s="207"/>
      <c r="B5663" s="207"/>
      <c r="N5663" s="4"/>
      <c r="O5663" s="256"/>
    </row>
    <row r="5664" spans="1:15">
      <c r="A5664" s="207"/>
      <c r="B5664" s="207"/>
      <c r="N5664" s="4"/>
      <c r="O5664" s="256"/>
    </row>
    <row r="5665" spans="1:15">
      <c r="A5665" s="207"/>
      <c r="B5665" s="207"/>
      <c r="N5665" s="4"/>
      <c r="O5665" s="256"/>
    </row>
    <row r="5666" spans="1:15">
      <c r="A5666" s="207"/>
      <c r="B5666" s="207"/>
      <c r="N5666" s="4"/>
      <c r="O5666" s="256"/>
    </row>
    <row r="5667" spans="1:15">
      <c r="A5667" s="207"/>
      <c r="B5667" s="207"/>
      <c r="N5667" s="4"/>
      <c r="O5667" s="256"/>
    </row>
    <row r="5668" spans="1:15">
      <c r="A5668" s="207"/>
      <c r="B5668" s="207"/>
      <c r="N5668" s="4"/>
      <c r="O5668" s="256"/>
    </row>
    <row r="5669" spans="1:15">
      <c r="A5669" s="207"/>
      <c r="B5669" s="207"/>
      <c r="N5669" s="4"/>
      <c r="O5669" s="256"/>
    </row>
    <row r="5670" spans="1:15">
      <c r="A5670" s="207"/>
      <c r="B5670" s="207"/>
      <c r="N5670" s="4"/>
      <c r="O5670" s="256"/>
    </row>
    <row r="5671" spans="1:15">
      <c r="A5671" s="207"/>
      <c r="B5671" s="207"/>
      <c r="N5671" s="4"/>
      <c r="O5671" s="256"/>
    </row>
    <row r="5672" spans="1:15">
      <c r="A5672" s="207"/>
      <c r="B5672" s="207"/>
      <c r="N5672" s="4"/>
      <c r="O5672" s="256"/>
    </row>
    <row r="5673" spans="1:15">
      <c r="A5673" s="207"/>
      <c r="B5673" s="207"/>
      <c r="N5673" s="4"/>
      <c r="O5673" s="256"/>
    </row>
    <row r="5674" spans="1:15">
      <c r="A5674" s="207"/>
      <c r="B5674" s="207"/>
      <c r="N5674" s="4"/>
      <c r="O5674" s="256"/>
    </row>
    <row r="5675" spans="1:15">
      <c r="A5675" s="207"/>
      <c r="B5675" s="207"/>
      <c r="N5675" s="4"/>
      <c r="O5675" s="256"/>
    </row>
    <row r="5676" spans="1:15">
      <c r="A5676" s="207"/>
      <c r="B5676" s="207"/>
      <c r="N5676" s="4"/>
      <c r="O5676" s="256"/>
    </row>
    <row r="5677" spans="1:15">
      <c r="A5677" s="207"/>
      <c r="B5677" s="207"/>
      <c r="N5677" s="4"/>
      <c r="O5677" s="256"/>
    </row>
    <row r="5678" spans="1:15">
      <c r="A5678" s="207"/>
      <c r="B5678" s="207"/>
      <c r="N5678" s="4"/>
      <c r="O5678" s="256"/>
    </row>
    <row r="5679" spans="1:15">
      <c r="A5679" s="207"/>
      <c r="B5679" s="207"/>
      <c r="N5679" s="4"/>
      <c r="O5679" s="256"/>
    </row>
    <row r="5680" spans="1:15">
      <c r="A5680" s="207"/>
      <c r="B5680" s="207"/>
      <c r="N5680" s="4"/>
      <c r="O5680" s="256"/>
    </row>
    <row r="5681" spans="1:15">
      <c r="A5681" s="207"/>
      <c r="B5681" s="207"/>
      <c r="N5681" s="4"/>
      <c r="O5681" s="256"/>
    </row>
    <row r="5682" spans="1:15">
      <c r="A5682" s="207"/>
      <c r="B5682" s="207"/>
      <c r="N5682" s="4"/>
      <c r="O5682" s="256"/>
    </row>
    <row r="5683" spans="1:15">
      <c r="A5683" s="207"/>
      <c r="B5683" s="207"/>
      <c r="N5683" s="4"/>
      <c r="O5683" s="256"/>
    </row>
    <row r="5684" spans="1:15">
      <c r="A5684" s="207"/>
      <c r="B5684" s="207"/>
      <c r="N5684" s="4"/>
      <c r="O5684" s="256"/>
    </row>
    <row r="5685" spans="1:15">
      <c r="A5685" s="207"/>
      <c r="B5685" s="207"/>
      <c r="N5685" s="4"/>
      <c r="O5685" s="256"/>
    </row>
    <row r="5686" spans="1:15">
      <c r="A5686" s="207"/>
      <c r="B5686" s="207"/>
      <c r="N5686" s="4"/>
      <c r="O5686" s="256"/>
    </row>
    <row r="5687" spans="1:15">
      <c r="A5687" s="207"/>
      <c r="B5687" s="207"/>
      <c r="N5687" s="4"/>
      <c r="O5687" s="256"/>
    </row>
    <row r="5688" spans="1:15">
      <c r="A5688" s="207"/>
      <c r="B5688" s="207"/>
      <c r="N5688" s="4"/>
      <c r="O5688" s="256"/>
    </row>
    <row r="5689" spans="1:15">
      <c r="A5689" s="207"/>
      <c r="B5689" s="207"/>
      <c r="N5689" s="4"/>
      <c r="O5689" s="256"/>
    </row>
    <row r="5690" spans="1:15">
      <c r="A5690" s="207"/>
      <c r="B5690" s="207"/>
      <c r="N5690" s="4"/>
      <c r="O5690" s="256"/>
    </row>
    <row r="5691" spans="1:15">
      <c r="A5691" s="207"/>
      <c r="B5691" s="207"/>
      <c r="N5691" s="4"/>
      <c r="O5691" s="256"/>
    </row>
    <row r="5692" spans="1:15">
      <c r="A5692" s="207"/>
      <c r="B5692" s="207"/>
      <c r="N5692" s="4"/>
      <c r="O5692" s="256"/>
    </row>
    <row r="5693" spans="1:15">
      <c r="A5693" s="207"/>
      <c r="B5693" s="207"/>
      <c r="N5693" s="4"/>
      <c r="O5693" s="256"/>
    </row>
    <row r="5694" spans="1:15">
      <c r="A5694" s="207"/>
      <c r="B5694" s="207"/>
      <c r="N5694" s="4"/>
      <c r="O5694" s="256"/>
    </row>
    <row r="5695" spans="1:15">
      <c r="A5695" s="207"/>
      <c r="B5695" s="207"/>
      <c r="N5695" s="4"/>
      <c r="O5695" s="256"/>
    </row>
    <row r="5696" spans="1:15">
      <c r="A5696" s="207"/>
      <c r="B5696" s="207"/>
      <c r="N5696" s="4"/>
      <c r="O5696" s="256"/>
    </row>
    <row r="5697" spans="1:15">
      <c r="A5697" s="207"/>
      <c r="B5697" s="207"/>
      <c r="N5697" s="4"/>
      <c r="O5697" s="256"/>
    </row>
    <row r="5698" spans="1:15">
      <c r="A5698" s="207"/>
      <c r="B5698" s="207"/>
      <c r="N5698" s="4"/>
      <c r="O5698" s="256"/>
    </row>
    <row r="5699" spans="1:15">
      <c r="A5699" s="207"/>
      <c r="B5699" s="207"/>
      <c r="N5699" s="4"/>
      <c r="O5699" s="256"/>
    </row>
    <row r="5700" spans="1:15">
      <c r="A5700" s="207"/>
      <c r="B5700" s="207"/>
      <c r="N5700" s="4"/>
      <c r="O5700" s="256"/>
    </row>
    <row r="5701" spans="1:15">
      <c r="A5701" s="207"/>
      <c r="B5701" s="207"/>
      <c r="N5701" s="4"/>
      <c r="O5701" s="256"/>
    </row>
    <row r="5702" spans="1:15">
      <c r="A5702" s="207"/>
      <c r="B5702" s="207"/>
      <c r="N5702" s="4"/>
      <c r="O5702" s="256"/>
    </row>
    <row r="5703" spans="1:15">
      <c r="A5703" s="207"/>
      <c r="B5703" s="207"/>
      <c r="N5703" s="4"/>
      <c r="O5703" s="256"/>
    </row>
    <row r="5704" spans="1:15">
      <c r="A5704" s="207"/>
      <c r="B5704" s="207"/>
      <c r="N5704" s="4"/>
      <c r="O5704" s="256"/>
    </row>
    <row r="5705" spans="1:15">
      <c r="A5705" s="207"/>
      <c r="B5705" s="207"/>
      <c r="N5705" s="4"/>
      <c r="O5705" s="256"/>
    </row>
    <row r="5706" spans="1:15">
      <c r="A5706" s="207"/>
      <c r="B5706" s="207"/>
      <c r="N5706" s="4"/>
      <c r="O5706" s="256"/>
    </row>
    <row r="5707" spans="1:15">
      <c r="A5707" s="207"/>
      <c r="B5707" s="207"/>
      <c r="N5707" s="4"/>
      <c r="O5707" s="256"/>
    </row>
    <row r="5708" spans="1:15">
      <c r="A5708" s="207"/>
      <c r="B5708" s="207"/>
      <c r="N5708" s="4"/>
      <c r="O5708" s="256"/>
    </row>
    <row r="5709" spans="1:15">
      <c r="A5709" s="207"/>
      <c r="B5709" s="207"/>
      <c r="N5709" s="4"/>
      <c r="O5709" s="256"/>
    </row>
    <row r="5710" spans="1:15">
      <c r="A5710" s="207"/>
      <c r="B5710" s="207"/>
      <c r="N5710" s="4"/>
      <c r="O5710" s="256"/>
    </row>
    <row r="5711" spans="1:15">
      <c r="A5711" s="207"/>
      <c r="B5711" s="207"/>
      <c r="N5711" s="4"/>
      <c r="O5711" s="256"/>
    </row>
    <row r="5712" spans="1:15">
      <c r="A5712" s="207"/>
      <c r="B5712" s="207"/>
      <c r="N5712" s="4"/>
      <c r="O5712" s="256"/>
    </row>
    <row r="5713" spans="1:15">
      <c r="A5713" s="207"/>
      <c r="B5713" s="207"/>
      <c r="N5713" s="4"/>
      <c r="O5713" s="256"/>
    </row>
    <row r="5714" spans="1:15">
      <c r="A5714" s="207"/>
      <c r="B5714" s="207"/>
      <c r="N5714" s="4"/>
      <c r="O5714" s="256"/>
    </row>
    <row r="5715" spans="1:15">
      <c r="A5715" s="207"/>
      <c r="B5715" s="207"/>
      <c r="N5715" s="4"/>
      <c r="O5715" s="256"/>
    </row>
    <row r="5716" spans="1:15">
      <c r="A5716" s="207"/>
      <c r="B5716" s="207"/>
      <c r="N5716" s="4"/>
      <c r="O5716" s="256"/>
    </row>
    <row r="5717" spans="1:15">
      <c r="A5717" s="207"/>
      <c r="B5717" s="207"/>
      <c r="N5717" s="4"/>
      <c r="O5717" s="256"/>
    </row>
    <row r="5718" spans="1:15">
      <c r="A5718" s="207"/>
      <c r="B5718" s="207"/>
      <c r="N5718" s="4"/>
      <c r="O5718" s="256"/>
    </row>
    <row r="5719" spans="1:15">
      <c r="A5719" s="207"/>
      <c r="B5719" s="207"/>
      <c r="N5719" s="4"/>
      <c r="O5719" s="256"/>
    </row>
    <row r="5720" spans="1:15">
      <c r="A5720" s="207"/>
      <c r="B5720" s="207"/>
      <c r="N5720" s="4"/>
      <c r="O5720" s="256"/>
    </row>
    <row r="5721" spans="1:15">
      <c r="A5721" s="207"/>
      <c r="B5721" s="207"/>
      <c r="N5721" s="4"/>
      <c r="O5721" s="256"/>
    </row>
    <row r="5722" spans="1:15">
      <c r="A5722" s="207"/>
      <c r="B5722" s="207"/>
      <c r="N5722" s="4"/>
      <c r="O5722" s="256"/>
    </row>
    <row r="5723" spans="1:15">
      <c r="A5723" s="207"/>
      <c r="B5723" s="207"/>
      <c r="N5723" s="4"/>
      <c r="O5723" s="256"/>
    </row>
    <row r="5724" spans="1:15">
      <c r="A5724" s="207"/>
      <c r="B5724" s="207"/>
      <c r="N5724" s="4"/>
      <c r="O5724" s="256"/>
    </row>
    <row r="5725" spans="1:15">
      <c r="A5725" s="207"/>
      <c r="B5725" s="207"/>
      <c r="N5725" s="4"/>
      <c r="O5725" s="256"/>
    </row>
    <row r="5726" spans="1:15">
      <c r="A5726" s="207"/>
      <c r="B5726" s="207"/>
      <c r="N5726" s="4"/>
      <c r="O5726" s="256"/>
    </row>
    <row r="5727" spans="1:15">
      <c r="A5727" s="207"/>
      <c r="B5727" s="207"/>
      <c r="N5727" s="4"/>
      <c r="O5727" s="256"/>
    </row>
    <row r="5728" spans="1:15">
      <c r="A5728" s="207"/>
      <c r="B5728" s="207"/>
      <c r="N5728" s="4"/>
      <c r="O5728" s="256"/>
    </row>
    <row r="5729" spans="1:15">
      <c r="A5729" s="207"/>
      <c r="B5729" s="207"/>
      <c r="N5729" s="4"/>
      <c r="O5729" s="256"/>
    </row>
    <row r="5730" spans="1:15">
      <c r="A5730" s="207"/>
      <c r="B5730" s="207"/>
      <c r="N5730" s="4"/>
      <c r="O5730" s="256"/>
    </row>
    <row r="5731" spans="1:15">
      <c r="A5731" s="207"/>
      <c r="B5731" s="207"/>
      <c r="N5731" s="4"/>
      <c r="O5731" s="256"/>
    </row>
    <row r="5732" spans="1:15">
      <c r="A5732" s="207"/>
      <c r="B5732" s="207"/>
      <c r="N5732" s="4"/>
      <c r="O5732" s="256"/>
    </row>
    <row r="5733" spans="1:15">
      <c r="A5733" s="207"/>
      <c r="B5733" s="207"/>
      <c r="N5733" s="4"/>
      <c r="O5733" s="256"/>
    </row>
    <row r="5734" spans="1:15">
      <c r="A5734" s="207"/>
      <c r="B5734" s="207"/>
      <c r="N5734" s="4"/>
      <c r="O5734" s="256"/>
    </row>
    <row r="5735" spans="1:15">
      <c r="A5735" s="207"/>
      <c r="B5735" s="207"/>
      <c r="N5735" s="4"/>
      <c r="O5735" s="256"/>
    </row>
    <row r="5736" spans="1:15">
      <c r="A5736" s="207"/>
      <c r="B5736" s="207"/>
      <c r="N5736" s="4"/>
      <c r="O5736" s="256"/>
    </row>
    <row r="5737" spans="1:15">
      <c r="A5737" s="207"/>
      <c r="B5737" s="207"/>
      <c r="N5737" s="4"/>
      <c r="O5737" s="256"/>
    </row>
    <row r="5738" spans="1:15">
      <c r="A5738" s="207"/>
      <c r="B5738" s="207"/>
      <c r="N5738" s="4"/>
      <c r="O5738" s="256"/>
    </row>
    <row r="5739" spans="1:15">
      <c r="A5739" s="207"/>
      <c r="B5739" s="207"/>
      <c r="N5739" s="4"/>
      <c r="O5739" s="256"/>
    </row>
    <row r="5740" spans="1:15">
      <c r="A5740" s="207"/>
      <c r="B5740" s="207"/>
      <c r="N5740" s="4"/>
      <c r="O5740" s="256"/>
    </row>
    <row r="5741" spans="1:15">
      <c r="A5741" s="207"/>
      <c r="B5741" s="207"/>
      <c r="N5741" s="4"/>
      <c r="O5741" s="256"/>
    </row>
    <row r="5742" spans="1:15">
      <c r="A5742" s="207"/>
      <c r="B5742" s="207"/>
      <c r="N5742" s="4"/>
      <c r="O5742" s="256"/>
    </row>
    <row r="5743" spans="1:15">
      <c r="A5743" s="207"/>
      <c r="B5743" s="207"/>
      <c r="N5743" s="4"/>
      <c r="O5743" s="256"/>
    </row>
    <row r="5744" spans="1:15">
      <c r="A5744" s="207"/>
      <c r="B5744" s="207"/>
      <c r="N5744" s="4"/>
      <c r="O5744" s="256"/>
    </row>
    <row r="5745" spans="1:15">
      <c r="A5745" s="207"/>
      <c r="B5745" s="207"/>
      <c r="N5745" s="4"/>
      <c r="O5745" s="256"/>
    </row>
    <row r="5746" spans="1:15">
      <c r="A5746" s="207"/>
      <c r="B5746" s="207"/>
      <c r="N5746" s="4"/>
      <c r="O5746" s="256"/>
    </row>
    <row r="5747" spans="1:15">
      <c r="A5747" s="207"/>
      <c r="B5747" s="207"/>
      <c r="N5747" s="4"/>
      <c r="O5747" s="256"/>
    </row>
    <row r="5748" spans="1:15">
      <c r="A5748" s="207"/>
      <c r="B5748" s="207"/>
      <c r="N5748" s="4"/>
      <c r="O5748" s="256"/>
    </row>
    <row r="5749" spans="1:15">
      <c r="A5749" s="207"/>
      <c r="B5749" s="207"/>
      <c r="N5749" s="4"/>
      <c r="O5749" s="256"/>
    </row>
    <row r="5750" spans="1:15">
      <c r="A5750" s="207"/>
      <c r="B5750" s="207"/>
      <c r="N5750" s="4"/>
      <c r="O5750" s="256"/>
    </row>
    <row r="5751" spans="1:15">
      <c r="A5751" s="207"/>
      <c r="B5751" s="207"/>
      <c r="N5751" s="4"/>
      <c r="O5751" s="256"/>
    </row>
    <row r="5752" spans="1:15">
      <c r="A5752" s="207"/>
      <c r="B5752" s="207"/>
      <c r="N5752" s="4"/>
      <c r="O5752" s="256"/>
    </row>
    <row r="5753" spans="1:15">
      <c r="A5753" s="207"/>
      <c r="B5753" s="207"/>
      <c r="N5753" s="4"/>
      <c r="O5753" s="256"/>
    </row>
    <row r="5754" spans="1:15">
      <c r="A5754" s="207"/>
      <c r="B5754" s="207"/>
      <c r="N5754" s="4"/>
      <c r="O5754" s="256"/>
    </row>
    <row r="5755" spans="1:15">
      <c r="A5755" s="207"/>
      <c r="B5755" s="207"/>
      <c r="N5755" s="4"/>
      <c r="O5755" s="256"/>
    </row>
    <row r="5756" spans="1:15">
      <c r="A5756" s="207"/>
      <c r="B5756" s="207"/>
      <c r="N5756" s="4"/>
      <c r="O5756" s="256"/>
    </row>
    <row r="5757" spans="1:15">
      <c r="A5757" s="207"/>
      <c r="B5757" s="207"/>
      <c r="N5757" s="4"/>
      <c r="O5757" s="256"/>
    </row>
    <row r="5758" spans="1:15">
      <c r="A5758" s="207"/>
      <c r="B5758" s="207"/>
      <c r="N5758" s="4"/>
      <c r="O5758" s="256"/>
    </row>
    <row r="5759" spans="1:15">
      <c r="A5759" s="207"/>
      <c r="B5759" s="207"/>
      <c r="N5759" s="4"/>
      <c r="O5759" s="256"/>
    </row>
    <row r="5760" spans="1:15">
      <c r="A5760" s="207"/>
      <c r="B5760" s="207"/>
      <c r="N5760" s="4"/>
      <c r="O5760" s="256"/>
    </row>
    <row r="5761" spans="1:15">
      <c r="A5761" s="207"/>
      <c r="B5761" s="207"/>
      <c r="N5761" s="4"/>
      <c r="O5761" s="256"/>
    </row>
    <row r="5762" spans="1:15">
      <c r="A5762" s="207"/>
      <c r="B5762" s="207"/>
      <c r="N5762" s="4"/>
      <c r="O5762" s="256"/>
    </row>
    <row r="5763" spans="1:15">
      <c r="A5763" s="207"/>
      <c r="B5763" s="207"/>
      <c r="N5763" s="4"/>
      <c r="O5763" s="256"/>
    </row>
    <row r="5764" spans="1:15">
      <c r="A5764" s="207"/>
      <c r="B5764" s="207"/>
      <c r="N5764" s="4"/>
      <c r="O5764" s="256"/>
    </row>
    <row r="5765" spans="1:15">
      <c r="A5765" s="207"/>
      <c r="B5765" s="207"/>
      <c r="N5765" s="4"/>
      <c r="O5765" s="256"/>
    </row>
    <row r="5766" spans="1:15">
      <c r="A5766" s="207"/>
      <c r="B5766" s="207"/>
      <c r="N5766" s="4"/>
      <c r="O5766" s="256"/>
    </row>
    <row r="5767" spans="1:15">
      <c r="A5767" s="207"/>
      <c r="B5767" s="207"/>
      <c r="N5767" s="4"/>
      <c r="O5767" s="256"/>
    </row>
    <row r="5768" spans="1:15">
      <c r="A5768" s="207"/>
      <c r="B5768" s="207"/>
      <c r="N5768" s="4"/>
      <c r="O5768" s="256"/>
    </row>
    <row r="5769" spans="1:15">
      <c r="A5769" s="207"/>
      <c r="B5769" s="207"/>
      <c r="N5769" s="4"/>
      <c r="O5769" s="256"/>
    </row>
    <row r="5770" spans="1:15">
      <c r="A5770" s="207"/>
      <c r="B5770" s="207"/>
      <c r="N5770" s="4"/>
      <c r="O5770" s="256"/>
    </row>
    <row r="5771" spans="1:15">
      <c r="A5771" s="207"/>
      <c r="B5771" s="207"/>
      <c r="N5771" s="4"/>
      <c r="O5771" s="256"/>
    </row>
    <row r="5772" spans="1:15">
      <c r="A5772" s="207"/>
      <c r="B5772" s="207"/>
      <c r="N5772" s="4"/>
      <c r="O5772" s="256"/>
    </row>
    <row r="5773" spans="1:15">
      <c r="A5773" s="207"/>
      <c r="B5773" s="207"/>
      <c r="N5773" s="4"/>
      <c r="O5773" s="256"/>
    </row>
    <row r="5774" spans="1:15">
      <c r="A5774" s="207"/>
      <c r="B5774" s="207"/>
      <c r="N5774" s="4"/>
      <c r="O5774" s="256"/>
    </row>
    <row r="5775" spans="1:15">
      <c r="A5775" s="207"/>
      <c r="B5775" s="207"/>
      <c r="N5775" s="4"/>
      <c r="O5775" s="256"/>
    </row>
    <row r="5776" spans="1:15">
      <c r="A5776" s="207"/>
      <c r="B5776" s="207"/>
      <c r="N5776" s="4"/>
      <c r="O5776" s="256"/>
    </row>
    <row r="5777" spans="1:15">
      <c r="A5777" s="207"/>
      <c r="B5777" s="207"/>
      <c r="N5777" s="4"/>
      <c r="O5777" s="256"/>
    </row>
    <row r="5778" spans="1:15">
      <c r="A5778" s="207"/>
      <c r="B5778" s="207"/>
      <c r="N5778" s="4"/>
      <c r="O5778" s="256"/>
    </row>
    <row r="5779" spans="1:15">
      <c r="A5779" s="207"/>
      <c r="B5779" s="207"/>
      <c r="N5779" s="4"/>
      <c r="O5779" s="256"/>
    </row>
    <row r="5780" spans="1:15">
      <c r="A5780" s="207"/>
      <c r="B5780" s="207"/>
      <c r="N5780" s="4"/>
      <c r="O5780" s="256"/>
    </row>
    <row r="5781" spans="1:15">
      <c r="A5781" s="207"/>
      <c r="B5781" s="207"/>
      <c r="N5781" s="4"/>
      <c r="O5781" s="256"/>
    </row>
    <row r="5782" spans="1:15">
      <c r="A5782" s="207"/>
      <c r="B5782" s="207"/>
      <c r="N5782" s="4"/>
      <c r="O5782" s="256"/>
    </row>
    <row r="5783" spans="1:15">
      <c r="A5783" s="207"/>
      <c r="B5783" s="207"/>
      <c r="N5783" s="4"/>
      <c r="O5783" s="256"/>
    </row>
    <row r="5784" spans="1:15">
      <c r="A5784" s="207"/>
      <c r="B5784" s="207"/>
      <c r="N5784" s="4"/>
      <c r="O5784" s="256"/>
    </row>
    <row r="5785" spans="1:15">
      <c r="A5785" s="207"/>
      <c r="B5785" s="207"/>
      <c r="N5785" s="4"/>
      <c r="O5785" s="256"/>
    </row>
    <row r="5786" spans="1:15">
      <c r="A5786" s="207"/>
      <c r="B5786" s="207"/>
      <c r="N5786" s="4"/>
      <c r="O5786" s="256"/>
    </row>
    <row r="5787" spans="1:15">
      <c r="A5787" s="207"/>
      <c r="B5787" s="207"/>
      <c r="N5787" s="4"/>
      <c r="O5787" s="256"/>
    </row>
    <row r="5788" spans="1:15">
      <c r="A5788" s="207"/>
      <c r="B5788" s="207"/>
      <c r="N5788" s="4"/>
      <c r="O5788" s="256"/>
    </row>
    <row r="5789" spans="1:15">
      <c r="A5789" s="207"/>
      <c r="B5789" s="207"/>
      <c r="N5789" s="4"/>
      <c r="O5789" s="256"/>
    </row>
    <row r="5790" spans="1:15">
      <c r="A5790" s="207"/>
      <c r="B5790" s="207"/>
      <c r="N5790" s="4"/>
      <c r="O5790" s="256"/>
    </row>
    <row r="5791" spans="1:15">
      <c r="A5791" s="207"/>
      <c r="B5791" s="207"/>
      <c r="N5791" s="4"/>
      <c r="O5791" s="256"/>
    </row>
    <row r="5792" spans="1:15">
      <c r="A5792" s="207"/>
      <c r="B5792" s="207"/>
      <c r="N5792" s="4"/>
      <c r="O5792" s="256"/>
    </row>
    <row r="5793" spans="1:15">
      <c r="A5793" s="207"/>
      <c r="B5793" s="207"/>
      <c r="N5793" s="4"/>
      <c r="O5793" s="256"/>
    </row>
    <row r="5794" spans="1:15">
      <c r="A5794" s="207"/>
      <c r="B5794" s="207"/>
      <c r="N5794" s="4"/>
      <c r="O5794" s="256"/>
    </row>
    <row r="5795" spans="1:15">
      <c r="A5795" s="207"/>
      <c r="B5795" s="207"/>
      <c r="N5795" s="4"/>
      <c r="O5795" s="256"/>
    </row>
    <row r="5796" spans="1:15">
      <c r="A5796" s="207"/>
      <c r="B5796" s="207"/>
      <c r="N5796" s="4"/>
      <c r="O5796" s="256"/>
    </row>
    <row r="5797" spans="1:15">
      <c r="A5797" s="207"/>
      <c r="B5797" s="207"/>
      <c r="N5797" s="4"/>
      <c r="O5797" s="256"/>
    </row>
    <row r="5798" spans="1:15">
      <c r="A5798" s="207"/>
      <c r="B5798" s="207"/>
      <c r="N5798" s="4"/>
      <c r="O5798" s="256"/>
    </row>
    <row r="5799" spans="1:15">
      <c r="A5799" s="207"/>
      <c r="B5799" s="207"/>
      <c r="N5799" s="4"/>
      <c r="O5799" s="256"/>
    </row>
    <row r="5800" spans="1:15">
      <c r="A5800" s="207"/>
      <c r="B5800" s="207"/>
      <c r="N5800" s="4"/>
      <c r="O5800" s="256"/>
    </row>
    <row r="5801" spans="1:15">
      <c r="A5801" s="207"/>
      <c r="B5801" s="207"/>
      <c r="N5801" s="4"/>
      <c r="O5801" s="256"/>
    </row>
    <row r="5802" spans="1:15">
      <c r="A5802" s="207"/>
      <c r="B5802" s="207"/>
      <c r="N5802" s="4"/>
      <c r="O5802" s="256"/>
    </row>
    <row r="5803" spans="1:15">
      <c r="A5803" s="207"/>
      <c r="B5803" s="207"/>
      <c r="N5803" s="4"/>
      <c r="O5803" s="256"/>
    </row>
    <row r="5804" spans="1:15">
      <c r="A5804" s="207"/>
      <c r="B5804" s="207"/>
      <c r="N5804" s="4"/>
      <c r="O5804" s="256"/>
    </row>
    <row r="5805" spans="1:15">
      <c r="A5805" s="207"/>
      <c r="B5805" s="207"/>
      <c r="N5805" s="4"/>
      <c r="O5805" s="256"/>
    </row>
    <row r="5806" spans="1:15">
      <c r="A5806" s="207"/>
      <c r="B5806" s="207"/>
      <c r="N5806" s="4"/>
      <c r="O5806" s="256"/>
    </row>
    <row r="5807" spans="1:15">
      <c r="A5807" s="207"/>
      <c r="B5807" s="207"/>
      <c r="N5807" s="4"/>
      <c r="O5807" s="256"/>
    </row>
    <row r="5808" spans="1:15">
      <c r="A5808" s="207"/>
      <c r="B5808" s="207"/>
      <c r="N5808" s="4"/>
      <c r="O5808" s="256"/>
    </row>
    <row r="5809" spans="1:15">
      <c r="A5809" s="207"/>
      <c r="B5809" s="207"/>
      <c r="N5809" s="4"/>
      <c r="O5809" s="256"/>
    </row>
    <row r="5810" spans="1:15">
      <c r="A5810" s="207"/>
      <c r="B5810" s="207"/>
      <c r="N5810" s="4"/>
      <c r="O5810" s="256"/>
    </row>
    <row r="5811" spans="1:15">
      <c r="A5811" s="207"/>
      <c r="B5811" s="207"/>
      <c r="N5811" s="4"/>
      <c r="O5811" s="256"/>
    </row>
    <row r="5812" spans="1:15">
      <c r="A5812" s="207"/>
      <c r="B5812" s="207"/>
      <c r="N5812" s="4"/>
      <c r="O5812" s="256"/>
    </row>
    <row r="5813" spans="1:15">
      <c r="A5813" s="207"/>
      <c r="B5813" s="207"/>
      <c r="N5813" s="4"/>
      <c r="O5813" s="256"/>
    </row>
    <row r="5814" spans="1:15">
      <c r="A5814" s="207"/>
      <c r="B5814" s="207"/>
      <c r="N5814" s="4"/>
      <c r="O5814" s="256"/>
    </row>
    <row r="5815" spans="1:15">
      <c r="A5815" s="207"/>
      <c r="B5815" s="207"/>
      <c r="N5815" s="4"/>
      <c r="O5815" s="256"/>
    </row>
    <row r="5816" spans="1:15">
      <c r="A5816" s="207"/>
      <c r="B5816" s="207"/>
      <c r="N5816" s="4"/>
      <c r="O5816" s="256"/>
    </row>
    <row r="5817" spans="1:15">
      <c r="A5817" s="207"/>
      <c r="B5817" s="207"/>
      <c r="N5817" s="4"/>
      <c r="O5817" s="256"/>
    </row>
    <row r="5818" spans="1:15">
      <c r="A5818" s="207"/>
      <c r="B5818" s="207"/>
      <c r="N5818" s="4"/>
      <c r="O5818" s="256"/>
    </row>
    <row r="5819" spans="1:15">
      <c r="A5819" s="207"/>
      <c r="B5819" s="207"/>
      <c r="N5819" s="4"/>
      <c r="O5819" s="256"/>
    </row>
    <row r="5820" spans="1:15">
      <c r="A5820" s="207"/>
      <c r="B5820" s="207"/>
      <c r="N5820" s="4"/>
      <c r="O5820" s="256"/>
    </row>
    <row r="5821" spans="1:15">
      <c r="A5821" s="207"/>
      <c r="B5821" s="207"/>
      <c r="N5821" s="4"/>
      <c r="O5821" s="256"/>
    </row>
    <row r="5822" spans="1:15">
      <c r="A5822" s="207"/>
      <c r="B5822" s="207"/>
      <c r="N5822" s="4"/>
      <c r="O5822" s="256"/>
    </row>
    <row r="5823" spans="1:15">
      <c r="A5823" s="207"/>
      <c r="B5823" s="207"/>
      <c r="N5823" s="4"/>
      <c r="O5823" s="256"/>
    </row>
    <row r="5824" spans="1:15">
      <c r="A5824" s="207"/>
      <c r="B5824" s="207"/>
      <c r="N5824" s="4"/>
      <c r="O5824" s="256"/>
    </row>
    <row r="5825" spans="1:15">
      <c r="A5825" s="207"/>
      <c r="B5825" s="207"/>
      <c r="N5825" s="4"/>
      <c r="O5825" s="256"/>
    </row>
    <row r="5826" spans="1:15">
      <c r="A5826" s="207"/>
      <c r="B5826" s="207"/>
      <c r="N5826" s="4"/>
      <c r="O5826" s="256"/>
    </row>
    <row r="5827" spans="1:15">
      <c r="A5827" s="207"/>
      <c r="B5827" s="207"/>
      <c r="N5827" s="4"/>
      <c r="O5827" s="256"/>
    </row>
    <row r="5828" spans="1:15">
      <c r="A5828" s="207"/>
      <c r="B5828" s="207"/>
      <c r="N5828" s="4"/>
      <c r="O5828" s="256"/>
    </row>
    <row r="5829" spans="1:15">
      <c r="A5829" s="207"/>
      <c r="B5829" s="207"/>
      <c r="N5829" s="4"/>
      <c r="O5829" s="256"/>
    </row>
    <row r="5830" spans="1:15">
      <c r="A5830" s="207"/>
      <c r="B5830" s="207"/>
      <c r="N5830" s="4"/>
      <c r="O5830" s="256"/>
    </row>
    <row r="5831" spans="1:15">
      <c r="A5831" s="207"/>
      <c r="B5831" s="207"/>
      <c r="N5831" s="4"/>
      <c r="O5831" s="256"/>
    </row>
    <row r="5832" spans="1:15">
      <c r="A5832" s="207"/>
      <c r="B5832" s="207"/>
      <c r="N5832" s="4"/>
      <c r="O5832" s="256"/>
    </row>
    <row r="5833" spans="1:15">
      <c r="A5833" s="207"/>
      <c r="B5833" s="207"/>
      <c r="N5833" s="4"/>
      <c r="O5833" s="256"/>
    </row>
    <row r="5834" spans="1:15">
      <c r="A5834" s="207"/>
      <c r="B5834" s="207"/>
      <c r="N5834" s="4"/>
      <c r="O5834" s="256"/>
    </row>
    <row r="5835" spans="1:15">
      <c r="A5835" s="207"/>
      <c r="B5835" s="207"/>
      <c r="N5835" s="4"/>
      <c r="O5835" s="256"/>
    </row>
    <row r="5836" spans="1:15">
      <c r="A5836" s="207"/>
      <c r="B5836" s="207"/>
      <c r="N5836" s="4"/>
      <c r="O5836" s="256"/>
    </row>
    <row r="5837" spans="1:15">
      <c r="A5837" s="207"/>
      <c r="B5837" s="207"/>
      <c r="N5837" s="4"/>
      <c r="O5837" s="256"/>
    </row>
    <row r="5838" spans="1:15">
      <c r="A5838" s="207"/>
      <c r="B5838" s="207"/>
      <c r="N5838" s="4"/>
      <c r="O5838" s="256"/>
    </row>
    <row r="5839" spans="1:15">
      <c r="A5839" s="207"/>
      <c r="B5839" s="207"/>
      <c r="N5839" s="4"/>
      <c r="O5839" s="256"/>
    </row>
    <row r="5840" spans="1:15">
      <c r="A5840" s="207"/>
      <c r="B5840" s="207"/>
      <c r="N5840" s="4"/>
      <c r="O5840" s="256"/>
    </row>
    <row r="5841" spans="1:15">
      <c r="A5841" s="207"/>
      <c r="B5841" s="207"/>
      <c r="N5841" s="4"/>
      <c r="O5841" s="256"/>
    </row>
    <row r="5842" spans="1:15">
      <c r="A5842" s="207"/>
      <c r="B5842" s="207"/>
      <c r="N5842" s="4"/>
      <c r="O5842" s="256"/>
    </row>
    <row r="5843" spans="1:15">
      <c r="A5843" s="207"/>
      <c r="B5843" s="207"/>
      <c r="N5843" s="4"/>
      <c r="O5843" s="256"/>
    </row>
    <row r="5844" spans="1:15">
      <c r="A5844" s="207"/>
      <c r="B5844" s="207"/>
      <c r="N5844" s="4"/>
      <c r="O5844" s="256"/>
    </row>
    <row r="5845" spans="1:15">
      <c r="A5845" s="207"/>
      <c r="B5845" s="207"/>
      <c r="N5845" s="4"/>
      <c r="O5845" s="256"/>
    </row>
    <row r="5846" spans="1:15">
      <c r="A5846" s="207"/>
      <c r="B5846" s="207"/>
      <c r="N5846" s="4"/>
      <c r="O5846" s="256"/>
    </row>
    <row r="5847" spans="1:15">
      <c r="A5847" s="207"/>
      <c r="B5847" s="207"/>
      <c r="N5847" s="4"/>
      <c r="O5847" s="256"/>
    </row>
    <row r="5848" spans="1:15">
      <c r="A5848" s="207"/>
      <c r="B5848" s="207"/>
      <c r="N5848" s="4"/>
      <c r="O5848" s="256"/>
    </row>
    <row r="5849" spans="1:15">
      <c r="A5849" s="207"/>
      <c r="B5849" s="207"/>
      <c r="N5849" s="4"/>
      <c r="O5849" s="256"/>
    </row>
    <row r="5850" spans="1:15">
      <c r="A5850" s="207"/>
      <c r="B5850" s="207"/>
      <c r="N5850" s="4"/>
      <c r="O5850" s="256"/>
    </row>
    <row r="5851" spans="1:15">
      <c r="A5851" s="207"/>
      <c r="B5851" s="207"/>
      <c r="N5851" s="4"/>
      <c r="O5851" s="256"/>
    </row>
    <row r="5852" spans="1:15">
      <c r="A5852" s="207"/>
      <c r="B5852" s="207"/>
      <c r="N5852" s="4"/>
      <c r="O5852" s="256"/>
    </row>
    <row r="5853" spans="1:15">
      <c r="A5853" s="207"/>
      <c r="B5853" s="207"/>
      <c r="N5853" s="4"/>
      <c r="O5853" s="256"/>
    </row>
    <row r="5854" spans="1:15">
      <c r="A5854" s="207"/>
      <c r="B5854" s="207"/>
      <c r="N5854" s="4"/>
      <c r="O5854" s="256"/>
    </row>
    <row r="5855" spans="1:15">
      <c r="A5855" s="207"/>
      <c r="B5855" s="207"/>
      <c r="N5855" s="4"/>
      <c r="O5855" s="256"/>
    </row>
    <row r="5856" spans="1:15">
      <c r="A5856" s="207"/>
      <c r="B5856" s="207"/>
      <c r="N5856" s="4"/>
      <c r="O5856" s="256"/>
    </row>
    <row r="5857" spans="1:15">
      <c r="A5857" s="207"/>
      <c r="B5857" s="207"/>
      <c r="N5857" s="4"/>
      <c r="O5857" s="256"/>
    </row>
    <row r="5858" spans="1:15">
      <c r="A5858" s="207"/>
      <c r="B5858" s="207"/>
      <c r="N5858" s="4"/>
      <c r="O5858" s="256"/>
    </row>
    <row r="5859" spans="1:15">
      <c r="A5859" s="207"/>
      <c r="B5859" s="207"/>
      <c r="N5859" s="4"/>
      <c r="O5859" s="256"/>
    </row>
    <row r="5860" spans="1:15">
      <c r="A5860" s="207"/>
      <c r="B5860" s="207"/>
      <c r="N5860" s="4"/>
      <c r="O5860" s="256"/>
    </row>
    <row r="5861" spans="1:15">
      <c r="A5861" s="207"/>
      <c r="B5861" s="207"/>
      <c r="N5861" s="4"/>
      <c r="O5861" s="256"/>
    </row>
    <row r="5862" spans="1:15">
      <c r="A5862" s="207"/>
      <c r="B5862" s="207"/>
      <c r="N5862" s="4"/>
      <c r="O5862" s="256"/>
    </row>
    <row r="5863" spans="1:15">
      <c r="A5863" s="207"/>
      <c r="B5863" s="207"/>
      <c r="N5863" s="4"/>
      <c r="O5863" s="256"/>
    </row>
    <row r="5864" spans="1:15">
      <c r="A5864" s="207"/>
      <c r="B5864" s="207"/>
      <c r="N5864" s="4"/>
      <c r="O5864" s="256"/>
    </row>
    <row r="5865" spans="1:15">
      <c r="A5865" s="207"/>
      <c r="B5865" s="207"/>
      <c r="N5865" s="4"/>
      <c r="O5865" s="256"/>
    </row>
    <row r="5866" spans="1:15">
      <c r="A5866" s="207"/>
      <c r="B5866" s="207"/>
      <c r="N5866" s="4"/>
      <c r="O5866" s="256"/>
    </row>
    <row r="5867" spans="1:15">
      <c r="A5867" s="207"/>
      <c r="B5867" s="207"/>
      <c r="N5867" s="4"/>
      <c r="O5867" s="256"/>
    </row>
    <row r="5868" spans="1:15">
      <c r="A5868" s="207"/>
      <c r="B5868" s="207"/>
      <c r="N5868" s="4"/>
      <c r="O5868" s="256"/>
    </row>
    <row r="5869" spans="1:15">
      <c r="A5869" s="207"/>
      <c r="B5869" s="207"/>
      <c r="N5869" s="4"/>
      <c r="O5869" s="256"/>
    </row>
    <row r="5870" spans="1:15">
      <c r="A5870" s="207"/>
      <c r="B5870" s="207"/>
      <c r="N5870" s="4"/>
      <c r="O5870" s="256"/>
    </row>
    <row r="5871" spans="1:15">
      <c r="A5871" s="207"/>
      <c r="B5871" s="207"/>
      <c r="N5871" s="4"/>
      <c r="O5871" s="256"/>
    </row>
    <row r="5872" spans="1:15">
      <c r="A5872" s="207"/>
      <c r="B5872" s="207"/>
      <c r="N5872" s="4"/>
      <c r="O5872" s="256"/>
    </row>
    <row r="5873" spans="1:15">
      <c r="A5873" s="207"/>
      <c r="B5873" s="207"/>
      <c r="N5873" s="4"/>
      <c r="O5873" s="256"/>
    </row>
    <row r="5874" spans="1:15">
      <c r="A5874" s="207"/>
      <c r="B5874" s="207"/>
      <c r="N5874" s="4"/>
      <c r="O5874" s="256"/>
    </row>
    <row r="5875" spans="1:15">
      <c r="A5875" s="207"/>
      <c r="B5875" s="207"/>
      <c r="N5875" s="4"/>
      <c r="O5875" s="256"/>
    </row>
    <row r="5876" spans="1:15">
      <c r="A5876" s="207"/>
      <c r="B5876" s="207"/>
      <c r="N5876" s="4"/>
      <c r="O5876" s="256"/>
    </row>
    <row r="5877" spans="1:15">
      <c r="A5877" s="207"/>
      <c r="B5877" s="207"/>
      <c r="N5877" s="4"/>
      <c r="O5877" s="256"/>
    </row>
    <row r="5878" spans="1:15">
      <c r="A5878" s="207"/>
      <c r="B5878" s="207"/>
      <c r="N5878" s="4"/>
      <c r="O5878" s="256"/>
    </row>
    <row r="5879" spans="1:15">
      <c r="A5879" s="207"/>
      <c r="B5879" s="207"/>
      <c r="N5879" s="4"/>
      <c r="O5879" s="256"/>
    </row>
    <row r="5880" spans="1:15">
      <c r="A5880" s="207"/>
      <c r="B5880" s="207"/>
      <c r="N5880" s="4"/>
      <c r="O5880" s="256"/>
    </row>
    <row r="5881" spans="1:15">
      <c r="A5881" s="207"/>
      <c r="B5881" s="207"/>
      <c r="N5881" s="4"/>
      <c r="O5881" s="256"/>
    </row>
    <row r="5882" spans="1:15">
      <c r="A5882" s="207"/>
      <c r="B5882" s="207"/>
      <c r="N5882" s="4"/>
      <c r="O5882" s="256"/>
    </row>
    <row r="5883" spans="1:15">
      <c r="A5883" s="207"/>
      <c r="B5883" s="207"/>
      <c r="N5883" s="4"/>
      <c r="O5883" s="256"/>
    </row>
    <row r="5884" spans="1:15">
      <c r="A5884" s="207"/>
      <c r="B5884" s="207"/>
      <c r="N5884" s="4"/>
      <c r="O5884" s="256"/>
    </row>
    <row r="5885" spans="1:15">
      <c r="A5885" s="207"/>
      <c r="B5885" s="207"/>
      <c r="N5885" s="4"/>
      <c r="O5885" s="256"/>
    </row>
    <row r="5886" spans="1:15">
      <c r="A5886" s="207"/>
      <c r="B5886" s="207"/>
      <c r="N5886" s="4"/>
      <c r="O5886" s="256"/>
    </row>
    <row r="5887" spans="1:15">
      <c r="A5887" s="207"/>
      <c r="B5887" s="207"/>
      <c r="N5887" s="4"/>
      <c r="O5887" s="256"/>
    </row>
    <row r="5888" spans="1:15">
      <c r="A5888" s="207"/>
      <c r="B5888" s="207"/>
      <c r="N5888" s="4"/>
      <c r="O5888" s="256"/>
    </row>
    <row r="5889" spans="1:15">
      <c r="A5889" s="207"/>
      <c r="B5889" s="207"/>
      <c r="N5889" s="4"/>
      <c r="O5889" s="256"/>
    </row>
    <row r="5890" spans="1:15">
      <c r="A5890" s="207"/>
      <c r="B5890" s="207"/>
      <c r="N5890" s="4"/>
      <c r="O5890" s="256"/>
    </row>
    <row r="5891" spans="1:15">
      <c r="A5891" s="207"/>
      <c r="B5891" s="207"/>
      <c r="N5891" s="4"/>
      <c r="O5891" s="256"/>
    </row>
    <row r="5892" spans="1:15">
      <c r="A5892" s="207"/>
      <c r="B5892" s="207"/>
      <c r="N5892" s="4"/>
      <c r="O5892" s="256"/>
    </row>
    <row r="5893" spans="1:15">
      <c r="A5893" s="207"/>
      <c r="B5893" s="207"/>
      <c r="N5893" s="4"/>
      <c r="O5893" s="256"/>
    </row>
    <row r="5894" spans="1:15">
      <c r="A5894" s="207"/>
      <c r="B5894" s="207"/>
      <c r="N5894" s="4"/>
      <c r="O5894" s="256"/>
    </row>
    <row r="5895" spans="1:15">
      <c r="A5895" s="207"/>
      <c r="B5895" s="207"/>
      <c r="N5895" s="4"/>
      <c r="O5895" s="256"/>
    </row>
    <row r="5896" spans="1:15">
      <c r="A5896" s="207"/>
      <c r="B5896" s="207"/>
      <c r="N5896" s="4"/>
      <c r="O5896" s="256"/>
    </row>
    <row r="5897" spans="1:15">
      <c r="A5897" s="207"/>
      <c r="B5897" s="207"/>
      <c r="N5897" s="4"/>
      <c r="O5897" s="256"/>
    </row>
    <row r="5898" spans="1:15">
      <c r="A5898" s="207"/>
      <c r="B5898" s="207"/>
      <c r="N5898" s="4"/>
      <c r="O5898" s="256"/>
    </row>
    <row r="5899" spans="1:15">
      <c r="A5899" s="207"/>
      <c r="B5899" s="207"/>
      <c r="N5899" s="4"/>
      <c r="O5899" s="256"/>
    </row>
    <row r="5900" spans="1:15">
      <c r="A5900" s="207"/>
      <c r="B5900" s="207"/>
      <c r="N5900" s="4"/>
      <c r="O5900" s="256"/>
    </row>
    <row r="5901" spans="1:15">
      <c r="A5901" s="207"/>
      <c r="B5901" s="207"/>
      <c r="N5901" s="4"/>
      <c r="O5901" s="256"/>
    </row>
    <row r="5902" spans="1:15">
      <c r="A5902" s="207"/>
      <c r="B5902" s="207"/>
      <c r="N5902" s="4"/>
      <c r="O5902" s="256"/>
    </row>
    <row r="5903" spans="1:15">
      <c r="A5903" s="207"/>
      <c r="B5903" s="207"/>
      <c r="N5903" s="4"/>
      <c r="O5903" s="256"/>
    </row>
    <row r="5904" spans="1:15">
      <c r="A5904" s="207"/>
      <c r="B5904" s="207"/>
      <c r="N5904" s="4"/>
      <c r="O5904" s="256"/>
    </row>
    <row r="5905" spans="1:15">
      <c r="A5905" s="207"/>
      <c r="B5905" s="207"/>
      <c r="N5905" s="4"/>
      <c r="O5905" s="256"/>
    </row>
    <row r="5906" spans="1:15">
      <c r="A5906" s="207"/>
      <c r="B5906" s="207"/>
      <c r="N5906" s="4"/>
      <c r="O5906" s="256"/>
    </row>
    <row r="5907" spans="1:15">
      <c r="A5907" s="207"/>
      <c r="B5907" s="207"/>
      <c r="N5907" s="4"/>
      <c r="O5907" s="256"/>
    </row>
    <row r="5908" spans="1:15">
      <c r="A5908" s="207"/>
      <c r="B5908" s="207"/>
      <c r="N5908" s="4"/>
      <c r="O5908" s="256"/>
    </row>
    <row r="5909" spans="1:15">
      <c r="A5909" s="207"/>
      <c r="B5909" s="207"/>
      <c r="N5909" s="4"/>
      <c r="O5909" s="256"/>
    </row>
    <row r="5910" spans="1:15">
      <c r="A5910" s="207"/>
      <c r="B5910" s="207"/>
      <c r="N5910" s="4"/>
      <c r="O5910" s="256"/>
    </row>
    <row r="5911" spans="1:15">
      <c r="A5911" s="207"/>
      <c r="B5911" s="207"/>
      <c r="N5911" s="4"/>
      <c r="O5911" s="256"/>
    </row>
    <row r="5912" spans="1:15">
      <c r="A5912" s="207"/>
      <c r="B5912" s="207"/>
      <c r="N5912" s="4"/>
      <c r="O5912" s="256"/>
    </row>
    <row r="5913" spans="1:15">
      <c r="A5913" s="207"/>
      <c r="B5913" s="207"/>
      <c r="N5913" s="4"/>
      <c r="O5913" s="256"/>
    </row>
    <row r="5914" spans="1:15">
      <c r="A5914" s="207"/>
      <c r="B5914" s="207"/>
      <c r="N5914" s="4"/>
      <c r="O5914" s="256"/>
    </row>
    <row r="5915" spans="1:15">
      <c r="A5915" s="207"/>
      <c r="B5915" s="207"/>
      <c r="N5915" s="4"/>
      <c r="O5915" s="256"/>
    </row>
    <row r="5916" spans="1:15">
      <c r="A5916" s="207"/>
      <c r="B5916" s="207"/>
      <c r="N5916" s="4"/>
      <c r="O5916" s="256"/>
    </row>
    <row r="5917" spans="1:15">
      <c r="A5917" s="207"/>
      <c r="B5917" s="207"/>
      <c r="N5917" s="4"/>
      <c r="O5917" s="256"/>
    </row>
    <row r="5918" spans="1:15">
      <c r="A5918" s="207"/>
      <c r="B5918" s="207"/>
      <c r="N5918" s="4"/>
      <c r="O5918" s="256"/>
    </row>
    <row r="5919" spans="1:15">
      <c r="A5919" s="207"/>
      <c r="B5919" s="207"/>
      <c r="N5919" s="4"/>
      <c r="O5919" s="256"/>
    </row>
    <row r="5920" spans="1:15">
      <c r="A5920" s="207"/>
      <c r="B5920" s="207"/>
      <c r="N5920" s="4"/>
      <c r="O5920" s="256"/>
    </row>
    <row r="5921" spans="1:15">
      <c r="A5921" s="207"/>
      <c r="B5921" s="207"/>
      <c r="N5921" s="4"/>
      <c r="O5921" s="256"/>
    </row>
    <row r="5922" spans="1:15">
      <c r="A5922" s="207"/>
      <c r="B5922" s="207"/>
      <c r="N5922" s="4"/>
      <c r="O5922" s="256"/>
    </row>
    <row r="5923" spans="1:15">
      <c r="A5923" s="207"/>
      <c r="B5923" s="207"/>
      <c r="N5923" s="4"/>
      <c r="O5923" s="256"/>
    </row>
    <row r="5924" spans="1:15">
      <c r="A5924" s="207"/>
      <c r="B5924" s="207"/>
      <c r="N5924" s="4"/>
      <c r="O5924" s="256"/>
    </row>
    <row r="5925" spans="1:15">
      <c r="A5925" s="207"/>
      <c r="B5925" s="207"/>
      <c r="N5925" s="4"/>
      <c r="O5925" s="256"/>
    </row>
    <row r="5926" spans="1:15">
      <c r="A5926" s="207"/>
      <c r="B5926" s="207"/>
      <c r="N5926" s="4"/>
      <c r="O5926" s="256"/>
    </row>
    <row r="5927" spans="1:15">
      <c r="A5927" s="207"/>
      <c r="B5927" s="207"/>
      <c r="N5927" s="4"/>
      <c r="O5927" s="256"/>
    </row>
    <row r="5928" spans="1:15">
      <c r="A5928" s="207"/>
      <c r="B5928" s="207"/>
      <c r="N5928" s="4"/>
      <c r="O5928" s="256"/>
    </row>
    <row r="5929" spans="1:15">
      <c r="A5929" s="207"/>
      <c r="B5929" s="207"/>
      <c r="N5929" s="4"/>
      <c r="O5929" s="256"/>
    </row>
    <row r="5930" spans="1:15">
      <c r="A5930" s="207"/>
      <c r="B5930" s="207"/>
      <c r="N5930" s="4"/>
      <c r="O5930" s="256"/>
    </row>
    <row r="5931" spans="1:15">
      <c r="A5931" s="207"/>
      <c r="B5931" s="207"/>
      <c r="N5931" s="4"/>
      <c r="O5931" s="256"/>
    </row>
    <row r="5932" spans="1:15">
      <c r="A5932" s="207"/>
      <c r="B5932" s="207"/>
      <c r="N5932" s="4"/>
      <c r="O5932" s="256"/>
    </row>
    <row r="5933" spans="1:15">
      <c r="A5933" s="207"/>
      <c r="B5933" s="207"/>
      <c r="N5933" s="4"/>
      <c r="O5933" s="256"/>
    </row>
    <row r="5934" spans="1:15">
      <c r="A5934" s="207"/>
      <c r="B5934" s="207"/>
      <c r="N5934" s="4"/>
      <c r="O5934" s="256"/>
    </row>
    <row r="5935" spans="1:15">
      <c r="A5935" s="207"/>
      <c r="B5935" s="207"/>
      <c r="N5935" s="4"/>
      <c r="O5935" s="256"/>
    </row>
    <row r="5936" spans="1:15">
      <c r="A5936" s="207"/>
      <c r="B5936" s="207"/>
      <c r="N5936" s="4"/>
      <c r="O5936" s="256"/>
    </row>
    <row r="5937" spans="1:15">
      <c r="A5937" s="207"/>
      <c r="B5937" s="207"/>
      <c r="N5937" s="4"/>
      <c r="O5937" s="256"/>
    </row>
    <row r="5938" spans="1:15">
      <c r="A5938" s="207"/>
      <c r="B5938" s="207"/>
      <c r="N5938" s="4"/>
      <c r="O5938" s="256"/>
    </row>
    <row r="5939" spans="1:15">
      <c r="A5939" s="207"/>
      <c r="B5939" s="207"/>
      <c r="N5939" s="4"/>
      <c r="O5939" s="256"/>
    </row>
    <row r="5940" spans="1:15">
      <c r="A5940" s="207"/>
      <c r="B5940" s="207"/>
      <c r="N5940" s="4"/>
      <c r="O5940" s="256"/>
    </row>
    <row r="5941" spans="1:15">
      <c r="A5941" s="207"/>
      <c r="B5941" s="207"/>
      <c r="N5941" s="4"/>
      <c r="O5941" s="256"/>
    </row>
    <row r="5942" spans="1:15">
      <c r="A5942" s="207"/>
      <c r="B5942" s="207"/>
      <c r="N5942" s="4"/>
      <c r="O5942" s="256"/>
    </row>
    <row r="5943" spans="1:15">
      <c r="A5943" s="207"/>
      <c r="B5943" s="207"/>
      <c r="N5943" s="4"/>
      <c r="O5943" s="256"/>
    </row>
    <row r="5944" spans="1:15">
      <c r="A5944" s="207"/>
      <c r="B5944" s="207"/>
      <c r="N5944" s="4"/>
      <c r="O5944" s="256"/>
    </row>
    <row r="5945" spans="1:15">
      <c r="A5945" s="207"/>
      <c r="B5945" s="207"/>
      <c r="N5945" s="4"/>
      <c r="O5945" s="256"/>
    </row>
    <row r="5946" spans="1:15">
      <c r="A5946" s="207"/>
      <c r="B5946" s="207"/>
      <c r="N5946" s="4"/>
      <c r="O5946" s="256"/>
    </row>
    <row r="5947" spans="1:15">
      <c r="A5947" s="207"/>
      <c r="B5947" s="207"/>
      <c r="N5947" s="4"/>
      <c r="O5947" s="256"/>
    </row>
    <row r="5948" spans="1:15">
      <c r="A5948" s="207"/>
      <c r="B5948" s="207"/>
      <c r="N5948" s="4"/>
      <c r="O5948" s="256"/>
    </row>
    <row r="5949" spans="1:15">
      <c r="A5949" s="207"/>
      <c r="B5949" s="207"/>
      <c r="N5949" s="4"/>
      <c r="O5949" s="256"/>
    </row>
    <row r="5950" spans="1:15">
      <c r="A5950" s="207"/>
      <c r="B5950" s="207"/>
      <c r="N5950" s="4"/>
      <c r="O5950" s="256"/>
    </row>
    <row r="5951" spans="1:15">
      <c r="A5951" s="207"/>
      <c r="B5951" s="207"/>
      <c r="N5951" s="4"/>
      <c r="O5951" s="256"/>
    </row>
    <row r="5952" spans="1:15">
      <c r="A5952" s="207"/>
      <c r="B5952" s="207"/>
      <c r="N5952" s="4"/>
      <c r="O5952" s="256"/>
    </row>
    <row r="5953" spans="1:15">
      <c r="A5953" s="207"/>
      <c r="B5953" s="207"/>
      <c r="N5953" s="4"/>
      <c r="O5953" s="256"/>
    </row>
    <row r="5954" spans="1:15">
      <c r="A5954" s="207"/>
      <c r="B5954" s="207"/>
      <c r="N5954" s="4"/>
      <c r="O5954" s="256"/>
    </row>
    <row r="5955" spans="1:15">
      <c r="A5955" s="207"/>
      <c r="B5955" s="207"/>
      <c r="N5955" s="4"/>
      <c r="O5955" s="256"/>
    </row>
    <row r="5956" spans="1:15">
      <c r="A5956" s="207"/>
      <c r="B5956" s="207"/>
      <c r="N5956" s="4"/>
      <c r="O5956" s="256"/>
    </row>
    <row r="5957" spans="1:15">
      <c r="A5957" s="207"/>
      <c r="B5957" s="207"/>
      <c r="N5957" s="4"/>
      <c r="O5957" s="256"/>
    </row>
    <row r="5958" spans="1:15">
      <c r="A5958" s="207"/>
      <c r="B5958" s="207"/>
      <c r="N5958" s="4"/>
      <c r="O5958" s="256"/>
    </row>
    <row r="5959" spans="1:15">
      <c r="A5959" s="207"/>
      <c r="B5959" s="207"/>
      <c r="N5959" s="4"/>
      <c r="O5959" s="256"/>
    </row>
    <row r="5960" spans="1:15">
      <c r="A5960" s="207"/>
      <c r="B5960" s="207"/>
      <c r="N5960" s="4"/>
      <c r="O5960" s="256"/>
    </row>
    <row r="5961" spans="1:15">
      <c r="A5961" s="207"/>
      <c r="B5961" s="207"/>
      <c r="N5961" s="4"/>
      <c r="O5961" s="256"/>
    </row>
    <row r="5962" spans="1:15">
      <c r="A5962" s="207"/>
      <c r="B5962" s="207"/>
      <c r="N5962" s="4"/>
      <c r="O5962" s="256"/>
    </row>
    <row r="5963" spans="1:15">
      <c r="A5963" s="207"/>
      <c r="B5963" s="207"/>
      <c r="N5963" s="4"/>
      <c r="O5963" s="256"/>
    </row>
    <row r="5964" spans="1:15">
      <c r="A5964" s="207"/>
      <c r="B5964" s="207"/>
      <c r="N5964" s="4"/>
      <c r="O5964" s="256"/>
    </row>
    <row r="5965" spans="1:15">
      <c r="A5965" s="207"/>
      <c r="B5965" s="207"/>
      <c r="N5965" s="4"/>
      <c r="O5965" s="256"/>
    </row>
    <row r="5966" spans="1:15">
      <c r="A5966" s="207"/>
      <c r="B5966" s="207"/>
      <c r="N5966" s="4"/>
      <c r="O5966" s="256"/>
    </row>
    <row r="5967" spans="1:15">
      <c r="A5967" s="207"/>
      <c r="B5967" s="207"/>
      <c r="N5967" s="4"/>
      <c r="O5967" s="256"/>
    </row>
    <row r="5968" spans="1:15">
      <c r="A5968" s="207"/>
      <c r="B5968" s="207"/>
      <c r="N5968" s="4"/>
      <c r="O5968" s="256"/>
    </row>
    <row r="5969" spans="1:15">
      <c r="A5969" s="207"/>
      <c r="B5969" s="207"/>
      <c r="N5969" s="4"/>
      <c r="O5969" s="256"/>
    </row>
    <row r="5970" spans="1:15">
      <c r="A5970" s="207"/>
      <c r="B5970" s="207"/>
      <c r="N5970" s="4"/>
      <c r="O5970" s="256"/>
    </row>
    <row r="5971" spans="1:15">
      <c r="A5971" s="207"/>
      <c r="B5971" s="207"/>
      <c r="N5971" s="4"/>
      <c r="O5971" s="256"/>
    </row>
    <row r="5972" spans="1:15">
      <c r="A5972" s="207"/>
      <c r="B5972" s="207"/>
      <c r="N5972" s="4"/>
      <c r="O5972" s="256"/>
    </row>
    <row r="5973" spans="1:15">
      <c r="A5973" s="207"/>
      <c r="B5973" s="207"/>
      <c r="N5973" s="4"/>
      <c r="O5973" s="256"/>
    </row>
    <row r="5974" spans="1:15">
      <c r="A5974" s="207"/>
      <c r="B5974" s="207"/>
      <c r="N5974" s="4"/>
      <c r="O5974" s="256"/>
    </row>
    <row r="5975" spans="1:15">
      <c r="A5975" s="207"/>
      <c r="B5975" s="207"/>
      <c r="N5975" s="4"/>
      <c r="O5975" s="256"/>
    </row>
    <row r="5976" spans="1:15">
      <c r="A5976" s="207"/>
      <c r="B5976" s="207"/>
      <c r="N5976" s="4"/>
      <c r="O5976" s="256"/>
    </row>
    <row r="5977" spans="1:15">
      <c r="A5977" s="207"/>
      <c r="B5977" s="207"/>
      <c r="N5977" s="4"/>
      <c r="O5977" s="256"/>
    </row>
    <row r="5978" spans="1:15">
      <c r="A5978" s="207"/>
      <c r="B5978" s="207"/>
      <c r="N5978" s="4"/>
      <c r="O5978" s="256"/>
    </row>
    <row r="5979" spans="1:15">
      <c r="A5979" s="207"/>
      <c r="B5979" s="207"/>
      <c r="N5979" s="4"/>
      <c r="O5979" s="256"/>
    </row>
    <row r="5980" spans="1:15">
      <c r="A5980" s="207"/>
      <c r="B5980" s="207"/>
      <c r="N5980" s="4"/>
      <c r="O5980" s="256"/>
    </row>
    <row r="5981" spans="1:15">
      <c r="A5981" s="207"/>
      <c r="B5981" s="207"/>
      <c r="N5981" s="4"/>
      <c r="O5981" s="256"/>
    </row>
    <row r="5982" spans="1:15">
      <c r="A5982" s="207"/>
      <c r="B5982" s="207"/>
      <c r="N5982" s="4"/>
      <c r="O5982" s="256"/>
    </row>
    <row r="5983" spans="1:15">
      <c r="A5983" s="207"/>
      <c r="B5983" s="207"/>
      <c r="N5983" s="4"/>
      <c r="O5983" s="256"/>
    </row>
    <row r="5984" spans="1:15">
      <c r="A5984" s="207"/>
      <c r="B5984" s="207"/>
      <c r="N5984" s="4"/>
      <c r="O5984" s="256"/>
    </row>
    <row r="5985" spans="1:15">
      <c r="A5985" s="207"/>
      <c r="B5985" s="207"/>
      <c r="N5985" s="4"/>
      <c r="O5985" s="256"/>
    </row>
    <row r="5986" spans="1:15">
      <c r="A5986" s="207"/>
      <c r="B5986" s="207"/>
      <c r="N5986" s="4"/>
      <c r="O5986" s="256"/>
    </row>
    <row r="5987" spans="1:15">
      <c r="A5987" s="207"/>
      <c r="B5987" s="207"/>
      <c r="N5987" s="4"/>
      <c r="O5987" s="256"/>
    </row>
    <row r="5988" spans="1:15">
      <c r="A5988" s="207"/>
      <c r="B5988" s="207"/>
      <c r="N5988" s="4"/>
      <c r="O5988" s="256"/>
    </row>
    <row r="5989" spans="1:15">
      <c r="A5989" s="207"/>
      <c r="B5989" s="207"/>
      <c r="N5989" s="4"/>
      <c r="O5989" s="256"/>
    </row>
    <row r="5990" spans="1:15">
      <c r="A5990" s="207"/>
      <c r="B5990" s="207"/>
      <c r="N5990" s="4"/>
      <c r="O5990" s="256"/>
    </row>
    <row r="5991" spans="1:15">
      <c r="A5991" s="207"/>
      <c r="B5991" s="207"/>
      <c r="N5991" s="4"/>
      <c r="O5991" s="256"/>
    </row>
    <row r="5992" spans="1:15">
      <c r="A5992" s="207"/>
      <c r="B5992" s="207"/>
      <c r="N5992" s="4"/>
      <c r="O5992" s="256"/>
    </row>
    <row r="5993" spans="1:15">
      <c r="A5993" s="207"/>
      <c r="B5993" s="207"/>
      <c r="N5993" s="4"/>
      <c r="O5993" s="256"/>
    </row>
    <row r="5994" spans="1:15">
      <c r="A5994" s="207"/>
      <c r="B5994" s="207"/>
      <c r="N5994" s="4"/>
      <c r="O5994" s="256"/>
    </row>
    <row r="5995" spans="1:15">
      <c r="A5995" s="207"/>
      <c r="B5995" s="207"/>
      <c r="N5995" s="4"/>
      <c r="O5995" s="256"/>
    </row>
    <row r="5996" spans="1:15">
      <c r="A5996" s="207"/>
      <c r="B5996" s="207"/>
      <c r="N5996" s="4"/>
      <c r="O5996" s="256"/>
    </row>
    <row r="5997" spans="1:15">
      <c r="A5997" s="207"/>
      <c r="B5997" s="207"/>
      <c r="N5997" s="4"/>
      <c r="O5997" s="256"/>
    </row>
    <row r="5998" spans="1:15">
      <c r="A5998" s="207"/>
      <c r="B5998" s="207"/>
      <c r="N5998" s="4"/>
      <c r="O5998" s="256"/>
    </row>
    <row r="5999" spans="1:15">
      <c r="A5999" s="207"/>
      <c r="B5999" s="207"/>
      <c r="N5999" s="4"/>
      <c r="O5999" s="256"/>
    </row>
    <row r="6000" spans="1:15">
      <c r="A6000" s="207"/>
      <c r="B6000" s="207"/>
      <c r="N6000" s="4"/>
      <c r="O6000" s="256"/>
    </row>
    <row r="6001" spans="1:15">
      <c r="A6001" s="207"/>
      <c r="B6001" s="207"/>
      <c r="N6001" s="4"/>
      <c r="O6001" s="256"/>
    </row>
    <row r="6002" spans="1:15">
      <c r="A6002" s="207"/>
      <c r="B6002" s="207"/>
      <c r="N6002" s="4"/>
      <c r="O6002" s="256"/>
    </row>
    <row r="6003" spans="1:15">
      <c r="A6003" s="207"/>
      <c r="B6003" s="207"/>
      <c r="N6003" s="4"/>
      <c r="O6003" s="256"/>
    </row>
    <row r="6004" spans="1:15">
      <c r="A6004" s="207"/>
      <c r="B6004" s="207"/>
      <c r="N6004" s="4"/>
      <c r="O6004" s="256"/>
    </row>
    <row r="6005" spans="1:15">
      <c r="A6005" s="207"/>
      <c r="B6005" s="207"/>
      <c r="N6005" s="4"/>
      <c r="O6005" s="256"/>
    </row>
    <row r="6006" spans="1:15">
      <c r="A6006" s="207"/>
      <c r="B6006" s="207"/>
      <c r="N6006" s="4"/>
      <c r="O6006" s="256"/>
    </row>
    <row r="6007" spans="1:15">
      <c r="A6007" s="207"/>
      <c r="B6007" s="207"/>
      <c r="N6007" s="4"/>
      <c r="O6007" s="256"/>
    </row>
    <row r="6008" spans="1:15">
      <c r="A6008" s="207"/>
      <c r="B6008" s="207"/>
      <c r="N6008" s="4"/>
      <c r="O6008" s="256"/>
    </row>
    <row r="6009" spans="1:15">
      <c r="A6009" s="207"/>
      <c r="B6009" s="207"/>
      <c r="N6009" s="4"/>
      <c r="O6009" s="256"/>
    </row>
    <row r="6010" spans="1:15">
      <c r="A6010" s="207"/>
      <c r="B6010" s="207"/>
      <c r="N6010" s="4"/>
      <c r="O6010" s="256"/>
    </row>
    <row r="6011" spans="1:15">
      <c r="A6011" s="207"/>
      <c r="B6011" s="207"/>
      <c r="N6011" s="4"/>
      <c r="O6011" s="256"/>
    </row>
    <row r="6012" spans="1:15">
      <c r="A6012" s="207"/>
      <c r="B6012" s="207"/>
      <c r="N6012" s="4"/>
      <c r="O6012" s="256"/>
    </row>
    <row r="6013" spans="1:15">
      <c r="A6013" s="207"/>
      <c r="B6013" s="207"/>
      <c r="N6013" s="4"/>
      <c r="O6013" s="256"/>
    </row>
    <row r="6014" spans="1:15">
      <c r="A6014" s="207"/>
      <c r="B6014" s="207"/>
      <c r="N6014" s="4"/>
      <c r="O6014" s="256"/>
    </row>
    <row r="6015" spans="1:15">
      <c r="A6015" s="207"/>
      <c r="B6015" s="207"/>
      <c r="N6015" s="4"/>
      <c r="O6015" s="256"/>
    </row>
    <row r="6016" spans="1:15">
      <c r="A6016" s="207"/>
      <c r="B6016" s="207"/>
      <c r="N6016" s="4"/>
      <c r="O6016" s="256"/>
    </row>
    <row r="6017" spans="1:15">
      <c r="A6017" s="207"/>
      <c r="B6017" s="207"/>
      <c r="N6017" s="4"/>
      <c r="O6017" s="256"/>
    </row>
    <row r="6018" spans="1:15">
      <c r="A6018" s="207"/>
      <c r="B6018" s="207"/>
      <c r="N6018" s="4"/>
      <c r="O6018" s="256"/>
    </row>
    <row r="6019" spans="1:15">
      <c r="A6019" s="207"/>
      <c r="B6019" s="207"/>
      <c r="N6019" s="4"/>
      <c r="O6019" s="256"/>
    </row>
    <row r="6020" spans="1:15">
      <c r="A6020" s="207"/>
      <c r="B6020" s="207"/>
      <c r="N6020" s="4"/>
      <c r="O6020" s="256"/>
    </row>
    <row r="6021" spans="1:15">
      <c r="A6021" s="207"/>
      <c r="B6021" s="207"/>
      <c r="N6021" s="4"/>
      <c r="O6021" s="256"/>
    </row>
    <row r="6022" spans="1:15">
      <c r="A6022" s="207"/>
      <c r="B6022" s="207"/>
      <c r="N6022" s="4"/>
      <c r="O6022" s="256"/>
    </row>
    <row r="6023" spans="1:15">
      <c r="A6023" s="207"/>
      <c r="B6023" s="207"/>
      <c r="N6023" s="4"/>
      <c r="O6023" s="256"/>
    </row>
    <row r="6024" spans="1:15">
      <c r="A6024" s="207"/>
      <c r="B6024" s="207"/>
      <c r="N6024" s="4"/>
      <c r="O6024" s="256"/>
    </row>
    <row r="6025" spans="1:15">
      <c r="A6025" s="207"/>
      <c r="B6025" s="207"/>
      <c r="N6025" s="4"/>
      <c r="O6025" s="256"/>
    </row>
    <row r="6026" spans="1:15">
      <c r="A6026" s="207"/>
      <c r="B6026" s="207"/>
      <c r="N6026" s="4"/>
      <c r="O6026" s="256"/>
    </row>
    <row r="6027" spans="1:15">
      <c r="A6027" s="207"/>
      <c r="B6027" s="207"/>
      <c r="N6027" s="4"/>
      <c r="O6027" s="256"/>
    </row>
    <row r="6028" spans="1:15">
      <c r="A6028" s="207"/>
      <c r="B6028" s="207"/>
      <c r="N6028" s="4"/>
      <c r="O6028" s="256"/>
    </row>
    <row r="6029" spans="1:15">
      <c r="A6029" s="207"/>
      <c r="B6029" s="207"/>
      <c r="N6029" s="4"/>
      <c r="O6029" s="256"/>
    </row>
    <row r="6030" spans="1:15">
      <c r="A6030" s="207"/>
      <c r="B6030" s="207"/>
      <c r="N6030" s="4"/>
      <c r="O6030" s="256"/>
    </row>
    <row r="6031" spans="1:15">
      <c r="A6031" s="207"/>
      <c r="B6031" s="207"/>
      <c r="N6031" s="4"/>
      <c r="O6031" s="256"/>
    </row>
    <row r="6032" spans="1:15">
      <c r="A6032" s="207"/>
      <c r="B6032" s="207"/>
      <c r="N6032" s="4"/>
      <c r="O6032" s="256"/>
    </row>
    <row r="6033" spans="1:15">
      <c r="A6033" s="207"/>
      <c r="B6033" s="207"/>
      <c r="N6033" s="4"/>
      <c r="O6033" s="256"/>
    </row>
    <row r="6034" spans="1:15">
      <c r="A6034" s="207"/>
      <c r="B6034" s="207"/>
      <c r="N6034" s="4"/>
      <c r="O6034" s="256"/>
    </row>
    <row r="6035" spans="1:15">
      <c r="A6035" s="207"/>
      <c r="B6035" s="207"/>
      <c r="N6035" s="4"/>
      <c r="O6035" s="256"/>
    </row>
    <row r="6036" spans="1:15">
      <c r="A6036" s="207"/>
      <c r="B6036" s="207"/>
      <c r="N6036" s="4"/>
      <c r="O6036" s="256"/>
    </row>
    <row r="6037" spans="1:15">
      <c r="A6037" s="207"/>
      <c r="B6037" s="207"/>
      <c r="N6037" s="4"/>
      <c r="O6037" s="256"/>
    </row>
    <row r="6038" spans="1:15">
      <c r="A6038" s="207"/>
      <c r="B6038" s="207"/>
      <c r="N6038" s="4"/>
      <c r="O6038" s="256"/>
    </row>
    <row r="6039" spans="1:15">
      <c r="A6039" s="207"/>
      <c r="B6039" s="207"/>
      <c r="N6039" s="4"/>
      <c r="O6039" s="256"/>
    </row>
    <row r="6040" spans="1:15">
      <c r="A6040" s="207"/>
      <c r="B6040" s="207"/>
      <c r="N6040" s="4"/>
      <c r="O6040" s="256"/>
    </row>
    <row r="6041" spans="1:15">
      <c r="A6041" s="207"/>
      <c r="B6041" s="207"/>
      <c r="N6041" s="4"/>
      <c r="O6041" s="256"/>
    </row>
    <row r="6042" spans="1:15">
      <c r="A6042" s="207"/>
      <c r="B6042" s="207"/>
      <c r="N6042" s="4"/>
      <c r="O6042" s="256"/>
    </row>
    <row r="6043" spans="1:15">
      <c r="A6043" s="207"/>
      <c r="B6043" s="207"/>
      <c r="N6043" s="4"/>
      <c r="O6043" s="256"/>
    </row>
    <row r="6044" spans="1:15">
      <c r="A6044" s="207"/>
      <c r="B6044" s="207"/>
      <c r="N6044" s="4"/>
      <c r="O6044" s="256"/>
    </row>
    <row r="6045" spans="1:15">
      <c r="A6045" s="207"/>
      <c r="B6045" s="207"/>
      <c r="N6045" s="4"/>
      <c r="O6045" s="256"/>
    </row>
    <row r="6046" spans="1:15">
      <c r="A6046" s="207"/>
      <c r="B6046" s="207"/>
      <c r="N6046" s="4"/>
      <c r="O6046" s="256"/>
    </row>
    <row r="6047" spans="1:15">
      <c r="A6047" s="207"/>
      <c r="B6047" s="207"/>
      <c r="N6047" s="4"/>
      <c r="O6047" s="256"/>
    </row>
    <row r="6048" spans="1:15">
      <c r="A6048" s="207"/>
      <c r="B6048" s="207"/>
      <c r="N6048" s="4"/>
      <c r="O6048" s="256"/>
    </row>
    <row r="6049" spans="1:15">
      <c r="A6049" s="207"/>
      <c r="B6049" s="207"/>
      <c r="N6049" s="4"/>
      <c r="O6049" s="256"/>
    </row>
    <row r="6050" spans="1:15">
      <c r="A6050" s="207"/>
      <c r="B6050" s="207"/>
      <c r="N6050" s="4"/>
      <c r="O6050" s="256"/>
    </row>
    <row r="6051" spans="1:15">
      <c r="A6051" s="207"/>
      <c r="B6051" s="207"/>
      <c r="N6051" s="4"/>
      <c r="O6051" s="256"/>
    </row>
    <row r="6052" spans="1:15">
      <c r="A6052" s="207"/>
      <c r="B6052" s="207"/>
      <c r="N6052" s="4"/>
      <c r="O6052" s="256"/>
    </row>
    <row r="6053" spans="1:15">
      <c r="A6053" s="207"/>
      <c r="B6053" s="207"/>
      <c r="N6053" s="4"/>
      <c r="O6053" s="256"/>
    </row>
    <row r="6054" spans="1:15">
      <c r="A6054" s="207"/>
      <c r="B6054" s="207"/>
      <c r="N6054" s="4"/>
      <c r="O6054" s="256"/>
    </row>
    <row r="6055" spans="1:15">
      <c r="A6055" s="207"/>
      <c r="B6055" s="207"/>
      <c r="N6055" s="4"/>
      <c r="O6055" s="256"/>
    </row>
    <row r="6056" spans="1:15">
      <c r="A6056" s="207"/>
      <c r="B6056" s="207"/>
      <c r="N6056" s="4"/>
      <c r="O6056" s="256"/>
    </row>
    <row r="6057" spans="1:15">
      <c r="A6057" s="207"/>
      <c r="B6057" s="207"/>
      <c r="N6057" s="4"/>
      <c r="O6057" s="256"/>
    </row>
    <row r="6058" spans="1:15">
      <c r="A6058" s="207"/>
      <c r="B6058" s="207"/>
      <c r="N6058" s="4"/>
      <c r="O6058" s="256"/>
    </row>
    <row r="6059" spans="1:15">
      <c r="A6059" s="207"/>
      <c r="B6059" s="207"/>
      <c r="N6059" s="4"/>
      <c r="O6059" s="256"/>
    </row>
    <row r="6060" spans="1:15">
      <c r="A6060" s="207"/>
      <c r="B6060" s="207"/>
      <c r="N6060" s="4"/>
      <c r="O6060" s="256"/>
    </row>
    <row r="6061" spans="1:15">
      <c r="A6061" s="207"/>
      <c r="B6061" s="207"/>
      <c r="N6061" s="4"/>
      <c r="O6061" s="256"/>
    </row>
    <row r="6062" spans="1:15">
      <c r="A6062" s="207"/>
      <c r="B6062" s="207"/>
      <c r="N6062" s="4"/>
      <c r="O6062" s="256"/>
    </row>
    <row r="6063" spans="1:15">
      <c r="A6063" s="207"/>
      <c r="B6063" s="207"/>
      <c r="N6063" s="4"/>
      <c r="O6063" s="256"/>
    </row>
    <row r="6064" spans="1:15">
      <c r="A6064" s="207"/>
      <c r="B6064" s="207"/>
      <c r="N6064" s="4"/>
      <c r="O6064" s="256"/>
    </row>
    <row r="6065" spans="1:15">
      <c r="A6065" s="207"/>
      <c r="B6065" s="207"/>
      <c r="N6065" s="4"/>
      <c r="O6065" s="256"/>
    </row>
    <row r="6066" spans="1:15">
      <c r="A6066" s="207"/>
      <c r="B6066" s="207"/>
      <c r="N6066" s="4"/>
      <c r="O6066" s="256"/>
    </row>
    <row r="6067" spans="1:15">
      <c r="A6067" s="207"/>
      <c r="B6067" s="207"/>
      <c r="N6067" s="4"/>
      <c r="O6067" s="256"/>
    </row>
    <row r="6068" spans="1:15">
      <c r="A6068" s="207"/>
      <c r="B6068" s="207"/>
      <c r="N6068" s="4"/>
      <c r="O6068" s="256"/>
    </row>
    <row r="6069" spans="1:15">
      <c r="A6069" s="207"/>
      <c r="B6069" s="207"/>
      <c r="N6069" s="4"/>
      <c r="O6069" s="256"/>
    </row>
    <row r="6070" spans="1:15">
      <c r="A6070" s="207"/>
      <c r="B6070" s="207"/>
      <c r="N6070" s="4"/>
      <c r="O6070" s="256"/>
    </row>
    <row r="6071" spans="1:15">
      <c r="A6071" s="207"/>
      <c r="B6071" s="207"/>
      <c r="N6071" s="4"/>
      <c r="O6071" s="256"/>
    </row>
    <row r="6072" spans="1:15">
      <c r="A6072" s="207"/>
      <c r="B6072" s="207"/>
      <c r="N6072" s="4"/>
      <c r="O6072" s="256"/>
    </row>
    <row r="6073" spans="1:15">
      <c r="A6073" s="207"/>
      <c r="B6073" s="207"/>
      <c r="N6073" s="4"/>
      <c r="O6073" s="256"/>
    </row>
    <row r="6074" spans="1:15">
      <c r="A6074" s="207"/>
      <c r="B6074" s="207"/>
      <c r="N6074" s="4"/>
      <c r="O6074" s="256"/>
    </row>
    <row r="6075" spans="1:15">
      <c r="A6075" s="207"/>
      <c r="B6075" s="207"/>
      <c r="N6075" s="4"/>
      <c r="O6075" s="256"/>
    </row>
    <row r="6076" spans="1:15">
      <c r="A6076" s="207"/>
      <c r="B6076" s="207"/>
      <c r="N6076" s="4"/>
      <c r="O6076" s="256"/>
    </row>
    <row r="6077" spans="1:15">
      <c r="A6077" s="207"/>
      <c r="B6077" s="207"/>
      <c r="N6077" s="4"/>
      <c r="O6077" s="256"/>
    </row>
    <row r="6078" spans="1:15">
      <c r="A6078" s="207"/>
      <c r="B6078" s="207"/>
      <c r="N6078" s="4"/>
      <c r="O6078" s="256"/>
    </row>
    <row r="6079" spans="1:15">
      <c r="A6079" s="207"/>
      <c r="B6079" s="207"/>
      <c r="N6079" s="4"/>
      <c r="O6079" s="256"/>
    </row>
    <row r="6080" spans="1:15">
      <c r="A6080" s="207"/>
      <c r="B6080" s="207"/>
      <c r="N6080" s="4"/>
      <c r="O6080" s="256"/>
    </row>
    <row r="6081" spans="1:15">
      <c r="A6081" s="207"/>
      <c r="B6081" s="207"/>
      <c r="N6081" s="4"/>
      <c r="O6081" s="256"/>
    </row>
    <row r="6082" spans="1:15">
      <c r="A6082" s="207"/>
      <c r="B6082" s="207"/>
      <c r="N6082" s="4"/>
      <c r="O6082" s="256"/>
    </row>
    <row r="6083" spans="1:15">
      <c r="A6083" s="207"/>
      <c r="B6083" s="207"/>
      <c r="N6083" s="4"/>
      <c r="O6083" s="256"/>
    </row>
    <row r="6084" spans="1:15">
      <c r="A6084" s="207"/>
      <c r="B6084" s="207"/>
      <c r="N6084" s="4"/>
      <c r="O6084" s="256"/>
    </row>
    <row r="6085" spans="1:15">
      <c r="A6085" s="207"/>
      <c r="B6085" s="207"/>
      <c r="N6085" s="4"/>
      <c r="O6085" s="256"/>
    </row>
    <row r="6086" spans="1:15">
      <c r="A6086" s="207"/>
      <c r="B6086" s="207"/>
      <c r="N6086" s="4"/>
      <c r="O6086" s="256"/>
    </row>
    <row r="6087" spans="1:15">
      <c r="A6087" s="207"/>
      <c r="B6087" s="207"/>
      <c r="N6087" s="4"/>
      <c r="O6087" s="256"/>
    </row>
    <row r="6088" spans="1:15">
      <c r="A6088" s="207"/>
      <c r="B6088" s="207"/>
      <c r="N6088" s="4"/>
      <c r="O6088" s="256"/>
    </row>
    <row r="6089" spans="1:15">
      <c r="A6089" s="207"/>
      <c r="B6089" s="207"/>
      <c r="N6089" s="4"/>
      <c r="O6089" s="256"/>
    </row>
    <row r="6090" spans="1:15">
      <c r="A6090" s="207"/>
      <c r="B6090" s="207"/>
      <c r="N6090" s="4"/>
      <c r="O6090" s="256"/>
    </row>
    <row r="6091" spans="1:15">
      <c r="A6091" s="207"/>
      <c r="B6091" s="207"/>
      <c r="N6091" s="4"/>
      <c r="O6091" s="256"/>
    </row>
    <row r="6092" spans="1:15">
      <c r="A6092" s="207"/>
      <c r="B6092" s="207"/>
      <c r="N6092" s="4"/>
      <c r="O6092" s="256"/>
    </row>
    <row r="6093" spans="1:15">
      <c r="A6093" s="207"/>
      <c r="B6093" s="207"/>
      <c r="N6093" s="4"/>
      <c r="O6093" s="256"/>
    </row>
    <row r="6094" spans="1:15">
      <c r="A6094" s="207"/>
      <c r="B6094" s="207"/>
      <c r="N6094" s="4"/>
      <c r="O6094" s="256"/>
    </row>
    <row r="6095" spans="1:15">
      <c r="A6095" s="207"/>
      <c r="B6095" s="207"/>
      <c r="N6095" s="4"/>
      <c r="O6095" s="256"/>
    </row>
    <row r="6096" spans="1:15">
      <c r="A6096" s="207"/>
      <c r="B6096" s="207"/>
      <c r="N6096" s="4"/>
      <c r="O6096" s="256"/>
    </row>
    <row r="6097" spans="1:15">
      <c r="A6097" s="207"/>
      <c r="B6097" s="207"/>
      <c r="N6097" s="4"/>
      <c r="O6097" s="256"/>
    </row>
    <row r="6098" spans="1:15">
      <c r="A6098" s="207"/>
      <c r="B6098" s="207"/>
      <c r="N6098" s="4"/>
      <c r="O6098" s="256"/>
    </row>
    <row r="6099" spans="1:15">
      <c r="A6099" s="207"/>
      <c r="B6099" s="207"/>
      <c r="N6099" s="4"/>
      <c r="O6099" s="256"/>
    </row>
    <row r="6100" spans="1:15">
      <c r="A6100" s="207"/>
      <c r="B6100" s="207"/>
      <c r="N6100" s="4"/>
      <c r="O6100" s="256"/>
    </row>
    <row r="6101" spans="1:15">
      <c r="A6101" s="207"/>
      <c r="B6101" s="207"/>
      <c r="N6101" s="4"/>
      <c r="O6101" s="256"/>
    </row>
    <row r="6102" spans="1:15">
      <c r="A6102" s="207"/>
      <c r="B6102" s="207"/>
      <c r="N6102" s="4"/>
      <c r="O6102" s="256"/>
    </row>
    <row r="6103" spans="1:15">
      <c r="A6103" s="207"/>
      <c r="B6103" s="207"/>
      <c r="N6103" s="4"/>
      <c r="O6103" s="256"/>
    </row>
    <row r="6104" spans="1:15">
      <c r="A6104" s="207"/>
      <c r="B6104" s="207"/>
      <c r="N6104" s="4"/>
      <c r="O6104" s="256"/>
    </row>
    <row r="6105" spans="1:15">
      <c r="A6105" s="207"/>
      <c r="B6105" s="207"/>
      <c r="N6105" s="4"/>
      <c r="O6105" s="256"/>
    </row>
    <row r="6106" spans="1:15">
      <c r="A6106" s="207"/>
      <c r="B6106" s="207"/>
      <c r="N6106" s="4"/>
      <c r="O6106" s="256"/>
    </row>
    <row r="6107" spans="1:15">
      <c r="A6107" s="207"/>
      <c r="B6107" s="207"/>
      <c r="N6107" s="4"/>
      <c r="O6107" s="256"/>
    </row>
    <row r="6108" spans="1:15">
      <c r="A6108" s="207"/>
      <c r="B6108" s="207"/>
      <c r="N6108" s="4"/>
      <c r="O6108" s="256"/>
    </row>
    <row r="6109" spans="1:15">
      <c r="A6109" s="207"/>
      <c r="B6109" s="207"/>
      <c r="N6109" s="4"/>
      <c r="O6109" s="256"/>
    </row>
    <row r="6110" spans="1:15">
      <c r="A6110" s="207"/>
      <c r="B6110" s="207"/>
      <c r="N6110" s="4"/>
      <c r="O6110" s="256"/>
    </row>
    <row r="6111" spans="1:15">
      <c r="A6111" s="207"/>
      <c r="B6111" s="207"/>
      <c r="N6111" s="4"/>
      <c r="O6111" s="256"/>
    </row>
    <row r="6112" spans="1:15">
      <c r="A6112" s="207"/>
      <c r="B6112" s="207"/>
      <c r="N6112" s="4"/>
      <c r="O6112" s="256"/>
    </row>
    <row r="6113" spans="1:15">
      <c r="A6113" s="207"/>
      <c r="B6113" s="207"/>
      <c r="N6113" s="4"/>
      <c r="O6113" s="256"/>
    </row>
    <row r="6114" spans="1:15">
      <c r="A6114" s="207"/>
      <c r="B6114" s="207"/>
      <c r="N6114" s="4"/>
      <c r="O6114" s="256"/>
    </row>
    <row r="6115" spans="1:15">
      <c r="A6115" s="207"/>
      <c r="B6115" s="207"/>
      <c r="N6115" s="4"/>
      <c r="O6115" s="256"/>
    </row>
    <row r="6116" spans="1:15">
      <c r="A6116" s="207"/>
      <c r="B6116" s="207"/>
      <c r="N6116" s="4"/>
      <c r="O6116" s="256"/>
    </row>
    <row r="6117" spans="1:15">
      <c r="A6117" s="207"/>
      <c r="B6117" s="207"/>
      <c r="N6117" s="4"/>
      <c r="O6117" s="256"/>
    </row>
    <row r="6118" spans="1:15">
      <c r="A6118" s="207"/>
      <c r="B6118" s="207"/>
      <c r="N6118" s="4"/>
      <c r="O6118" s="256"/>
    </row>
    <row r="6119" spans="1:15">
      <c r="A6119" s="207"/>
      <c r="B6119" s="207"/>
      <c r="N6119" s="4"/>
      <c r="O6119" s="256"/>
    </row>
    <row r="6120" spans="1:15">
      <c r="A6120" s="207"/>
      <c r="B6120" s="207"/>
      <c r="N6120" s="4"/>
      <c r="O6120" s="256"/>
    </row>
    <row r="6121" spans="1:15">
      <c r="A6121" s="207"/>
      <c r="B6121" s="207"/>
      <c r="N6121" s="4"/>
      <c r="O6121" s="256"/>
    </row>
    <row r="6122" spans="1:15">
      <c r="A6122" s="207"/>
      <c r="B6122" s="207"/>
      <c r="N6122" s="4"/>
      <c r="O6122" s="256"/>
    </row>
    <row r="6123" spans="1:15">
      <c r="A6123" s="207"/>
      <c r="B6123" s="207"/>
      <c r="N6123" s="4"/>
      <c r="O6123" s="256"/>
    </row>
    <row r="6124" spans="1:15">
      <c r="A6124" s="207"/>
      <c r="B6124" s="207"/>
      <c r="N6124" s="4"/>
      <c r="O6124" s="256"/>
    </row>
    <row r="6125" spans="1:15">
      <c r="A6125" s="207"/>
      <c r="B6125" s="207"/>
      <c r="N6125" s="4"/>
      <c r="O6125" s="256"/>
    </row>
    <row r="6126" spans="1:15">
      <c r="A6126" s="207"/>
      <c r="B6126" s="207"/>
      <c r="N6126" s="4"/>
      <c r="O6126" s="256"/>
    </row>
    <row r="6127" spans="1:15">
      <c r="A6127" s="207"/>
      <c r="B6127" s="207"/>
      <c r="N6127" s="4"/>
      <c r="O6127" s="256"/>
    </row>
    <row r="6128" spans="1:15">
      <c r="A6128" s="207"/>
      <c r="B6128" s="207"/>
      <c r="N6128" s="4"/>
      <c r="O6128" s="256"/>
    </row>
    <row r="6129" spans="1:15">
      <c r="A6129" s="207"/>
      <c r="B6129" s="207"/>
      <c r="N6129" s="4"/>
      <c r="O6129" s="256"/>
    </row>
    <row r="6130" spans="1:15">
      <c r="A6130" s="207"/>
      <c r="B6130" s="207"/>
      <c r="N6130" s="4"/>
      <c r="O6130" s="256"/>
    </row>
    <row r="6131" spans="1:15">
      <c r="A6131" s="207"/>
      <c r="B6131" s="207"/>
      <c r="N6131" s="4"/>
      <c r="O6131" s="256"/>
    </row>
    <row r="6132" spans="1:15">
      <c r="A6132" s="207"/>
      <c r="B6132" s="207"/>
      <c r="N6132" s="4"/>
      <c r="O6132" s="256"/>
    </row>
    <row r="6133" spans="1:15">
      <c r="A6133" s="207"/>
      <c r="B6133" s="207"/>
      <c r="N6133" s="4"/>
      <c r="O6133" s="256"/>
    </row>
    <row r="6134" spans="1:15">
      <c r="A6134" s="207"/>
      <c r="B6134" s="207"/>
      <c r="N6134" s="4"/>
      <c r="O6134" s="256"/>
    </row>
    <row r="6135" spans="1:15">
      <c r="A6135" s="207"/>
      <c r="B6135" s="207"/>
      <c r="N6135" s="4"/>
      <c r="O6135" s="256"/>
    </row>
    <row r="6136" spans="1:15">
      <c r="A6136" s="207"/>
      <c r="B6136" s="207"/>
      <c r="N6136" s="4"/>
      <c r="O6136" s="256"/>
    </row>
    <row r="6137" spans="1:15">
      <c r="A6137" s="207"/>
      <c r="B6137" s="207"/>
      <c r="N6137" s="4"/>
      <c r="O6137" s="256"/>
    </row>
    <row r="6138" spans="1:15">
      <c r="A6138" s="207"/>
      <c r="B6138" s="207"/>
      <c r="N6138" s="4"/>
      <c r="O6138" s="256"/>
    </row>
    <row r="6139" spans="1:15">
      <c r="A6139" s="207"/>
      <c r="B6139" s="207"/>
      <c r="N6139" s="4"/>
      <c r="O6139" s="256"/>
    </row>
    <row r="6140" spans="1:15">
      <c r="A6140" s="207"/>
      <c r="B6140" s="207"/>
      <c r="N6140" s="4"/>
      <c r="O6140" s="256"/>
    </row>
    <row r="6141" spans="1:15">
      <c r="A6141" s="207"/>
      <c r="B6141" s="207"/>
      <c r="N6141" s="4"/>
      <c r="O6141" s="256"/>
    </row>
    <row r="6142" spans="1:15">
      <c r="A6142" s="207"/>
      <c r="B6142" s="207"/>
      <c r="N6142" s="4"/>
      <c r="O6142" s="256"/>
    </row>
    <row r="6143" spans="1:15">
      <c r="A6143" s="207"/>
      <c r="B6143" s="207"/>
      <c r="N6143" s="4"/>
      <c r="O6143" s="256"/>
    </row>
    <row r="6144" spans="1:15">
      <c r="A6144" s="207"/>
      <c r="B6144" s="207"/>
      <c r="N6144" s="4"/>
      <c r="O6144" s="256"/>
    </row>
    <row r="6145" spans="1:15">
      <c r="A6145" s="207"/>
      <c r="B6145" s="207"/>
      <c r="N6145" s="4"/>
      <c r="O6145" s="256"/>
    </row>
    <row r="6146" spans="1:15">
      <c r="A6146" s="207"/>
      <c r="B6146" s="207"/>
      <c r="N6146" s="4"/>
      <c r="O6146" s="256"/>
    </row>
    <row r="6147" spans="1:15">
      <c r="A6147" s="207"/>
      <c r="B6147" s="207"/>
      <c r="N6147" s="4"/>
      <c r="O6147" s="256"/>
    </row>
    <row r="6148" spans="1:15">
      <c r="A6148" s="207"/>
      <c r="B6148" s="207"/>
      <c r="N6148" s="4"/>
      <c r="O6148" s="256"/>
    </row>
    <row r="6149" spans="1:15">
      <c r="A6149" s="207"/>
      <c r="B6149" s="207"/>
      <c r="N6149" s="4"/>
      <c r="O6149" s="256"/>
    </row>
    <row r="6150" spans="1:15">
      <c r="A6150" s="207"/>
      <c r="B6150" s="207"/>
      <c r="N6150" s="4"/>
      <c r="O6150" s="256"/>
    </row>
    <row r="6151" spans="1:15">
      <c r="A6151" s="207"/>
      <c r="B6151" s="207"/>
      <c r="N6151" s="4"/>
      <c r="O6151" s="256"/>
    </row>
    <row r="6152" spans="1:15">
      <c r="A6152" s="207"/>
      <c r="B6152" s="207"/>
      <c r="N6152" s="4"/>
      <c r="O6152" s="256"/>
    </row>
    <row r="6153" spans="1:15">
      <c r="A6153" s="207"/>
      <c r="B6153" s="207"/>
      <c r="N6153" s="4"/>
      <c r="O6153" s="256"/>
    </row>
    <row r="6154" spans="1:15">
      <c r="A6154" s="207"/>
      <c r="B6154" s="207"/>
      <c r="N6154" s="4"/>
      <c r="O6154" s="256"/>
    </row>
    <row r="6155" spans="1:15">
      <c r="A6155" s="207"/>
      <c r="B6155" s="207"/>
      <c r="N6155" s="4"/>
      <c r="O6155" s="256"/>
    </row>
    <row r="6156" spans="1:15">
      <c r="A6156" s="207"/>
      <c r="B6156" s="207"/>
      <c r="N6156" s="4"/>
      <c r="O6156" s="256"/>
    </row>
    <row r="6157" spans="1:15">
      <c r="A6157" s="207"/>
      <c r="B6157" s="207"/>
      <c r="N6157" s="4"/>
      <c r="O6157" s="256"/>
    </row>
    <row r="6158" spans="1:15">
      <c r="A6158" s="207"/>
      <c r="B6158" s="207"/>
      <c r="N6158" s="4"/>
      <c r="O6158" s="256"/>
    </row>
    <row r="6159" spans="1:15">
      <c r="A6159" s="207"/>
      <c r="B6159" s="207"/>
      <c r="N6159" s="4"/>
      <c r="O6159" s="256"/>
    </row>
    <row r="6160" spans="1:15">
      <c r="A6160" s="207"/>
      <c r="B6160" s="207"/>
      <c r="N6160" s="4"/>
      <c r="O6160" s="256"/>
    </row>
    <row r="6161" spans="1:15">
      <c r="A6161" s="207"/>
      <c r="B6161" s="207"/>
      <c r="N6161" s="4"/>
      <c r="O6161" s="256"/>
    </row>
    <row r="6162" spans="1:15">
      <c r="A6162" s="207"/>
      <c r="B6162" s="207"/>
      <c r="N6162" s="4"/>
      <c r="O6162" s="256"/>
    </row>
    <row r="6163" spans="1:15">
      <c r="A6163" s="207"/>
      <c r="B6163" s="207"/>
      <c r="N6163" s="4"/>
      <c r="O6163" s="256"/>
    </row>
    <row r="6164" spans="1:15">
      <c r="A6164" s="207"/>
      <c r="B6164" s="207"/>
      <c r="N6164" s="4"/>
      <c r="O6164" s="256"/>
    </row>
    <row r="6165" spans="1:15">
      <c r="A6165" s="207"/>
      <c r="B6165" s="207"/>
      <c r="N6165" s="4"/>
      <c r="O6165" s="256"/>
    </row>
    <row r="6166" spans="1:15">
      <c r="A6166" s="207"/>
      <c r="B6166" s="207"/>
      <c r="N6166" s="4"/>
      <c r="O6166" s="256"/>
    </row>
    <row r="6167" spans="1:15">
      <c r="A6167" s="207"/>
      <c r="B6167" s="207"/>
      <c r="N6167" s="4"/>
      <c r="O6167" s="256"/>
    </row>
    <row r="6168" spans="1:15">
      <c r="A6168" s="207"/>
      <c r="B6168" s="207"/>
      <c r="N6168" s="4"/>
      <c r="O6168" s="256"/>
    </row>
    <row r="6169" spans="1:15">
      <c r="A6169" s="207"/>
      <c r="B6169" s="207"/>
      <c r="N6169" s="4"/>
      <c r="O6169" s="256"/>
    </row>
    <row r="6170" spans="1:15">
      <c r="A6170" s="207"/>
      <c r="B6170" s="207"/>
      <c r="N6170" s="4"/>
      <c r="O6170" s="256"/>
    </row>
    <row r="6171" spans="1:15">
      <c r="A6171" s="207"/>
      <c r="B6171" s="207"/>
      <c r="N6171" s="4"/>
      <c r="O6171" s="256"/>
    </row>
    <row r="6172" spans="1:15">
      <c r="A6172" s="207"/>
      <c r="B6172" s="207"/>
      <c r="N6172" s="4"/>
      <c r="O6172" s="256"/>
    </row>
    <row r="6173" spans="1:15">
      <c r="A6173" s="207"/>
      <c r="B6173" s="207"/>
      <c r="N6173" s="4"/>
      <c r="O6173" s="256"/>
    </row>
    <row r="6174" spans="1:15">
      <c r="A6174" s="207"/>
      <c r="B6174" s="207"/>
      <c r="N6174" s="4"/>
      <c r="O6174" s="256"/>
    </row>
    <row r="6175" spans="1:15">
      <c r="A6175" s="207"/>
      <c r="B6175" s="207"/>
      <c r="N6175" s="4"/>
      <c r="O6175" s="256"/>
    </row>
    <row r="6176" spans="1:15">
      <c r="A6176" s="207"/>
      <c r="B6176" s="207"/>
      <c r="N6176" s="4"/>
      <c r="O6176" s="256"/>
    </row>
    <row r="6177" spans="1:15">
      <c r="A6177" s="207"/>
      <c r="B6177" s="207"/>
      <c r="N6177" s="4"/>
      <c r="O6177" s="256"/>
    </row>
    <row r="6178" spans="1:15">
      <c r="A6178" s="207"/>
      <c r="B6178" s="207"/>
      <c r="N6178" s="4"/>
      <c r="O6178" s="256"/>
    </row>
    <row r="6179" spans="1:15">
      <c r="A6179" s="207"/>
      <c r="B6179" s="207"/>
      <c r="N6179" s="4"/>
      <c r="O6179" s="256"/>
    </row>
    <row r="6180" spans="1:15">
      <c r="A6180" s="207"/>
      <c r="B6180" s="207"/>
      <c r="N6180" s="4"/>
      <c r="O6180" s="256"/>
    </row>
    <row r="6181" spans="1:15">
      <c r="A6181" s="207"/>
      <c r="B6181" s="207"/>
      <c r="N6181" s="4"/>
      <c r="O6181" s="256"/>
    </row>
    <row r="6182" spans="1:15">
      <c r="A6182" s="207"/>
      <c r="B6182" s="207"/>
      <c r="N6182" s="4"/>
      <c r="O6182" s="256"/>
    </row>
    <row r="6183" spans="1:15">
      <c r="A6183" s="207"/>
      <c r="B6183" s="207"/>
      <c r="N6183" s="4"/>
      <c r="O6183" s="256"/>
    </row>
    <row r="6184" spans="1:15">
      <c r="A6184" s="207"/>
      <c r="B6184" s="207"/>
      <c r="N6184" s="4"/>
      <c r="O6184" s="256"/>
    </row>
    <row r="6185" spans="1:15">
      <c r="A6185" s="207"/>
      <c r="B6185" s="207"/>
      <c r="N6185" s="4"/>
      <c r="O6185" s="256"/>
    </row>
    <row r="6186" spans="1:15">
      <c r="A6186" s="207"/>
      <c r="B6186" s="207"/>
      <c r="N6186" s="4"/>
      <c r="O6186" s="256"/>
    </row>
    <row r="6187" spans="1:15">
      <c r="A6187" s="207"/>
      <c r="B6187" s="207"/>
      <c r="N6187" s="4"/>
      <c r="O6187" s="256"/>
    </row>
    <row r="6188" spans="1:15">
      <c r="A6188" s="207"/>
      <c r="B6188" s="207"/>
      <c r="N6188" s="4"/>
      <c r="O6188" s="256"/>
    </row>
    <row r="6189" spans="1:15">
      <c r="A6189" s="207"/>
      <c r="B6189" s="207"/>
      <c r="N6189" s="4"/>
      <c r="O6189" s="256"/>
    </row>
    <row r="6190" spans="1:15">
      <c r="A6190" s="207"/>
      <c r="B6190" s="207"/>
      <c r="N6190" s="4"/>
      <c r="O6190" s="256"/>
    </row>
    <row r="6191" spans="1:15">
      <c r="A6191" s="207"/>
      <c r="B6191" s="207"/>
      <c r="N6191" s="4"/>
      <c r="O6191" s="256"/>
    </row>
    <row r="6192" spans="1:15">
      <c r="A6192" s="207"/>
      <c r="B6192" s="207"/>
      <c r="N6192" s="4"/>
      <c r="O6192" s="256"/>
    </row>
    <row r="6193" spans="1:15">
      <c r="A6193" s="207"/>
      <c r="B6193" s="207"/>
      <c r="N6193" s="4"/>
      <c r="O6193" s="256"/>
    </row>
    <row r="6194" spans="1:15">
      <c r="A6194" s="207"/>
      <c r="B6194" s="207"/>
      <c r="N6194" s="4"/>
      <c r="O6194" s="256"/>
    </row>
    <row r="6195" spans="1:15">
      <c r="A6195" s="207"/>
      <c r="B6195" s="207"/>
      <c r="N6195" s="4"/>
      <c r="O6195" s="256"/>
    </row>
    <row r="6196" spans="1:15">
      <c r="A6196" s="207"/>
      <c r="B6196" s="207"/>
      <c r="N6196" s="4"/>
      <c r="O6196" s="256"/>
    </row>
    <row r="6197" spans="1:15">
      <c r="A6197" s="207"/>
      <c r="B6197" s="207"/>
      <c r="N6197" s="4"/>
      <c r="O6197" s="256"/>
    </row>
    <row r="6198" spans="1:15">
      <c r="A6198" s="207"/>
      <c r="B6198" s="207"/>
      <c r="N6198" s="4"/>
      <c r="O6198" s="256"/>
    </row>
    <row r="6199" spans="1:15">
      <c r="A6199" s="207"/>
      <c r="B6199" s="207"/>
      <c r="N6199" s="4"/>
      <c r="O6199" s="256"/>
    </row>
    <row r="6200" spans="1:15">
      <c r="A6200" s="207"/>
      <c r="B6200" s="207"/>
      <c r="N6200" s="4"/>
      <c r="O6200" s="256"/>
    </row>
    <row r="6201" spans="1:15">
      <c r="A6201" s="207"/>
      <c r="B6201" s="207"/>
      <c r="N6201" s="4"/>
      <c r="O6201" s="256"/>
    </row>
    <row r="6202" spans="1:15">
      <c r="A6202" s="207"/>
      <c r="B6202" s="207"/>
      <c r="N6202" s="4"/>
      <c r="O6202" s="256"/>
    </row>
    <row r="6203" spans="1:15">
      <c r="A6203" s="207"/>
      <c r="B6203" s="207"/>
      <c r="N6203" s="4"/>
      <c r="O6203" s="256"/>
    </row>
    <row r="6204" spans="1:15">
      <c r="A6204" s="207"/>
      <c r="B6204" s="207"/>
      <c r="N6204" s="4"/>
      <c r="O6204" s="256"/>
    </row>
    <row r="6205" spans="1:15">
      <c r="A6205" s="207"/>
      <c r="B6205" s="207"/>
      <c r="N6205" s="4"/>
      <c r="O6205" s="256"/>
    </row>
    <row r="6206" spans="1:15">
      <c r="A6206" s="207"/>
      <c r="B6206" s="207"/>
      <c r="N6206" s="4"/>
      <c r="O6206" s="256"/>
    </row>
    <row r="6207" spans="1:15">
      <c r="A6207" s="207"/>
      <c r="B6207" s="207"/>
      <c r="N6207" s="4"/>
      <c r="O6207" s="256"/>
    </row>
    <row r="6208" spans="1:15">
      <c r="A6208" s="207"/>
      <c r="B6208" s="207"/>
      <c r="N6208" s="4"/>
      <c r="O6208" s="256"/>
    </row>
    <row r="6209" spans="1:15">
      <c r="A6209" s="207"/>
      <c r="B6209" s="207"/>
      <c r="N6209" s="4"/>
      <c r="O6209" s="256"/>
    </row>
    <row r="6210" spans="1:15">
      <c r="A6210" s="207"/>
      <c r="B6210" s="207"/>
      <c r="N6210" s="4"/>
      <c r="O6210" s="256"/>
    </row>
    <row r="6211" spans="1:15">
      <c r="A6211" s="207"/>
      <c r="B6211" s="207"/>
      <c r="N6211" s="4"/>
      <c r="O6211" s="256"/>
    </row>
    <row r="6212" spans="1:15">
      <c r="A6212" s="207"/>
      <c r="B6212" s="207"/>
      <c r="N6212" s="4"/>
      <c r="O6212" s="256"/>
    </row>
    <row r="6213" spans="1:15">
      <c r="A6213" s="207"/>
      <c r="B6213" s="207"/>
      <c r="N6213" s="4"/>
      <c r="O6213" s="256"/>
    </row>
    <row r="6214" spans="1:15">
      <c r="A6214" s="207"/>
      <c r="B6214" s="207"/>
      <c r="N6214" s="4"/>
      <c r="O6214" s="256"/>
    </row>
    <row r="6215" spans="1:15">
      <c r="A6215" s="207"/>
      <c r="B6215" s="207"/>
      <c r="N6215" s="4"/>
      <c r="O6215" s="256"/>
    </row>
    <row r="6216" spans="1:15">
      <c r="A6216" s="207"/>
      <c r="B6216" s="207"/>
      <c r="N6216" s="4"/>
      <c r="O6216" s="256"/>
    </row>
    <row r="6217" spans="1:15">
      <c r="A6217" s="207"/>
      <c r="B6217" s="207"/>
      <c r="N6217" s="4"/>
      <c r="O6217" s="256"/>
    </row>
    <row r="6218" spans="1:15">
      <c r="A6218" s="207"/>
      <c r="B6218" s="207"/>
      <c r="N6218" s="4"/>
      <c r="O6218" s="256"/>
    </row>
    <row r="6219" spans="1:15">
      <c r="A6219" s="207"/>
      <c r="B6219" s="207"/>
      <c r="N6219" s="4"/>
      <c r="O6219" s="256"/>
    </row>
    <row r="6220" spans="1:15">
      <c r="A6220" s="207"/>
      <c r="B6220" s="207"/>
      <c r="N6220" s="4"/>
      <c r="O6220" s="256"/>
    </row>
    <row r="6221" spans="1:15">
      <c r="A6221" s="207"/>
      <c r="B6221" s="207"/>
      <c r="N6221" s="4"/>
      <c r="O6221" s="256"/>
    </row>
    <row r="6222" spans="1:15">
      <c r="A6222" s="207"/>
      <c r="B6222" s="207"/>
      <c r="N6222" s="4"/>
      <c r="O6222" s="256"/>
    </row>
    <row r="6223" spans="1:15">
      <c r="A6223" s="207"/>
      <c r="B6223" s="207"/>
      <c r="N6223" s="4"/>
      <c r="O6223" s="256"/>
    </row>
    <row r="6224" spans="1:15">
      <c r="A6224" s="207"/>
      <c r="B6224" s="207"/>
      <c r="N6224" s="4"/>
      <c r="O6224" s="256"/>
    </row>
    <row r="6225" spans="1:15">
      <c r="A6225" s="207"/>
      <c r="B6225" s="207"/>
      <c r="N6225" s="4"/>
      <c r="O6225" s="256"/>
    </row>
    <row r="6226" spans="1:15">
      <c r="A6226" s="207"/>
      <c r="B6226" s="207"/>
      <c r="N6226" s="4"/>
      <c r="O6226" s="256"/>
    </row>
    <row r="6227" spans="1:15">
      <c r="A6227" s="207"/>
      <c r="B6227" s="207"/>
      <c r="N6227" s="4"/>
      <c r="O6227" s="256"/>
    </row>
    <row r="6228" spans="1:15">
      <c r="A6228" s="207"/>
      <c r="B6228" s="207"/>
      <c r="N6228" s="4"/>
      <c r="O6228" s="256"/>
    </row>
    <row r="6229" spans="1:15">
      <c r="A6229" s="207"/>
      <c r="B6229" s="207"/>
      <c r="N6229" s="4"/>
      <c r="O6229" s="256"/>
    </row>
    <row r="6230" spans="1:15">
      <c r="A6230" s="207"/>
      <c r="B6230" s="207"/>
      <c r="N6230" s="4"/>
      <c r="O6230" s="256"/>
    </row>
    <row r="6231" spans="1:15">
      <c r="A6231" s="207"/>
      <c r="B6231" s="207"/>
      <c r="N6231" s="4"/>
      <c r="O6231" s="256"/>
    </row>
    <row r="6232" spans="1:15">
      <c r="A6232" s="207"/>
      <c r="B6232" s="207"/>
      <c r="N6232" s="4"/>
      <c r="O6232" s="256"/>
    </row>
    <row r="6233" spans="1:15">
      <c r="A6233" s="207"/>
      <c r="B6233" s="207"/>
      <c r="N6233" s="4"/>
      <c r="O6233" s="256"/>
    </row>
    <row r="6234" spans="1:15">
      <c r="A6234" s="207"/>
      <c r="B6234" s="207"/>
      <c r="N6234" s="4"/>
      <c r="O6234" s="256"/>
    </row>
    <row r="6235" spans="1:15">
      <c r="A6235" s="207"/>
      <c r="B6235" s="207"/>
      <c r="N6235" s="4"/>
      <c r="O6235" s="256"/>
    </row>
    <row r="6236" spans="1:15">
      <c r="A6236" s="207"/>
      <c r="B6236" s="207"/>
      <c r="N6236" s="4"/>
      <c r="O6236" s="256"/>
    </row>
    <row r="6237" spans="1:15">
      <c r="A6237" s="207"/>
      <c r="B6237" s="207"/>
      <c r="N6237" s="4"/>
      <c r="O6237" s="256"/>
    </row>
    <row r="6238" spans="1:15">
      <c r="A6238" s="207"/>
      <c r="B6238" s="207"/>
      <c r="N6238" s="4"/>
      <c r="O6238" s="256"/>
    </row>
    <row r="6239" spans="1:15">
      <c r="A6239" s="207"/>
      <c r="B6239" s="207"/>
      <c r="N6239" s="4"/>
      <c r="O6239" s="256"/>
    </row>
    <row r="6240" spans="1:15">
      <c r="A6240" s="207"/>
      <c r="B6240" s="207"/>
      <c r="N6240" s="4"/>
      <c r="O6240" s="256"/>
    </row>
    <row r="6241" spans="1:15">
      <c r="A6241" s="207"/>
      <c r="B6241" s="207"/>
      <c r="N6241" s="4"/>
      <c r="O6241" s="256"/>
    </row>
    <row r="6242" spans="1:15">
      <c r="A6242" s="207"/>
      <c r="B6242" s="207"/>
      <c r="N6242" s="4"/>
      <c r="O6242" s="256"/>
    </row>
    <row r="6243" spans="1:15">
      <c r="A6243" s="207"/>
      <c r="B6243" s="207"/>
      <c r="N6243" s="4"/>
      <c r="O6243" s="256"/>
    </row>
    <row r="6244" spans="1:15">
      <c r="A6244" s="207"/>
      <c r="B6244" s="207"/>
      <c r="N6244" s="4"/>
      <c r="O6244" s="256"/>
    </row>
    <row r="6245" spans="1:15">
      <c r="A6245" s="207"/>
      <c r="B6245" s="207"/>
      <c r="N6245" s="4"/>
      <c r="O6245" s="256"/>
    </row>
    <row r="6246" spans="1:15">
      <c r="A6246" s="207"/>
      <c r="B6246" s="207"/>
      <c r="N6246" s="4"/>
      <c r="O6246" s="256"/>
    </row>
    <row r="6247" spans="1:15">
      <c r="A6247" s="207"/>
      <c r="B6247" s="207"/>
      <c r="N6247" s="4"/>
      <c r="O6247" s="256"/>
    </row>
    <row r="6248" spans="1:15">
      <c r="A6248" s="207"/>
      <c r="B6248" s="207"/>
      <c r="N6248" s="4"/>
      <c r="O6248" s="256"/>
    </row>
    <row r="6249" spans="1:15">
      <c r="A6249" s="207"/>
      <c r="B6249" s="207"/>
      <c r="N6249" s="4"/>
      <c r="O6249" s="256"/>
    </row>
    <row r="6250" spans="1:15">
      <c r="A6250" s="207"/>
      <c r="B6250" s="207"/>
      <c r="N6250" s="4"/>
      <c r="O6250" s="256"/>
    </row>
    <row r="6251" spans="1:15">
      <c r="A6251" s="207"/>
      <c r="B6251" s="207"/>
      <c r="N6251" s="4"/>
      <c r="O6251" s="256"/>
    </row>
    <row r="6252" spans="1:15">
      <c r="A6252" s="207"/>
      <c r="B6252" s="207"/>
      <c r="N6252" s="4"/>
      <c r="O6252" s="256"/>
    </row>
    <row r="6253" spans="1:15">
      <c r="A6253" s="207"/>
      <c r="B6253" s="207"/>
      <c r="N6253" s="4"/>
      <c r="O6253" s="256"/>
    </row>
    <row r="6254" spans="1:15">
      <c r="A6254" s="207"/>
      <c r="B6254" s="207"/>
      <c r="N6254" s="4"/>
      <c r="O6254" s="256"/>
    </row>
    <row r="6255" spans="1:15">
      <c r="A6255" s="207"/>
      <c r="B6255" s="207"/>
      <c r="N6255" s="4"/>
      <c r="O6255" s="256"/>
    </row>
    <row r="6256" spans="1:15">
      <c r="A6256" s="207"/>
      <c r="B6256" s="207"/>
      <c r="N6256" s="4"/>
      <c r="O6256" s="256"/>
    </row>
    <row r="6257" spans="1:15">
      <c r="A6257" s="207"/>
      <c r="B6257" s="207"/>
      <c r="N6257" s="4"/>
      <c r="O6257" s="256"/>
    </row>
    <row r="6258" spans="1:15">
      <c r="A6258" s="207"/>
      <c r="B6258" s="207"/>
      <c r="N6258" s="4"/>
      <c r="O6258" s="256"/>
    </row>
    <row r="6259" spans="1:15">
      <c r="A6259" s="207"/>
      <c r="B6259" s="207"/>
      <c r="N6259" s="4"/>
      <c r="O6259" s="256"/>
    </row>
    <row r="6260" spans="1:15">
      <c r="A6260" s="207"/>
      <c r="B6260" s="207"/>
      <c r="N6260" s="4"/>
      <c r="O6260" s="256"/>
    </row>
    <row r="6261" spans="1:15">
      <c r="A6261" s="207"/>
      <c r="B6261" s="207"/>
      <c r="N6261" s="4"/>
      <c r="O6261" s="256"/>
    </row>
    <row r="6262" spans="1:15">
      <c r="A6262" s="207"/>
      <c r="B6262" s="207"/>
      <c r="N6262" s="4"/>
      <c r="O6262" s="256"/>
    </row>
    <row r="6263" spans="1:15">
      <c r="A6263" s="207"/>
      <c r="B6263" s="207"/>
      <c r="N6263" s="4"/>
      <c r="O6263" s="256"/>
    </row>
    <row r="6264" spans="1:15">
      <c r="A6264" s="207"/>
      <c r="B6264" s="207"/>
      <c r="N6264" s="4"/>
      <c r="O6264" s="256"/>
    </row>
    <row r="6265" spans="1:15">
      <c r="A6265" s="207"/>
      <c r="B6265" s="207"/>
      <c r="N6265" s="4"/>
      <c r="O6265" s="256"/>
    </row>
    <row r="6266" spans="1:15">
      <c r="A6266" s="207"/>
      <c r="B6266" s="207"/>
      <c r="N6266" s="4"/>
      <c r="O6266" s="256"/>
    </row>
    <row r="6267" spans="1:15">
      <c r="A6267" s="207"/>
      <c r="B6267" s="207"/>
      <c r="N6267" s="4"/>
      <c r="O6267" s="256"/>
    </row>
    <row r="6268" spans="1:15">
      <c r="A6268" s="207"/>
      <c r="B6268" s="207"/>
      <c r="N6268" s="4"/>
      <c r="O6268" s="256"/>
    </row>
    <row r="6269" spans="1:15">
      <c r="A6269" s="207"/>
      <c r="B6269" s="207"/>
      <c r="N6269" s="4"/>
      <c r="O6269" s="256"/>
    </row>
    <row r="6270" spans="1:15">
      <c r="A6270" s="207"/>
      <c r="B6270" s="207"/>
      <c r="N6270" s="4"/>
      <c r="O6270" s="256"/>
    </row>
    <row r="6271" spans="1:15">
      <c r="A6271" s="207"/>
      <c r="B6271" s="207"/>
      <c r="N6271" s="4"/>
      <c r="O6271" s="256"/>
    </row>
    <row r="6272" spans="1:15">
      <c r="A6272" s="207"/>
      <c r="B6272" s="207"/>
      <c r="N6272" s="4"/>
      <c r="O6272" s="256"/>
    </row>
    <row r="6273" spans="1:15">
      <c r="A6273" s="207"/>
      <c r="B6273" s="207"/>
      <c r="N6273" s="4"/>
      <c r="O6273" s="256"/>
    </row>
    <row r="6274" spans="1:15">
      <c r="A6274" s="207"/>
      <c r="B6274" s="207"/>
      <c r="N6274" s="4"/>
      <c r="O6274" s="256"/>
    </row>
    <row r="6275" spans="1:15">
      <c r="A6275" s="207"/>
      <c r="B6275" s="207"/>
      <c r="N6275" s="4"/>
      <c r="O6275" s="256"/>
    </row>
    <row r="6276" spans="1:15">
      <c r="A6276" s="207"/>
      <c r="B6276" s="207"/>
      <c r="N6276" s="4"/>
      <c r="O6276" s="256"/>
    </row>
    <row r="6277" spans="1:15">
      <c r="A6277" s="207"/>
      <c r="B6277" s="207"/>
      <c r="N6277" s="4"/>
      <c r="O6277" s="256"/>
    </row>
    <row r="6278" spans="1:15">
      <c r="A6278" s="207"/>
      <c r="B6278" s="207"/>
      <c r="N6278" s="4"/>
      <c r="O6278" s="256"/>
    </row>
    <row r="6279" spans="1:15">
      <c r="A6279" s="207"/>
      <c r="B6279" s="207"/>
      <c r="N6279" s="4"/>
      <c r="O6279" s="256"/>
    </row>
    <row r="6280" spans="1:15">
      <c r="A6280" s="207"/>
      <c r="B6280" s="207"/>
      <c r="N6280" s="4"/>
      <c r="O6280" s="256"/>
    </row>
    <row r="6281" spans="1:15">
      <c r="A6281" s="207"/>
      <c r="B6281" s="207"/>
      <c r="N6281" s="4"/>
      <c r="O6281" s="256"/>
    </row>
    <row r="6282" spans="1:15">
      <c r="A6282" s="207"/>
      <c r="B6282" s="207"/>
      <c r="N6282" s="4"/>
      <c r="O6282" s="256"/>
    </row>
    <row r="6283" spans="1:15">
      <c r="A6283" s="207"/>
      <c r="B6283" s="207"/>
      <c r="N6283" s="4"/>
      <c r="O6283" s="256"/>
    </row>
    <row r="6284" spans="1:15">
      <c r="A6284" s="207"/>
      <c r="B6284" s="207"/>
      <c r="N6284" s="4"/>
      <c r="O6284" s="256"/>
    </row>
    <row r="6285" spans="1:15">
      <c r="A6285" s="207"/>
      <c r="B6285" s="207"/>
      <c r="N6285" s="4"/>
      <c r="O6285" s="256"/>
    </row>
    <row r="6286" spans="1:15">
      <c r="A6286" s="207"/>
      <c r="B6286" s="207"/>
      <c r="N6286" s="4"/>
      <c r="O6286" s="256"/>
    </row>
    <row r="6287" spans="1:15">
      <c r="A6287" s="207"/>
      <c r="B6287" s="207"/>
      <c r="N6287" s="4"/>
      <c r="O6287" s="256"/>
    </row>
    <row r="6288" spans="1:15">
      <c r="A6288" s="207"/>
      <c r="B6288" s="207"/>
      <c r="N6288" s="4"/>
      <c r="O6288" s="256"/>
    </row>
    <row r="6289" spans="1:15">
      <c r="A6289" s="207"/>
      <c r="B6289" s="207"/>
      <c r="N6289" s="4"/>
      <c r="O6289" s="256"/>
    </row>
    <row r="6290" spans="1:15">
      <c r="A6290" s="207"/>
      <c r="B6290" s="207"/>
      <c r="N6290" s="4"/>
      <c r="O6290" s="256"/>
    </row>
    <row r="6291" spans="1:15">
      <c r="A6291" s="207"/>
      <c r="B6291" s="207"/>
      <c r="N6291" s="4"/>
      <c r="O6291" s="256"/>
    </row>
    <row r="6292" spans="1:15">
      <c r="A6292" s="207"/>
      <c r="B6292" s="207"/>
      <c r="N6292" s="4"/>
      <c r="O6292" s="256"/>
    </row>
    <row r="6293" spans="1:15">
      <c r="A6293" s="207"/>
      <c r="B6293" s="207"/>
      <c r="N6293" s="4"/>
      <c r="O6293" s="256"/>
    </row>
    <row r="6294" spans="1:15">
      <c r="A6294" s="207"/>
      <c r="B6294" s="207"/>
      <c r="N6294" s="4"/>
      <c r="O6294" s="256"/>
    </row>
    <row r="6295" spans="1:15">
      <c r="A6295" s="207"/>
      <c r="B6295" s="207"/>
      <c r="N6295" s="4"/>
      <c r="O6295" s="256"/>
    </row>
    <row r="6296" spans="1:15">
      <c r="A6296" s="207"/>
      <c r="B6296" s="207"/>
      <c r="N6296" s="4"/>
      <c r="O6296" s="256"/>
    </row>
    <row r="6297" spans="1:15">
      <c r="A6297" s="207"/>
      <c r="B6297" s="207"/>
      <c r="N6297" s="4"/>
      <c r="O6297" s="256"/>
    </row>
    <row r="6298" spans="1:15">
      <c r="A6298" s="207"/>
      <c r="B6298" s="207"/>
      <c r="N6298" s="4"/>
      <c r="O6298" s="256"/>
    </row>
    <row r="6299" spans="1:15">
      <c r="A6299" s="207"/>
      <c r="B6299" s="207"/>
      <c r="N6299" s="4"/>
      <c r="O6299" s="256"/>
    </row>
    <row r="6300" spans="1:15">
      <c r="A6300" s="207"/>
      <c r="B6300" s="207"/>
      <c r="N6300" s="4"/>
      <c r="O6300" s="256"/>
    </row>
    <row r="6301" spans="1:15">
      <c r="A6301" s="207"/>
      <c r="B6301" s="207"/>
      <c r="N6301" s="4"/>
      <c r="O6301" s="256"/>
    </row>
    <row r="6302" spans="1:15">
      <c r="A6302" s="207"/>
      <c r="B6302" s="207"/>
      <c r="N6302" s="4"/>
      <c r="O6302" s="256"/>
    </row>
    <row r="6303" spans="1:15">
      <c r="A6303" s="207"/>
      <c r="B6303" s="207"/>
      <c r="N6303" s="4"/>
      <c r="O6303" s="256"/>
    </row>
    <row r="6304" spans="1:15">
      <c r="A6304" s="207"/>
      <c r="B6304" s="207"/>
      <c r="N6304" s="4"/>
      <c r="O6304" s="256"/>
    </row>
    <row r="6305" spans="1:15">
      <c r="A6305" s="207"/>
      <c r="B6305" s="207"/>
      <c r="N6305" s="4"/>
      <c r="O6305" s="256"/>
    </row>
    <row r="6306" spans="1:15">
      <c r="A6306" s="207"/>
      <c r="B6306" s="207"/>
      <c r="N6306" s="4"/>
      <c r="O6306" s="256"/>
    </row>
    <row r="6307" spans="1:15">
      <c r="A6307" s="207"/>
      <c r="B6307" s="207"/>
      <c r="N6307" s="4"/>
      <c r="O6307" s="256"/>
    </row>
    <row r="6308" spans="1:15">
      <c r="A6308" s="207"/>
      <c r="B6308" s="207"/>
      <c r="N6308" s="4"/>
      <c r="O6308" s="256"/>
    </row>
    <row r="6309" spans="1:15">
      <c r="A6309" s="207"/>
      <c r="B6309" s="207"/>
      <c r="N6309" s="4"/>
      <c r="O6309" s="256"/>
    </row>
    <row r="6310" spans="1:15">
      <c r="A6310" s="207"/>
      <c r="B6310" s="207"/>
      <c r="N6310" s="4"/>
      <c r="O6310" s="256"/>
    </row>
    <row r="6311" spans="1:15">
      <c r="A6311" s="207"/>
      <c r="B6311" s="207"/>
      <c r="N6311" s="4"/>
      <c r="O6311" s="256"/>
    </row>
    <row r="6312" spans="1:15">
      <c r="A6312" s="207"/>
      <c r="B6312" s="207"/>
      <c r="N6312" s="4"/>
      <c r="O6312" s="256"/>
    </row>
    <row r="6313" spans="1:15">
      <c r="A6313" s="207"/>
      <c r="B6313" s="207"/>
      <c r="N6313" s="4"/>
      <c r="O6313" s="256"/>
    </row>
    <row r="6314" spans="1:15">
      <c r="A6314" s="207"/>
      <c r="B6314" s="207"/>
      <c r="N6314" s="4"/>
      <c r="O6314" s="256"/>
    </row>
    <row r="6315" spans="1:15">
      <c r="A6315" s="207"/>
      <c r="B6315" s="207"/>
      <c r="N6315" s="4"/>
      <c r="O6315" s="256"/>
    </row>
    <row r="6316" spans="1:15">
      <c r="A6316" s="207"/>
      <c r="B6316" s="207"/>
      <c r="N6316" s="4"/>
      <c r="O6316" s="256"/>
    </row>
    <row r="6317" spans="1:15">
      <c r="A6317" s="207"/>
      <c r="B6317" s="207"/>
      <c r="N6317" s="4"/>
      <c r="O6317" s="256"/>
    </row>
    <row r="6318" spans="1:15">
      <c r="A6318" s="207"/>
      <c r="B6318" s="207"/>
      <c r="N6318" s="4"/>
      <c r="O6318" s="256"/>
    </row>
    <row r="6319" spans="1:15">
      <c r="A6319" s="207"/>
      <c r="B6319" s="207"/>
      <c r="N6319" s="4"/>
      <c r="O6319" s="256"/>
    </row>
    <row r="6320" spans="1:15">
      <c r="A6320" s="207"/>
      <c r="B6320" s="207"/>
      <c r="N6320" s="4"/>
      <c r="O6320" s="256"/>
    </row>
    <row r="6321" spans="1:15">
      <c r="A6321" s="207"/>
      <c r="B6321" s="207"/>
      <c r="N6321" s="4"/>
      <c r="O6321" s="256"/>
    </row>
    <row r="6322" spans="1:15">
      <c r="A6322" s="207"/>
      <c r="B6322" s="207"/>
      <c r="N6322" s="4"/>
      <c r="O6322" s="256"/>
    </row>
    <row r="6323" spans="1:15">
      <c r="A6323" s="207"/>
      <c r="B6323" s="207"/>
      <c r="N6323" s="4"/>
      <c r="O6323" s="256"/>
    </row>
    <row r="6324" spans="1:15">
      <c r="A6324" s="207"/>
      <c r="B6324" s="207"/>
      <c r="N6324" s="4"/>
      <c r="O6324" s="256"/>
    </row>
    <row r="6325" spans="1:15">
      <c r="A6325" s="207"/>
      <c r="B6325" s="207"/>
      <c r="N6325" s="4"/>
      <c r="O6325" s="256"/>
    </row>
    <row r="6326" spans="1:15">
      <c r="A6326" s="207"/>
      <c r="B6326" s="207"/>
      <c r="N6326" s="4"/>
      <c r="O6326" s="256"/>
    </row>
    <row r="6327" spans="1:15">
      <c r="A6327" s="207"/>
      <c r="B6327" s="207"/>
      <c r="N6327" s="4"/>
      <c r="O6327" s="256"/>
    </row>
    <row r="6328" spans="1:15">
      <c r="A6328" s="207"/>
      <c r="B6328" s="207"/>
      <c r="N6328" s="4"/>
      <c r="O6328" s="256"/>
    </row>
    <row r="6329" spans="1:15">
      <c r="A6329" s="207"/>
      <c r="B6329" s="207"/>
      <c r="N6329" s="4"/>
      <c r="O6329" s="256"/>
    </row>
    <row r="6330" spans="1:15">
      <c r="A6330" s="207"/>
      <c r="B6330" s="207"/>
      <c r="N6330" s="4"/>
      <c r="O6330" s="256"/>
    </row>
    <row r="6331" spans="1:15">
      <c r="A6331" s="207"/>
      <c r="B6331" s="207"/>
      <c r="N6331" s="4"/>
      <c r="O6331" s="256"/>
    </row>
    <row r="6332" spans="1:15">
      <c r="A6332" s="207"/>
      <c r="B6332" s="207"/>
      <c r="N6332" s="4"/>
      <c r="O6332" s="256"/>
    </row>
    <row r="6333" spans="1:15">
      <c r="A6333" s="207"/>
      <c r="B6333" s="207"/>
      <c r="N6333" s="4"/>
      <c r="O6333" s="256"/>
    </row>
    <row r="6334" spans="1:15">
      <c r="A6334" s="207"/>
      <c r="B6334" s="207"/>
      <c r="N6334" s="4"/>
      <c r="O6334" s="256"/>
    </row>
    <row r="6335" spans="1:15">
      <c r="A6335" s="207"/>
      <c r="B6335" s="207"/>
      <c r="N6335" s="4"/>
      <c r="O6335" s="256"/>
    </row>
    <row r="6336" spans="1:15">
      <c r="A6336" s="207"/>
      <c r="B6336" s="207"/>
      <c r="N6336" s="4"/>
      <c r="O6336" s="256"/>
    </row>
    <row r="6337" spans="1:15">
      <c r="A6337" s="207"/>
      <c r="B6337" s="207"/>
      <c r="N6337" s="4"/>
      <c r="O6337" s="256"/>
    </row>
    <row r="6338" spans="1:15">
      <c r="A6338" s="207"/>
      <c r="B6338" s="207"/>
      <c r="N6338" s="4"/>
      <c r="O6338" s="256"/>
    </row>
    <row r="6339" spans="1:15">
      <c r="A6339" s="207"/>
      <c r="B6339" s="207"/>
      <c r="N6339" s="4"/>
      <c r="O6339" s="256"/>
    </row>
    <row r="6340" spans="1:15">
      <c r="A6340" s="207"/>
      <c r="B6340" s="207"/>
      <c r="N6340" s="4"/>
      <c r="O6340" s="256"/>
    </row>
    <row r="6341" spans="1:15">
      <c r="A6341" s="207"/>
      <c r="B6341" s="207"/>
      <c r="N6341" s="4"/>
      <c r="O6341" s="256"/>
    </row>
    <row r="6342" spans="1:15">
      <c r="A6342" s="207"/>
      <c r="B6342" s="207"/>
      <c r="N6342" s="4"/>
      <c r="O6342" s="256"/>
    </row>
    <row r="6343" spans="1:15">
      <c r="A6343" s="207"/>
      <c r="B6343" s="207"/>
      <c r="N6343" s="4"/>
      <c r="O6343" s="256"/>
    </row>
    <row r="6344" spans="1:15">
      <c r="A6344" s="207"/>
      <c r="B6344" s="207"/>
      <c r="N6344" s="4"/>
      <c r="O6344" s="256"/>
    </row>
    <row r="6345" spans="1:15">
      <c r="A6345" s="207"/>
      <c r="B6345" s="207"/>
      <c r="N6345" s="4"/>
      <c r="O6345" s="256"/>
    </row>
    <row r="6346" spans="1:15">
      <c r="A6346" s="207"/>
      <c r="B6346" s="207"/>
      <c r="N6346" s="4"/>
      <c r="O6346" s="256"/>
    </row>
    <row r="6347" spans="1:15">
      <c r="A6347" s="207"/>
      <c r="B6347" s="207"/>
      <c r="N6347" s="4"/>
      <c r="O6347" s="256"/>
    </row>
    <row r="6348" spans="1:15">
      <c r="A6348" s="207"/>
      <c r="B6348" s="207"/>
      <c r="N6348" s="4"/>
      <c r="O6348" s="256"/>
    </row>
    <row r="6349" spans="1:15">
      <c r="A6349" s="207"/>
      <c r="B6349" s="207"/>
      <c r="N6349" s="4"/>
      <c r="O6349" s="256"/>
    </row>
    <row r="6350" spans="1:15">
      <c r="A6350" s="207"/>
      <c r="B6350" s="207"/>
      <c r="N6350" s="4"/>
      <c r="O6350" s="256"/>
    </row>
    <row r="6351" spans="1:15">
      <c r="A6351" s="207"/>
      <c r="B6351" s="207"/>
      <c r="N6351" s="4"/>
      <c r="O6351" s="256"/>
    </row>
    <row r="6352" spans="1:15">
      <c r="A6352" s="207"/>
      <c r="B6352" s="207"/>
      <c r="N6352" s="4"/>
      <c r="O6352" s="256"/>
    </row>
    <row r="6353" spans="1:15">
      <c r="A6353" s="207"/>
      <c r="B6353" s="207"/>
      <c r="N6353" s="4"/>
      <c r="O6353" s="256"/>
    </row>
    <row r="6354" spans="1:15">
      <c r="A6354" s="207"/>
      <c r="B6354" s="207"/>
      <c r="N6354" s="4"/>
      <c r="O6354" s="256"/>
    </row>
    <row r="6355" spans="1:15">
      <c r="A6355" s="207"/>
      <c r="B6355" s="207"/>
      <c r="N6355" s="4"/>
      <c r="O6355" s="256"/>
    </row>
    <row r="6356" spans="1:15">
      <c r="A6356" s="207"/>
      <c r="B6356" s="207"/>
      <c r="N6356" s="4"/>
      <c r="O6356" s="256"/>
    </row>
    <row r="6357" spans="1:15">
      <c r="A6357" s="207"/>
      <c r="B6357" s="207"/>
      <c r="N6357" s="4"/>
      <c r="O6357" s="256"/>
    </row>
    <row r="6358" spans="1:15">
      <c r="A6358" s="207"/>
      <c r="B6358" s="207"/>
      <c r="N6358" s="4"/>
      <c r="O6358" s="256"/>
    </row>
    <row r="6359" spans="1:15">
      <c r="A6359" s="207"/>
      <c r="B6359" s="207"/>
      <c r="N6359" s="4"/>
      <c r="O6359" s="256"/>
    </row>
    <row r="6360" spans="1:15">
      <c r="A6360" s="207"/>
      <c r="B6360" s="207"/>
      <c r="N6360" s="4"/>
      <c r="O6360" s="256"/>
    </row>
    <row r="6361" spans="1:15">
      <c r="A6361" s="207"/>
      <c r="B6361" s="207"/>
      <c r="N6361" s="4"/>
      <c r="O6361" s="256"/>
    </row>
    <row r="6362" spans="1:15">
      <c r="A6362" s="207"/>
      <c r="B6362" s="207"/>
      <c r="N6362" s="4"/>
      <c r="O6362" s="256"/>
    </row>
    <row r="6363" spans="1:15">
      <c r="A6363" s="207"/>
      <c r="B6363" s="207"/>
      <c r="N6363" s="4"/>
      <c r="O6363" s="256"/>
    </row>
    <row r="6364" spans="1:15">
      <c r="A6364" s="207"/>
      <c r="B6364" s="207"/>
      <c r="N6364" s="4"/>
      <c r="O6364" s="256"/>
    </row>
    <row r="6365" spans="1:15">
      <c r="A6365" s="207"/>
      <c r="B6365" s="207"/>
      <c r="N6365" s="4"/>
      <c r="O6365" s="256"/>
    </row>
    <row r="6366" spans="1:15">
      <c r="A6366" s="207"/>
      <c r="B6366" s="207"/>
      <c r="N6366" s="4"/>
      <c r="O6366" s="256"/>
    </row>
    <row r="6367" spans="1:15">
      <c r="A6367" s="207"/>
      <c r="B6367" s="207"/>
      <c r="N6367" s="4"/>
      <c r="O6367" s="256"/>
    </row>
    <row r="6368" spans="1:15">
      <c r="A6368" s="207"/>
      <c r="B6368" s="207"/>
      <c r="N6368" s="4"/>
      <c r="O6368" s="256"/>
    </row>
    <row r="6369" spans="1:15">
      <c r="A6369" s="207"/>
      <c r="B6369" s="207"/>
      <c r="N6369" s="4"/>
      <c r="O6369" s="256"/>
    </row>
    <row r="6370" spans="1:15">
      <c r="A6370" s="207"/>
      <c r="B6370" s="207"/>
      <c r="N6370" s="4"/>
      <c r="O6370" s="256"/>
    </row>
    <row r="6371" spans="1:15">
      <c r="A6371" s="207"/>
      <c r="B6371" s="207"/>
      <c r="N6371" s="4"/>
      <c r="O6371" s="256"/>
    </row>
    <row r="6372" spans="1:15">
      <c r="A6372" s="207"/>
      <c r="B6372" s="207"/>
      <c r="N6372" s="4"/>
      <c r="O6372" s="256"/>
    </row>
    <row r="6373" spans="1:15">
      <c r="A6373" s="207"/>
      <c r="B6373" s="207"/>
      <c r="N6373" s="4"/>
      <c r="O6373" s="256"/>
    </row>
    <row r="6374" spans="1:15">
      <c r="A6374" s="207"/>
      <c r="B6374" s="207"/>
      <c r="N6374" s="4"/>
      <c r="O6374" s="256"/>
    </row>
    <row r="6375" spans="1:15">
      <c r="A6375" s="207"/>
      <c r="B6375" s="207"/>
      <c r="N6375" s="4"/>
      <c r="O6375" s="256"/>
    </row>
    <row r="6376" spans="1:15">
      <c r="A6376" s="207"/>
      <c r="B6376" s="207"/>
      <c r="N6376" s="4"/>
      <c r="O6376" s="256"/>
    </row>
    <row r="6377" spans="1:15">
      <c r="A6377" s="207"/>
      <c r="B6377" s="207"/>
      <c r="N6377" s="4"/>
      <c r="O6377" s="256"/>
    </row>
    <row r="6378" spans="1:15">
      <c r="A6378" s="207"/>
      <c r="B6378" s="207"/>
      <c r="N6378" s="4"/>
      <c r="O6378" s="256"/>
    </row>
    <row r="6379" spans="1:15">
      <c r="A6379" s="207"/>
      <c r="B6379" s="207"/>
      <c r="N6379" s="4"/>
      <c r="O6379" s="256"/>
    </row>
    <row r="6380" spans="1:15">
      <c r="A6380" s="207"/>
      <c r="B6380" s="207"/>
      <c r="N6380" s="4"/>
      <c r="O6380" s="256"/>
    </row>
    <row r="6381" spans="1:15">
      <c r="A6381" s="207"/>
      <c r="B6381" s="207"/>
      <c r="N6381" s="4"/>
      <c r="O6381" s="256"/>
    </row>
    <row r="6382" spans="1:15">
      <c r="A6382" s="207"/>
      <c r="B6382" s="207"/>
      <c r="N6382" s="4"/>
      <c r="O6382" s="256"/>
    </row>
    <row r="6383" spans="1:15">
      <c r="A6383" s="207"/>
      <c r="B6383" s="207"/>
      <c r="N6383" s="4"/>
      <c r="O6383" s="256"/>
    </row>
    <row r="6384" spans="1:15">
      <c r="A6384" s="207"/>
      <c r="B6384" s="207"/>
      <c r="N6384" s="4"/>
      <c r="O6384" s="256"/>
    </row>
    <row r="6385" spans="1:15">
      <c r="A6385" s="207"/>
      <c r="B6385" s="207"/>
      <c r="N6385" s="4"/>
      <c r="O6385" s="256"/>
    </row>
    <row r="6386" spans="1:15">
      <c r="A6386" s="207"/>
      <c r="B6386" s="207"/>
      <c r="N6386" s="4"/>
      <c r="O6386" s="256"/>
    </row>
    <row r="6387" spans="1:15">
      <c r="A6387" s="207"/>
      <c r="B6387" s="207"/>
      <c r="N6387" s="4"/>
      <c r="O6387" s="256"/>
    </row>
    <row r="6388" spans="1:15">
      <c r="A6388" s="207"/>
      <c r="B6388" s="207"/>
      <c r="N6388" s="4"/>
      <c r="O6388" s="256"/>
    </row>
    <row r="6389" spans="1:15">
      <c r="A6389" s="207"/>
      <c r="B6389" s="207"/>
      <c r="N6389" s="4"/>
      <c r="O6389" s="256"/>
    </row>
    <row r="6390" spans="1:15">
      <c r="A6390" s="207"/>
      <c r="B6390" s="207"/>
      <c r="N6390" s="4"/>
      <c r="O6390" s="256"/>
    </row>
    <row r="6391" spans="1:15">
      <c r="A6391" s="207"/>
      <c r="B6391" s="207"/>
      <c r="N6391" s="4"/>
      <c r="O6391" s="256"/>
    </row>
    <row r="6392" spans="1:15">
      <c r="A6392" s="207"/>
      <c r="B6392" s="207"/>
      <c r="N6392" s="4"/>
      <c r="O6392" s="256"/>
    </row>
    <row r="6393" spans="1:15">
      <c r="A6393" s="207"/>
      <c r="B6393" s="207"/>
      <c r="N6393" s="4"/>
      <c r="O6393" s="256"/>
    </row>
    <row r="6394" spans="1:15">
      <c r="A6394" s="207"/>
      <c r="B6394" s="207"/>
      <c r="N6394" s="4"/>
      <c r="O6394" s="256"/>
    </row>
    <row r="6395" spans="1:15">
      <c r="A6395" s="207"/>
      <c r="B6395" s="207"/>
      <c r="N6395" s="4"/>
      <c r="O6395" s="256"/>
    </row>
    <row r="6396" spans="1:15">
      <c r="A6396" s="207"/>
      <c r="B6396" s="207"/>
      <c r="N6396" s="4"/>
      <c r="O6396" s="256"/>
    </row>
    <row r="6397" spans="1:15">
      <c r="A6397" s="207"/>
      <c r="B6397" s="207"/>
      <c r="N6397" s="4"/>
      <c r="O6397" s="256"/>
    </row>
    <row r="6398" spans="1:15">
      <c r="A6398" s="207"/>
      <c r="B6398" s="207"/>
      <c r="N6398" s="4"/>
      <c r="O6398" s="256"/>
    </row>
    <row r="6399" spans="1:15">
      <c r="A6399" s="207"/>
      <c r="B6399" s="207"/>
      <c r="N6399" s="4"/>
      <c r="O6399" s="256"/>
    </row>
    <row r="6400" spans="1:15">
      <c r="A6400" s="207"/>
      <c r="B6400" s="207"/>
      <c r="N6400" s="4"/>
      <c r="O6400" s="256"/>
    </row>
    <row r="6401" spans="1:15">
      <c r="A6401" s="207"/>
      <c r="B6401" s="207"/>
      <c r="N6401" s="4"/>
      <c r="O6401" s="256"/>
    </row>
    <row r="6402" spans="1:15">
      <c r="A6402" s="207"/>
      <c r="B6402" s="207"/>
      <c r="N6402" s="4"/>
      <c r="O6402" s="256"/>
    </row>
    <row r="6403" spans="1:15">
      <c r="A6403" s="207"/>
      <c r="B6403" s="207"/>
      <c r="N6403" s="4"/>
      <c r="O6403" s="256"/>
    </row>
    <row r="6404" spans="1:15">
      <c r="A6404" s="207"/>
      <c r="B6404" s="207"/>
      <c r="N6404" s="4"/>
      <c r="O6404" s="256"/>
    </row>
    <row r="6405" spans="1:15">
      <c r="A6405" s="207"/>
      <c r="B6405" s="207"/>
      <c r="N6405" s="4"/>
      <c r="O6405" s="256"/>
    </row>
    <row r="6406" spans="1:15">
      <c r="A6406" s="207"/>
      <c r="B6406" s="207"/>
      <c r="N6406" s="4"/>
      <c r="O6406" s="256"/>
    </row>
    <row r="6407" spans="1:15">
      <c r="A6407" s="207"/>
      <c r="B6407" s="207"/>
      <c r="N6407" s="4"/>
      <c r="O6407" s="256"/>
    </row>
    <row r="6408" spans="1:15">
      <c r="A6408" s="207"/>
      <c r="B6408" s="207"/>
      <c r="N6408" s="4"/>
      <c r="O6408" s="256"/>
    </row>
    <row r="6409" spans="1:15">
      <c r="A6409" s="207"/>
      <c r="B6409" s="207"/>
      <c r="N6409" s="4"/>
      <c r="O6409" s="256"/>
    </row>
    <row r="6410" spans="1:15">
      <c r="A6410" s="207"/>
      <c r="B6410" s="207"/>
      <c r="N6410" s="4"/>
      <c r="O6410" s="256"/>
    </row>
    <row r="6411" spans="1:15">
      <c r="A6411" s="207"/>
      <c r="B6411" s="207"/>
      <c r="N6411" s="4"/>
      <c r="O6411" s="256"/>
    </row>
    <row r="6412" spans="1:15">
      <c r="A6412" s="207"/>
      <c r="B6412" s="207"/>
      <c r="N6412" s="4"/>
      <c r="O6412" s="256"/>
    </row>
    <row r="6413" spans="1:15">
      <c r="A6413" s="207"/>
      <c r="B6413" s="207"/>
      <c r="N6413" s="4"/>
      <c r="O6413" s="256"/>
    </row>
    <row r="6414" spans="1:15">
      <c r="A6414" s="207"/>
      <c r="B6414" s="207"/>
      <c r="N6414" s="4"/>
      <c r="O6414" s="256"/>
    </row>
    <row r="6415" spans="1:15">
      <c r="A6415" s="207"/>
      <c r="B6415" s="207"/>
      <c r="N6415" s="4"/>
      <c r="O6415" s="256"/>
    </row>
    <row r="6416" spans="1:15">
      <c r="A6416" s="207"/>
      <c r="B6416" s="207"/>
      <c r="N6416" s="4"/>
      <c r="O6416" s="256"/>
    </row>
    <row r="6417" spans="1:15">
      <c r="A6417" s="207"/>
      <c r="B6417" s="207"/>
      <c r="N6417" s="4"/>
      <c r="O6417" s="256"/>
    </row>
    <row r="6418" spans="1:15">
      <c r="A6418" s="207"/>
      <c r="B6418" s="207"/>
      <c r="N6418" s="4"/>
      <c r="O6418" s="256"/>
    </row>
    <row r="6419" spans="1:15">
      <c r="A6419" s="207"/>
      <c r="B6419" s="207"/>
      <c r="N6419" s="4"/>
      <c r="O6419" s="256"/>
    </row>
    <row r="6420" spans="1:15">
      <c r="A6420" s="207"/>
      <c r="B6420" s="207"/>
      <c r="N6420" s="4"/>
      <c r="O6420" s="256"/>
    </row>
    <row r="6421" spans="1:15">
      <c r="A6421" s="207"/>
      <c r="B6421" s="207"/>
      <c r="N6421" s="4"/>
      <c r="O6421" s="256"/>
    </row>
    <row r="6422" spans="1:15">
      <c r="A6422" s="207"/>
      <c r="B6422" s="207"/>
      <c r="N6422" s="4"/>
      <c r="O6422" s="256"/>
    </row>
    <row r="6423" spans="1:15">
      <c r="A6423" s="207"/>
      <c r="B6423" s="207"/>
      <c r="N6423" s="4"/>
      <c r="O6423" s="256"/>
    </row>
    <row r="6424" spans="1:15">
      <c r="A6424" s="207"/>
      <c r="B6424" s="207"/>
      <c r="N6424" s="4"/>
      <c r="O6424" s="256"/>
    </row>
    <row r="6425" spans="1:15">
      <c r="A6425" s="207"/>
      <c r="B6425" s="207"/>
      <c r="N6425" s="4"/>
      <c r="O6425" s="256"/>
    </row>
    <row r="6426" spans="1:15">
      <c r="A6426" s="207"/>
      <c r="B6426" s="207"/>
      <c r="N6426" s="4"/>
      <c r="O6426" s="256"/>
    </row>
    <row r="6427" spans="1:15">
      <c r="A6427" s="207"/>
      <c r="B6427" s="207"/>
      <c r="N6427" s="4"/>
      <c r="O6427" s="256"/>
    </row>
    <row r="6428" spans="1:15">
      <c r="A6428" s="207"/>
      <c r="B6428" s="207"/>
      <c r="N6428" s="4"/>
      <c r="O6428" s="256"/>
    </row>
    <row r="6429" spans="1:15">
      <c r="A6429" s="207"/>
      <c r="B6429" s="207"/>
      <c r="N6429" s="4"/>
      <c r="O6429" s="256"/>
    </row>
    <row r="6430" spans="1:15">
      <c r="A6430" s="207"/>
      <c r="B6430" s="207"/>
      <c r="N6430" s="4"/>
      <c r="O6430" s="256"/>
    </row>
    <row r="6431" spans="1:15">
      <c r="A6431" s="207"/>
      <c r="B6431" s="207"/>
      <c r="N6431" s="4"/>
      <c r="O6431" s="256"/>
    </row>
    <row r="6432" spans="1:15">
      <c r="A6432" s="207"/>
      <c r="B6432" s="207"/>
      <c r="N6432" s="4"/>
      <c r="O6432" s="256"/>
    </row>
    <row r="6433" spans="1:15">
      <c r="A6433" s="207"/>
      <c r="B6433" s="207"/>
      <c r="N6433" s="4"/>
      <c r="O6433" s="256"/>
    </row>
    <row r="6434" spans="1:15">
      <c r="A6434" s="207"/>
      <c r="B6434" s="207"/>
      <c r="N6434" s="4"/>
      <c r="O6434" s="256"/>
    </row>
    <row r="6435" spans="1:15">
      <c r="A6435" s="207"/>
      <c r="B6435" s="207"/>
      <c r="N6435" s="4"/>
      <c r="O6435" s="256"/>
    </row>
    <row r="6436" spans="1:15">
      <c r="A6436" s="207"/>
      <c r="B6436" s="207"/>
      <c r="N6436" s="4"/>
      <c r="O6436" s="256"/>
    </row>
    <row r="6437" spans="1:15">
      <c r="A6437" s="207"/>
      <c r="B6437" s="207"/>
      <c r="N6437" s="4"/>
      <c r="O6437" s="256"/>
    </row>
    <row r="6438" spans="1:15">
      <c r="A6438" s="207"/>
      <c r="B6438" s="207"/>
      <c r="N6438" s="4"/>
      <c r="O6438" s="256"/>
    </row>
    <row r="6439" spans="1:15">
      <c r="A6439" s="207"/>
      <c r="B6439" s="207"/>
      <c r="N6439" s="4"/>
      <c r="O6439" s="256"/>
    </row>
    <row r="6440" spans="1:15">
      <c r="A6440" s="207"/>
      <c r="B6440" s="207"/>
      <c r="N6440" s="4"/>
      <c r="O6440" s="256"/>
    </row>
    <row r="6441" spans="1:15">
      <c r="A6441" s="207"/>
      <c r="B6441" s="207"/>
      <c r="N6441" s="4"/>
      <c r="O6441" s="256"/>
    </row>
    <row r="6442" spans="1:15">
      <c r="A6442" s="207"/>
      <c r="B6442" s="207"/>
      <c r="N6442" s="4"/>
      <c r="O6442" s="256"/>
    </row>
    <row r="6443" spans="1:15">
      <c r="A6443" s="207"/>
      <c r="B6443" s="207"/>
      <c r="N6443" s="4"/>
      <c r="O6443" s="256"/>
    </row>
    <row r="6444" spans="1:15">
      <c r="A6444" s="207"/>
      <c r="B6444" s="207"/>
      <c r="N6444" s="4"/>
      <c r="O6444" s="256"/>
    </row>
    <row r="6445" spans="1:15">
      <c r="A6445" s="207"/>
      <c r="B6445" s="207"/>
      <c r="N6445" s="4"/>
      <c r="O6445" s="256"/>
    </row>
    <row r="6446" spans="1:15">
      <c r="A6446" s="207"/>
      <c r="B6446" s="207"/>
      <c r="N6446" s="4"/>
      <c r="O6446" s="256"/>
    </row>
    <row r="6447" spans="1:15">
      <c r="A6447" s="207"/>
      <c r="B6447" s="207"/>
      <c r="N6447" s="4"/>
      <c r="O6447" s="256"/>
    </row>
    <row r="6448" spans="1:15">
      <c r="A6448" s="207"/>
      <c r="B6448" s="207"/>
      <c r="N6448" s="4"/>
      <c r="O6448" s="256"/>
    </row>
    <row r="6449" spans="1:15">
      <c r="A6449" s="207"/>
      <c r="B6449" s="207"/>
      <c r="N6449" s="4"/>
      <c r="O6449" s="256"/>
    </row>
    <row r="6450" spans="1:15">
      <c r="A6450" s="207"/>
      <c r="B6450" s="207"/>
      <c r="N6450" s="4"/>
      <c r="O6450" s="256"/>
    </row>
    <row r="6451" spans="1:15">
      <c r="A6451" s="207"/>
      <c r="B6451" s="207"/>
      <c r="N6451" s="4"/>
      <c r="O6451" s="256"/>
    </row>
    <row r="6452" spans="1:15">
      <c r="A6452" s="207"/>
      <c r="B6452" s="207"/>
      <c r="N6452" s="4"/>
      <c r="O6452" s="256"/>
    </row>
    <row r="6453" spans="1:15">
      <c r="A6453" s="207"/>
      <c r="B6453" s="207"/>
      <c r="N6453" s="4"/>
      <c r="O6453" s="256"/>
    </row>
    <row r="6454" spans="1:15">
      <c r="A6454" s="207"/>
      <c r="B6454" s="207"/>
      <c r="N6454" s="4"/>
      <c r="O6454" s="256"/>
    </row>
    <row r="6455" spans="1:15">
      <c r="A6455" s="207"/>
      <c r="B6455" s="207"/>
      <c r="N6455" s="4"/>
      <c r="O6455" s="256"/>
    </row>
    <row r="6456" spans="1:15">
      <c r="A6456" s="207"/>
      <c r="B6456" s="207"/>
      <c r="N6456" s="4"/>
      <c r="O6456" s="256"/>
    </row>
    <row r="6457" spans="1:15">
      <c r="A6457" s="207"/>
      <c r="B6457" s="207"/>
      <c r="N6457" s="4"/>
      <c r="O6457" s="256"/>
    </row>
    <row r="6458" spans="1:15">
      <c r="A6458" s="207"/>
      <c r="B6458" s="207"/>
      <c r="N6458" s="4"/>
      <c r="O6458" s="256"/>
    </row>
    <row r="6459" spans="1:15">
      <c r="A6459" s="207"/>
      <c r="B6459" s="207"/>
      <c r="N6459" s="4"/>
      <c r="O6459" s="256"/>
    </row>
    <row r="6460" spans="1:15">
      <c r="A6460" s="207"/>
      <c r="B6460" s="207"/>
      <c r="N6460" s="4"/>
      <c r="O6460" s="256"/>
    </row>
    <row r="6461" spans="1:15">
      <c r="A6461" s="207"/>
      <c r="B6461" s="207"/>
      <c r="N6461" s="4"/>
      <c r="O6461" s="256"/>
    </row>
    <row r="6462" spans="1:15">
      <c r="A6462" s="207"/>
      <c r="B6462" s="207"/>
      <c r="N6462" s="4"/>
      <c r="O6462" s="256"/>
    </row>
    <row r="6463" spans="1:15">
      <c r="A6463" s="207"/>
      <c r="B6463" s="207"/>
      <c r="N6463" s="4"/>
      <c r="O6463" s="256"/>
    </row>
    <row r="6464" spans="1:15">
      <c r="A6464" s="207"/>
      <c r="B6464" s="207"/>
      <c r="N6464" s="4"/>
      <c r="O6464" s="256"/>
    </row>
    <row r="6465" spans="1:15">
      <c r="A6465" s="207"/>
      <c r="B6465" s="207"/>
      <c r="N6465" s="4"/>
      <c r="O6465" s="256"/>
    </row>
    <row r="6466" spans="1:15">
      <c r="A6466" s="207"/>
      <c r="B6466" s="207"/>
      <c r="N6466" s="4"/>
      <c r="O6466" s="256"/>
    </row>
    <row r="6467" spans="1:15">
      <c r="A6467" s="207"/>
      <c r="B6467" s="207"/>
      <c r="N6467" s="4"/>
      <c r="O6467" s="256"/>
    </row>
    <row r="6468" spans="1:15">
      <c r="A6468" s="207"/>
      <c r="B6468" s="207"/>
      <c r="N6468" s="4"/>
      <c r="O6468" s="256"/>
    </row>
    <row r="6469" spans="1:15">
      <c r="A6469" s="207"/>
      <c r="B6469" s="207"/>
      <c r="N6469" s="4"/>
      <c r="O6469" s="256"/>
    </row>
    <row r="6470" spans="1:15">
      <c r="A6470" s="207"/>
      <c r="B6470" s="207"/>
      <c r="N6470" s="4"/>
      <c r="O6470" s="256"/>
    </row>
    <row r="6471" spans="1:15">
      <c r="A6471" s="207"/>
      <c r="B6471" s="207"/>
      <c r="N6471" s="4"/>
      <c r="O6471" s="256"/>
    </row>
    <row r="6472" spans="1:15">
      <c r="A6472" s="207"/>
      <c r="B6472" s="207"/>
      <c r="N6472" s="4"/>
      <c r="O6472" s="256"/>
    </row>
    <row r="6473" spans="1:15">
      <c r="A6473" s="207"/>
      <c r="B6473" s="207"/>
      <c r="N6473" s="4"/>
      <c r="O6473" s="256"/>
    </row>
    <row r="6474" spans="1:15">
      <c r="A6474" s="207"/>
      <c r="B6474" s="207"/>
      <c r="N6474" s="4"/>
      <c r="O6474" s="256"/>
    </row>
    <row r="6475" spans="1:15">
      <c r="A6475" s="207"/>
      <c r="B6475" s="207"/>
      <c r="N6475" s="4"/>
      <c r="O6475" s="256"/>
    </row>
    <row r="6476" spans="1:15">
      <c r="A6476" s="207"/>
      <c r="B6476" s="207"/>
      <c r="N6476" s="4"/>
      <c r="O6476" s="256"/>
    </row>
    <row r="6477" spans="1:15">
      <c r="A6477" s="207"/>
      <c r="B6477" s="207"/>
      <c r="N6477" s="4"/>
      <c r="O6477" s="256"/>
    </row>
    <row r="6478" spans="1:15">
      <c r="A6478" s="207"/>
      <c r="B6478" s="207"/>
      <c r="N6478" s="4"/>
      <c r="O6478" s="256"/>
    </row>
    <row r="6479" spans="1:15">
      <c r="A6479" s="207"/>
      <c r="B6479" s="207"/>
      <c r="N6479" s="4"/>
      <c r="O6479" s="256"/>
    </row>
    <row r="6480" spans="1:15">
      <c r="A6480" s="207"/>
      <c r="B6480" s="207"/>
      <c r="N6480" s="4"/>
      <c r="O6480" s="256"/>
    </row>
    <row r="6481" spans="1:15">
      <c r="A6481" s="207"/>
      <c r="B6481" s="207"/>
      <c r="N6481" s="4"/>
      <c r="O6481" s="256"/>
    </row>
    <row r="6482" spans="1:15">
      <c r="A6482" s="207"/>
      <c r="B6482" s="207"/>
      <c r="N6482" s="4"/>
      <c r="O6482" s="256"/>
    </row>
    <row r="6483" spans="1:15">
      <c r="A6483" s="207"/>
      <c r="B6483" s="207"/>
      <c r="N6483" s="4"/>
      <c r="O6483" s="256"/>
    </row>
    <row r="6484" spans="1:15">
      <c r="A6484" s="207"/>
      <c r="B6484" s="207"/>
      <c r="N6484" s="4"/>
      <c r="O6484" s="256"/>
    </row>
    <row r="6485" spans="1:15">
      <c r="A6485" s="207"/>
      <c r="B6485" s="207"/>
      <c r="N6485" s="4"/>
      <c r="O6485" s="256"/>
    </row>
    <row r="6486" spans="1:15">
      <c r="A6486" s="207"/>
      <c r="B6486" s="207"/>
      <c r="N6486" s="4"/>
      <c r="O6486" s="256"/>
    </row>
    <row r="6487" spans="1:15">
      <c r="A6487" s="207"/>
      <c r="B6487" s="207"/>
      <c r="N6487" s="4"/>
      <c r="O6487" s="256"/>
    </row>
    <row r="6488" spans="1:15">
      <c r="A6488" s="207"/>
      <c r="B6488" s="207"/>
      <c r="N6488" s="4"/>
      <c r="O6488" s="256"/>
    </row>
    <row r="6489" spans="1:15">
      <c r="A6489" s="207"/>
      <c r="B6489" s="207"/>
      <c r="N6489" s="4"/>
      <c r="O6489" s="256"/>
    </row>
    <row r="6490" spans="1:15">
      <c r="A6490" s="207"/>
      <c r="B6490" s="207"/>
      <c r="N6490" s="4"/>
      <c r="O6490" s="256"/>
    </row>
    <row r="6491" spans="1:15">
      <c r="A6491" s="207"/>
      <c r="B6491" s="207"/>
      <c r="N6491" s="4"/>
      <c r="O6491" s="256"/>
    </row>
    <row r="6492" spans="1:15">
      <c r="A6492" s="207"/>
      <c r="B6492" s="207"/>
      <c r="N6492" s="4"/>
      <c r="O6492" s="256"/>
    </row>
    <row r="6493" spans="1:15">
      <c r="A6493" s="207"/>
      <c r="B6493" s="207"/>
      <c r="N6493" s="4"/>
      <c r="O6493" s="256"/>
    </row>
    <row r="6494" spans="1:15">
      <c r="A6494" s="207"/>
      <c r="B6494" s="207"/>
      <c r="N6494" s="4"/>
      <c r="O6494" s="256"/>
    </row>
    <row r="6495" spans="1:15">
      <c r="A6495" s="207"/>
      <c r="B6495" s="207"/>
      <c r="N6495" s="4"/>
      <c r="O6495" s="256"/>
    </row>
    <row r="6496" spans="1:15">
      <c r="A6496" s="207"/>
      <c r="B6496" s="207"/>
      <c r="N6496" s="4"/>
      <c r="O6496" s="256"/>
    </row>
    <row r="6497" spans="1:15">
      <c r="A6497" s="207"/>
      <c r="B6497" s="207"/>
      <c r="N6497" s="4"/>
      <c r="O6497" s="256"/>
    </row>
    <row r="6498" spans="1:15">
      <c r="A6498" s="207"/>
      <c r="B6498" s="207"/>
      <c r="N6498" s="4"/>
      <c r="O6498" s="256"/>
    </row>
    <row r="6499" spans="1:15">
      <c r="A6499" s="207"/>
      <c r="B6499" s="207"/>
      <c r="N6499" s="4"/>
      <c r="O6499" s="256"/>
    </row>
    <row r="6500" spans="1:15">
      <c r="A6500" s="207"/>
      <c r="B6500" s="207"/>
      <c r="N6500" s="4"/>
      <c r="O6500" s="256"/>
    </row>
    <row r="6501" spans="1:15">
      <c r="A6501" s="207"/>
      <c r="B6501" s="207"/>
      <c r="N6501" s="4"/>
      <c r="O6501" s="256"/>
    </row>
    <row r="6502" spans="1:15">
      <c r="A6502" s="207"/>
      <c r="B6502" s="207"/>
      <c r="N6502" s="4"/>
      <c r="O6502" s="256"/>
    </row>
    <row r="6503" spans="1:15">
      <c r="A6503" s="207"/>
      <c r="B6503" s="207"/>
      <c r="N6503" s="4"/>
      <c r="O6503" s="256"/>
    </row>
    <row r="6504" spans="1:15">
      <c r="A6504" s="207"/>
      <c r="B6504" s="207"/>
      <c r="N6504" s="4"/>
      <c r="O6504" s="256"/>
    </row>
    <row r="6505" spans="1:15">
      <c r="A6505" s="207"/>
      <c r="B6505" s="207"/>
      <c r="N6505" s="4"/>
      <c r="O6505" s="256"/>
    </row>
    <row r="6506" spans="1:15">
      <c r="A6506" s="207"/>
      <c r="B6506" s="207"/>
      <c r="N6506" s="4"/>
      <c r="O6506" s="256"/>
    </row>
    <row r="6507" spans="1:15">
      <c r="A6507" s="207"/>
      <c r="B6507" s="207"/>
      <c r="N6507" s="4"/>
      <c r="O6507" s="256"/>
    </row>
    <row r="6508" spans="1:15">
      <c r="A6508" s="207"/>
      <c r="B6508" s="207"/>
      <c r="N6508" s="4"/>
      <c r="O6508" s="256"/>
    </row>
    <row r="6509" spans="1:15">
      <c r="A6509" s="207"/>
      <c r="B6509" s="207"/>
      <c r="N6509" s="4"/>
      <c r="O6509" s="256"/>
    </row>
    <row r="6510" spans="1:15">
      <c r="A6510" s="207"/>
      <c r="B6510" s="207"/>
      <c r="N6510" s="4"/>
      <c r="O6510" s="256"/>
    </row>
    <row r="6511" spans="1:15">
      <c r="A6511" s="207"/>
      <c r="B6511" s="207"/>
      <c r="N6511" s="4"/>
      <c r="O6511" s="256"/>
    </row>
    <row r="6512" spans="1:15">
      <c r="A6512" s="207"/>
      <c r="B6512" s="207"/>
      <c r="N6512" s="4"/>
      <c r="O6512" s="256"/>
    </row>
    <row r="6513" spans="1:15">
      <c r="A6513" s="207"/>
      <c r="B6513" s="207"/>
      <c r="N6513" s="4"/>
      <c r="O6513" s="256"/>
    </row>
    <row r="6514" spans="1:15">
      <c r="A6514" s="207"/>
      <c r="B6514" s="207"/>
      <c r="N6514" s="4"/>
      <c r="O6514" s="256"/>
    </row>
    <row r="6515" spans="1:15">
      <c r="A6515" s="207"/>
      <c r="B6515" s="207"/>
      <c r="N6515" s="4"/>
      <c r="O6515" s="256"/>
    </row>
    <row r="6516" spans="1:15">
      <c r="A6516" s="207"/>
      <c r="B6516" s="207"/>
      <c r="N6516" s="4"/>
      <c r="O6516" s="256"/>
    </row>
    <row r="6517" spans="1:15">
      <c r="A6517" s="207"/>
      <c r="B6517" s="207"/>
      <c r="N6517" s="4"/>
      <c r="O6517" s="256"/>
    </row>
    <row r="6518" spans="1:15">
      <c r="A6518" s="207"/>
      <c r="B6518" s="207"/>
      <c r="N6518" s="4"/>
      <c r="O6518" s="256"/>
    </row>
    <row r="6519" spans="1:15">
      <c r="A6519" s="207"/>
      <c r="B6519" s="207"/>
      <c r="N6519" s="4"/>
      <c r="O6519" s="256"/>
    </row>
    <row r="6520" spans="1:15">
      <c r="A6520" s="207"/>
      <c r="B6520" s="207"/>
      <c r="N6520" s="4"/>
      <c r="O6520" s="256"/>
    </row>
    <row r="6521" spans="1:15">
      <c r="A6521" s="207"/>
      <c r="B6521" s="207"/>
      <c r="N6521" s="4"/>
      <c r="O6521" s="256"/>
    </row>
    <row r="6522" spans="1:15">
      <c r="A6522" s="207"/>
      <c r="B6522" s="207"/>
      <c r="N6522" s="4"/>
      <c r="O6522" s="256"/>
    </row>
    <row r="6523" spans="1:15">
      <c r="A6523" s="207"/>
      <c r="B6523" s="207"/>
      <c r="N6523" s="4"/>
      <c r="O6523" s="256"/>
    </row>
    <row r="6524" spans="1:15">
      <c r="A6524" s="207"/>
      <c r="B6524" s="207"/>
      <c r="N6524" s="4"/>
      <c r="O6524" s="256"/>
    </row>
    <row r="6525" spans="1:15">
      <c r="A6525" s="207"/>
      <c r="B6525" s="207"/>
      <c r="N6525" s="4"/>
      <c r="O6525" s="256"/>
    </row>
    <row r="6526" spans="1:15">
      <c r="A6526" s="207"/>
      <c r="B6526" s="207"/>
      <c r="N6526" s="4"/>
      <c r="O6526" s="256"/>
    </row>
    <row r="6527" spans="1:15">
      <c r="A6527" s="207"/>
      <c r="B6527" s="207"/>
      <c r="N6527" s="4"/>
      <c r="O6527" s="256"/>
    </row>
    <row r="6528" spans="1:15">
      <c r="A6528" s="207"/>
      <c r="B6528" s="207"/>
      <c r="N6528" s="4"/>
      <c r="O6528" s="256"/>
    </row>
    <row r="6529" spans="1:15">
      <c r="A6529" s="207"/>
      <c r="B6529" s="207"/>
      <c r="N6529" s="4"/>
      <c r="O6529" s="256"/>
    </row>
    <row r="6530" spans="1:15">
      <c r="A6530" s="207"/>
      <c r="B6530" s="207"/>
      <c r="N6530" s="4"/>
      <c r="O6530" s="256"/>
    </row>
    <row r="6531" spans="1:15">
      <c r="A6531" s="207"/>
      <c r="B6531" s="207"/>
      <c r="N6531" s="4"/>
      <c r="O6531" s="256"/>
    </row>
    <row r="6532" spans="1:15">
      <c r="A6532" s="207"/>
      <c r="B6532" s="207"/>
      <c r="N6532" s="4"/>
      <c r="O6532" s="256"/>
    </row>
    <row r="6533" spans="1:15">
      <c r="A6533" s="207"/>
      <c r="B6533" s="207"/>
      <c r="N6533" s="4"/>
      <c r="O6533" s="256"/>
    </row>
    <row r="6534" spans="1:15">
      <c r="A6534" s="207"/>
      <c r="B6534" s="207"/>
      <c r="N6534" s="4"/>
      <c r="O6534" s="256"/>
    </row>
    <row r="6535" spans="1:15">
      <c r="A6535" s="207"/>
      <c r="B6535" s="207"/>
      <c r="N6535" s="4"/>
      <c r="O6535" s="256"/>
    </row>
    <row r="6536" spans="1:15">
      <c r="A6536" s="207"/>
      <c r="B6536" s="207"/>
      <c r="N6536" s="4"/>
      <c r="O6536" s="256"/>
    </row>
    <row r="6537" spans="1:15">
      <c r="A6537" s="207"/>
      <c r="B6537" s="207"/>
      <c r="N6537" s="4"/>
      <c r="O6537" s="256"/>
    </row>
    <row r="6538" spans="1:15">
      <c r="A6538" s="207"/>
      <c r="B6538" s="207"/>
      <c r="N6538" s="4"/>
      <c r="O6538" s="256"/>
    </row>
    <row r="6539" spans="1:15">
      <c r="A6539" s="207"/>
      <c r="B6539" s="207"/>
      <c r="N6539" s="4"/>
      <c r="O6539" s="256"/>
    </row>
    <row r="6540" spans="1:15">
      <c r="A6540" s="207"/>
      <c r="B6540" s="207"/>
      <c r="N6540" s="4"/>
      <c r="O6540" s="256"/>
    </row>
    <row r="6541" spans="1:15">
      <c r="A6541" s="207"/>
      <c r="B6541" s="207"/>
      <c r="N6541" s="4"/>
      <c r="O6541" s="256"/>
    </row>
    <row r="6542" spans="1:15">
      <c r="A6542" s="207"/>
      <c r="B6542" s="207"/>
      <c r="N6542" s="4"/>
      <c r="O6542" s="256"/>
    </row>
    <row r="6543" spans="1:15">
      <c r="A6543" s="207"/>
      <c r="B6543" s="207"/>
      <c r="N6543" s="4"/>
      <c r="O6543" s="256"/>
    </row>
    <row r="6544" spans="1:15">
      <c r="A6544" s="207"/>
      <c r="B6544" s="207"/>
      <c r="N6544" s="4"/>
      <c r="O6544" s="256"/>
    </row>
    <row r="6545" spans="1:15">
      <c r="A6545" s="207"/>
      <c r="B6545" s="207"/>
      <c r="N6545" s="4"/>
      <c r="O6545" s="256"/>
    </row>
    <row r="6546" spans="1:15">
      <c r="A6546" s="207"/>
      <c r="B6546" s="207"/>
      <c r="N6546" s="4"/>
      <c r="O6546" s="256"/>
    </row>
    <row r="6547" spans="1:15">
      <c r="A6547" s="207"/>
      <c r="B6547" s="207"/>
      <c r="N6547" s="4"/>
      <c r="O6547" s="256"/>
    </row>
    <row r="6548" spans="1:15">
      <c r="A6548" s="207"/>
      <c r="B6548" s="207"/>
      <c r="N6548" s="4"/>
      <c r="O6548" s="256"/>
    </row>
    <row r="6549" spans="1:15">
      <c r="A6549" s="207"/>
      <c r="B6549" s="207"/>
      <c r="N6549" s="4"/>
      <c r="O6549" s="256"/>
    </row>
    <row r="6550" spans="1:15">
      <c r="A6550" s="207"/>
      <c r="B6550" s="207"/>
      <c r="N6550" s="4"/>
      <c r="O6550" s="256"/>
    </row>
    <row r="6551" spans="1:15">
      <c r="A6551" s="207"/>
      <c r="B6551" s="207"/>
      <c r="N6551" s="4"/>
      <c r="O6551" s="256"/>
    </row>
    <row r="6552" spans="1:15">
      <c r="A6552" s="207"/>
      <c r="B6552" s="207"/>
      <c r="N6552" s="4"/>
      <c r="O6552" s="256"/>
    </row>
    <row r="6553" spans="1:15">
      <c r="A6553" s="207"/>
      <c r="B6553" s="207"/>
      <c r="N6553" s="4"/>
      <c r="O6553" s="256"/>
    </row>
    <row r="6554" spans="1:15">
      <c r="A6554" s="207"/>
      <c r="B6554" s="207"/>
      <c r="N6554" s="4"/>
      <c r="O6554" s="256"/>
    </row>
    <row r="6555" spans="1:15">
      <c r="A6555" s="207"/>
      <c r="B6555" s="207"/>
      <c r="N6555" s="4"/>
      <c r="O6555" s="256"/>
    </row>
    <row r="6556" spans="1:15">
      <c r="A6556" s="207"/>
      <c r="B6556" s="207"/>
      <c r="N6556" s="4"/>
      <c r="O6556" s="256"/>
    </row>
    <row r="6557" spans="1:15">
      <c r="A6557" s="207"/>
      <c r="B6557" s="207"/>
      <c r="N6557" s="4"/>
      <c r="O6557" s="256"/>
    </row>
    <row r="6558" spans="1:15">
      <c r="A6558" s="207"/>
      <c r="B6558" s="207"/>
      <c r="N6558" s="4"/>
      <c r="O6558" s="256"/>
    </row>
    <row r="6559" spans="1:15">
      <c r="A6559" s="207"/>
      <c r="B6559" s="207"/>
      <c r="N6559" s="4"/>
      <c r="O6559" s="256"/>
    </row>
    <row r="6560" spans="1:15">
      <c r="A6560" s="207"/>
      <c r="B6560" s="207"/>
      <c r="N6560" s="4"/>
      <c r="O6560" s="256"/>
    </row>
    <row r="6561" spans="1:15">
      <c r="A6561" s="207"/>
      <c r="B6561" s="207"/>
      <c r="N6561" s="4"/>
      <c r="O6561" s="256"/>
    </row>
    <row r="6562" spans="1:15">
      <c r="A6562" s="207"/>
      <c r="B6562" s="207"/>
      <c r="N6562" s="4"/>
      <c r="O6562" s="256"/>
    </row>
    <row r="6563" spans="1:15">
      <c r="A6563" s="207"/>
      <c r="B6563" s="207"/>
      <c r="N6563" s="4"/>
      <c r="O6563" s="256"/>
    </row>
    <row r="6564" spans="1:15">
      <c r="A6564" s="207"/>
      <c r="B6564" s="207"/>
      <c r="N6564" s="4"/>
      <c r="O6564" s="256"/>
    </row>
    <row r="6565" spans="1:15">
      <c r="A6565" s="207"/>
      <c r="B6565" s="207"/>
      <c r="N6565" s="4"/>
      <c r="O6565" s="256"/>
    </row>
    <row r="6566" spans="1:15">
      <c r="A6566" s="207"/>
      <c r="B6566" s="207"/>
      <c r="N6566" s="4"/>
      <c r="O6566" s="256"/>
    </row>
    <row r="6567" spans="1:15">
      <c r="A6567" s="207"/>
      <c r="B6567" s="207"/>
      <c r="N6567" s="4"/>
      <c r="O6567" s="256"/>
    </row>
    <row r="6568" spans="1:15">
      <c r="A6568" s="207"/>
      <c r="B6568" s="207"/>
      <c r="N6568" s="4"/>
      <c r="O6568" s="256"/>
    </row>
    <row r="6569" spans="1:15">
      <c r="A6569" s="207"/>
      <c r="B6569" s="207"/>
      <c r="N6569" s="4"/>
      <c r="O6569" s="256"/>
    </row>
    <row r="6570" spans="1:15">
      <c r="A6570" s="207"/>
      <c r="B6570" s="207"/>
      <c r="N6570" s="4"/>
      <c r="O6570" s="256"/>
    </row>
    <row r="6571" spans="1:15">
      <c r="A6571" s="207"/>
      <c r="B6571" s="207"/>
      <c r="N6571" s="4"/>
      <c r="O6571" s="256"/>
    </row>
    <row r="6572" spans="1:15">
      <c r="A6572" s="207"/>
      <c r="B6572" s="207"/>
      <c r="N6572" s="4"/>
      <c r="O6572" s="256"/>
    </row>
    <row r="6573" spans="1:15">
      <c r="A6573" s="207"/>
      <c r="B6573" s="207"/>
      <c r="N6573" s="4"/>
      <c r="O6573" s="256"/>
    </row>
    <row r="6574" spans="1:15">
      <c r="A6574" s="207"/>
      <c r="B6574" s="207"/>
      <c r="N6574" s="4"/>
      <c r="O6574" s="256"/>
    </row>
    <row r="6575" spans="1:15">
      <c r="A6575" s="207"/>
      <c r="B6575" s="207"/>
      <c r="N6575" s="4"/>
      <c r="O6575" s="256"/>
    </row>
    <row r="6576" spans="1:15">
      <c r="A6576" s="207"/>
      <c r="B6576" s="207"/>
      <c r="N6576" s="4"/>
      <c r="O6576" s="256"/>
    </row>
    <row r="6577" spans="1:15">
      <c r="A6577" s="207"/>
      <c r="B6577" s="207"/>
      <c r="N6577" s="4"/>
      <c r="O6577" s="256"/>
    </row>
    <row r="6578" spans="1:15">
      <c r="A6578" s="207"/>
      <c r="B6578" s="207"/>
      <c r="N6578" s="4"/>
      <c r="O6578" s="256"/>
    </row>
    <row r="6579" spans="1:15">
      <c r="A6579" s="207"/>
      <c r="B6579" s="207"/>
      <c r="N6579" s="4"/>
      <c r="O6579" s="256"/>
    </row>
    <row r="6580" spans="1:15">
      <c r="A6580" s="207"/>
      <c r="B6580" s="207"/>
      <c r="N6580" s="4"/>
      <c r="O6580" s="256"/>
    </row>
    <row r="6581" spans="1:15">
      <c r="A6581" s="207"/>
      <c r="B6581" s="207"/>
      <c r="N6581" s="4"/>
      <c r="O6581" s="256"/>
    </row>
    <row r="6582" spans="1:15">
      <c r="A6582" s="207"/>
      <c r="B6582" s="207"/>
      <c r="N6582" s="4"/>
      <c r="O6582" s="256"/>
    </row>
    <row r="6583" spans="1:15">
      <c r="A6583" s="207"/>
      <c r="B6583" s="207"/>
      <c r="N6583" s="4"/>
      <c r="O6583" s="256"/>
    </row>
    <row r="6584" spans="1:15">
      <c r="A6584" s="207"/>
      <c r="B6584" s="207"/>
      <c r="N6584" s="4"/>
      <c r="O6584" s="256"/>
    </row>
    <row r="6585" spans="1:15">
      <c r="A6585" s="207"/>
      <c r="B6585" s="207"/>
      <c r="N6585" s="4"/>
      <c r="O6585" s="256"/>
    </row>
    <row r="6586" spans="1:15">
      <c r="A6586" s="207"/>
      <c r="B6586" s="207"/>
      <c r="N6586" s="4"/>
      <c r="O6586" s="256"/>
    </row>
    <row r="6587" spans="1:15">
      <c r="A6587" s="207"/>
      <c r="B6587" s="207"/>
      <c r="N6587" s="4"/>
      <c r="O6587" s="256"/>
    </row>
    <row r="6588" spans="1:15">
      <c r="A6588" s="207"/>
      <c r="B6588" s="207"/>
      <c r="N6588" s="4"/>
      <c r="O6588" s="256"/>
    </row>
    <row r="6589" spans="1:15">
      <c r="A6589" s="207"/>
      <c r="B6589" s="207"/>
      <c r="N6589" s="4"/>
      <c r="O6589" s="256"/>
    </row>
    <row r="6590" spans="1:15">
      <c r="A6590" s="207"/>
      <c r="B6590" s="207"/>
      <c r="N6590" s="4"/>
      <c r="O6590" s="256"/>
    </row>
    <row r="6591" spans="1:15">
      <c r="A6591" s="207"/>
      <c r="B6591" s="207"/>
      <c r="N6591" s="4"/>
      <c r="O6591" s="256"/>
    </row>
    <row r="6592" spans="1:15">
      <c r="A6592" s="207"/>
      <c r="B6592" s="207"/>
      <c r="N6592" s="4"/>
      <c r="O6592" s="256"/>
    </row>
    <row r="6593" spans="1:15">
      <c r="A6593" s="207"/>
      <c r="B6593" s="207"/>
      <c r="N6593" s="4"/>
      <c r="O6593" s="256"/>
    </row>
    <row r="6594" spans="1:15">
      <c r="A6594" s="207"/>
      <c r="B6594" s="207"/>
      <c r="N6594" s="4"/>
      <c r="O6594" s="256"/>
    </row>
    <row r="6595" spans="1:15">
      <c r="A6595" s="207"/>
      <c r="B6595" s="207"/>
      <c r="N6595" s="4"/>
      <c r="O6595" s="256"/>
    </row>
    <row r="6596" spans="1:15">
      <c r="A6596" s="207"/>
      <c r="B6596" s="207"/>
      <c r="N6596" s="4"/>
      <c r="O6596" s="256"/>
    </row>
    <row r="6597" spans="1:15">
      <c r="A6597" s="207"/>
      <c r="B6597" s="207"/>
      <c r="N6597" s="4"/>
      <c r="O6597" s="256"/>
    </row>
    <row r="6598" spans="1:15">
      <c r="A6598" s="207"/>
      <c r="B6598" s="207"/>
      <c r="N6598" s="4"/>
      <c r="O6598" s="256"/>
    </row>
    <row r="6599" spans="1:15">
      <c r="A6599" s="207"/>
      <c r="B6599" s="207"/>
      <c r="N6599" s="4"/>
      <c r="O6599" s="256"/>
    </row>
    <row r="6600" spans="1:15">
      <c r="A6600" s="207"/>
      <c r="B6600" s="207"/>
      <c r="N6600" s="4"/>
      <c r="O6600" s="256"/>
    </row>
    <row r="6601" spans="1:15">
      <c r="A6601" s="207"/>
      <c r="B6601" s="207"/>
      <c r="N6601" s="4"/>
      <c r="O6601" s="256"/>
    </row>
    <row r="6602" spans="1:15">
      <c r="A6602" s="207"/>
      <c r="B6602" s="207"/>
      <c r="N6602" s="4"/>
      <c r="O6602" s="256"/>
    </row>
    <row r="6603" spans="1:15">
      <c r="A6603" s="207"/>
      <c r="B6603" s="207"/>
      <c r="N6603" s="4"/>
      <c r="O6603" s="256"/>
    </row>
    <row r="6604" spans="1:15">
      <c r="A6604" s="207"/>
      <c r="B6604" s="207"/>
      <c r="N6604" s="4"/>
      <c r="O6604" s="256"/>
    </row>
    <row r="6605" spans="1:15">
      <c r="A6605" s="207"/>
      <c r="B6605" s="207"/>
      <c r="N6605" s="4"/>
      <c r="O6605" s="256"/>
    </row>
    <row r="6606" spans="1:15">
      <c r="A6606" s="207"/>
      <c r="B6606" s="207"/>
      <c r="N6606" s="4"/>
      <c r="O6606" s="256"/>
    </row>
    <row r="6607" spans="1:15">
      <c r="A6607" s="207"/>
      <c r="B6607" s="207"/>
      <c r="N6607" s="4"/>
      <c r="O6607" s="256"/>
    </row>
    <row r="6608" spans="1:15">
      <c r="A6608" s="207"/>
      <c r="B6608" s="207"/>
      <c r="N6608" s="4"/>
      <c r="O6608" s="256"/>
    </row>
    <row r="6609" spans="1:15">
      <c r="A6609" s="207"/>
      <c r="B6609" s="207"/>
      <c r="N6609" s="4"/>
      <c r="O6609" s="256"/>
    </row>
    <row r="6610" spans="1:15">
      <c r="A6610" s="207"/>
      <c r="B6610" s="207"/>
      <c r="N6610" s="4"/>
      <c r="O6610" s="256"/>
    </row>
    <row r="6611" spans="1:15">
      <c r="A6611" s="207"/>
      <c r="B6611" s="207"/>
      <c r="N6611" s="4"/>
      <c r="O6611" s="256"/>
    </row>
    <row r="6612" spans="1:15">
      <c r="A6612" s="207"/>
      <c r="B6612" s="207"/>
      <c r="N6612" s="4"/>
      <c r="O6612" s="256"/>
    </row>
    <row r="6613" spans="1:15">
      <c r="A6613" s="207"/>
      <c r="B6613" s="207"/>
      <c r="N6613" s="4"/>
      <c r="O6613" s="256"/>
    </row>
    <row r="6614" spans="1:15">
      <c r="A6614" s="207"/>
      <c r="B6614" s="207"/>
      <c r="N6614" s="4"/>
      <c r="O6614" s="256"/>
    </row>
    <row r="6615" spans="1:15">
      <c r="A6615" s="207"/>
      <c r="B6615" s="207"/>
      <c r="N6615" s="4"/>
      <c r="O6615" s="256"/>
    </row>
    <row r="6616" spans="1:15">
      <c r="A6616" s="207"/>
      <c r="B6616" s="207"/>
      <c r="N6616" s="4"/>
      <c r="O6616" s="256"/>
    </row>
    <row r="6617" spans="1:15">
      <c r="A6617" s="207"/>
      <c r="B6617" s="207"/>
      <c r="N6617" s="4"/>
      <c r="O6617" s="256"/>
    </row>
    <row r="6618" spans="1:15">
      <c r="A6618" s="207"/>
      <c r="B6618" s="207"/>
      <c r="N6618" s="4"/>
      <c r="O6618" s="256"/>
    </row>
    <row r="6619" spans="1:15">
      <c r="A6619" s="207"/>
      <c r="B6619" s="207"/>
      <c r="N6619" s="4"/>
      <c r="O6619" s="256"/>
    </row>
    <row r="6620" spans="1:15">
      <c r="A6620" s="207"/>
      <c r="B6620" s="207"/>
      <c r="N6620" s="4"/>
      <c r="O6620" s="256"/>
    </row>
    <row r="6621" spans="1:15">
      <c r="A6621" s="207"/>
      <c r="B6621" s="207"/>
      <c r="N6621" s="4"/>
      <c r="O6621" s="256"/>
    </row>
    <row r="6622" spans="1:15">
      <c r="A6622" s="207"/>
      <c r="B6622" s="207"/>
      <c r="N6622" s="4"/>
      <c r="O6622" s="256"/>
    </row>
    <row r="6623" spans="1:15">
      <c r="A6623" s="207"/>
      <c r="B6623" s="207"/>
      <c r="N6623" s="4"/>
      <c r="O6623" s="256"/>
    </row>
    <row r="6624" spans="1:15">
      <c r="A6624" s="207"/>
      <c r="B6624" s="207"/>
      <c r="N6624" s="4"/>
      <c r="O6624" s="256"/>
    </row>
    <row r="6625" spans="1:15">
      <c r="A6625" s="207"/>
      <c r="B6625" s="207"/>
      <c r="N6625" s="4"/>
      <c r="O6625" s="256"/>
    </row>
    <row r="6626" spans="1:15">
      <c r="A6626" s="207"/>
      <c r="B6626" s="207"/>
      <c r="N6626" s="4"/>
      <c r="O6626" s="256"/>
    </row>
    <row r="6627" spans="1:15">
      <c r="A6627" s="207"/>
      <c r="B6627" s="207"/>
      <c r="N6627" s="4"/>
      <c r="O6627" s="256"/>
    </row>
    <row r="6628" spans="1:15">
      <c r="A6628" s="207"/>
      <c r="B6628" s="207"/>
      <c r="N6628" s="4"/>
      <c r="O6628" s="256"/>
    </row>
    <row r="6629" spans="1:15">
      <c r="A6629" s="207"/>
      <c r="B6629" s="207"/>
      <c r="N6629" s="4"/>
      <c r="O6629" s="256"/>
    </row>
    <row r="6630" spans="1:15">
      <c r="A6630" s="207"/>
      <c r="B6630" s="207"/>
      <c r="N6630" s="4"/>
      <c r="O6630" s="256"/>
    </row>
    <row r="6631" spans="1:15">
      <c r="A6631" s="207"/>
      <c r="B6631" s="207"/>
      <c r="N6631" s="4"/>
      <c r="O6631" s="256"/>
    </row>
    <row r="6632" spans="1:15">
      <c r="A6632" s="207"/>
      <c r="B6632" s="207"/>
      <c r="N6632" s="4"/>
      <c r="O6632" s="256"/>
    </row>
    <row r="6633" spans="1:15">
      <c r="A6633" s="207"/>
      <c r="B6633" s="207"/>
      <c r="N6633" s="4"/>
      <c r="O6633" s="256"/>
    </row>
    <row r="6634" spans="1:15">
      <c r="A6634" s="207"/>
      <c r="B6634" s="207"/>
      <c r="N6634" s="4"/>
      <c r="O6634" s="256"/>
    </row>
    <row r="6635" spans="1:15">
      <c r="A6635" s="207"/>
      <c r="B6635" s="207"/>
      <c r="N6635" s="4"/>
      <c r="O6635" s="256"/>
    </row>
    <row r="6636" spans="1:15">
      <c r="A6636" s="207"/>
      <c r="B6636" s="207"/>
      <c r="N6636" s="4"/>
      <c r="O6636" s="256"/>
    </row>
    <row r="6637" spans="1:15">
      <c r="A6637" s="207"/>
      <c r="B6637" s="207"/>
      <c r="N6637" s="4"/>
      <c r="O6637" s="256"/>
    </row>
    <row r="6638" spans="1:15">
      <c r="A6638" s="207"/>
      <c r="B6638" s="207"/>
      <c r="N6638" s="4"/>
      <c r="O6638" s="256"/>
    </row>
    <row r="6639" spans="1:15">
      <c r="A6639" s="207"/>
      <c r="B6639" s="207"/>
      <c r="N6639" s="4"/>
      <c r="O6639" s="256"/>
    </row>
    <row r="6640" spans="1:15">
      <c r="A6640" s="207"/>
      <c r="B6640" s="207"/>
      <c r="N6640" s="4"/>
      <c r="O6640" s="256"/>
    </row>
    <row r="6641" spans="1:15">
      <c r="A6641" s="207"/>
      <c r="B6641" s="207"/>
      <c r="N6641" s="4"/>
      <c r="O6641" s="256"/>
    </row>
    <row r="6642" spans="1:15">
      <c r="A6642" s="207"/>
      <c r="B6642" s="207"/>
      <c r="N6642" s="4"/>
      <c r="O6642" s="256"/>
    </row>
    <row r="6643" spans="1:15">
      <c r="A6643" s="207"/>
      <c r="B6643" s="207"/>
      <c r="N6643" s="4"/>
      <c r="O6643" s="256"/>
    </row>
    <row r="6644" spans="1:15">
      <c r="A6644" s="207"/>
      <c r="B6644" s="207"/>
      <c r="N6644" s="4"/>
      <c r="O6644" s="256"/>
    </row>
    <row r="6645" spans="1:15">
      <c r="A6645" s="207"/>
      <c r="B6645" s="207"/>
      <c r="N6645" s="4"/>
      <c r="O6645" s="256"/>
    </row>
    <row r="6646" spans="1:15">
      <c r="A6646" s="207"/>
      <c r="B6646" s="207"/>
      <c r="N6646" s="4"/>
      <c r="O6646" s="256"/>
    </row>
    <row r="6647" spans="1:15">
      <c r="A6647" s="207"/>
      <c r="B6647" s="207"/>
      <c r="N6647" s="4"/>
      <c r="O6647" s="256"/>
    </row>
    <row r="6648" spans="1:15">
      <c r="A6648" s="207"/>
      <c r="B6648" s="207"/>
      <c r="N6648" s="4"/>
      <c r="O6648" s="256"/>
    </row>
    <row r="6649" spans="1:15">
      <c r="A6649" s="207"/>
      <c r="B6649" s="207"/>
      <c r="N6649" s="4"/>
      <c r="O6649" s="256"/>
    </row>
    <row r="6650" spans="1:15">
      <c r="A6650" s="207"/>
      <c r="B6650" s="207"/>
      <c r="N6650" s="4"/>
      <c r="O6650" s="256"/>
    </row>
    <row r="6651" spans="1:15">
      <c r="A6651" s="207"/>
      <c r="B6651" s="207"/>
      <c r="N6651" s="4"/>
      <c r="O6651" s="256"/>
    </row>
    <row r="6652" spans="1:15">
      <c r="A6652" s="207"/>
      <c r="B6652" s="207"/>
      <c r="N6652" s="4"/>
      <c r="O6652" s="256"/>
    </row>
    <row r="6653" spans="1:15">
      <c r="A6653" s="207"/>
      <c r="B6653" s="207"/>
      <c r="N6653" s="4"/>
      <c r="O6653" s="256"/>
    </row>
    <row r="6654" spans="1:15">
      <c r="A6654" s="207"/>
      <c r="B6654" s="207"/>
      <c r="N6654" s="4"/>
      <c r="O6654" s="256"/>
    </row>
    <row r="6655" spans="1:15">
      <c r="A6655" s="207"/>
      <c r="B6655" s="207"/>
      <c r="N6655" s="4"/>
      <c r="O6655" s="256"/>
    </row>
    <row r="6656" spans="1:15">
      <c r="A6656" s="207"/>
      <c r="B6656" s="207"/>
      <c r="N6656" s="4"/>
      <c r="O6656" s="256"/>
    </row>
    <row r="6657" spans="1:15">
      <c r="A6657" s="207"/>
      <c r="B6657" s="207"/>
      <c r="N6657" s="4"/>
      <c r="O6657" s="256"/>
    </row>
    <row r="6658" spans="1:15">
      <c r="A6658" s="207"/>
      <c r="B6658" s="207"/>
      <c r="N6658" s="4"/>
      <c r="O6658" s="256"/>
    </row>
    <row r="6659" spans="1:15">
      <c r="A6659" s="207"/>
      <c r="B6659" s="207"/>
      <c r="N6659" s="4"/>
      <c r="O6659" s="256"/>
    </row>
    <row r="6660" spans="1:15">
      <c r="A6660" s="207"/>
      <c r="B6660" s="207"/>
      <c r="N6660" s="4"/>
      <c r="O6660" s="256"/>
    </row>
    <row r="6661" spans="1:15">
      <c r="A6661" s="207"/>
      <c r="B6661" s="207"/>
      <c r="N6661" s="4"/>
      <c r="O6661" s="256"/>
    </row>
    <row r="6662" spans="1:15">
      <c r="A6662" s="207"/>
      <c r="B6662" s="207"/>
      <c r="N6662" s="4"/>
      <c r="O6662" s="256"/>
    </row>
    <row r="6663" spans="1:15">
      <c r="A6663" s="207"/>
      <c r="B6663" s="207"/>
      <c r="N6663" s="4"/>
      <c r="O6663" s="256"/>
    </row>
    <row r="6664" spans="1:15">
      <c r="A6664" s="207"/>
      <c r="B6664" s="207"/>
      <c r="N6664" s="4"/>
      <c r="O6664" s="256"/>
    </row>
    <row r="6665" spans="1:15">
      <c r="A6665" s="207"/>
      <c r="B6665" s="207"/>
      <c r="N6665" s="4"/>
      <c r="O6665" s="256"/>
    </row>
    <row r="6666" spans="1:15">
      <c r="A6666" s="207"/>
      <c r="B6666" s="207"/>
      <c r="N6666" s="4"/>
      <c r="O6666" s="256"/>
    </row>
    <row r="6667" spans="1:15">
      <c r="A6667" s="207"/>
      <c r="B6667" s="207"/>
      <c r="N6667" s="4"/>
      <c r="O6667" s="256"/>
    </row>
    <row r="6668" spans="1:15">
      <c r="A6668" s="207"/>
      <c r="B6668" s="207"/>
      <c r="N6668" s="4"/>
      <c r="O6668" s="256"/>
    </row>
    <row r="6669" spans="1:15">
      <c r="A6669" s="207"/>
      <c r="B6669" s="207"/>
      <c r="N6669" s="4"/>
      <c r="O6669" s="256"/>
    </row>
    <row r="6670" spans="1:15">
      <c r="A6670" s="207"/>
      <c r="B6670" s="207"/>
      <c r="N6670" s="4"/>
      <c r="O6670" s="256"/>
    </row>
    <row r="6671" spans="1:15">
      <c r="A6671" s="207"/>
      <c r="B6671" s="207"/>
      <c r="N6671" s="4"/>
      <c r="O6671" s="256"/>
    </row>
    <row r="6672" spans="1:15">
      <c r="A6672" s="207"/>
      <c r="B6672" s="207"/>
      <c r="N6672" s="4"/>
      <c r="O6672" s="256"/>
    </row>
    <row r="6673" spans="1:15">
      <c r="A6673" s="207"/>
      <c r="B6673" s="207"/>
      <c r="N6673" s="4"/>
      <c r="O6673" s="256"/>
    </row>
    <row r="6674" spans="1:15">
      <c r="A6674" s="207"/>
      <c r="B6674" s="207"/>
      <c r="N6674" s="4"/>
      <c r="O6674" s="256"/>
    </row>
    <row r="6675" spans="1:15">
      <c r="A6675" s="207"/>
      <c r="B6675" s="207"/>
      <c r="N6675" s="4"/>
      <c r="O6675" s="256"/>
    </row>
    <row r="6676" spans="1:15">
      <c r="A6676" s="207"/>
      <c r="B6676" s="207"/>
      <c r="N6676" s="4"/>
      <c r="O6676" s="256"/>
    </row>
    <row r="6677" spans="1:15">
      <c r="A6677" s="207"/>
      <c r="B6677" s="207"/>
      <c r="N6677" s="4"/>
      <c r="O6677" s="256"/>
    </row>
    <row r="6678" spans="1:15">
      <c r="A6678" s="207"/>
      <c r="B6678" s="207"/>
      <c r="N6678" s="4"/>
      <c r="O6678" s="256"/>
    </row>
    <row r="6679" spans="1:15">
      <c r="A6679" s="207"/>
      <c r="B6679" s="207"/>
      <c r="N6679" s="4"/>
      <c r="O6679" s="256"/>
    </row>
    <row r="6680" spans="1:15">
      <c r="A6680" s="207"/>
      <c r="B6680" s="207"/>
      <c r="N6680" s="4"/>
      <c r="O6680" s="256"/>
    </row>
    <row r="6681" spans="1:15">
      <c r="A6681" s="207"/>
      <c r="B6681" s="207"/>
      <c r="N6681" s="4"/>
      <c r="O6681" s="256"/>
    </row>
    <row r="6682" spans="1:15">
      <c r="A6682" s="207"/>
      <c r="B6682" s="207"/>
      <c r="N6682" s="4"/>
      <c r="O6682" s="256"/>
    </row>
    <row r="6683" spans="1:15">
      <c r="A6683" s="207"/>
      <c r="B6683" s="207"/>
      <c r="N6683" s="4"/>
      <c r="O6683" s="256"/>
    </row>
    <row r="6684" spans="1:15">
      <c r="A6684" s="207"/>
      <c r="B6684" s="207"/>
      <c r="N6684" s="4"/>
      <c r="O6684" s="256"/>
    </row>
    <row r="6685" spans="1:15">
      <c r="A6685" s="207"/>
      <c r="B6685" s="207"/>
      <c r="N6685" s="4"/>
      <c r="O6685" s="256"/>
    </row>
    <row r="6686" spans="1:15">
      <c r="A6686" s="207"/>
      <c r="B6686" s="207"/>
      <c r="N6686" s="4"/>
      <c r="O6686" s="256"/>
    </row>
    <row r="6687" spans="1:15">
      <c r="A6687" s="207"/>
      <c r="B6687" s="207"/>
      <c r="N6687" s="4"/>
      <c r="O6687" s="256"/>
    </row>
    <row r="6688" spans="1:15">
      <c r="A6688" s="207"/>
      <c r="B6688" s="207"/>
      <c r="N6688" s="4"/>
      <c r="O6688" s="256"/>
    </row>
    <row r="6689" spans="1:15">
      <c r="A6689" s="207"/>
      <c r="B6689" s="207"/>
      <c r="N6689" s="4"/>
      <c r="O6689" s="256"/>
    </row>
    <row r="6690" spans="1:15">
      <c r="A6690" s="207"/>
      <c r="B6690" s="207"/>
      <c r="N6690" s="4"/>
      <c r="O6690" s="256"/>
    </row>
    <row r="6691" spans="1:15">
      <c r="A6691" s="207"/>
      <c r="B6691" s="207"/>
      <c r="N6691" s="4"/>
      <c r="O6691" s="256"/>
    </row>
    <row r="6692" spans="1:15">
      <c r="A6692" s="207"/>
      <c r="B6692" s="207"/>
      <c r="N6692" s="4"/>
      <c r="O6692" s="256"/>
    </row>
    <row r="6693" spans="1:15">
      <c r="A6693" s="207"/>
      <c r="B6693" s="207"/>
      <c r="N6693" s="4"/>
      <c r="O6693" s="256"/>
    </row>
    <row r="6694" spans="1:15">
      <c r="A6694" s="207"/>
      <c r="B6694" s="207"/>
      <c r="N6694" s="4"/>
      <c r="O6694" s="256"/>
    </row>
    <row r="6695" spans="1:15">
      <c r="A6695" s="207"/>
      <c r="B6695" s="207"/>
      <c r="N6695" s="4"/>
      <c r="O6695" s="256"/>
    </row>
    <row r="6696" spans="1:15">
      <c r="A6696" s="207"/>
      <c r="B6696" s="207"/>
      <c r="N6696" s="4"/>
      <c r="O6696" s="256"/>
    </row>
    <row r="6697" spans="1:15">
      <c r="A6697" s="207"/>
      <c r="B6697" s="207"/>
      <c r="N6697" s="4"/>
      <c r="O6697" s="256"/>
    </row>
    <row r="6698" spans="1:15">
      <c r="A6698" s="207"/>
      <c r="B6698" s="207"/>
      <c r="N6698" s="4"/>
      <c r="O6698" s="256"/>
    </row>
    <row r="6699" spans="1:15">
      <c r="A6699" s="207"/>
      <c r="B6699" s="207"/>
      <c r="N6699" s="4"/>
      <c r="O6699" s="256"/>
    </row>
    <row r="6700" spans="1:15">
      <c r="A6700" s="207"/>
      <c r="B6700" s="207"/>
      <c r="N6700" s="4"/>
      <c r="O6700" s="256"/>
    </row>
    <row r="6701" spans="1:15">
      <c r="A6701" s="207"/>
      <c r="B6701" s="207"/>
      <c r="N6701" s="4"/>
      <c r="O6701" s="256"/>
    </row>
    <row r="6702" spans="1:15">
      <c r="A6702" s="207"/>
      <c r="B6702" s="207"/>
      <c r="N6702" s="4"/>
      <c r="O6702" s="256"/>
    </row>
    <row r="6703" spans="1:15">
      <c r="A6703" s="207"/>
      <c r="B6703" s="207"/>
      <c r="N6703" s="4"/>
      <c r="O6703" s="256"/>
    </row>
    <row r="6704" spans="1:15">
      <c r="A6704" s="207"/>
      <c r="B6704" s="207"/>
      <c r="N6704" s="4"/>
      <c r="O6704" s="256"/>
    </row>
    <row r="6705" spans="1:15">
      <c r="A6705" s="207"/>
      <c r="B6705" s="207"/>
      <c r="N6705" s="4"/>
      <c r="O6705" s="256"/>
    </row>
    <row r="6706" spans="1:15">
      <c r="A6706" s="207"/>
      <c r="B6706" s="207"/>
      <c r="N6706" s="4"/>
      <c r="O6706" s="256"/>
    </row>
    <row r="6707" spans="1:15">
      <c r="A6707" s="207"/>
      <c r="B6707" s="207"/>
      <c r="N6707" s="4"/>
      <c r="O6707" s="256"/>
    </row>
    <row r="6708" spans="1:15">
      <c r="A6708" s="207"/>
      <c r="B6708" s="207"/>
      <c r="N6708" s="4"/>
      <c r="O6708" s="256"/>
    </row>
    <row r="6709" spans="1:15">
      <c r="A6709" s="207"/>
      <c r="B6709" s="207"/>
      <c r="N6709" s="4"/>
      <c r="O6709" s="256"/>
    </row>
    <row r="6710" spans="1:15">
      <c r="A6710" s="207"/>
      <c r="B6710" s="207"/>
      <c r="N6710" s="4"/>
      <c r="O6710" s="256"/>
    </row>
    <row r="6711" spans="1:15">
      <c r="A6711" s="207"/>
      <c r="B6711" s="207"/>
      <c r="N6711" s="4"/>
      <c r="O6711" s="256"/>
    </row>
    <row r="6712" spans="1:15">
      <c r="A6712" s="207"/>
      <c r="B6712" s="207"/>
      <c r="N6712" s="4"/>
      <c r="O6712" s="256"/>
    </row>
    <row r="6713" spans="1:15">
      <c r="A6713" s="207"/>
      <c r="B6713" s="207"/>
      <c r="N6713" s="4"/>
      <c r="O6713" s="256"/>
    </row>
    <row r="6714" spans="1:15">
      <c r="A6714" s="207"/>
      <c r="B6714" s="207"/>
      <c r="N6714" s="4"/>
      <c r="O6714" s="256"/>
    </row>
    <row r="6715" spans="1:15">
      <c r="A6715" s="207"/>
      <c r="B6715" s="207"/>
      <c r="N6715" s="4"/>
      <c r="O6715" s="256"/>
    </row>
    <row r="6716" spans="1:15">
      <c r="A6716" s="207"/>
      <c r="B6716" s="207"/>
      <c r="N6716" s="4"/>
      <c r="O6716" s="256"/>
    </row>
    <row r="6717" spans="1:15">
      <c r="A6717" s="207"/>
      <c r="B6717" s="207"/>
      <c r="N6717" s="4"/>
      <c r="O6717" s="256"/>
    </row>
    <row r="6718" spans="1:15">
      <c r="A6718" s="207"/>
      <c r="B6718" s="207"/>
      <c r="N6718" s="4"/>
      <c r="O6718" s="256"/>
    </row>
    <row r="6719" spans="1:15">
      <c r="A6719" s="207"/>
      <c r="B6719" s="207"/>
      <c r="N6719" s="4"/>
      <c r="O6719" s="256"/>
    </row>
    <row r="6720" spans="1:15">
      <c r="A6720" s="207"/>
      <c r="B6720" s="207"/>
      <c r="N6720" s="4"/>
      <c r="O6720" s="256"/>
    </row>
    <row r="6721" spans="1:15">
      <c r="A6721" s="207"/>
      <c r="B6721" s="207"/>
      <c r="N6721" s="4"/>
      <c r="O6721" s="256"/>
    </row>
    <row r="6722" spans="1:15">
      <c r="A6722" s="207"/>
      <c r="B6722" s="207"/>
      <c r="N6722" s="4"/>
      <c r="O6722" s="256"/>
    </row>
    <row r="6723" spans="1:15">
      <c r="A6723" s="207"/>
      <c r="B6723" s="207"/>
      <c r="N6723" s="4"/>
      <c r="O6723" s="256"/>
    </row>
    <row r="6724" spans="1:15">
      <c r="A6724" s="207"/>
      <c r="B6724" s="207"/>
      <c r="N6724" s="4"/>
      <c r="O6724" s="256"/>
    </row>
    <row r="6725" spans="1:15">
      <c r="A6725" s="207"/>
      <c r="B6725" s="207"/>
      <c r="N6725" s="4"/>
      <c r="O6725" s="256"/>
    </row>
    <row r="6726" spans="1:15">
      <c r="A6726" s="207"/>
      <c r="B6726" s="207"/>
      <c r="N6726" s="4"/>
      <c r="O6726" s="256"/>
    </row>
    <row r="6727" spans="1:15">
      <c r="A6727" s="207"/>
      <c r="B6727" s="207"/>
      <c r="N6727" s="4"/>
      <c r="O6727" s="256"/>
    </row>
    <row r="6728" spans="1:15">
      <c r="A6728" s="207"/>
      <c r="B6728" s="207"/>
      <c r="N6728" s="4"/>
      <c r="O6728" s="256"/>
    </row>
    <row r="6729" spans="1:15">
      <c r="A6729" s="207"/>
      <c r="B6729" s="207"/>
      <c r="N6729" s="4"/>
      <c r="O6729" s="256"/>
    </row>
    <row r="6730" spans="1:15">
      <c r="A6730" s="207"/>
      <c r="B6730" s="207"/>
      <c r="N6730" s="4"/>
      <c r="O6730" s="256"/>
    </row>
    <row r="6731" spans="1:15">
      <c r="A6731" s="207"/>
      <c r="B6731" s="207"/>
      <c r="N6731" s="4"/>
      <c r="O6731" s="256"/>
    </row>
    <row r="6732" spans="1:15">
      <c r="A6732" s="207"/>
      <c r="B6732" s="207"/>
      <c r="N6732" s="4"/>
      <c r="O6732" s="256"/>
    </row>
    <row r="6733" spans="1:15">
      <c r="A6733" s="207"/>
      <c r="B6733" s="207"/>
      <c r="N6733" s="4"/>
      <c r="O6733" s="256"/>
    </row>
    <row r="6734" spans="1:15">
      <c r="A6734" s="207"/>
      <c r="B6734" s="207"/>
      <c r="N6734" s="4"/>
      <c r="O6734" s="256"/>
    </row>
    <row r="6735" spans="1:15">
      <c r="A6735" s="207"/>
      <c r="B6735" s="207"/>
      <c r="N6735" s="4"/>
      <c r="O6735" s="256"/>
    </row>
    <row r="6736" spans="1:15">
      <c r="A6736" s="207"/>
      <c r="B6736" s="207"/>
      <c r="N6736" s="4"/>
      <c r="O6736" s="256"/>
    </row>
    <row r="6737" spans="1:15">
      <c r="A6737" s="207"/>
      <c r="B6737" s="207"/>
      <c r="N6737" s="4"/>
      <c r="O6737" s="256"/>
    </row>
    <row r="6738" spans="1:15">
      <c r="A6738" s="207"/>
      <c r="B6738" s="207"/>
      <c r="N6738" s="4"/>
      <c r="O6738" s="256"/>
    </row>
    <row r="6739" spans="1:15">
      <c r="A6739" s="207"/>
      <c r="B6739" s="207"/>
      <c r="N6739" s="4"/>
      <c r="O6739" s="256"/>
    </row>
    <row r="6740" spans="1:15">
      <c r="A6740" s="207"/>
      <c r="B6740" s="207"/>
      <c r="N6740" s="4"/>
      <c r="O6740" s="256"/>
    </row>
    <row r="6741" spans="1:15">
      <c r="A6741" s="207"/>
      <c r="B6741" s="207"/>
      <c r="N6741" s="4"/>
      <c r="O6741" s="256"/>
    </row>
    <row r="6742" spans="1:15">
      <c r="A6742" s="207"/>
      <c r="B6742" s="207"/>
      <c r="N6742" s="4"/>
      <c r="O6742" s="256"/>
    </row>
    <row r="6743" spans="1:15">
      <c r="A6743" s="207"/>
      <c r="B6743" s="207"/>
      <c r="N6743" s="4"/>
      <c r="O6743" s="256"/>
    </row>
    <row r="6744" spans="1:15">
      <c r="A6744" s="207"/>
      <c r="B6744" s="207"/>
      <c r="N6744" s="4"/>
      <c r="O6744" s="256"/>
    </row>
    <row r="6745" spans="1:15">
      <c r="A6745" s="207"/>
      <c r="B6745" s="207"/>
      <c r="N6745" s="4"/>
      <c r="O6745" s="256"/>
    </row>
    <row r="6746" spans="1:15">
      <c r="A6746" s="207"/>
      <c r="B6746" s="207"/>
      <c r="N6746" s="4"/>
      <c r="O6746" s="256"/>
    </row>
    <row r="6747" spans="1:15">
      <c r="A6747" s="207"/>
      <c r="B6747" s="207"/>
      <c r="N6747" s="4"/>
      <c r="O6747" s="256"/>
    </row>
    <row r="6748" spans="1:15">
      <c r="A6748" s="207"/>
      <c r="B6748" s="207"/>
      <c r="N6748" s="4"/>
      <c r="O6748" s="256"/>
    </row>
    <row r="6749" spans="1:15">
      <c r="A6749" s="207"/>
      <c r="B6749" s="207"/>
      <c r="N6749" s="4"/>
      <c r="O6749" s="256"/>
    </row>
    <row r="6750" spans="1:15">
      <c r="A6750" s="207"/>
      <c r="B6750" s="207"/>
      <c r="N6750" s="4"/>
      <c r="O6750" s="256"/>
    </row>
    <row r="6751" spans="1:15">
      <c r="A6751" s="207"/>
      <c r="B6751" s="207"/>
      <c r="N6751" s="4"/>
      <c r="O6751" s="256"/>
    </row>
    <row r="6752" spans="1:15">
      <c r="A6752" s="207"/>
      <c r="B6752" s="207"/>
      <c r="N6752" s="4"/>
      <c r="O6752" s="256"/>
    </row>
    <row r="6753" spans="1:15">
      <c r="A6753" s="207"/>
      <c r="B6753" s="207"/>
      <c r="N6753" s="4"/>
      <c r="O6753" s="256"/>
    </row>
    <row r="6754" spans="1:15">
      <c r="A6754" s="207"/>
      <c r="B6754" s="207"/>
      <c r="N6754" s="4"/>
      <c r="O6754" s="256"/>
    </row>
    <row r="6755" spans="1:15">
      <c r="A6755" s="207"/>
      <c r="B6755" s="207"/>
      <c r="N6755" s="4"/>
      <c r="O6755" s="256"/>
    </row>
    <row r="6756" spans="1:15">
      <c r="A6756" s="207"/>
      <c r="B6756" s="207"/>
      <c r="N6756" s="4"/>
      <c r="O6756" s="256"/>
    </row>
    <row r="6757" spans="1:15">
      <c r="A6757" s="207"/>
      <c r="B6757" s="207"/>
      <c r="N6757" s="4"/>
      <c r="O6757" s="256"/>
    </row>
    <row r="6758" spans="1:15">
      <c r="A6758" s="207"/>
      <c r="B6758" s="207"/>
      <c r="N6758" s="4"/>
      <c r="O6758" s="256"/>
    </row>
    <row r="6759" spans="1:15">
      <c r="A6759" s="207"/>
      <c r="B6759" s="207"/>
      <c r="N6759" s="4"/>
      <c r="O6759" s="256"/>
    </row>
    <row r="6760" spans="1:15">
      <c r="A6760" s="207"/>
      <c r="B6760" s="207"/>
      <c r="N6760" s="4"/>
      <c r="O6760" s="256"/>
    </row>
    <row r="6761" spans="1:15">
      <c r="A6761" s="207"/>
      <c r="B6761" s="207"/>
      <c r="N6761" s="4"/>
      <c r="O6761" s="256"/>
    </row>
    <row r="6762" spans="1:15">
      <c r="A6762" s="207"/>
      <c r="B6762" s="207"/>
      <c r="N6762" s="4"/>
      <c r="O6762" s="256"/>
    </row>
    <row r="6763" spans="1:15">
      <c r="A6763" s="207"/>
      <c r="B6763" s="207"/>
      <c r="N6763" s="4"/>
      <c r="O6763" s="256"/>
    </row>
    <row r="6764" spans="1:15">
      <c r="A6764" s="207"/>
      <c r="B6764" s="207"/>
      <c r="N6764" s="4"/>
      <c r="O6764" s="256"/>
    </row>
    <row r="6765" spans="1:15">
      <c r="A6765" s="207"/>
      <c r="B6765" s="207"/>
      <c r="N6765" s="4"/>
      <c r="O6765" s="256"/>
    </row>
    <row r="6766" spans="1:15">
      <c r="A6766" s="207"/>
      <c r="B6766" s="207"/>
      <c r="N6766" s="4"/>
      <c r="O6766" s="256"/>
    </row>
    <row r="6767" spans="1:15">
      <c r="A6767" s="207"/>
      <c r="B6767" s="207"/>
      <c r="N6767" s="4"/>
      <c r="O6767" s="256"/>
    </row>
    <row r="6768" spans="1:15">
      <c r="A6768" s="207"/>
      <c r="B6768" s="207"/>
      <c r="N6768" s="4"/>
      <c r="O6768" s="256"/>
    </row>
    <row r="6769" spans="1:15">
      <c r="A6769" s="207"/>
      <c r="B6769" s="207"/>
      <c r="N6769" s="4"/>
      <c r="O6769" s="256"/>
    </row>
    <row r="6770" spans="1:15">
      <c r="A6770" s="207"/>
      <c r="B6770" s="207"/>
      <c r="N6770" s="4"/>
      <c r="O6770" s="256"/>
    </row>
    <row r="6771" spans="1:15">
      <c r="A6771" s="207"/>
      <c r="B6771" s="207"/>
      <c r="N6771" s="4"/>
      <c r="O6771" s="256"/>
    </row>
    <row r="6772" spans="1:15">
      <c r="A6772" s="207"/>
      <c r="B6772" s="207"/>
      <c r="N6772" s="4"/>
      <c r="O6772" s="256"/>
    </row>
    <row r="6773" spans="1:15">
      <c r="A6773" s="207"/>
      <c r="B6773" s="207"/>
      <c r="N6773" s="4"/>
      <c r="O6773" s="256"/>
    </row>
    <row r="6774" spans="1:15">
      <c r="A6774" s="207"/>
      <c r="B6774" s="207"/>
      <c r="N6774" s="4"/>
      <c r="O6774" s="256"/>
    </row>
    <row r="6775" spans="1:15">
      <c r="A6775" s="207"/>
      <c r="B6775" s="207"/>
      <c r="N6775" s="4"/>
      <c r="O6775" s="256"/>
    </row>
    <row r="6776" spans="1:15">
      <c r="A6776" s="207"/>
      <c r="B6776" s="207"/>
      <c r="N6776" s="4"/>
      <c r="O6776" s="256"/>
    </row>
    <row r="6777" spans="1:15">
      <c r="A6777" s="207"/>
      <c r="B6777" s="207"/>
      <c r="N6777" s="4"/>
      <c r="O6777" s="256"/>
    </row>
    <row r="6778" spans="1:15">
      <c r="A6778" s="207"/>
      <c r="B6778" s="207"/>
      <c r="N6778" s="4"/>
      <c r="O6778" s="256"/>
    </row>
    <row r="6779" spans="1:15">
      <c r="A6779" s="207"/>
      <c r="B6779" s="207"/>
      <c r="N6779" s="4"/>
      <c r="O6779" s="256"/>
    </row>
    <row r="6780" spans="1:15">
      <c r="A6780" s="207"/>
      <c r="B6780" s="207"/>
      <c r="N6780" s="4"/>
      <c r="O6780" s="256"/>
    </row>
    <row r="6781" spans="1:15">
      <c r="A6781" s="207"/>
      <c r="B6781" s="207"/>
      <c r="N6781" s="4"/>
      <c r="O6781" s="256"/>
    </row>
    <row r="6782" spans="1:15">
      <c r="A6782" s="207"/>
      <c r="B6782" s="207"/>
      <c r="N6782" s="4"/>
      <c r="O6782" s="256"/>
    </row>
    <row r="6783" spans="1:15">
      <c r="A6783" s="207"/>
      <c r="B6783" s="207"/>
      <c r="N6783" s="4"/>
      <c r="O6783" s="256"/>
    </row>
    <row r="6784" spans="1:15">
      <c r="A6784" s="207"/>
      <c r="B6784" s="207"/>
      <c r="N6784" s="4"/>
      <c r="O6784" s="256"/>
    </row>
    <row r="6785" spans="1:15">
      <c r="A6785" s="207"/>
      <c r="B6785" s="207"/>
      <c r="N6785" s="4"/>
      <c r="O6785" s="256"/>
    </row>
    <row r="6786" spans="1:15">
      <c r="A6786" s="207"/>
      <c r="B6786" s="207"/>
      <c r="N6786" s="4"/>
      <c r="O6786" s="256"/>
    </row>
    <row r="6787" spans="1:15">
      <c r="A6787" s="207"/>
      <c r="B6787" s="207"/>
      <c r="N6787" s="4"/>
      <c r="O6787" s="256"/>
    </row>
    <row r="6788" spans="1:15">
      <c r="A6788" s="207"/>
      <c r="B6788" s="207"/>
      <c r="N6788" s="4"/>
      <c r="O6788" s="256"/>
    </row>
    <row r="6789" spans="1:15">
      <c r="A6789" s="207"/>
      <c r="B6789" s="207"/>
      <c r="N6789" s="4"/>
      <c r="O6789" s="256"/>
    </row>
    <row r="6790" spans="1:15">
      <c r="A6790" s="207"/>
      <c r="B6790" s="207"/>
      <c r="N6790" s="4"/>
      <c r="O6790" s="256"/>
    </row>
    <row r="6791" spans="1:15">
      <c r="A6791" s="207"/>
      <c r="B6791" s="207"/>
      <c r="N6791" s="4"/>
      <c r="O6791" s="256"/>
    </row>
    <row r="6792" spans="1:15">
      <c r="A6792" s="207"/>
      <c r="B6792" s="207"/>
      <c r="N6792" s="4"/>
      <c r="O6792" s="256"/>
    </row>
    <row r="6793" spans="1:15">
      <c r="A6793" s="207"/>
      <c r="B6793" s="207"/>
      <c r="N6793" s="4"/>
      <c r="O6793" s="256"/>
    </row>
    <row r="6794" spans="1:15">
      <c r="A6794" s="207"/>
      <c r="B6794" s="207"/>
      <c r="N6794" s="4"/>
      <c r="O6794" s="256"/>
    </row>
    <row r="6795" spans="1:15">
      <c r="A6795" s="207"/>
      <c r="B6795" s="207"/>
      <c r="N6795" s="4"/>
      <c r="O6795" s="256"/>
    </row>
    <row r="6796" spans="1:15">
      <c r="A6796" s="207"/>
      <c r="B6796" s="207"/>
      <c r="N6796" s="4"/>
      <c r="O6796" s="256"/>
    </row>
    <row r="6797" spans="1:15">
      <c r="A6797" s="207"/>
      <c r="B6797" s="207"/>
      <c r="N6797" s="4"/>
      <c r="O6797" s="256"/>
    </row>
    <row r="6798" spans="1:15">
      <c r="A6798" s="207"/>
      <c r="B6798" s="207"/>
      <c r="N6798" s="4"/>
      <c r="O6798" s="256"/>
    </row>
    <row r="6799" spans="1:15">
      <c r="A6799" s="207"/>
      <c r="B6799" s="207"/>
      <c r="N6799" s="4"/>
      <c r="O6799" s="256"/>
    </row>
    <row r="6800" spans="1:15">
      <c r="A6800" s="207"/>
      <c r="B6800" s="207"/>
      <c r="N6800" s="4"/>
      <c r="O6800" s="256"/>
    </row>
    <row r="6801" spans="1:15">
      <c r="A6801" s="207"/>
      <c r="B6801" s="207"/>
      <c r="N6801" s="4"/>
      <c r="O6801" s="256"/>
    </row>
    <row r="6802" spans="1:15">
      <c r="A6802" s="207"/>
      <c r="B6802" s="207"/>
      <c r="N6802" s="4"/>
      <c r="O6802" s="256"/>
    </row>
    <row r="6803" spans="1:15">
      <c r="A6803" s="207"/>
      <c r="B6803" s="207"/>
      <c r="N6803" s="4"/>
      <c r="O6803" s="256"/>
    </row>
    <row r="6804" spans="1:15">
      <c r="A6804" s="207"/>
      <c r="B6804" s="207"/>
      <c r="N6804" s="4"/>
      <c r="O6804" s="256"/>
    </row>
    <row r="6805" spans="1:15">
      <c r="A6805" s="207"/>
      <c r="B6805" s="207"/>
      <c r="N6805" s="4"/>
      <c r="O6805" s="256"/>
    </row>
    <row r="6806" spans="1:15">
      <c r="A6806" s="207"/>
      <c r="B6806" s="207"/>
      <c r="N6806" s="4"/>
      <c r="O6806" s="256"/>
    </row>
    <row r="6807" spans="1:15">
      <c r="A6807" s="207"/>
      <c r="B6807" s="207"/>
      <c r="N6807" s="4"/>
      <c r="O6807" s="256"/>
    </row>
    <row r="6808" spans="1:15">
      <c r="A6808" s="207"/>
      <c r="B6808" s="207"/>
      <c r="N6808" s="4"/>
      <c r="O6808" s="256"/>
    </row>
    <row r="6809" spans="1:15">
      <c r="A6809" s="207"/>
      <c r="B6809" s="207"/>
      <c r="N6809" s="4"/>
      <c r="O6809" s="256"/>
    </row>
    <row r="6810" spans="1:15">
      <c r="A6810" s="207"/>
      <c r="B6810" s="207"/>
      <c r="N6810" s="4"/>
      <c r="O6810" s="256"/>
    </row>
    <row r="6811" spans="1:15">
      <c r="A6811" s="207"/>
      <c r="B6811" s="207"/>
      <c r="N6811" s="4"/>
      <c r="O6811" s="256"/>
    </row>
    <row r="6812" spans="1:15">
      <c r="A6812" s="207"/>
      <c r="B6812" s="207"/>
      <c r="N6812" s="4"/>
      <c r="O6812" s="256"/>
    </row>
    <row r="6813" spans="1:15">
      <c r="A6813" s="207"/>
      <c r="B6813" s="207"/>
      <c r="N6813" s="4"/>
      <c r="O6813" s="256"/>
    </row>
    <row r="6814" spans="1:15">
      <c r="A6814" s="207"/>
      <c r="B6814" s="207"/>
      <c r="N6814" s="4"/>
      <c r="O6814" s="256"/>
    </row>
    <row r="6815" spans="1:15">
      <c r="A6815" s="207"/>
      <c r="B6815" s="207"/>
      <c r="N6815" s="4"/>
      <c r="O6815" s="256"/>
    </row>
    <row r="6816" spans="1:15">
      <c r="A6816" s="207"/>
      <c r="B6816" s="207"/>
      <c r="N6816" s="4"/>
      <c r="O6816" s="256"/>
    </row>
    <row r="6817" spans="1:15">
      <c r="A6817" s="207"/>
      <c r="B6817" s="207"/>
      <c r="N6817" s="4"/>
      <c r="O6817" s="256"/>
    </row>
    <row r="6818" spans="1:15">
      <c r="A6818" s="207"/>
      <c r="B6818" s="207"/>
      <c r="N6818" s="4"/>
      <c r="O6818" s="256"/>
    </row>
    <row r="6819" spans="1:15">
      <c r="A6819" s="207"/>
      <c r="B6819" s="207"/>
      <c r="N6819" s="4"/>
      <c r="O6819" s="256"/>
    </row>
    <row r="6820" spans="1:15">
      <c r="A6820" s="207"/>
      <c r="B6820" s="207"/>
      <c r="N6820" s="4"/>
      <c r="O6820" s="256"/>
    </row>
    <row r="6821" spans="1:15">
      <c r="A6821" s="207"/>
      <c r="B6821" s="207"/>
      <c r="N6821" s="4"/>
      <c r="O6821" s="256"/>
    </row>
    <row r="6822" spans="1:15">
      <c r="A6822" s="207"/>
      <c r="B6822" s="207"/>
      <c r="N6822" s="4"/>
      <c r="O6822" s="256"/>
    </row>
    <row r="6823" spans="1:15">
      <c r="A6823" s="207"/>
      <c r="B6823" s="207"/>
      <c r="N6823" s="4"/>
      <c r="O6823" s="256"/>
    </row>
    <row r="6824" spans="1:15">
      <c r="A6824" s="207"/>
      <c r="B6824" s="207"/>
      <c r="N6824" s="4"/>
      <c r="O6824" s="256"/>
    </row>
    <row r="6825" spans="1:15">
      <c r="A6825" s="207"/>
      <c r="B6825" s="207"/>
      <c r="N6825" s="4"/>
      <c r="O6825" s="256"/>
    </row>
    <row r="6826" spans="1:15">
      <c r="A6826" s="207"/>
      <c r="B6826" s="207"/>
      <c r="N6826" s="4"/>
      <c r="O6826" s="256"/>
    </row>
    <row r="6827" spans="1:15">
      <c r="A6827" s="207"/>
      <c r="B6827" s="207"/>
      <c r="N6827" s="4"/>
      <c r="O6827" s="256"/>
    </row>
    <row r="6828" spans="1:15">
      <c r="A6828" s="207"/>
      <c r="B6828" s="207"/>
      <c r="N6828" s="4"/>
      <c r="O6828" s="256"/>
    </row>
    <row r="6829" spans="1:15">
      <c r="A6829" s="207"/>
      <c r="B6829" s="207"/>
      <c r="N6829" s="4"/>
      <c r="O6829" s="256"/>
    </row>
    <row r="6830" spans="1:15">
      <c r="A6830" s="207"/>
      <c r="B6830" s="207"/>
      <c r="N6830" s="4"/>
      <c r="O6830" s="256"/>
    </row>
    <row r="6831" spans="1:15">
      <c r="A6831" s="207"/>
      <c r="B6831" s="207"/>
      <c r="N6831" s="4"/>
      <c r="O6831" s="256"/>
    </row>
    <row r="6832" spans="1:15">
      <c r="A6832" s="207"/>
      <c r="B6832" s="207"/>
      <c r="N6832" s="4"/>
      <c r="O6832" s="256"/>
    </row>
    <row r="6833" spans="1:15">
      <c r="A6833" s="207"/>
      <c r="B6833" s="207"/>
      <c r="N6833" s="4"/>
      <c r="O6833" s="256"/>
    </row>
    <row r="6834" spans="1:15">
      <c r="A6834" s="207"/>
      <c r="B6834" s="207"/>
      <c r="N6834" s="4"/>
      <c r="O6834" s="256"/>
    </row>
    <row r="6835" spans="1:15">
      <c r="A6835" s="207"/>
      <c r="B6835" s="207"/>
      <c r="N6835" s="4"/>
      <c r="O6835" s="256"/>
    </row>
    <row r="6836" spans="1:15">
      <c r="A6836" s="207"/>
      <c r="B6836" s="207"/>
      <c r="N6836" s="4"/>
      <c r="O6836" s="256"/>
    </row>
    <row r="6837" spans="1:15">
      <c r="A6837" s="207"/>
      <c r="B6837" s="207"/>
      <c r="N6837" s="4"/>
      <c r="O6837" s="256"/>
    </row>
    <row r="6838" spans="1:15">
      <c r="A6838" s="207"/>
      <c r="B6838" s="207"/>
      <c r="N6838" s="4"/>
      <c r="O6838" s="256"/>
    </row>
    <row r="6839" spans="1:15">
      <c r="A6839" s="207"/>
      <c r="B6839" s="207"/>
      <c r="N6839" s="4"/>
      <c r="O6839" s="256"/>
    </row>
    <row r="6840" spans="1:15">
      <c r="A6840" s="207"/>
      <c r="B6840" s="207"/>
      <c r="N6840" s="4"/>
      <c r="O6840" s="256"/>
    </row>
    <row r="6841" spans="1:15">
      <c r="A6841" s="207"/>
      <c r="B6841" s="207"/>
      <c r="N6841" s="4"/>
      <c r="O6841" s="256"/>
    </row>
    <row r="6842" spans="1:15">
      <c r="A6842" s="207"/>
      <c r="B6842" s="207"/>
      <c r="N6842" s="4"/>
      <c r="O6842" s="256"/>
    </row>
    <row r="6843" spans="1:15">
      <c r="A6843" s="207"/>
      <c r="B6843" s="207"/>
      <c r="N6843" s="4"/>
      <c r="O6843" s="256"/>
    </row>
    <row r="6844" spans="1:15">
      <c r="A6844" s="207"/>
      <c r="B6844" s="207"/>
      <c r="N6844" s="4"/>
      <c r="O6844" s="256"/>
    </row>
    <row r="6845" spans="1:15">
      <c r="A6845" s="207"/>
      <c r="B6845" s="207"/>
      <c r="N6845" s="4"/>
      <c r="O6845" s="256"/>
    </row>
    <row r="6846" spans="1:15">
      <c r="A6846" s="207"/>
      <c r="B6846" s="207"/>
      <c r="N6846" s="4"/>
      <c r="O6846" s="256"/>
    </row>
    <row r="6847" spans="1:15">
      <c r="A6847" s="207"/>
      <c r="B6847" s="207"/>
      <c r="N6847" s="4"/>
      <c r="O6847" s="256"/>
    </row>
    <row r="6848" spans="1:15">
      <c r="A6848" s="207"/>
      <c r="B6848" s="207"/>
      <c r="N6848" s="4"/>
      <c r="O6848" s="256"/>
    </row>
    <row r="6849" spans="1:15">
      <c r="A6849" s="207"/>
      <c r="B6849" s="207"/>
      <c r="N6849" s="4"/>
      <c r="O6849" s="256"/>
    </row>
    <row r="6850" spans="1:15">
      <c r="A6850" s="207"/>
      <c r="B6850" s="207"/>
      <c r="N6850" s="4"/>
      <c r="O6850" s="256"/>
    </row>
    <row r="6851" spans="1:15">
      <c r="A6851" s="207"/>
      <c r="B6851" s="207"/>
      <c r="N6851" s="4"/>
      <c r="O6851" s="256"/>
    </row>
    <row r="6852" spans="1:15">
      <c r="A6852" s="207"/>
      <c r="B6852" s="207"/>
      <c r="N6852" s="4"/>
      <c r="O6852" s="256"/>
    </row>
    <row r="6853" spans="1:15">
      <c r="A6853" s="207"/>
      <c r="B6853" s="207"/>
      <c r="N6853" s="4"/>
      <c r="O6853" s="256"/>
    </row>
    <row r="6854" spans="1:15">
      <c r="A6854" s="207"/>
      <c r="B6854" s="207"/>
      <c r="N6854" s="4"/>
      <c r="O6854" s="256"/>
    </row>
    <row r="6855" spans="1:15">
      <c r="A6855" s="207"/>
      <c r="B6855" s="207"/>
      <c r="N6855" s="4"/>
      <c r="O6855" s="256"/>
    </row>
    <row r="6856" spans="1:15">
      <c r="A6856" s="207"/>
      <c r="B6856" s="207"/>
      <c r="N6856" s="4"/>
      <c r="O6856" s="256"/>
    </row>
    <row r="6857" spans="1:15">
      <c r="A6857" s="207"/>
      <c r="B6857" s="207"/>
      <c r="N6857" s="4"/>
      <c r="O6857" s="256"/>
    </row>
    <row r="6858" spans="1:15">
      <c r="A6858" s="207"/>
      <c r="B6858" s="207"/>
      <c r="N6858" s="4"/>
      <c r="O6858" s="256"/>
    </row>
    <row r="6859" spans="1:15">
      <c r="A6859" s="207"/>
      <c r="B6859" s="207"/>
      <c r="N6859" s="4"/>
      <c r="O6859" s="256"/>
    </row>
    <row r="6860" spans="1:15">
      <c r="A6860" s="207"/>
      <c r="B6860" s="207"/>
      <c r="N6860" s="4"/>
      <c r="O6860" s="256"/>
    </row>
    <row r="6861" spans="1:15">
      <c r="A6861" s="207"/>
      <c r="B6861" s="207"/>
      <c r="N6861" s="4"/>
      <c r="O6861" s="256"/>
    </row>
    <row r="6862" spans="1:15">
      <c r="A6862" s="207"/>
      <c r="B6862" s="207"/>
      <c r="N6862" s="4"/>
      <c r="O6862" s="256"/>
    </row>
    <row r="6863" spans="1:15">
      <c r="A6863" s="207"/>
      <c r="B6863" s="207"/>
      <c r="N6863" s="4"/>
      <c r="O6863" s="256"/>
    </row>
    <row r="6864" spans="1:15">
      <c r="A6864" s="207"/>
      <c r="B6864" s="207"/>
      <c r="N6864" s="4"/>
      <c r="O6864" s="256"/>
    </row>
    <row r="6865" spans="1:15">
      <c r="A6865" s="207"/>
      <c r="B6865" s="207"/>
      <c r="N6865" s="4"/>
      <c r="O6865" s="256"/>
    </row>
    <row r="6866" spans="1:15">
      <c r="A6866" s="207"/>
      <c r="B6866" s="207"/>
      <c r="N6866" s="4"/>
      <c r="O6866" s="256"/>
    </row>
    <row r="6867" spans="1:15">
      <c r="A6867" s="207"/>
      <c r="B6867" s="207"/>
      <c r="N6867" s="4"/>
      <c r="O6867" s="256"/>
    </row>
    <row r="6868" spans="1:15">
      <c r="A6868" s="207"/>
      <c r="B6868" s="207"/>
      <c r="N6868" s="4"/>
      <c r="O6868" s="256"/>
    </row>
    <row r="6869" spans="1:15">
      <c r="A6869" s="207"/>
      <c r="B6869" s="207"/>
      <c r="N6869" s="4"/>
      <c r="O6869" s="256"/>
    </row>
    <row r="6870" spans="1:15">
      <c r="A6870" s="207"/>
      <c r="B6870" s="207"/>
      <c r="N6870" s="4"/>
      <c r="O6870" s="256"/>
    </row>
    <row r="6871" spans="1:15">
      <c r="A6871" s="207"/>
      <c r="B6871" s="207"/>
      <c r="N6871" s="4"/>
      <c r="O6871" s="256"/>
    </row>
    <row r="6872" spans="1:15">
      <c r="A6872" s="207"/>
      <c r="B6872" s="207"/>
      <c r="N6872" s="4"/>
      <c r="O6872" s="256"/>
    </row>
    <row r="6873" spans="1:15">
      <c r="A6873" s="207"/>
      <c r="B6873" s="207"/>
      <c r="N6873" s="4"/>
      <c r="O6873" s="256"/>
    </row>
    <row r="6874" spans="1:15">
      <c r="A6874" s="207"/>
      <c r="B6874" s="207"/>
      <c r="N6874" s="4"/>
      <c r="O6874" s="256"/>
    </row>
    <row r="6875" spans="1:15">
      <c r="A6875" s="207"/>
      <c r="B6875" s="207"/>
      <c r="N6875" s="4"/>
      <c r="O6875" s="256"/>
    </row>
    <row r="6876" spans="1:15">
      <c r="A6876" s="207"/>
      <c r="B6876" s="207"/>
      <c r="N6876" s="4"/>
      <c r="O6876" s="256"/>
    </row>
    <row r="6877" spans="1:15">
      <c r="A6877" s="207"/>
      <c r="B6877" s="207"/>
      <c r="N6877" s="4"/>
      <c r="O6877" s="256"/>
    </row>
    <row r="6878" spans="1:15">
      <c r="A6878" s="207"/>
      <c r="B6878" s="207"/>
      <c r="N6878" s="4"/>
      <c r="O6878" s="256"/>
    </row>
    <row r="6879" spans="1:15">
      <c r="A6879" s="207"/>
      <c r="B6879" s="207"/>
      <c r="N6879" s="4"/>
      <c r="O6879" s="256"/>
    </row>
    <row r="6880" spans="1:15">
      <c r="A6880" s="207"/>
      <c r="B6880" s="207"/>
      <c r="N6880" s="4"/>
      <c r="O6880" s="256"/>
    </row>
    <row r="6881" spans="1:15">
      <c r="A6881" s="207"/>
      <c r="B6881" s="207"/>
      <c r="N6881" s="4"/>
      <c r="O6881" s="256"/>
    </row>
    <row r="6882" spans="1:15">
      <c r="A6882" s="207"/>
      <c r="B6882" s="207"/>
      <c r="N6882" s="4"/>
      <c r="O6882" s="256"/>
    </row>
    <row r="6883" spans="1:15">
      <c r="A6883" s="207"/>
      <c r="B6883" s="207"/>
      <c r="N6883" s="4"/>
      <c r="O6883" s="256"/>
    </row>
    <row r="6884" spans="1:15">
      <c r="A6884" s="207"/>
      <c r="B6884" s="207"/>
      <c r="N6884" s="4"/>
      <c r="O6884" s="256"/>
    </row>
    <row r="6885" spans="1:15">
      <c r="A6885" s="207"/>
      <c r="B6885" s="207"/>
      <c r="N6885" s="4"/>
      <c r="O6885" s="256"/>
    </row>
    <row r="6886" spans="1:15">
      <c r="A6886" s="207"/>
      <c r="B6886" s="207"/>
      <c r="N6886" s="4"/>
      <c r="O6886" s="256"/>
    </row>
    <row r="6887" spans="1:15">
      <c r="A6887" s="207"/>
      <c r="B6887" s="207"/>
      <c r="N6887" s="4"/>
      <c r="O6887" s="256"/>
    </row>
    <row r="6888" spans="1:15">
      <c r="A6888" s="207"/>
      <c r="B6888" s="207"/>
      <c r="N6888" s="4"/>
      <c r="O6888" s="256"/>
    </row>
    <row r="6889" spans="1:15">
      <c r="A6889" s="207"/>
      <c r="B6889" s="207"/>
      <c r="N6889" s="4"/>
      <c r="O6889" s="256"/>
    </row>
    <row r="6890" spans="1:15">
      <c r="A6890" s="207"/>
      <c r="B6890" s="207"/>
      <c r="N6890" s="4"/>
      <c r="O6890" s="256"/>
    </row>
    <row r="6891" spans="1:15">
      <c r="A6891" s="207"/>
      <c r="B6891" s="207"/>
      <c r="N6891" s="4"/>
      <c r="O6891" s="256"/>
    </row>
    <row r="6892" spans="1:15">
      <c r="A6892" s="207"/>
      <c r="B6892" s="207"/>
      <c r="N6892" s="4"/>
      <c r="O6892" s="256"/>
    </row>
    <row r="6893" spans="1:15">
      <c r="A6893" s="207"/>
      <c r="B6893" s="207"/>
      <c r="N6893" s="4"/>
      <c r="O6893" s="256"/>
    </row>
    <row r="6894" spans="1:15">
      <c r="A6894" s="207"/>
      <c r="B6894" s="207"/>
      <c r="N6894" s="4"/>
      <c r="O6894" s="256"/>
    </row>
    <row r="6895" spans="1:15">
      <c r="A6895" s="207"/>
      <c r="B6895" s="207"/>
      <c r="N6895" s="4"/>
      <c r="O6895" s="256"/>
    </row>
    <row r="6896" spans="1:15">
      <c r="A6896" s="207"/>
      <c r="B6896" s="207"/>
      <c r="N6896" s="4"/>
      <c r="O6896" s="256"/>
    </row>
    <row r="6897" spans="1:15">
      <c r="A6897" s="207"/>
      <c r="B6897" s="207"/>
      <c r="N6897" s="4"/>
      <c r="O6897" s="256"/>
    </row>
    <row r="6898" spans="1:15">
      <c r="A6898" s="207"/>
      <c r="B6898" s="207"/>
      <c r="N6898" s="4"/>
      <c r="O6898" s="256"/>
    </row>
    <row r="6899" spans="1:15">
      <c r="A6899" s="207"/>
      <c r="B6899" s="207"/>
      <c r="N6899" s="4"/>
      <c r="O6899" s="256"/>
    </row>
    <row r="6900" spans="1:15">
      <c r="A6900" s="207"/>
      <c r="B6900" s="207"/>
      <c r="N6900" s="4"/>
      <c r="O6900" s="256"/>
    </row>
    <row r="6901" spans="1:15">
      <c r="A6901" s="207"/>
      <c r="B6901" s="207"/>
      <c r="N6901" s="4"/>
      <c r="O6901" s="256"/>
    </row>
    <row r="6902" spans="1:15">
      <c r="A6902" s="207"/>
      <c r="B6902" s="207"/>
      <c r="N6902" s="4"/>
      <c r="O6902" s="256"/>
    </row>
    <row r="6903" spans="1:15">
      <c r="A6903" s="207"/>
      <c r="B6903" s="207"/>
      <c r="N6903" s="4"/>
      <c r="O6903" s="256"/>
    </row>
    <row r="6904" spans="1:15">
      <c r="A6904" s="207"/>
      <c r="B6904" s="207"/>
      <c r="N6904" s="4"/>
      <c r="O6904" s="256"/>
    </row>
    <row r="6905" spans="1:15">
      <c r="A6905" s="207"/>
      <c r="B6905" s="207"/>
      <c r="N6905" s="4"/>
      <c r="O6905" s="256"/>
    </row>
    <row r="6906" spans="1:15">
      <c r="A6906" s="207"/>
      <c r="B6906" s="207"/>
      <c r="N6906" s="4"/>
      <c r="O6906" s="256"/>
    </row>
    <row r="6907" spans="1:15">
      <c r="A6907" s="207"/>
      <c r="B6907" s="207"/>
      <c r="N6907" s="4"/>
      <c r="O6907" s="256"/>
    </row>
    <row r="6908" spans="1:15">
      <c r="A6908" s="207"/>
      <c r="B6908" s="207"/>
      <c r="N6908" s="4"/>
      <c r="O6908" s="256"/>
    </row>
    <row r="6909" spans="1:15">
      <c r="A6909" s="207"/>
      <c r="B6909" s="207"/>
      <c r="N6909" s="4"/>
      <c r="O6909" s="256"/>
    </row>
    <row r="6910" spans="1:15">
      <c r="A6910" s="207"/>
      <c r="B6910" s="207"/>
      <c r="N6910" s="4"/>
      <c r="O6910" s="256"/>
    </row>
    <row r="6911" spans="1:15">
      <c r="A6911" s="207"/>
      <c r="B6911" s="207"/>
      <c r="N6911" s="4"/>
      <c r="O6911" s="256"/>
    </row>
    <row r="6912" spans="1:15">
      <c r="A6912" s="207"/>
      <c r="B6912" s="207"/>
      <c r="N6912" s="4"/>
      <c r="O6912" s="256"/>
    </row>
    <row r="6913" spans="1:15">
      <c r="A6913" s="207"/>
      <c r="B6913" s="207"/>
      <c r="N6913" s="4"/>
      <c r="O6913" s="256"/>
    </row>
    <row r="6914" spans="1:15">
      <c r="A6914" s="207"/>
      <c r="B6914" s="207"/>
      <c r="N6914" s="4"/>
      <c r="O6914" s="256"/>
    </row>
    <row r="6915" spans="1:15">
      <c r="A6915" s="207"/>
      <c r="B6915" s="207"/>
      <c r="N6915" s="4"/>
      <c r="O6915" s="256"/>
    </row>
    <row r="6916" spans="1:15">
      <c r="A6916" s="207"/>
      <c r="B6916" s="207"/>
      <c r="N6916" s="4"/>
      <c r="O6916" s="256"/>
    </row>
    <row r="6917" spans="1:15">
      <c r="A6917" s="207"/>
      <c r="B6917" s="207"/>
      <c r="N6917" s="4"/>
      <c r="O6917" s="256"/>
    </row>
    <row r="6918" spans="1:15">
      <c r="A6918" s="207"/>
      <c r="B6918" s="207"/>
      <c r="N6918" s="4"/>
      <c r="O6918" s="256"/>
    </row>
    <row r="6919" spans="1:15">
      <c r="A6919" s="207"/>
      <c r="B6919" s="207"/>
      <c r="N6919" s="4"/>
      <c r="O6919" s="256"/>
    </row>
    <row r="6920" spans="1:15">
      <c r="A6920" s="207"/>
      <c r="B6920" s="207"/>
      <c r="N6920" s="4"/>
      <c r="O6920" s="256"/>
    </row>
    <row r="6921" spans="1:15">
      <c r="A6921" s="207"/>
      <c r="B6921" s="207"/>
      <c r="N6921" s="4"/>
      <c r="O6921" s="256"/>
    </row>
    <row r="6922" spans="1:15">
      <c r="A6922" s="207"/>
      <c r="B6922" s="207"/>
      <c r="N6922" s="4"/>
      <c r="O6922" s="256"/>
    </row>
    <row r="6923" spans="1:15">
      <c r="A6923" s="207"/>
      <c r="B6923" s="207"/>
      <c r="N6923" s="4"/>
      <c r="O6923" s="256"/>
    </row>
    <row r="6924" spans="1:15">
      <c r="A6924" s="207"/>
      <c r="B6924" s="207"/>
      <c r="N6924" s="4"/>
      <c r="O6924" s="256"/>
    </row>
    <row r="6925" spans="1:15">
      <c r="A6925" s="207"/>
      <c r="B6925" s="207"/>
      <c r="N6925" s="4"/>
      <c r="O6925" s="256"/>
    </row>
    <row r="6926" spans="1:15">
      <c r="A6926" s="207"/>
      <c r="B6926" s="207"/>
      <c r="N6926" s="4"/>
      <c r="O6926" s="256"/>
    </row>
    <row r="6927" spans="1:15">
      <c r="A6927" s="207"/>
      <c r="B6927" s="207"/>
      <c r="N6927" s="4"/>
      <c r="O6927" s="256"/>
    </row>
    <row r="6928" spans="1:15">
      <c r="A6928" s="207"/>
      <c r="B6928" s="207"/>
      <c r="N6928" s="4"/>
      <c r="O6928" s="256"/>
    </row>
    <row r="6929" spans="1:15">
      <c r="A6929" s="207"/>
      <c r="B6929" s="207"/>
      <c r="N6929" s="4"/>
      <c r="O6929" s="256"/>
    </row>
    <row r="6930" spans="1:15">
      <c r="A6930" s="207"/>
      <c r="B6930" s="207"/>
      <c r="N6930" s="4"/>
      <c r="O6930" s="256"/>
    </row>
    <row r="6931" spans="1:15">
      <c r="A6931" s="207"/>
      <c r="B6931" s="207"/>
      <c r="N6931" s="4"/>
      <c r="O6931" s="256"/>
    </row>
    <row r="6932" spans="1:15">
      <c r="A6932" s="207"/>
      <c r="B6932" s="207"/>
      <c r="N6932" s="4"/>
      <c r="O6932" s="256"/>
    </row>
    <row r="6933" spans="1:15">
      <c r="A6933" s="207"/>
      <c r="B6933" s="207"/>
      <c r="N6933" s="4"/>
      <c r="O6933" s="256"/>
    </row>
    <row r="6934" spans="1:15">
      <c r="A6934" s="207"/>
      <c r="B6934" s="207"/>
      <c r="N6934" s="4"/>
      <c r="O6934" s="256"/>
    </row>
    <row r="6935" spans="1:15">
      <c r="A6935" s="207"/>
      <c r="B6935" s="207"/>
      <c r="N6935" s="4"/>
      <c r="O6935" s="256"/>
    </row>
    <row r="6936" spans="1:15">
      <c r="A6936" s="207"/>
      <c r="B6936" s="207"/>
      <c r="N6936" s="4"/>
      <c r="O6936" s="256"/>
    </row>
    <row r="6937" spans="1:15">
      <c r="A6937" s="207"/>
      <c r="B6937" s="207"/>
      <c r="N6937" s="4"/>
      <c r="O6937" s="256"/>
    </row>
    <row r="6938" spans="1:15">
      <c r="A6938" s="207"/>
      <c r="B6938" s="207"/>
      <c r="N6938" s="4"/>
      <c r="O6938" s="256"/>
    </row>
    <row r="6939" spans="1:15">
      <c r="A6939" s="207"/>
      <c r="B6939" s="207"/>
      <c r="N6939" s="4"/>
      <c r="O6939" s="256"/>
    </row>
    <row r="6940" spans="1:15">
      <c r="A6940" s="207"/>
      <c r="B6940" s="207"/>
      <c r="N6940" s="4"/>
      <c r="O6940" s="256"/>
    </row>
    <row r="6941" spans="1:15">
      <c r="A6941" s="207"/>
      <c r="B6941" s="207"/>
      <c r="N6941" s="4"/>
      <c r="O6941" s="256"/>
    </row>
    <row r="6942" spans="1:15">
      <c r="A6942" s="207"/>
      <c r="B6942" s="207"/>
      <c r="N6942" s="4"/>
      <c r="O6942" s="256"/>
    </row>
    <row r="6943" spans="1:15">
      <c r="A6943" s="207"/>
      <c r="B6943" s="207"/>
      <c r="N6943" s="4"/>
      <c r="O6943" s="256"/>
    </row>
    <row r="6944" spans="1:15">
      <c r="A6944" s="207"/>
      <c r="B6944" s="207"/>
      <c r="N6944" s="4"/>
      <c r="O6944" s="256"/>
    </row>
    <row r="6945" spans="1:15">
      <c r="A6945" s="207"/>
      <c r="B6945" s="207"/>
      <c r="N6945" s="4"/>
      <c r="O6945" s="256"/>
    </row>
    <row r="6946" spans="1:15">
      <c r="A6946" s="207"/>
      <c r="B6946" s="207"/>
      <c r="N6946" s="4"/>
      <c r="O6946" s="256"/>
    </row>
    <row r="6947" spans="1:15">
      <c r="A6947" s="207"/>
      <c r="B6947" s="207"/>
      <c r="N6947" s="4"/>
      <c r="O6947" s="256"/>
    </row>
    <row r="6948" spans="1:15">
      <c r="A6948" s="207"/>
      <c r="B6948" s="207"/>
      <c r="N6948" s="4"/>
      <c r="O6948" s="256"/>
    </row>
    <row r="6949" spans="1:15">
      <c r="A6949" s="207"/>
      <c r="B6949" s="207"/>
      <c r="N6949" s="4"/>
      <c r="O6949" s="256"/>
    </row>
    <row r="6950" spans="1:15">
      <c r="A6950" s="207"/>
      <c r="B6950" s="207"/>
      <c r="N6950" s="4"/>
      <c r="O6950" s="256"/>
    </row>
    <row r="6951" spans="1:15">
      <c r="A6951" s="207"/>
      <c r="B6951" s="207"/>
      <c r="N6951" s="4"/>
      <c r="O6951" s="256"/>
    </row>
    <row r="6952" spans="1:15">
      <c r="A6952" s="207"/>
      <c r="B6952" s="207"/>
      <c r="N6952" s="4"/>
      <c r="O6952" s="256"/>
    </row>
    <row r="6953" spans="1:15">
      <c r="A6953" s="207"/>
      <c r="B6953" s="207"/>
      <c r="N6953" s="4"/>
      <c r="O6953" s="256"/>
    </row>
    <row r="6954" spans="1:15">
      <c r="A6954" s="207"/>
      <c r="B6954" s="207"/>
      <c r="N6954" s="4"/>
      <c r="O6954" s="256"/>
    </row>
    <row r="6955" spans="1:15">
      <c r="A6955" s="207"/>
      <c r="B6955" s="207"/>
      <c r="N6955" s="4"/>
      <c r="O6955" s="256"/>
    </row>
    <row r="6956" spans="1:15">
      <c r="A6956" s="207"/>
      <c r="B6956" s="207"/>
      <c r="N6956" s="4"/>
      <c r="O6956" s="256"/>
    </row>
    <row r="6957" spans="1:15">
      <c r="A6957" s="207"/>
      <c r="B6957" s="207"/>
      <c r="N6957" s="4"/>
      <c r="O6957" s="256"/>
    </row>
    <row r="6958" spans="1:15">
      <c r="A6958" s="207"/>
      <c r="B6958" s="207"/>
      <c r="N6958" s="4"/>
      <c r="O6958" s="256"/>
    </row>
    <row r="6959" spans="1:15">
      <c r="A6959" s="207"/>
      <c r="B6959" s="207"/>
      <c r="N6959" s="4"/>
      <c r="O6959" s="256"/>
    </row>
    <row r="6960" spans="1:15">
      <c r="A6960" s="207"/>
      <c r="B6960" s="207"/>
      <c r="N6960" s="4"/>
      <c r="O6960" s="256"/>
    </row>
    <row r="6961" spans="1:15">
      <c r="A6961" s="207"/>
      <c r="B6961" s="207"/>
      <c r="N6961" s="4"/>
      <c r="O6961" s="256"/>
    </row>
    <row r="6962" spans="1:15">
      <c r="A6962" s="207"/>
      <c r="B6962" s="207"/>
      <c r="N6962" s="4"/>
      <c r="O6962" s="256"/>
    </row>
    <row r="6963" spans="1:15">
      <c r="A6963" s="207"/>
      <c r="B6963" s="207"/>
      <c r="N6963" s="4"/>
      <c r="O6963" s="256"/>
    </row>
    <row r="6964" spans="1:15">
      <c r="A6964" s="207"/>
      <c r="B6964" s="207"/>
      <c r="N6964" s="4"/>
      <c r="O6964" s="256"/>
    </row>
    <row r="6965" spans="1:15">
      <c r="A6965" s="207"/>
      <c r="B6965" s="207"/>
      <c r="N6965" s="4"/>
      <c r="O6965" s="256"/>
    </row>
    <row r="6966" spans="1:15">
      <c r="A6966" s="207"/>
      <c r="B6966" s="207"/>
      <c r="N6966" s="4"/>
      <c r="O6966" s="256"/>
    </row>
    <row r="6967" spans="1:15">
      <c r="A6967" s="207"/>
      <c r="B6967" s="207"/>
      <c r="N6967" s="4"/>
      <c r="O6967" s="256"/>
    </row>
    <row r="6968" spans="1:15">
      <c r="A6968" s="207"/>
      <c r="B6968" s="207"/>
      <c r="N6968" s="4"/>
      <c r="O6968" s="256"/>
    </row>
    <row r="6969" spans="1:15">
      <c r="A6969" s="207"/>
      <c r="B6969" s="207"/>
      <c r="N6969" s="4"/>
      <c r="O6969" s="256"/>
    </row>
    <row r="6970" spans="1:15">
      <c r="A6970" s="207"/>
      <c r="B6970" s="207"/>
      <c r="N6970" s="4"/>
      <c r="O6970" s="256"/>
    </row>
    <row r="6971" spans="1:15">
      <c r="A6971" s="207"/>
      <c r="B6971" s="207"/>
      <c r="N6971" s="4"/>
      <c r="O6971" s="256"/>
    </row>
    <row r="6972" spans="1:15">
      <c r="A6972" s="207"/>
      <c r="B6972" s="207"/>
      <c r="N6972" s="4"/>
      <c r="O6972" s="256"/>
    </row>
    <row r="6973" spans="1:15">
      <c r="A6973" s="207"/>
      <c r="B6973" s="207"/>
      <c r="N6973" s="4"/>
      <c r="O6973" s="256"/>
    </row>
    <row r="6974" spans="1:15">
      <c r="A6974" s="207"/>
      <c r="B6974" s="207"/>
      <c r="N6974" s="4"/>
      <c r="O6974" s="256"/>
    </row>
    <row r="6975" spans="1:15">
      <c r="A6975" s="207"/>
      <c r="B6975" s="207"/>
      <c r="N6975" s="4"/>
      <c r="O6975" s="256"/>
    </row>
    <row r="6976" spans="1:15">
      <c r="A6976" s="207"/>
      <c r="B6976" s="207"/>
      <c r="N6976" s="4"/>
      <c r="O6976" s="256"/>
    </row>
    <row r="6977" spans="1:15">
      <c r="A6977" s="207"/>
      <c r="B6977" s="207"/>
      <c r="N6977" s="4"/>
      <c r="O6977" s="256"/>
    </row>
    <row r="6978" spans="1:15">
      <c r="A6978" s="207"/>
      <c r="B6978" s="207"/>
      <c r="N6978" s="4"/>
      <c r="O6978" s="256"/>
    </row>
    <row r="6979" spans="1:15">
      <c r="A6979" s="207"/>
      <c r="B6979" s="207"/>
      <c r="N6979" s="4"/>
      <c r="O6979" s="256"/>
    </row>
    <row r="6980" spans="1:15">
      <c r="A6980" s="207"/>
      <c r="B6980" s="207"/>
      <c r="N6980" s="4"/>
      <c r="O6980" s="256"/>
    </row>
    <row r="6981" spans="1:15">
      <c r="A6981" s="207"/>
      <c r="B6981" s="207"/>
      <c r="N6981" s="4"/>
      <c r="O6981" s="256"/>
    </row>
    <row r="6982" spans="1:15">
      <c r="A6982" s="207"/>
      <c r="B6982" s="207"/>
      <c r="N6982" s="4"/>
      <c r="O6982" s="256"/>
    </row>
    <row r="6983" spans="1:15">
      <c r="A6983" s="207"/>
      <c r="B6983" s="207"/>
      <c r="N6983" s="4"/>
      <c r="O6983" s="256"/>
    </row>
    <row r="6984" spans="1:15">
      <c r="A6984" s="207"/>
      <c r="B6984" s="207"/>
      <c r="N6984" s="4"/>
      <c r="O6984" s="256"/>
    </row>
    <row r="6985" spans="1:15">
      <c r="A6985" s="207"/>
      <c r="B6985" s="207"/>
      <c r="N6985" s="4"/>
      <c r="O6985" s="256"/>
    </row>
    <row r="6986" spans="1:15">
      <c r="A6986" s="207"/>
      <c r="B6986" s="207"/>
      <c r="N6986" s="4"/>
      <c r="O6986" s="256"/>
    </row>
    <row r="6987" spans="1:15">
      <c r="A6987" s="207"/>
      <c r="B6987" s="207"/>
      <c r="N6987" s="4"/>
      <c r="O6987" s="256"/>
    </row>
    <row r="6988" spans="1:15">
      <c r="A6988" s="207"/>
      <c r="B6988" s="207"/>
      <c r="N6988" s="4"/>
      <c r="O6988" s="256"/>
    </row>
    <row r="6989" spans="1:15">
      <c r="A6989" s="207"/>
      <c r="B6989" s="207"/>
      <c r="N6989" s="4"/>
      <c r="O6989" s="256"/>
    </row>
    <row r="6990" spans="1:15">
      <c r="A6990" s="207"/>
      <c r="B6990" s="207"/>
      <c r="N6990" s="4"/>
      <c r="O6990" s="256"/>
    </row>
    <row r="6991" spans="1:15">
      <c r="A6991" s="207"/>
      <c r="B6991" s="207"/>
      <c r="N6991" s="4"/>
      <c r="O6991" s="256"/>
    </row>
    <row r="6992" spans="1:15">
      <c r="A6992" s="207"/>
      <c r="B6992" s="207"/>
      <c r="N6992" s="4"/>
      <c r="O6992" s="256"/>
    </row>
    <row r="6993" spans="1:15">
      <c r="A6993" s="207"/>
      <c r="B6993" s="207"/>
      <c r="N6993" s="4"/>
      <c r="O6993" s="256"/>
    </row>
    <row r="6994" spans="1:15">
      <c r="A6994" s="207"/>
      <c r="B6994" s="207"/>
      <c r="N6994" s="4"/>
      <c r="O6994" s="256"/>
    </row>
    <row r="6995" spans="1:15">
      <c r="A6995" s="207"/>
      <c r="B6995" s="207"/>
      <c r="N6995" s="4"/>
      <c r="O6995" s="256"/>
    </row>
    <row r="6996" spans="1:15">
      <c r="A6996" s="207"/>
      <c r="B6996" s="207"/>
      <c r="N6996" s="4"/>
      <c r="O6996" s="256"/>
    </row>
    <row r="6997" spans="1:15">
      <c r="A6997" s="207"/>
      <c r="B6997" s="207"/>
      <c r="N6997" s="4"/>
      <c r="O6997" s="256"/>
    </row>
    <row r="6998" spans="1:15">
      <c r="A6998" s="207"/>
      <c r="B6998" s="207"/>
      <c r="N6998" s="4"/>
      <c r="O6998" s="256"/>
    </row>
    <row r="6999" spans="1:15">
      <c r="A6999" s="207"/>
      <c r="B6999" s="207"/>
      <c r="N6999" s="4"/>
      <c r="O6999" s="256"/>
    </row>
    <row r="7000" spans="1:15">
      <c r="A7000" s="207"/>
      <c r="B7000" s="207"/>
      <c r="N7000" s="4"/>
      <c r="O7000" s="256"/>
    </row>
    <row r="7001" spans="1:15">
      <c r="A7001" s="207"/>
      <c r="B7001" s="207"/>
      <c r="N7001" s="4"/>
      <c r="O7001" s="256"/>
    </row>
    <row r="7002" spans="1:15">
      <c r="A7002" s="207"/>
      <c r="B7002" s="207"/>
      <c r="N7002" s="4"/>
      <c r="O7002" s="256"/>
    </row>
    <row r="7003" spans="1:15">
      <c r="A7003" s="207"/>
      <c r="B7003" s="207"/>
      <c r="N7003" s="4"/>
      <c r="O7003" s="256"/>
    </row>
    <row r="7004" spans="1:15">
      <c r="A7004" s="207"/>
      <c r="B7004" s="207"/>
      <c r="N7004" s="4"/>
      <c r="O7004" s="256"/>
    </row>
    <row r="7005" spans="1:15">
      <c r="A7005" s="207"/>
      <c r="B7005" s="207"/>
      <c r="N7005" s="4"/>
      <c r="O7005" s="256"/>
    </row>
    <row r="7006" spans="1:15">
      <c r="A7006" s="207"/>
      <c r="B7006" s="207"/>
      <c r="N7006" s="4"/>
      <c r="O7006" s="256"/>
    </row>
    <row r="7007" spans="1:15">
      <c r="A7007" s="207"/>
      <c r="B7007" s="207"/>
      <c r="N7007" s="4"/>
      <c r="O7007" s="256"/>
    </row>
    <row r="7008" spans="1:15">
      <c r="A7008" s="207"/>
      <c r="B7008" s="207"/>
      <c r="N7008" s="4"/>
      <c r="O7008" s="256"/>
    </row>
    <row r="7009" spans="1:15">
      <c r="A7009" s="207"/>
      <c r="B7009" s="207"/>
      <c r="N7009" s="4"/>
      <c r="O7009" s="256"/>
    </row>
    <row r="7010" spans="1:15">
      <c r="A7010" s="207"/>
      <c r="B7010" s="207"/>
      <c r="N7010" s="4"/>
      <c r="O7010" s="256"/>
    </row>
    <row r="7011" spans="1:15">
      <c r="A7011" s="207"/>
      <c r="B7011" s="207"/>
      <c r="N7011" s="4"/>
      <c r="O7011" s="256"/>
    </row>
    <row r="7012" spans="1:15">
      <c r="A7012" s="207"/>
      <c r="B7012" s="207"/>
      <c r="N7012" s="4"/>
      <c r="O7012" s="256"/>
    </row>
    <row r="7013" spans="1:15">
      <c r="A7013" s="207"/>
      <c r="B7013" s="207"/>
      <c r="N7013" s="4"/>
      <c r="O7013" s="256"/>
    </row>
    <row r="7014" spans="1:15">
      <c r="A7014" s="207"/>
      <c r="B7014" s="207"/>
      <c r="N7014" s="4"/>
      <c r="O7014" s="256"/>
    </row>
    <row r="7015" spans="1:15">
      <c r="A7015" s="207"/>
      <c r="B7015" s="207"/>
      <c r="N7015" s="4"/>
      <c r="O7015" s="256"/>
    </row>
    <row r="7016" spans="1:15">
      <c r="A7016" s="207"/>
      <c r="B7016" s="207"/>
      <c r="N7016" s="4"/>
      <c r="O7016" s="256"/>
    </row>
    <row r="7017" spans="1:15">
      <c r="A7017" s="207"/>
      <c r="B7017" s="207"/>
      <c r="N7017" s="4"/>
      <c r="O7017" s="256"/>
    </row>
    <row r="7018" spans="1:15">
      <c r="A7018" s="207"/>
      <c r="B7018" s="207"/>
      <c r="N7018" s="4"/>
      <c r="O7018" s="256"/>
    </row>
    <row r="7019" spans="1:15">
      <c r="A7019" s="207"/>
      <c r="B7019" s="207"/>
      <c r="N7019" s="4"/>
      <c r="O7019" s="256"/>
    </row>
    <row r="7020" spans="1:15">
      <c r="A7020" s="207"/>
      <c r="B7020" s="207"/>
      <c r="N7020" s="4"/>
      <c r="O7020" s="256"/>
    </row>
    <row r="7021" spans="1:15">
      <c r="A7021" s="207"/>
      <c r="B7021" s="207"/>
      <c r="N7021" s="4"/>
      <c r="O7021" s="256"/>
    </row>
    <row r="7022" spans="1:15">
      <c r="A7022" s="207"/>
      <c r="B7022" s="207"/>
      <c r="N7022" s="4"/>
      <c r="O7022" s="256"/>
    </row>
    <row r="7023" spans="1:15">
      <c r="A7023" s="207"/>
      <c r="B7023" s="207"/>
      <c r="N7023" s="4"/>
      <c r="O7023" s="256"/>
    </row>
    <row r="7024" spans="1:15">
      <c r="A7024" s="207"/>
      <c r="B7024" s="207"/>
      <c r="N7024" s="4"/>
      <c r="O7024" s="256"/>
    </row>
    <row r="7025" spans="1:15">
      <c r="A7025" s="207"/>
      <c r="B7025" s="207"/>
      <c r="N7025" s="4"/>
      <c r="O7025" s="256"/>
    </row>
    <row r="7026" spans="1:15">
      <c r="A7026" s="207"/>
      <c r="B7026" s="207"/>
      <c r="N7026" s="4"/>
      <c r="O7026" s="256"/>
    </row>
    <row r="7027" spans="1:15">
      <c r="A7027" s="207"/>
      <c r="B7027" s="207"/>
      <c r="N7027" s="4"/>
      <c r="O7027" s="256"/>
    </row>
    <row r="7028" spans="1:15">
      <c r="A7028" s="207"/>
      <c r="B7028" s="207"/>
      <c r="N7028" s="4"/>
      <c r="O7028" s="256"/>
    </row>
    <row r="7029" spans="1:15">
      <c r="A7029" s="207"/>
      <c r="B7029" s="207"/>
      <c r="N7029" s="4"/>
      <c r="O7029" s="256"/>
    </row>
    <row r="7030" spans="1:15">
      <c r="A7030" s="207"/>
      <c r="B7030" s="207"/>
      <c r="N7030" s="4"/>
      <c r="O7030" s="256"/>
    </row>
    <row r="7031" spans="1:15">
      <c r="A7031" s="207"/>
      <c r="B7031" s="207"/>
      <c r="N7031" s="4"/>
      <c r="O7031" s="256"/>
    </row>
    <row r="7032" spans="1:15">
      <c r="A7032" s="207"/>
      <c r="B7032" s="207"/>
      <c r="N7032" s="4"/>
      <c r="O7032" s="256"/>
    </row>
    <row r="7033" spans="1:15">
      <c r="A7033" s="207"/>
      <c r="B7033" s="207"/>
      <c r="N7033" s="4"/>
      <c r="O7033" s="256"/>
    </row>
    <row r="7034" spans="1:15">
      <c r="A7034" s="207"/>
      <c r="B7034" s="207"/>
      <c r="N7034" s="4"/>
      <c r="O7034" s="256"/>
    </row>
    <row r="7035" spans="1:15">
      <c r="A7035" s="207"/>
      <c r="B7035" s="207"/>
      <c r="N7035" s="4"/>
      <c r="O7035" s="256"/>
    </row>
    <row r="7036" spans="1:15">
      <c r="A7036" s="207"/>
      <c r="B7036" s="207"/>
      <c r="N7036" s="4"/>
      <c r="O7036" s="256"/>
    </row>
    <row r="7037" spans="1:15">
      <c r="A7037" s="207"/>
      <c r="B7037" s="207"/>
      <c r="N7037" s="4"/>
      <c r="O7037" s="256"/>
    </row>
    <row r="7038" spans="1:15">
      <c r="A7038" s="207"/>
      <c r="B7038" s="207"/>
      <c r="N7038" s="4"/>
      <c r="O7038" s="256"/>
    </row>
    <row r="7039" spans="1:15">
      <c r="A7039" s="207"/>
      <c r="B7039" s="207"/>
      <c r="N7039" s="4"/>
      <c r="O7039" s="256"/>
    </row>
    <row r="7040" spans="1:15">
      <c r="A7040" s="207"/>
      <c r="B7040" s="207"/>
      <c r="N7040" s="4"/>
      <c r="O7040" s="256"/>
    </row>
    <row r="7041" spans="1:15">
      <c r="A7041" s="207"/>
      <c r="B7041" s="207"/>
      <c r="N7041" s="4"/>
      <c r="O7041" s="256"/>
    </row>
    <row r="7042" spans="1:15">
      <c r="A7042" s="207"/>
      <c r="B7042" s="207"/>
      <c r="N7042" s="4"/>
      <c r="O7042" s="256"/>
    </row>
    <row r="7043" spans="1:15">
      <c r="A7043" s="207"/>
      <c r="B7043" s="207"/>
      <c r="N7043" s="4"/>
      <c r="O7043" s="256"/>
    </row>
    <row r="7044" spans="1:15">
      <c r="A7044" s="207"/>
      <c r="B7044" s="207"/>
      <c r="N7044" s="4"/>
      <c r="O7044" s="256"/>
    </row>
    <row r="7045" spans="1:15">
      <c r="A7045" s="207"/>
      <c r="B7045" s="207"/>
      <c r="N7045" s="4"/>
      <c r="O7045" s="256"/>
    </row>
    <row r="7046" spans="1:15">
      <c r="A7046" s="207"/>
      <c r="B7046" s="207"/>
      <c r="N7046" s="4"/>
      <c r="O7046" s="256"/>
    </row>
    <row r="7047" spans="1:15">
      <c r="A7047" s="207"/>
      <c r="B7047" s="207"/>
      <c r="N7047" s="4"/>
      <c r="O7047" s="256"/>
    </row>
    <row r="7048" spans="1:15">
      <c r="A7048" s="207"/>
      <c r="B7048" s="207"/>
      <c r="N7048" s="4"/>
      <c r="O7048" s="256"/>
    </row>
    <row r="7049" spans="1:15">
      <c r="A7049" s="207"/>
      <c r="B7049" s="207"/>
      <c r="N7049" s="4"/>
      <c r="O7049" s="256"/>
    </row>
    <row r="7050" spans="1:15">
      <c r="A7050" s="207"/>
      <c r="B7050" s="207"/>
      <c r="N7050" s="4"/>
      <c r="O7050" s="256"/>
    </row>
    <row r="7051" spans="1:15">
      <c r="A7051" s="207"/>
      <c r="B7051" s="207"/>
      <c r="N7051" s="4"/>
      <c r="O7051" s="256"/>
    </row>
    <row r="7052" spans="1:15">
      <c r="A7052" s="207"/>
      <c r="B7052" s="207"/>
      <c r="N7052" s="4"/>
      <c r="O7052" s="256"/>
    </row>
    <row r="7053" spans="1:15">
      <c r="A7053" s="207"/>
      <c r="B7053" s="207"/>
      <c r="N7053" s="4"/>
      <c r="O7053" s="256"/>
    </row>
    <row r="7054" spans="1:15">
      <c r="A7054" s="207"/>
      <c r="B7054" s="207"/>
      <c r="N7054" s="4"/>
      <c r="O7054" s="256"/>
    </row>
    <row r="7055" spans="1:15">
      <c r="A7055" s="207"/>
      <c r="B7055" s="207"/>
      <c r="N7055" s="4"/>
      <c r="O7055" s="256"/>
    </row>
    <row r="7056" spans="1:15">
      <c r="A7056" s="207"/>
      <c r="B7056" s="207"/>
      <c r="N7056" s="4"/>
      <c r="O7056" s="256"/>
    </row>
    <row r="7057" spans="1:15">
      <c r="A7057" s="207"/>
      <c r="B7057" s="207"/>
      <c r="N7057" s="4"/>
      <c r="O7057" s="256"/>
    </row>
    <row r="7058" spans="1:15">
      <c r="A7058" s="207"/>
      <c r="B7058" s="207"/>
      <c r="N7058" s="4"/>
      <c r="O7058" s="256"/>
    </row>
    <row r="7059" spans="1:15">
      <c r="A7059" s="207"/>
      <c r="B7059" s="207"/>
      <c r="N7059" s="4"/>
      <c r="O7059" s="256"/>
    </row>
    <row r="7060" spans="1:15">
      <c r="A7060" s="207"/>
      <c r="B7060" s="207"/>
      <c r="N7060" s="4"/>
      <c r="O7060" s="256"/>
    </row>
    <row r="7061" spans="1:15">
      <c r="A7061" s="207"/>
      <c r="B7061" s="207"/>
      <c r="N7061" s="4"/>
      <c r="O7061" s="256"/>
    </row>
    <row r="7062" spans="1:15">
      <c r="A7062" s="207"/>
      <c r="B7062" s="207"/>
      <c r="N7062" s="4"/>
      <c r="O7062" s="256"/>
    </row>
    <row r="7063" spans="1:15">
      <c r="A7063" s="207"/>
      <c r="B7063" s="207"/>
      <c r="N7063" s="4"/>
      <c r="O7063" s="256"/>
    </row>
    <row r="7064" spans="1:15">
      <c r="A7064" s="207"/>
      <c r="B7064" s="207"/>
      <c r="N7064" s="4"/>
      <c r="O7064" s="256"/>
    </row>
    <row r="7065" spans="1:15">
      <c r="A7065" s="207"/>
      <c r="B7065" s="207"/>
      <c r="N7065" s="4"/>
      <c r="O7065" s="256"/>
    </row>
    <row r="7066" spans="1:15">
      <c r="A7066" s="207"/>
      <c r="B7066" s="207"/>
      <c r="N7066" s="4"/>
      <c r="O7066" s="256"/>
    </row>
    <row r="7067" spans="1:15">
      <c r="A7067" s="207"/>
      <c r="B7067" s="207"/>
      <c r="N7067" s="4"/>
      <c r="O7067" s="256"/>
    </row>
    <row r="7068" spans="1:15">
      <c r="A7068" s="207"/>
      <c r="B7068" s="207"/>
      <c r="N7068" s="4"/>
      <c r="O7068" s="256"/>
    </row>
    <row r="7069" spans="1:15">
      <c r="A7069" s="207"/>
      <c r="B7069" s="207"/>
      <c r="N7069" s="4"/>
      <c r="O7069" s="256"/>
    </row>
    <row r="7070" spans="1:15">
      <c r="A7070" s="207"/>
      <c r="B7070" s="207"/>
      <c r="N7070" s="4"/>
      <c r="O7070" s="256"/>
    </row>
    <row r="7071" spans="1:15">
      <c r="A7071" s="207"/>
      <c r="B7071" s="207"/>
      <c r="N7071" s="4"/>
      <c r="O7071" s="256"/>
    </row>
    <row r="7072" spans="1:15">
      <c r="A7072" s="207"/>
      <c r="B7072" s="207"/>
      <c r="N7072" s="4"/>
      <c r="O7072" s="256"/>
    </row>
    <row r="7073" spans="1:15">
      <c r="A7073" s="207"/>
      <c r="B7073" s="207"/>
      <c r="N7073" s="4"/>
      <c r="O7073" s="256"/>
    </row>
    <row r="7074" spans="1:15">
      <c r="A7074" s="207"/>
      <c r="B7074" s="207"/>
      <c r="N7074" s="4"/>
      <c r="O7074" s="256"/>
    </row>
    <row r="7075" spans="1:15">
      <c r="A7075" s="207"/>
      <c r="B7075" s="207"/>
      <c r="N7075" s="4"/>
      <c r="O7075" s="256"/>
    </row>
    <row r="7076" spans="1:15">
      <c r="A7076" s="207"/>
      <c r="B7076" s="207"/>
      <c r="N7076" s="4"/>
      <c r="O7076" s="256"/>
    </row>
    <row r="7077" spans="1:15">
      <c r="A7077" s="207"/>
      <c r="B7077" s="207"/>
      <c r="N7077" s="4"/>
      <c r="O7077" s="256"/>
    </row>
    <row r="7078" spans="1:15">
      <c r="A7078" s="207"/>
      <c r="B7078" s="207"/>
      <c r="N7078" s="4"/>
      <c r="O7078" s="256"/>
    </row>
    <row r="7079" spans="1:15">
      <c r="A7079" s="207"/>
      <c r="B7079" s="207"/>
      <c r="N7079" s="4"/>
      <c r="O7079" s="256"/>
    </row>
    <row r="7080" spans="1:15">
      <c r="A7080" s="207"/>
      <c r="B7080" s="207"/>
      <c r="N7080" s="4"/>
      <c r="O7080" s="256"/>
    </row>
    <row r="7081" spans="1:15">
      <c r="A7081" s="207"/>
      <c r="B7081" s="207"/>
      <c r="N7081" s="4"/>
      <c r="O7081" s="256"/>
    </row>
    <row r="7082" spans="1:15">
      <c r="A7082" s="207"/>
      <c r="B7082" s="207"/>
      <c r="N7082" s="4"/>
      <c r="O7082" s="256"/>
    </row>
    <row r="7083" spans="1:15">
      <c r="A7083" s="207"/>
      <c r="B7083" s="207"/>
      <c r="N7083" s="4"/>
      <c r="O7083" s="256"/>
    </row>
    <row r="7084" spans="1:15">
      <c r="A7084" s="207"/>
      <c r="B7084" s="207"/>
      <c r="N7084" s="4"/>
      <c r="O7084" s="256"/>
    </row>
    <row r="7085" spans="1:15">
      <c r="A7085" s="207"/>
      <c r="B7085" s="207"/>
      <c r="N7085" s="4"/>
      <c r="O7085" s="256"/>
    </row>
    <row r="7086" spans="1:15">
      <c r="A7086" s="207"/>
      <c r="B7086" s="207"/>
      <c r="N7086" s="4"/>
      <c r="O7086" s="256"/>
    </row>
    <row r="7087" spans="1:15">
      <c r="A7087" s="207"/>
      <c r="B7087" s="207"/>
      <c r="N7087" s="4"/>
      <c r="O7087" s="256"/>
    </row>
    <row r="7088" spans="1:15">
      <c r="A7088" s="207"/>
      <c r="B7088" s="207"/>
      <c r="N7088" s="4"/>
      <c r="O7088" s="256"/>
    </row>
    <row r="7089" spans="1:15">
      <c r="A7089" s="207"/>
      <c r="B7089" s="207"/>
      <c r="N7089" s="4"/>
      <c r="O7089" s="256"/>
    </row>
    <row r="7090" spans="1:15">
      <c r="A7090" s="207"/>
      <c r="B7090" s="207"/>
      <c r="N7090" s="4"/>
      <c r="O7090" s="256"/>
    </row>
    <row r="7091" spans="1:15">
      <c r="A7091" s="207"/>
      <c r="B7091" s="207"/>
      <c r="N7091" s="4"/>
      <c r="O7091" s="256"/>
    </row>
    <row r="7092" spans="1:15">
      <c r="A7092" s="207"/>
      <c r="B7092" s="207"/>
      <c r="N7092" s="4"/>
      <c r="O7092" s="256"/>
    </row>
    <row r="7093" spans="1:15">
      <c r="A7093" s="207"/>
      <c r="B7093" s="207"/>
      <c r="N7093" s="4"/>
      <c r="O7093" s="256"/>
    </row>
    <row r="7094" spans="1:15">
      <c r="A7094" s="207"/>
      <c r="B7094" s="207"/>
      <c r="N7094" s="4"/>
      <c r="O7094" s="256"/>
    </row>
    <row r="7095" spans="1:15">
      <c r="A7095" s="207"/>
      <c r="B7095" s="207"/>
      <c r="N7095" s="4"/>
      <c r="O7095" s="256"/>
    </row>
    <row r="7096" spans="1:15">
      <c r="A7096" s="207"/>
      <c r="B7096" s="207"/>
      <c r="N7096" s="4"/>
      <c r="O7096" s="256"/>
    </row>
    <row r="7097" spans="1:15">
      <c r="A7097" s="207"/>
      <c r="B7097" s="207"/>
      <c r="N7097" s="4"/>
      <c r="O7097" s="256"/>
    </row>
    <row r="7098" spans="1:15">
      <c r="A7098" s="207"/>
      <c r="B7098" s="207"/>
      <c r="N7098" s="4"/>
      <c r="O7098" s="256"/>
    </row>
    <row r="7099" spans="1:15">
      <c r="A7099" s="207"/>
      <c r="B7099" s="207"/>
      <c r="N7099" s="4"/>
      <c r="O7099" s="256"/>
    </row>
    <row r="7100" spans="1:15">
      <c r="A7100" s="207"/>
      <c r="B7100" s="207"/>
      <c r="N7100" s="4"/>
      <c r="O7100" s="256"/>
    </row>
    <row r="7101" spans="1:15">
      <c r="A7101" s="207"/>
      <c r="B7101" s="207"/>
      <c r="N7101" s="4"/>
      <c r="O7101" s="256"/>
    </row>
    <row r="7102" spans="1:15">
      <c r="A7102" s="207"/>
      <c r="B7102" s="207"/>
      <c r="N7102" s="4"/>
      <c r="O7102" s="256"/>
    </row>
    <row r="7103" spans="1:15">
      <c r="A7103" s="207"/>
      <c r="B7103" s="207"/>
      <c r="N7103" s="4"/>
      <c r="O7103" s="256"/>
    </row>
    <row r="7104" spans="1:15">
      <c r="A7104" s="207"/>
      <c r="B7104" s="207"/>
      <c r="N7104" s="4"/>
      <c r="O7104" s="256"/>
    </row>
    <row r="7105" spans="1:15">
      <c r="A7105" s="207"/>
      <c r="B7105" s="207"/>
      <c r="N7105" s="4"/>
      <c r="O7105" s="256"/>
    </row>
    <row r="7106" spans="1:15">
      <c r="A7106" s="207"/>
      <c r="B7106" s="207"/>
      <c r="N7106" s="4"/>
      <c r="O7106" s="256"/>
    </row>
    <row r="7107" spans="1:15">
      <c r="A7107" s="207"/>
      <c r="B7107" s="207"/>
      <c r="N7107" s="4"/>
      <c r="O7107" s="256"/>
    </row>
    <row r="7108" spans="1:15">
      <c r="A7108" s="207"/>
      <c r="B7108" s="207"/>
      <c r="N7108" s="4"/>
      <c r="O7108" s="256"/>
    </row>
    <row r="7109" spans="1:15">
      <c r="A7109" s="207"/>
      <c r="B7109" s="207"/>
      <c r="N7109" s="4"/>
      <c r="O7109" s="256"/>
    </row>
    <row r="7110" spans="1:15">
      <c r="A7110" s="207"/>
      <c r="B7110" s="207"/>
      <c r="N7110" s="4"/>
      <c r="O7110" s="256"/>
    </row>
    <row r="7111" spans="1:15">
      <c r="A7111" s="207"/>
      <c r="B7111" s="207"/>
      <c r="N7111" s="4"/>
      <c r="O7111" s="256"/>
    </row>
    <row r="7112" spans="1:15">
      <c r="A7112" s="207"/>
      <c r="B7112" s="207"/>
      <c r="N7112" s="4"/>
      <c r="O7112" s="256"/>
    </row>
    <row r="7113" spans="1:15">
      <c r="A7113" s="207"/>
      <c r="B7113" s="207"/>
      <c r="N7113" s="4"/>
      <c r="O7113" s="256"/>
    </row>
    <row r="7114" spans="1:15">
      <c r="A7114" s="207"/>
      <c r="B7114" s="207"/>
      <c r="N7114" s="4"/>
      <c r="O7114" s="256"/>
    </row>
    <row r="7115" spans="1:15">
      <c r="A7115" s="207"/>
      <c r="B7115" s="207"/>
      <c r="N7115" s="4"/>
      <c r="O7115" s="256"/>
    </row>
    <row r="7116" spans="1:15">
      <c r="A7116" s="207"/>
      <c r="B7116" s="207"/>
      <c r="N7116" s="4"/>
      <c r="O7116" s="256"/>
    </row>
    <row r="7117" spans="1:15">
      <c r="A7117" s="207"/>
      <c r="B7117" s="207"/>
      <c r="N7117" s="4"/>
      <c r="O7117" s="256"/>
    </row>
    <row r="7118" spans="1:15">
      <c r="A7118" s="207"/>
      <c r="B7118" s="207"/>
      <c r="N7118" s="4"/>
      <c r="O7118" s="256"/>
    </row>
    <row r="7119" spans="1:15">
      <c r="A7119" s="207"/>
      <c r="B7119" s="207"/>
      <c r="N7119" s="4"/>
      <c r="O7119" s="256"/>
    </row>
    <row r="7120" spans="1:15">
      <c r="A7120" s="207"/>
      <c r="B7120" s="207"/>
      <c r="N7120" s="4"/>
      <c r="O7120" s="256"/>
    </row>
    <row r="7121" spans="1:15">
      <c r="A7121" s="207"/>
      <c r="B7121" s="207"/>
      <c r="N7121" s="4"/>
      <c r="O7121" s="256"/>
    </row>
    <row r="7122" spans="1:15">
      <c r="A7122" s="207"/>
      <c r="B7122" s="207"/>
      <c r="N7122" s="4"/>
      <c r="O7122" s="256"/>
    </row>
    <row r="7123" spans="1:15">
      <c r="A7123" s="207"/>
      <c r="B7123" s="207"/>
      <c r="N7123" s="4"/>
      <c r="O7123" s="256"/>
    </row>
    <row r="7124" spans="1:15">
      <c r="A7124" s="207"/>
      <c r="B7124" s="207"/>
      <c r="N7124" s="4"/>
      <c r="O7124" s="256"/>
    </row>
    <row r="7125" spans="1:15">
      <c r="A7125" s="207"/>
      <c r="B7125" s="207"/>
      <c r="N7125" s="4"/>
      <c r="O7125" s="256"/>
    </row>
    <row r="7126" spans="1:15">
      <c r="A7126" s="207"/>
      <c r="B7126" s="207"/>
      <c r="N7126" s="4"/>
      <c r="O7126" s="256"/>
    </row>
    <row r="7127" spans="1:15">
      <c r="A7127" s="207"/>
      <c r="B7127" s="207"/>
      <c r="N7127" s="4"/>
      <c r="O7127" s="256"/>
    </row>
    <row r="7128" spans="1:15">
      <c r="A7128" s="207"/>
      <c r="B7128" s="207"/>
      <c r="N7128" s="4"/>
      <c r="O7128" s="256"/>
    </row>
    <row r="7129" spans="1:15">
      <c r="A7129" s="207"/>
      <c r="B7129" s="207"/>
      <c r="N7129" s="4"/>
      <c r="O7129" s="256"/>
    </row>
    <row r="7130" spans="1:15">
      <c r="A7130" s="207"/>
      <c r="B7130" s="207"/>
      <c r="N7130" s="4"/>
      <c r="O7130" s="256"/>
    </row>
    <row r="7131" spans="1:15">
      <c r="A7131" s="207"/>
      <c r="B7131" s="207"/>
      <c r="N7131" s="4"/>
      <c r="O7131" s="256"/>
    </row>
    <row r="7132" spans="1:15">
      <c r="A7132" s="207"/>
      <c r="B7132" s="207"/>
      <c r="N7132" s="4"/>
      <c r="O7132" s="256"/>
    </row>
    <row r="7133" spans="1:15">
      <c r="A7133" s="207"/>
      <c r="B7133" s="207"/>
      <c r="N7133" s="4"/>
      <c r="O7133" s="256"/>
    </row>
    <row r="7134" spans="1:15">
      <c r="A7134" s="207"/>
      <c r="B7134" s="207"/>
      <c r="N7134" s="4"/>
      <c r="O7134" s="256"/>
    </row>
    <row r="7135" spans="1:15">
      <c r="A7135" s="207"/>
      <c r="B7135" s="207"/>
      <c r="N7135" s="4"/>
      <c r="O7135" s="256"/>
    </row>
    <row r="7136" spans="1:15">
      <c r="A7136" s="207"/>
      <c r="B7136" s="207"/>
      <c r="N7136" s="4"/>
      <c r="O7136" s="256"/>
    </row>
    <row r="7137" spans="1:15">
      <c r="A7137" s="207"/>
      <c r="B7137" s="207"/>
      <c r="N7137" s="4"/>
      <c r="O7137" s="256"/>
    </row>
    <row r="7138" spans="1:15">
      <c r="A7138" s="207"/>
      <c r="B7138" s="207"/>
      <c r="N7138" s="4"/>
      <c r="O7138" s="256"/>
    </row>
    <row r="7139" spans="1:15">
      <c r="A7139" s="207"/>
      <c r="B7139" s="207"/>
      <c r="N7139" s="4"/>
      <c r="O7139" s="256"/>
    </row>
    <row r="7140" spans="1:15">
      <c r="A7140" s="207"/>
      <c r="B7140" s="207"/>
      <c r="N7140" s="4"/>
      <c r="O7140" s="256"/>
    </row>
    <row r="7141" spans="1:15">
      <c r="A7141" s="207"/>
      <c r="B7141" s="207"/>
      <c r="N7141" s="4"/>
      <c r="O7141" s="256"/>
    </row>
    <row r="7142" spans="1:15">
      <c r="A7142" s="207"/>
      <c r="B7142" s="207"/>
      <c r="N7142" s="4"/>
      <c r="O7142" s="256"/>
    </row>
    <row r="7143" spans="1:15">
      <c r="A7143" s="207"/>
      <c r="B7143" s="207"/>
      <c r="N7143" s="4"/>
      <c r="O7143" s="256"/>
    </row>
    <row r="7144" spans="1:15">
      <c r="A7144" s="207"/>
      <c r="B7144" s="207"/>
      <c r="N7144" s="4"/>
      <c r="O7144" s="256"/>
    </row>
    <row r="7145" spans="1:15">
      <c r="A7145" s="207"/>
      <c r="B7145" s="207"/>
      <c r="N7145" s="4"/>
      <c r="O7145" s="256"/>
    </row>
    <row r="7146" spans="1:15">
      <c r="A7146" s="207"/>
      <c r="B7146" s="207"/>
      <c r="N7146" s="4"/>
      <c r="O7146" s="256"/>
    </row>
    <row r="7147" spans="1:15">
      <c r="A7147" s="207"/>
      <c r="B7147" s="207"/>
      <c r="N7147" s="4"/>
      <c r="O7147" s="256"/>
    </row>
    <row r="7148" spans="1:15">
      <c r="A7148" s="207"/>
      <c r="B7148" s="207"/>
      <c r="N7148" s="4"/>
      <c r="O7148" s="256"/>
    </row>
    <row r="7149" spans="1:15">
      <c r="A7149" s="207"/>
      <c r="B7149" s="207"/>
      <c r="N7149" s="4"/>
      <c r="O7149" s="256"/>
    </row>
    <row r="7150" spans="1:15">
      <c r="A7150" s="207"/>
      <c r="B7150" s="207"/>
      <c r="N7150" s="4"/>
      <c r="O7150" s="256"/>
    </row>
    <row r="7151" spans="1:15">
      <c r="A7151" s="207"/>
      <c r="B7151" s="207"/>
      <c r="N7151" s="4"/>
      <c r="O7151" s="256"/>
    </row>
    <row r="7152" spans="1:15">
      <c r="A7152" s="207"/>
      <c r="B7152" s="207"/>
      <c r="N7152" s="4"/>
      <c r="O7152" s="256"/>
    </row>
    <row r="7153" spans="1:15">
      <c r="A7153" s="207"/>
      <c r="B7153" s="207"/>
      <c r="N7153" s="4"/>
      <c r="O7153" s="256"/>
    </row>
    <row r="7154" spans="1:15">
      <c r="A7154" s="207"/>
      <c r="B7154" s="207"/>
      <c r="N7154" s="4"/>
      <c r="O7154" s="256"/>
    </row>
    <row r="7155" spans="1:15">
      <c r="A7155" s="207"/>
      <c r="B7155" s="207"/>
      <c r="N7155" s="4"/>
      <c r="O7155" s="256"/>
    </row>
    <row r="7156" spans="1:15">
      <c r="A7156" s="207"/>
      <c r="B7156" s="207"/>
      <c r="N7156" s="4"/>
      <c r="O7156" s="256"/>
    </row>
    <row r="7157" spans="1:15">
      <c r="A7157" s="207"/>
      <c r="B7157" s="207"/>
      <c r="N7157" s="4"/>
      <c r="O7157" s="256"/>
    </row>
    <row r="7158" spans="1:15">
      <c r="A7158" s="207"/>
      <c r="B7158" s="207"/>
      <c r="N7158" s="4"/>
      <c r="O7158" s="256"/>
    </row>
    <row r="7159" spans="1:15">
      <c r="A7159" s="207"/>
      <c r="B7159" s="207"/>
      <c r="N7159" s="4"/>
      <c r="O7159" s="256"/>
    </row>
    <row r="7160" spans="1:15">
      <c r="A7160" s="207"/>
      <c r="B7160" s="207"/>
      <c r="N7160" s="4"/>
      <c r="O7160" s="256"/>
    </row>
    <row r="7161" spans="1:15">
      <c r="A7161" s="207"/>
      <c r="B7161" s="207"/>
      <c r="N7161" s="4"/>
      <c r="O7161" s="256"/>
    </row>
    <row r="7162" spans="1:15">
      <c r="A7162" s="207"/>
      <c r="B7162" s="207"/>
      <c r="N7162" s="4"/>
      <c r="O7162" s="256"/>
    </row>
    <row r="7163" spans="1:15">
      <c r="A7163" s="207"/>
      <c r="B7163" s="207"/>
      <c r="N7163" s="4"/>
      <c r="O7163" s="256"/>
    </row>
    <row r="7164" spans="1:15">
      <c r="A7164" s="207"/>
      <c r="B7164" s="207"/>
      <c r="N7164" s="4"/>
      <c r="O7164" s="256"/>
    </row>
    <row r="7165" spans="1:15">
      <c r="A7165" s="207"/>
      <c r="B7165" s="207"/>
      <c r="N7165" s="4"/>
      <c r="O7165" s="256"/>
    </row>
    <row r="7166" spans="1:15">
      <c r="A7166" s="207"/>
      <c r="B7166" s="207"/>
      <c r="N7166" s="4"/>
      <c r="O7166" s="256"/>
    </row>
    <row r="7167" spans="1:15">
      <c r="A7167" s="207"/>
      <c r="B7167" s="207"/>
      <c r="N7167" s="4"/>
      <c r="O7167" s="256"/>
    </row>
    <row r="7168" spans="1:15">
      <c r="A7168" s="207"/>
      <c r="B7168" s="207"/>
      <c r="N7168" s="4"/>
      <c r="O7168" s="256"/>
    </row>
    <row r="7169" spans="1:15">
      <c r="A7169" s="207"/>
      <c r="B7169" s="207"/>
      <c r="N7169" s="4"/>
      <c r="O7169" s="256"/>
    </row>
    <row r="7170" spans="1:15">
      <c r="A7170" s="207"/>
      <c r="B7170" s="207"/>
      <c r="N7170" s="4"/>
      <c r="O7170" s="256"/>
    </row>
    <row r="7171" spans="1:15">
      <c r="A7171" s="207"/>
      <c r="B7171" s="207"/>
      <c r="N7171" s="4"/>
      <c r="O7171" s="256"/>
    </row>
    <row r="7172" spans="1:15">
      <c r="A7172" s="207"/>
      <c r="B7172" s="207"/>
      <c r="N7172" s="4"/>
      <c r="O7172" s="256"/>
    </row>
    <row r="7173" spans="1:15">
      <c r="A7173" s="207"/>
      <c r="B7173" s="207"/>
      <c r="N7173" s="4"/>
      <c r="O7173" s="256"/>
    </row>
    <row r="7174" spans="1:15">
      <c r="A7174" s="207"/>
      <c r="B7174" s="207"/>
      <c r="N7174" s="4"/>
      <c r="O7174" s="256"/>
    </row>
    <row r="7175" spans="1:15">
      <c r="A7175" s="207"/>
      <c r="B7175" s="207"/>
      <c r="N7175" s="4"/>
      <c r="O7175" s="256"/>
    </row>
    <row r="7176" spans="1:15">
      <c r="A7176" s="207"/>
      <c r="B7176" s="207"/>
      <c r="N7176" s="4"/>
      <c r="O7176" s="256"/>
    </row>
    <row r="7177" spans="1:15">
      <c r="A7177" s="207"/>
      <c r="B7177" s="207"/>
      <c r="N7177" s="4"/>
      <c r="O7177" s="256"/>
    </row>
    <row r="7178" spans="1:15">
      <c r="A7178" s="207"/>
      <c r="B7178" s="207"/>
      <c r="N7178" s="4"/>
      <c r="O7178" s="256"/>
    </row>
    <row r="7179" spans="1:15">
      <c r="A7179" s="207"/>
      <c r="B7179" s="207"/>
      <c r="N7179" s="4"/>
      <c r="O7179" s="256"/>
    </row>
    <row r="7180" spans="1:15">
      <c r="A7180" s="207"/>
      <c r="B7180" s="207"/>
      <c r="N7180" s="4"/>
      <c r="O7180" s="256"/>
    </row>
    <row r="7181" spans="1:15">
      <c r="A7181" s="207"/>
      <c r="B7181" s="207"/>
      <c r="N7181" s="4"/>
      <c r="O7181" s="256"/>
    </row>
    <row r="7182" spans="1:15">
      <c r="A7182" s="207"/>
      <c r="B7182" s="207"/>
      <c r="N7182" s="4"/>
      <c r="O7182" s="256"/>
    </row>
    <row r="7183" spans="1:15">
      <c r="A7183" s="207"/>
      <c r="B7183" s="207"/>
      <c r="N7183" s="4"/>
      <c r="O7183" s="256"/>
    </row>
    <row r="7184" spans="1:15">
      <c r="A7184" s="207"/>
      <c r="B7184" s="207"/>
      <c r="N7184" s="4"/>
      <c r="O7184" s="256"/>
    </row>
    <row r="7185" spans="1:15">
      <c r="A7185" s="207"/>
      <c r="B7185" s="207"/>
      <c r="N7185" s="4"/>
      <c r="O7185" s="256"/>
    </row>
    <row r="7186" spans="1:15">
      <c r="A7186" s="207"/>
      <c r="B7186" s="207"/>
      <c r="N7186" s="4"/>
      <c r="O7186" s="256"/>
    </row>
    <row r="7187" spans="1:15">
      <c r="A7187" s="207"/>
      <c r="B7187" s="207"/>
      <c r="N7187" s="4"/>
      <c r="O7187" s="256"/>
    </row>
    <row r="7188" spans="1:15">
      <c r="A7188" s="207"/>
      <c r="B7188" s="207"/>
      <c r="N7188" s="4"/>
      <c r="O7188" s="256"/>
    </row>
    <row r="7189" spans="1:15">
      <c r="A7189" s="207"/>
      <c r="B7189" s="207"/>
      <c r="N7189" s="4"/>
      <c r="O7189" s="256"/>
    </row>
    <row r="7190" spans="1:15">
      <c r="A7190" s="207"/>
      <c r="B7190" s="207"/>
      <c r="N7190" s="4"/>
      <c r="O7190" s="256"/>
    </row>
    <row r="7191" spans="1:15">
      <c r="A7191" s="207"/>
      <c r="B7191" s="207"/>
      <c r="N7191" s="4"/>
      <c r="O7191" s="256"/>
    </row>
    <row r="7192" spans="1:15">
      <c r="A7192" s="207"/>
      <c r="B7192" s="207"/>
      <c r="N7192" s="4"/>
      <c r="O7192" s="256"/>
    </row>
    <row r="7193" spans="1:15">
      <c r="A7193" s="207"/>
      <c r="B7193" s="207"/>
      <c r="N7193" s="4"/>
      <c r="O7193" s="256"/>
    </row>
    <row r="7194" spans="1:15">
      <c r="A7194" s="207"/>
      <c r="B7194" s="207"/>
      <c r="N7194" s="4"/>
      <c r="O7194" s="256"/>
    </row>
    <row r="7195" spans="1:15">
      <c r="A7195" s="207"/>
      <c r="B7195" s="207"/>
      <c r="N7195" s="4"/>
      <c r="O7195" s="256"/>
    </row>
    <row r="7196" spans="1:15">
      <c r="A7196" s="207"/>
      <c r="B7196" s="207"/>
      <c r="N7196" s="4"/>
      <c r="O7196" s="256"/>
    </row>
    <row r="7197" spans="1:15">
      <c r="A7197" s="207"/>
      <c r="B7197" s="207"/>
      <c r="N7197" s="4"/>
      <c r="O7197" s="256"/>
    </row>
    <row r="7198" spans="1:15">
      <c r="A7198" s="207"/>
      <c r="B7198" s="207"/>
      <c r="N7198" s="4"/>
      <c r="O7198" s="256"/>
    </row>
    <row r="7199" spans="1:15">
      <c r="A7199" s="207"/>
      <c r="B7199" s="207"/>
      <c r="N7199" s="4"/>
      <c r="O7199" s="256"/>
    </row>
    <row r="7200" spans="1:15">
      <c r="A7200" s="207"/>
      <c r="B7200" s="207"/>
      <c r="N7200" s="4"/>
      <c r="O7200" s="256"/>
    </row>
    <row r="7201" spans="1:15">
      <c r="A7201" s="207"/>
      <c r="B7201" s="207"/>
      <c r="N7201" s="4"/>
      <c r="O7201" s="256"/>
    </row>
    <row r="7202" spans="1:15">
      <c r="A7202" s="207"/>
      <c r="B7202" s="207"/>
      <c r="N7202" s="4"/>
      <c r="O7202" s="256"/>
    </row>
    <row r="7203" spans="1:15">
      <c r="A7203" s="207"/>
      <c r="B7203" s="207"/>
      <c r="N7203" s="4"/>
      <c r="O7203" s="256"/>
    </row>
    <row r="7204" spans="1:15">
      <c r="A7204" s="207"/>
      <c r="B7204" s="207"/>
      <c r="N7204" s="4"/>
      <c r="O7204" s="256"/>
    </row>
    <row r="7205" spans="1:15">
      <c r="A7205" s="207"/>
      <c r="B7205" s="207"/>
      <c r="N7205" s="4"/>
      <c r="O7205" s="256"/>
    </row>
    <row r="7206" spans="1:15">
      <c r="A7206" s="207"/>
      <c r="B7206" s="207"/>
      <c r="N7206" s="4"/>
      <c r="O7206" s="256"/>
    </row>
    <row r="7207" spans="1:15">
      <c r="A7207" s="207"/>
      <c r="B7207" s="207"/>
      <c r="N7207" s="4"/>
      <c r="O7207" s="256"/>
    </row>
    <row r="7208" spans="1:15">
      <c r="A7208" s="207"/>
      <c r="B7208" s="207"/>
      <c r="N7208" s="4"/>
      <c r="O7208" s="256"/>
    </row>
    <row r="7209" spans="1:15">
      <c r="A7209" s="207"/>
      <c r="B7209" s="207"/>
      <c r="N7209" s="4"/>
      <c r="O7209" s="256"/>
    </row>
    <row r="7210" spans="1:15">
      <c r="A7210" s="207"/>
      <c r="B7210" s="207"/>
      <c r="N7210" s="4"/>
      <c r="O7210" s="256"/>
    </row>
    <row r="7211" spans="1:15">
      <c r="A7211" s="207"/>
      <c r="B7211" s="207"/>
      <c r="N7211" s="4"/>
      <c r="O7211" s="256"/>
    </row>
    <row r="7212" spans="1:15">
      <c r="A7212" s="207"/>
      <c r="B7212" s="207"/>
      <c r="N7212" s="4"/>
      <c r="O7212" s="256"/>
    </row>
    <row r="7213" spans="1:15">
      <c r="A7213" s="207"/>
      <c r="B7213" s="207"/>
      <c r="N7213" s="4"/>
      <c r="O7213" s="256"/>
    </row>
    <row r="7214" spans="1:15">
      <c r="A7214" s="207"/>
      <c r="B7214" s="207"/>
      <c r="N7214" s="4"/>
      <c r="O7214" s="256"/>
    </row>
    <row r="7215" spans="1:15">
      <c r="A7215" s="207"/>
      <c r="B7215" s="207"/>
      <c r="N7215" s="4"/>
      <c r="O7215" s="256"/>
    </row>
    <row r="7216" spans="1:15">
      <c r="A7216" s="207"/>
      <c r="B7216" s="207"/>
      <c r="N7216" s="4"/>
      <c r="O7216" s="256"/>
    </row>
    <row r="7217" spans="1:15">
      <c r="A7217" s="207"/>
      <c r="B7217" s="207"/>
      <c r="N7217" s="4"/>
      <c r="O7217" s="256"/>
    </row>
    <row r="7218" spans="1:15">
      <c r="A7218" s="207"/>
      <c r="B7218" s="207"/>
      <c r="N7218" s="4"/>
      <c r="O7218" s="256"/>
    </row>
    <row r="7219" spans="1:15">
      <c r="A7219" s="207"/>
      <c r="B7219" s="207"/>
      <c r="N7219" s="4"/>
      <c r="O7219" s="256"/>
    </row>
    <row r="7220" spans="1:15">
      <c r="A7220" s="207"/>
      <c r="B7220" s="207"/>
      <c r="N7220" s="4"/>
      <c r="O7220" s="256"/>
    </row>
    <row r="7221" spans="1:15">
      <c r="A7221" s="207"/>
      <c r="B7221" s="207"/>
      <c r="N7221" s="4"/>
      <c r="O7221" s="256"/>
    </row>
    <row r="7222" spans="1:15">
      <c r="A7222" s="207"/>
      <c r="B7222" s="207"/>
      <c r="N7222" s="4"/>
      <c r="O7222" s="256"/>
    </row>
    <row r="7223" spans="1:15">
      <c r="A7223" s="207"/>
      <c r="B7223" s="207"/>
      <c r="N7223" s="4"/>
      <c r="O7223" s="256"/>
    </row>
    <row r="7224" spans="1:15">
      <c r="A7224" s="207"/>
      <c r="B7224" s="207"/>
      <c r="N7224" s="4"/>
      <c r="O7224" s="256"/>
    </row>
    <row r="7225" spans="1:15">
      <c r="A7225" s="207"/>
      <c r="B7225" s="207"/>
      <c r="N7225" s="4"/>
      <c r="O7225" s="256"/>
    </row>
    <row r="7226" spans="1:15">
      <c r="A7226" s="207"/>
      <c r="B7226" s="207"/>
      <c r="N7226" s="4"/>
      <c r="O7226" s="256"/>
    </row>
    <row r="7227" spans="1:15">
      <c r="A7227" s="207"/>
      <c r="B7227" s="207"/>
      <c r="N7227" s="4"/>
      <c r="O7227" s="256"/>
    </row>
    <row r="7228" spans="1:15">
      <c r="A7228" s="207"/>
      <c r="B7228" s="207"/>
      <c r="N7228" s="4"/>
      <c r="O7228" s="256"/>
    </row>
    <row r="7229" spans="1:15">
      <c r="A7229" s="207"/>
      <c r="B7229" s="207"/>
      <c r="N7229" s="4"/>
      <c r="O7229" s="256"/>
    </row>
    <row r="7230" spans="1:15">
      <c r="A7230" s="207"/>
      <c r="B7230" s="207"/>
      <c r="N7230" s="4"/>
      <c r="O7230" s="256"/>
    </row>
    <row r="7231" spans="1:15">
      <c r="A7231" s="207"/>
      <c r="B7231" s="207"/>
      <c r="N7231" s="4"/>
      <c r="O7231" s="256"/>
    </row>
    <row r="7232" spans="1:15">
      <c r="A7232" s="207"/>
      <c r="B7232" s="207"/>
      <c r="N7232" s="4"/>
      <c r="O7232" s="256"/>
    </row>
    <row r="7233" spans="1:15">
      <c r="A7233" s="207"/>
      <c r="B7233" s="207"/>
      <c r="N7233" s="4"/>
      <c r="O7233" s="256"/>
    </row>
    <row r="7234" spans="1:15">
      <c r="A7234" s="207"/>
      <c r="B7234" s="207"/>
      <c r="N7234" s="4"/>
      <c r="O7234" s="256"/>
    </row>
    <row r="7235" spans="1:15">
      <c r="A7235" s="207"/>
      <c r="B7235" s="207"/>
      <c r="N7235" s="4"/>
      <c r="O7235" s="256"/>
    </row>
    <row r="7236" spans="1:15">
      <c r="A7236" s="207"/>
      <c r="B7236" s="207"/>
      <c r="N7236" s="4"/>
      <c r="O7236" s="256"/>
    </row>
    <row r="7237" spans="1:15">
      <c r="A7237" s="207"/>
      <c r="B7237" s="207"/>
      <c r="N7237" s="4"/>
      <c r="O7237" s="256"/>
    </row>
    <row r="7238" spans="1:15">
      <c r="A7238" s="207"/>
      <c r="B7238" s="207"/>
      <c r="N7238" s="4"/>
      <c r="O7238" s="256"/>
    </row>
    <row r="7239" spans="1:15">
      <c r="A7239" s="207"/>
      <c r="B7239" s="207"/>
      <c r="N7239" s="4"/>
      <c r="O7239" s="256"/>
    </row>
    <row r="7240" spans="1:15">
      <c r="A7240" s="207"/>
      <c r="B7240" s="207"/>
      <c r="N7240" s="4"/>
      <c r="O7240" s="256"/>
    </row>
    <row r="7241" spans="1:15">
      <c r="A7241" s="207"/>
      <c r="B7241" s="207"/>
      <c r="N7241" s="4"/>
      <c r="O7241" s="256"/>
    </row>
    <row r="7242" spans="1:15">
      <c r="A7242" s="207"/>
      <c r="B7242" s="207"/>
      <c r="N7242" s="4"/>
      <c r="O7242" s="256"/>
    </row>
    <row r="7243" spans="1:15">
      <c r="A7243" s="207"/>
      <c r="B7243" s="207"/>
      <c r="N7243" s="4"/>
      <c r="O7243" s="256"/>
    </row>
    <row r="7244" spans="1:15">
      <c r="A7244" s="207"/>
      <c r="B7244" s="207"/>
      <c r="N7244" s="4"/>
      <c r="O7244" s="256"/>
    </row>
    <row r="7245" spans="1:15">
      <c r="A7245" s="207"/>
      <c r="B7245" s="207"/>
      <c r="N7245" s="4"/>
      <c r="O7245" s="256"/>
    </row>
    <row r="7246" spans="1:15">
      <c r="A7246" s="207"/>
      <c r="B7246" s="207"/>
      <c r="N7246" s="4"/>
      <c r="O7246" s="256"/>
    </row>
    <row r="7247" spans="1:15">
      <c r="A7247" s="207"/>
      <c r="B7247" s="207"/>
      <c r="N7247" s="4"/>
      <c r="O7247" s="256"/>
    </row>
    <row r="7248" spans="1:15">
      <c r="A7248" s="207"/>
      <c r="B7248" s="207"/>
      <c r="N7248" s="4"/>
      <c r="O7248" s="256"/>
    </row>
    <row r="7249" spans="1:15">
      <c r="A7249" s="207"/>
      <c r="B7249" s="207"/>
      <c r="N7249" s="4"/>
      <c r="O7249" s="256"/>
    </row>
    <row r="7250" spans="1:15">
      <c r="A7250" s="207"/>
      <c r="B7250" s="207"/>
      <c r="N7250" s="4"/>
      <c r="O7250" s="256"/>
    </row>
    <row r="7251" spans="1:15">
      <c r="A7251" s="207"/>
      <c r="B7251" s="207"/>
      <c r="N7251" s="4"/>
      <c r="O7251" s="256"/>
    </row>
    <row r="7252" spans="1:15">
      <c r="A7252" s="207"/>
      <c r="B7252" s="207"/>
      <c r="N7252" s="4"/>
      <c r="O7252" s="256"/>
    </row>
    <row r="7253" spans="1:15">
      <c r="A7253" s="207"/>
      <c r="B7253" s="207"/>
      <c r="N7253" s="4"/>
      <c r="O7253" s="256"/>
    </row>
    <row r="7254" spans="1:15">
      <c r="A7254" s="207"/>
      <c r="B7254" s="207"/>
      <c r="N7254" s="4"/>
      <c r="O7254" s="256"/>
    </row>
    <row r="7255" spans="1:15">
      <c r="A7255" s="207"/>
      <c r="B7255" s="207"/>
      <c r="N7255" s="4"/>
      <c r="O7255" s="256"/>
    </row>
    <row r="7256" spans="1:15">
      <c r="A7256" s="207"/>
      <c r="B7256" s="207"/>
      <c r="N7256" s="4"/>
      <c r="O7256" s="256"/>
    </row>
    <row r="7257" spans="1:15">
      <c r="A7257" s="207"/>
      <c r="B7257" s="207"/>
      <c r="N7257" s="4"/>
      <c r="O7257" s="256"/>
    </row>
    <row r="7258" spans="1:15">
      <c r="A7258" s="207"/>
      <c r="B7258" s="207"/>
      <c r="N7258" s="4"/>
      <c r="O7258" s="256"/>
    </row>
    <row r="7259" spans="1:15">
      <c r="A7259" s="207"/>
      <c r="B7259" s="207"/>
      <c r="N7259" s="4"/>
      <c r="O7259" s="256"/>
    </row>
    <row r="7260" spans="1:15">
      <c r="A7260" s="207"/>
      <c r="B7260" s="207"/>
      <c r="N7260" s="4"/>
      <c r="O7260" s="256"/>
    </row>
    <row r="7261" spans="1:15">
      <c r="A7261" s="207"/>
      <c r="B7261" s="207"/>
      <c r="N7261" s="4"/>
      <c r="O7261" s="256"/>
    </row>
    <row r="7262" spans="1:15">
      <c r="A7262" s="207"/>
      <c r="B7262" s="207"/>
      <c r="N7262" s="4"/>
      <c r="O7262" s="256"/>
    </row>
    <row r="7263" spans="1:15">
      <c r="A7263" s="207"/>
      <c r="B7263" s="207"/>
      <c r="N7263" s="4"/>
      <c r="O7263" s="256"/>
    </row>
    <row r="7264" spans="1:15">
      <c r="A7264" s="207"/>
      <c r="B7264" s="207"/>
      <c r="N7264" s="4"/>
      <c r="O7264" s="256"/>
    </row>
    <row r="7265" spans="1:15">
      <c r="A7265" s="207"/>
      <c r="B7265" s="207"/>
      <c r="N7265" s="4"/>
      <c r="O7265" s="256"/>
    </row>
    <row r="7266" spans="1:15">
      <c r="A7266" s="207"/>
      <c r="B7266" s="207"/>
      <c r="N7266" s="4"/>
      <c r="O7266" s="256"/>
    </row>
    <row r="7267" spans="1:15">
      <c r="A7267" s="207"/>
      <c r="B7267" s="207"/>
      <c r="N7267" s="4"/>
      <c r="O7267" s="256"/>
    </row>
    <row r="7268" spans="1:15">
      <c r="A7268" s="207"/>
      <c r="B7268" s="207"/>
      <c r="N7268" s="4"/>
      <c r="O7268" s="256"/>
    </row>
    <row r="7269" spans="1:15">
      <c r="A7269" s="207"/>
      <c r="B7269" s="207"/>
      <c r="N7269" s="4"/>
      <c r="O7269" s="256"/>
    </row>
    <row r="7270" spans="1:15">
      <c r="A7270" s="207"/>
      <c r="B7270" s="207"/>
      <c r="N7270" s="4"/>
      <c r="O7270" s="256"/>
    </row>
    <row r="7271" spans="1:15">
      <c r="A7271" s="207"/>
      <c r="B7271" s="207"/>
      <c r="N7271" s="4"/>
      <c r="O7271" s="256"/>
    </row>
    <row r="7272" spans="1:15">
      <c r="A7272" s="207"/>
      <c r="B7272" s="207"/>
      <c r="N7272" s="4"/>
      <c r="O7272" s="256"/>
    </row>
    <row r="7273" spans="1:15">
      <c r="A7273" s="207"/>
      <c r="B7273" s="207"/>
      <c r="N7273" s="4"/>
      <c r="O7273" s="256"/>
    </row>
    <row r="7274" spans="1:15">
      <c r="A7274" s="207"/>
      <c r="B7274" s="207"/>
      <c r="N7274" s="4"/>
      <c r="O7274" s="256"/>
    </row>
    <row r="7275" spans="1:15">
      <c r="A7275" s="207"/>
      <c r="B7275" s="207"/>
      <c r="N7275" s="4"/>
      <c r="O7275" s="256"/>
    </row>
    <row r="7276" spans="1:15">
      <c r="A7276" s="207"/>
      <c r="B7276" s="207"/>
      <c r="N7276" s="4"/>
      <c r="O7276" s="256"/>
    </row>
    <row r="7277" spans="1:15">
      <c r="A7277" s="207"/>
      <c r="B7277" s="207"/>
      <c r="N7277" s="4"/>
      <c r="O7277" s="256"/>
    </row>
    <row r="7278" spans="1:15">
      <c r="A7278" s="207"/>
      <c r="B7278" s="207"/>
      <c r="N7278" s="4"/>
      <c r="O7278" s="256"/>
    </row>
    <row r="7279" spans="1:15">
      <c r="A7279" s="207"/>
      <c r="B7279" s="207"/>
      <c r="N7279" s="4"/>
      <c r="O7279" s="256"/>
    </row>
    <row r="7280" spans="1:15">
      <c r="A7280" s="207"/>
      <c r="B7280" s="207"/>
      <c r="N7280" s="4"/>
      <c r="O7280" s="256"/>
    </row>
    <row r="7281" spans="1:15">
      <c r="A7281" s="207"/>
      <c r="B7281" s="207"/>
      <c r="N7281" s="4"/>
      <c r="O7281" s="256"/>
    </row>
    <row r="7282" spans="1:15">
      <c r="A7282" s="207"/>
      <c r="B7282" s="207"/>
      <c r="N7282" s="4"/>
      <c r="O7282" s="256"/>
    </row>
    <row r="7283" spans="1:15">
      <c r="A7283" s="207"/>
      <c r="B7283" s="207"/>
      <c r="N7283" s="4"/>
      <c r="O7283" s="256"/>
    </row>
    <row r="7284" spans="1:15">
      <c r="A7284" s="207"/>
      <c r="B7284" s="207"/>
      <c r="N7284" s="4"/>
      <c r="O7284" s="256"/>
    </row>
    <row r="7285" spans="1:15">
      <c r="A7285" s="207"/>
      <c r="B7285" s="207"/>
      <c r="N7285" s="4"/>
      <c r="O7285" s="256"/>
    </row>
    <row r="7286" spans="1:15">
      <c r="A7286" s="207"/>
      <c r="B7286" s="207"/>
      <c r="N7286" s="4"/>
      <c r="O7286" s="256"/>
    </row>
    <row r="7287" spans="1:15">
      <c r="A7287" s="207"/>
      <c r="B7287" s="207"/>
      <c r="N7287" s="4"/>
      <c r="O7287" s="256"/>
    </row>
    <row r="7288" spans="1:15">
      <c r="A7288" s="207"/>
      <c r="B7288" s="207"/>
      <c r="N7288" s="4"/>
      <c r="O7288" s="256"/>
    </row>
    <row r="7289" spans="1:15">
      <c r="A7289" s="207"/>
      <c r="B7289" s="207"/>
      <c r="N7289" s="4"/>
      <c r="O7289" s="256"/>
    </row>
    <row r="7290" spans="1:15">
      <c r="A7290" s="207"/>
      <c r="B7290" s="207"/>
      <c r="N7290" s="4"/>
      <c r="O7290" s="256"/>
    </row>
    <row r="7291" spans="1:15">
      <c r="A7291" s="207"/>
      <c r="B7291" s="207"/>
      <c r="N7291" s="4"/>
      <c r="O7291" s="256"/>
    </row>
    <row r="7292" spans="1:15">
      <c r="A7292" s="207"/>
      <c r="B7292" s="207"/>
      <c r="N7292" s="4"/>
      <c r="O7292" s="256"/>
    </row>
    <row r="7293" spans="1:15">
      <c r="A7293" s="207"/>
      <c r="B7293" s="207"/>
      <c r="N7293" s="4"/>
      <c r="O7293" s="256"/>
    </row>
    <row r="7294" spans="1:15">
      <c r="A7294" s="207"/>
      <c r="B7294" s="207"/>
      <c r="N7294" s="4"/>
      <c r="O7294" s="256"/>
    </row>
    <row r="7295" spans="1:15">
      <c r="A7295" s="207"/>
      <c r="B7295" s="207"/>
      <c r="N7295" s="4"/>
      <c r="O7295" s="256"/>
    </row>
    <row r="7296" spans="1:15">
      <c r="A7296" s="207"/>
      <c r="B7296" s="207"/>
      <c r="N7296" s="4"/>
      <c r="O7296" s="256"/>
    </row>
    <row r="7297" spans="1:15">
      <c r="A7297" s="207"/>
      <c r="B7297" s="207"/>
      <c r="N7297" s="4"/>
      <c r="O7297" s="256"/>
    </row>
    <row r="7298" spans="1:15">
      <c r="A7298" s="207"/>
      <c r="B7298" s="207"/>
      <c r="N7298" s="4"/>
      <c r="O7298" s="256"/>
    </row>
    <row r="7299" spans="1:15">
      <c r="A7299" s="207"/>
      <c r="B7299" s="207"/>
      <c r="N7299" s="4"/>
      <c r="O7299" s="256"/>
    </row>
    <row r="7300" spans="1:15">
      <c r="A7300" s="207"/>
      <c r="B7300" s="207"/>
      <c r="N7300" s="4"/>
      <c r="O7300" s="256"/>
    </row>
    <row r="7301" spans="1:15">
      <c r="A7301" s="207"/>
      <c r="B7301" s="207"/>
      <c r="N7301" s="4"/>
      <c r="O7301" s="256"/>
    </row>
    <row r="7302" spans="1:15">
      <c r="A7302" s="207"/>
      <c r="B7302" s="207"/>
      <c r="N7302" s="4"/>
      <c r="O7302" s="256"/>
    </row>
    <row r="7303" spans="1:15">
      <c r="A7303" s="207"/>
      <c r="B7303" s="207"/>
      <c r="N7303" s="4"/>
      <c r="O7303" s="256"/>
    </row>
    <row r="7304" spans="1:15">
      <c r="A7304" s="207"/>
      <c r="B7304" s="207"/>
      <c r="N7304" s="4"/>
      <c r="O7304" s="256"/>
    </row>
    <row r="7305" spans="1:15">
      <c r="A7305" s="207"/>
      <c r="B7305" s="207"/>
      <c r="N7305" s="4"/>
      <c r="O7305" s="256"/>
    </row>
    <row r="7306" spans="1:15">
      <c r="A7306" s="207"/>
      <c r="B7306" s="207"/>
      <c r="N7306" s="4"/>
      <c r="O7306" s="256"/>
    </row>
    <row r="7307" spans="1:15">
      <c r="A7307" s="207"/>
      <c r="B7307" s="207"/>
      <c r="N7307" s="4"/>
      <c r="O7307" s="256"/>
    </row>
    <row r="7308" spans="1:15">
      <c r="A7308" s="207"/>
      <c r="B7308" s="207"/>
      <c r="N7308" s="4"/>
      <c r="O7308" s="256"/>
    </row>
    <row r="7309" spans="1:15">
      <c r="A7309" s="207"/>
      <c r="B7309" s="207"/>
      <c r="N7309" s="4"/>
      <c r="O7309" s="256"/>
    </row>
    <row r="7310" spans="1:15">
      <c r="A7310" s="207"/>
      <c r="B7310" s="207"/>
      <c r="N7310" s="4"/>
      <c r="O7310" s="256"/>
    </row>
    <row r="7311" spans="1:15">
      <c r="A7311" s="207"/>
      <c r="B7311" s="207"/>
      <c r="N7311" s="4"/>
      <c r="O7311" s="256"/>
    </row>
    <row r="7312" spans="1:15">
      <c r="A7312" s="207"/>
      <c r="B7312" s="207"/>
      <c r="N7312" s="4"/>
      <c r="O7312" s="256"/>
    </row>
    <row r="7313" spans="1:15">
      <c r="A7313" s="207"/>
      <c r="B7313" s="207"/>
      <c r="N7313" s="4"/>
      <c r="O7313" s="256"/>
    </row>
    <row r="7314" spans="1:15">
      <c r="A7314" s="207"/>
      <c r="B7314" s="207"/>
      <c r="N7314" s="4"/>
      <c r="O7314" s="256"/>
    </row>
    <row r="7315" spans="1:15">
      <c r="A7315" s="207"/>
      <c r="B7315" s="207"/>
      <c r="N7315" s="4"/>
      <c r="O7315" s="256"/>
    </row>
    <row r="7316" spans="1:15">
      <c r="A7316" s="207"/>
      <c r="B7316" s="207"/>
      <c r="N7316" s="4"/>
      <c r="O7316" s="256"/>
    </row>
    <row r="7317" spans="1:15">
      <c r="A7317" s="207"/>
      <c r="B7317" s="207"/>
      <c r="N7317" s="4"/>
      <c r="O7317" s="256"/>
    </row>
    <row r="7318" spans="1:15">
      <c r="A7318" s="207"/>
      <c r="B7318" s="207"/>
      <c r="N7318" s="4"/>
      <c r="O7318" s="256"/>
    </row>
    <row r="7319" spans="1:15">
      <c r="A7319" s="207"/>
      <c r="B7319" s="207"/>
      <c r="N7319" s="4"/>
      <c r="O7319" s="256"/>
    </row>
    <row r="7320" spans="1:15">
      <c r="A7320" s="207"/>
      <c r="B7320" s="207"/>
      <c r="N7320" s="4"/>
      <c r="O7320" s="256"/>
    </row>
    <row r="7321" spans="1:15">
      <c r="A7321" s="207"/>
      <c r="B7321" s="207"/>
      <c r="N7321" s="4"/>
      <c r="O7321" s="256"/>
    </row>
    <row r="7322" spans="1:15">
      <c r="A7322" s="207"/>
      <c r="B7322" s="207"/>
      <c r="N7322" s="4"/>
      <c r="O7322" s="256"/>
    </row>
    <row r="7323" spans="1:15">
      <c r="A7323" s="207"/>
      <c r="B7323" s="207"/>
      <c r="N7323" s="4"/>
      <c r="O7323" s="256"/>
    </row>
    <row r="7324" spans="1:15">
      <c r="A7324" s="207"/>
      <c r="B7324" s="207"/>
      <c r="N7324" s="4"/>
      <c r="O7324" s="256"/>
    </row>
    <row r="7325" spans="1:15">
      <c r="A7325" s="207"/>
      <c r="B7325" s="207"/>
      <c r="N7325" s="4"/>
      <c r="O7325" s="256"/>
    </row>
    <row r="7326" spans="1:15">
      <c r="A7326" s="207"/>
      <c r="B7326" s="207"/>
      <c r="N7326" s="4"/>
      <c r="O7326" s="256"/>
    </row>
    <row r="7327" spans="1:15">
      <c r="A7327" s="207"/>
      <c r="B7327" s="207"/>
      <c r="N7327" s="4"/>
      <c r="O7327" s="256"/>
    </row>
    <row r="7328" spans="1:15">
      <c r="A7328" s="207"/>
      <c r="B7328" s="207"/>
      <c r="N7328" s="4"/>
      <c r="O7328" s="256"/>
    </row>
    <row r="7329" spans="1:15">
      <c r="A7329" s="207"/>
      <c r="B7329" s="207"/>
      <c r="N7329" s="4"/>
      <c r="O7329" s="256"/>
    </row>
    <row r="7330" spans="1:15">
      <c r="A7330" s="207"/>
      <c r="B7330" s="207"/>
      <c r="N7330" s="4"/>
      <c r="O7330" s="256"/>
    </row>
    <row r="7331" spans="1:15">
      <c r="A7331" s="207"/>
      <c r="B7331" s="207"/>
      <c r="N7331" s="4"/>
      <c r="O7331" s="256"/>
    </row>
    <row r="7332" spans="1:15">
      <c r="A7332" s="207"/>
      <c r="B7332" s="207"/>
      <c r="N7332" s="4"/>
      <c r="O7332" s="256"/>
    </row>
    <row r="7333" spans="1:15">
      <c r="A7333" s="207"/>
      <c r="B7333" s="207"/>
      <c r="N7333" s="4"/>
      <c r="O7333" s="256"/>
    </row>
    <row r="7334" spans="1:15">
      <c r="A7334" s="207"/>
      <c r="B7334" s="207"/>
      <c r="N7334" s="4"/>
      <c r="O7334" s="256"/>
    </row>
    <row r="7335" spans="1:15">
      <c r="A7335" s="207"/>
      <c r="B7335" s="207"/>
      <c r="N7335" s="4"/>
      <c r="O7335" s="256"/>
    </row>
    <row r="7336" spans="1:15">
      <c r="A7336" s="207"/>
      <c r="B7336" s="207"/>
      <c r="N7336" s="4"/>
      <c r="O7336" s="256"/>
    </row>
    <row r="7337" spans="1:15">
      <c r="A7337" s="207"/>
      <c r="B7337" s="207"/>
      <c r="N7337" s="4"/>
      <c r="O7337" s="256"/>
    </row>
    <row r="7338" spans="1:15">
      <c r="A7338" s="207"/>
      <c r="B7338" s="207"/>
      <c r="N7338" s="4"/>
      <c r="O7338" s="256"/>
    </row>
    <row r="7339" spans="1:15">
      <c r="A7339" s="207"/>
      <c r="B7339" s="207"/>
      <c r="N7339" s="4"/>
      <c r="O7339" s="256"/>
    </row>
    <row r="7340" spans="1:15">
      <c r="A7340" s="207"/>
      <c r="B7340" s="207"/>
      <c r="N7340" s="4"/>
      <c r="O7340" s="256"/>
    </row>
    <row r="7341" spans="1:15">
      <c r="A7341" s="207"/>
      <c r="B7341" s="207"/>
      <c r="N7341" s="4"/>
      <c r="O7341" s="256"/>
    </row>
    <row r="7342" spans="1:15">
      <c r="A7342" s="207"/>
      <c r="B7342" s="207"/>
      <c r="N7342" s="4"/>
      <c r="O7342" s="256"/>
    </row>
    <row r="7343" spans="1:15">
      <c r="A7343" s="207"/>
      <c r="B7343" s="207"/>
      <c r="N7343" s="4"/>
      <c r="O7343" s="256"/>
    </row>
    <row r="7344" spans="1:15">
      <c r="A7344" s="207"/>
      <c r="B7344" s="207"/>
      <c r="N7344" s="4"/>
      <c r="O7344" s="256"/>
    </row>
    <row r="7345" spans="1:15">
      <c r="A7345" s="207"/>
      <c r="B7345" s="207"/>
      <c r="N7345" s="4"/>
      <c r="O7345" s="256"/>
    </row>
    <row r="7346" spans="1:15">
      <c r="A7346" s="207"/>
      <c r="B7346" s="207"/>
      <c r="N7346" s="4"/>
      <c r="O7346" s="256"/>
    </row>
    <row r="7347" spans="1:15">
      <c r="A7347" s="207"/>
      <c r="B7347" s="207"/>
      <c r="N7347" s="4"/>
      <c r="O7347" s="256"/>
    </row>
    <row r="7348" spans="1:15">
      <c r="A7348" s="207"/>
      <c r="B7348" s="207"/>
      <c r="N7348" s="4"/>
      <c r="O7348" s="256"/>
    </row>
    <row r="7349" spans="1:15">
      <c r="A7349" s="207"/>
      <c r="B7349" s="207"/>
      <c r="N7349" s="4"/>
      <c r="O7349" s="256"/>
    </row>
    <row r="7350" spans="1:15">
      <c r="A7350" s="207"/>
      <c r="B7350" s="207"/>
      <c r="N7350" s="4"/>
      <c r="O7350" s="256"/>
    </row>
    <row r="7351" spans="1:15">
      <c r="A7351" s="207"/>
      <c r="B7351" s="207"/>
      <c r="N7351" s="4"/>
      <c r="O7351" s="256"/>
    </row>
    <row r="7352" spans="1:15">
      <c r="A7352" s="207"/>
      <c r="B7352" s="207"/>
      <c r="N7352" s="4"/>
      <c r="O7352" s="256"/>
    </row>
    <row r="7353" spans="1:15">
      <c r="A7353" s="207"/>
      <c r="B7353" s="207"/>
      <c r="N7353" s="4"/>
      <c r="O7353" s="256"/>
    </row>
    <row r="7354" spans="1:15">
      <c r="A7354" s="207"/>
      <c r="B7354" s="207"/>
      <c r="N7354" s="4"/>
      <c r="O7354" s="256"/>
    </row>
    <row r="7355" spans="1:15">
      <c r="A7355" s="207"/>
      <c r="B7355" s="207"/>
      <c r="N7355" s="4"/>
      <c r="O7355" s="256"/>
    </row>
    <row r="7356" spans="1:15">
      <c r="A7356" s="207"/>
      <c r="B7356" s="207"/>
      <c r="N7356" s="4"/>
      <c r="O7356" s="256"/>
    </row>
    <row r="7357" spans="1:15">
      <c r="A7357" s="207"/>
      <c r="B7357" s="207"/>
      <c r="N7357" s="4"/>
      <c r="O7357" s="256"/>
    </row>
    <row r="7358" spans="1:15">
      <c r="A7358" s="207"/>
      <c r="B7358" s="207"/>
      <c r="N7358" s="4"/>
      <c r="O7358" s="256"/>
    </row>
    <row r="7359" spans="1:15">
      <c r="A7359" s="207"/>
      <c r="B7359" s="207"/>
      <c r="N7359" s="4"/>
      <c r="O7359" s="256"/>
    </row>
    <row r="7360" spans="1:15">
      <c r="A7360" s="207"/>
      <c r="B7360" s="207"/>
      <c r="N7360" s="4"/>
      <c r="O7360" s="256"/>
    </row>
    <row r="7361" spans="1:15">
      <c r="A7361" s="207"/>
      <c r="B7361" s="207"/>
      <c r="N7361" s="4"/>
      <c r="O7361" s="256"/>
    </row>
    <row r="7362" spans="1:15">
      <c r="A7362" s="207"/>
      <c r="B7362" s="207"/>
      <c r="N7362" s="4"/>
      <c r="O7362" s="256"/>
    </row>
    <row r="7363" spans="1:15">
      <c r="A7363" s="207"/>
      <c r="B7363" s="207"/>
      <c r="N7363" s="4"/>
      <c r="O7363" s="256"/>
    </row>
    <row r="7364" spans="1:15">
      <c r="A7364" s="207"/>
      <c r="B7364" s="207"/>
      <c r="N7364" s="4"/>
      <c r="O7364" s="256"/>
    </row>
    <row r="7365" spans="1:15">
      <c r="A7365" s="207"/>
      <c r="B7365" s="207"/>
      <c r="N7365" s="4"/>
      <c r="O7365" s="256"/>
    </row>
    <row r="7366" spans="1:15">
      <c r="A7366" s="207"/>
      <c r="B7366" s="207"/>
      <c r="N7366" s="4"/>
      <c r="O7366" s="256"/>
    </row>
    <row r="7367" spans="1:15">
      <c r="A7367" s="207"/>
      <c r="B7367" s="207"/>
      <c r="N7367" s="4"/>
      <c r="O7367" s="256"/>
    </row>
    <row r="7368" spans="1:15">
      <c r="A7368" s="207"/>
      <c r="B7368" s="207"/>
      <c r="N7368" s="4"/>
      <c r="O7368" s="256"/>
    </row>
    <row r="7369" spans="1:15">
      <c r="A7369" s="207"/>
      <c r="B7369" s="207"/>
      <c r="N7369" s="4"/>
      <c r="O7369" s="256"/>
    </row>
    <row r="7370" spans="1:15">
      <c r="A7370" s="207"/>
      <c r="B7370" s="207"/>
      <c r="N7370" s="4"/>
      <c r="O7370" s="256"/>
    </row>
    <row r="7371" spans="1:15">
      <c r="A7371" s="207"/>
      <c r="B7371" s="207"/>
      <c r="N7371" s="4"/>
      <c r="O7371" s="256"/>
    </row>
    <row r="7372" spans="1:15">
      <c r="A7372" s="207"/>
      <c r="B7372" s="207"/>
      <c r="N7372" s="4"/>
      <c r="O7372" s="256"/>
    </row>
    <row r="7373" spans="1:15">
      <c r="A7373" s="207"/>
      <c r="B7373" s="207"/>
      <c r="N7373" s="4"/>
      <c r="O7373" s="256"/>
    </row>
    <row r="7374" spans="1:15">
      <c r="A7374" s="207"/>
      <c r="B7374" s="207"/>
      <c r="N7374" s="4"/>
      <c r="O7374" s="256"/>
    </row>
    <row r="7375" spans="1:15">
      <c r="A7375" s="207"/>
      <c r="B7375" s="207"/>
      <c r="N7375" s="4"/>
      <c r="O7375" s="256"/>
    </row>
    <row r="7376" spans="1:15">
      <c r="A7376" s="207"/>
      <c r="B7376" s="207"/>
      <c r="N7376" s="4"/>
      <c r="O7376" s="256"/>
    </row>
    <row r="7377" spans="1:15">
      <c r="A7377" s="207"/>
      <c r="B7377" s="207"/>
      <c r="N7377" s="4"/>
      <c r="O7377" s="256"/>
    </row>
    <row r="7378" spans="1:15">
      <c r="A7378" s="207"/>
      <c r="B7378" s="207"/>
      <c r="N7378" s="4"/>
      <c r="O7378" s="256"/>
    </row>
    <row r="7379" spans="1:15">
      <c r="A7379" s="207"/>
      <c r="B7379" s="207"/>
      <c r="N7379" s="4"/>
      <c r="O7379" s="256"/>
    </row>
    <row r="7380" spans="1:15">
      <c r="A7380" s="207"/>
      <c r="B7380" s="207"/>
      <c r="N7380" s="4"/>
      <c r="O7380" s="256"/>
    </row>
    <row r="7381" spans="1:15">
      <c r="A7381" s="207"/>
      <c r="B7381" s="207"/>
      <c r="N7381" s="4"/>
      <c r="O7381" s="256"/>
    </row>
    <row r="7382" spans="1:15">
      <c r="A7382" s="207"/>
      <c r="B7382" s="207"/>
      <c r="N7382" s="4"/>
      <c r="O7382" s="256"/>
    </row>
    <row r="7383" spans="1:15">
      <c r="A7383" s="207"/>
      <c r="B7383" s="207"/>
      <c r="N7383" s="4"/>
      <c r="O7383" s="256"/>
    </row>
    <row r="7384" spans="1:15">
      <c r="A7384" s="207"/>
      <c r="B7384" s="207"/>
      <c r="N7384" s="4"/>
      <c r="O7384" s="256"/>
    </row>
    <row r="7385" spans="1:15">
      <c r="A7385" s="207"/>
      <c r="B7385" s="207"/>
      <c r="N7385" s="4"/>
      <c r="O7385" s="256"/>
    </row>
    <row r="7386" spans="1:15">
      <c r="A7386" s="207"/>
      <c r="B7386" s="207"/>
      <c r="N7386" s="4"/>
      <c r="O7386" s="256"/>
    </row>
    <row r="7387" spans="1:15">
      <c r="A7387" s="207"/>
      <c r="B7387" s="207"/>
      <c r="N7387" s="4"/>
      <c r="O7387" s="256"/>
    </row>
    <row r="7388" spans="1:15">
      <c r="A7388" s="207"/>
      <c r="B7388" s="207"/>
      <c r="N7388" s="4"/>
      <c r="O7388" s="256"/>
    </row>
    <row r="7389" spans="1:15">
      <c r="A7389" s="207"/>
      <c r="B7389" s="207"/>
      <c r="N7389" s="4"/>
      <c r="O7389" s="256"/>
    </row>
    <row r="7390" spans="1:15">
      <c r="A7390" s="207"/>
      <c r="B7390" s="207"/>
      <c r="N7390" s="4"/>
      <c r="O7390" s="256"/>
    </row>
    <row r="7391" spans="1:15">
      <c r="A7391" s="207"/>
      <c r="B7391" s="207"/>
      <c r="N7391" s="4"/>
      <c r="O7391" s="256"/>
    </row>
    <row r="7392" spans="1:15">
      <c r="A7392" s="207"/>
      <c r="B7392" s="207"/>
      <c r="N7392" s="4"/>
      <c r="O7392" s="256"/>
    </row>
    <row r="7393" spans="1:15">
      <c r="A7393" s="207"/>
      <c r="B7393" s="207"/>
      <c r="N7393" s="4"/>
      <c r="O7393" s="256"/>
    </row>
    <row r="7394" spans="1:15">
      <c r="A7394" s="207"/>
      <c r="B7394" s="207"/>
      <c r="N7394" s="4"/>
      <c r="O7394" s="256"/>
    </row>
    <row r="7395" spans="1:15">
      <c r="A7395" s="207"/>
      <c r="B7395" s="207"/>
      <c r="N7395" s="4"/>
      <c r="O7395" s="256"/>
    </row>
    <row r="7396" spans="1:15">
      <c r="A7396" s="207"/>
      <c r="B7396" s="207"/>
      <c r="N7396" s="4"/>
      <c r="O7396" s="256"/>
    </row>
    <row r="7397" spans="1:15">
      <c r="A7397" s="207"/>
      <c r="B7397" s="207"/>
      <c r="N7397" s="4"/>
      <c r="O7397" s="256"/>
    </row>
    <row r="7398" spans="1:15">
      <c r="A7398" s="207"/>
      <c r="B7398" s="207"/>
      <c r="N7398" s="4"/>
      <c r="O7398" s="256"/>
    </row>
    <row r="7399" spans="1:15">
      <c r="A7399" s="207"/>
      <c r="B7399" s="207"/>
      <c r="N7399" s="4"/>
      <c r="O7399" s="256"/>
    </row>
    <row r="7400" spans="1:15">
      <c r="A7400" s="207"/>
      <c r="B7400" s="207"/>
      <c r="N7400" s="4"/>
      <c r="O7400" s="256"/>
    </row>
    <row r="7401" spans="1:15">
      <c r="A7401" s="207"/>
      <c r="B7401" s="207"/>
      <c r="N7401" s="4"/>
      <c r="O7401" s="256"/>
    </row>
    <row r="7402" spans="1:15">
      <c r="A7402" s="207"/>
      <c r="B7402" s="207"/>
      <c r="N7402" s="4"/>
      <c r="O7402" s="256"/>
    </row>
    <row r="7403" spans="1:15">
      <c r="A7403" s="207"/>
      <c r="B7403" s="207"/>
      <c r="N7403" s="4"/>
      <c r="O7403" s="256"/>
    </row>
    <row r="7404" spans="1:15">
      <c r="A7404" s="207"/>
      <c r="B7404" s="207"/>
      <c r="N7404" s="4"/>
      <c r="O7404" s="256"/>
    </row>
    <row r="7405" spans="1:15">
      <c r="A7405" s="207"/>
      <c r="B7405" s="207"/>
      <c r="N7405" s="4"/>
      <c r="O7405" s="256"/>
    </row>
    <row r="7406" spans="1:15">
      <c r="A7406" s="207"/>
      <c r="B7406" s="207"/>
      <c r="N7406" s="4"/>
      <c r="O7406" s="256"/>
    </row>
    <row r="7407" spans="1:15">
      <c r="A7407" s="207"/>
      <c r="B7407" s="207"/>
      <c r="N7407" s="4"/>
      <c r="O7407" s="256"/>
    </row>
    <row r="7408" spans="1:15">
      <c r="A7408" s="207"/>
      <c r="B7408" s="207"/>
      <c r="N7408" s="4"/>
      <c r="O7408" s="256"/>
    </row>
    <row r="7409" spans="1:15">
      <c r="A7409" s="207"/>
      <c r="B7409" s="207"/>
      <c r="N7409" s="4"/>
      <c r="O7409" s="256"/>
    </row>
    <row r="7410" spans="1:15">
      <c r="A7410" s="207"/>
      <c r="B7410" s="207"/>
      <c r="N7410" s="4"/>
      <c r="O7410" s="256"/>
    </row>
    <row r="7411" spans="1:15">
      <c r="A7411" s="207"/>
      <c r="B7411" s="207"/>
      <c r="N7411" s="4"/>
      <c r="O7411" s="256"/>
    </row>
    <row r="7412" spans="1:15">
      <c r="A7412" s="207"/>
      <c r="B7412" s="207"/>
      <c r="N7412" s="4"/>
      <c r="O7412" s="256"/>
    </row>
    <row r="7413" spans="1:15">
      <c r="A7413" s="207"/>
      <c r="B7413" s="207"/>
      <c r="N7413" s="4"/>
      <c r="O7413" s="256"/>
    </row>
    <row r="7414" spans="1:15">
      <c r="A7414" s="207"/>
      <c r="B7414" s="207"/>
      <c r="N7414" s="4"/>
      <c r="O7414" s="256"/>
    </row>
    <row r="7415" spans="1:15">
      <c r="A7415" s="207"/>
      <c r="B7415" s="207"/>
      <c r="N7415" s="4"/>
      <c r="O7415" s="256"/>
    </row>
    <row r="7416" spans="1:15">
      <c r="A7416" s="207"/>
      <c r="B7416" s="207"/>
      <c r="N7416" s="4"/>
      <c r="O7416" s="256"/>
    </row>
    <row r="7417" spans="1:15">
      <c r="A7417" s="207"/>
      <c r="B7417" s="207"/>
      <c r="N7417" s="4"/>
      <c r="O7417" s="256"/>
    </row>
    <row r="7418" spans="1:15">
      <c r="A7418" s="207"/>
      <c r="B7418" s="207"/>
      <c r="N7418" s="4"/>
      <c r="O7418" s="256"/>
    </row>
    <row r="7419" spans="1:15">
      <c r="A7419" s="207"/>
      <c r="B7419" s="207"/>
      <c r="N7419" s="4"/>
      <c r="O7419" s="256"/>
    </row>
    <row r="7420" spans="1:15">
      <c r="A7420" s="207"/>
      <c r="B7420" s="207"/>
      <c r="N7420" s="4"/>
      <c r="O7420" s="256"/>
    </row>
    <row r="7421" spans="1:15">
      <c r="A7421" s="207"/>
      <c r="B7421" s="207"/>
      <c r="N7421" s="4"/>
      <c r="O7421" s="256"/>
    </row>
    <row r="7422" spans="1:15">
      <c r="A7422" s="207"/>
      <c r="B7422" s="207"/>
      <c r="N7422" s="4"/>
      <c r="O7422" s="256"/>
    </row>
    <row r="7423" spans="1:15">
      <c r="A7423" s="207"/>
      <c r="B7423" s="207"/>
      <c r="N7423" s="4"/>
      <c r="O7423" s="256"/>
    </row>
    <row r="7424" spans="1:15">
      <c r="A7424" s="207"/>
      <c r="B7424" s="207"/>
      <c r="N7424" s="4"/>
      <c r="O7424" s="256"/>
    </row>
    <row r="7425" spans="1:15">
      <c r="A7425" s="207"/>
      <c r="B7425" s="207"/>
      <c r="N7425" s="4"/>
      <c r="O7425" s="256"/>
    </row>
    <row r="7426" spans="1:15">
      <c r="A7426" s="207"/>
      <c r="B7426" s="207"/>
      <c r="N7426" s="4"/>
      <c r="O7426" s="256"/>
    </row>
    <row r="7427" spans="1:15">
      <c r="A7427" s="207"/>
      <c r="B7427" s="207"/>
      <c r="N7427" s="4"/>
      <c r="O7427" s="256"/>
    </row>
    <row r="7428" spans="1:15">
      <c r="A7428" s="207"/>
      <c r="B7428" s="207"/>
      <c r="N7428" s="4"/>
      <c r="O7428" s="256"/>
    </row>
    <row r="7429" spans="1:15">
      <c r="A7429" s="207"/>
      <c r="B7429" s="207"/>
      <c r="N7429" s="4"/>
      <c r="O7429" s="256"/>
    </row>
    <row r="7430" spans="1:15">
      <c r="A7430" s="207"/>
      <c r="B7430" s="207"/>
      <c r="N7430" s="4"/>
      <c r="O7430" s="256"/>
    </row>
    <row r="7431" spans="1:15">
      <c r="A7431" s="207"/>
      <c r="B7431" s="207"/>
      <c r="N7431" s="4"/>
      <c r="O7431" s="256"/>
    </row>
    <row r="7432" spans="1:15">
      <c r="A7432" s="207"/>
      <c r="B7432" s="207"/>
      <c r="N7432" s="4"/>
      <c r="O7432" s="256"/>
    </row>
    <row r="7433" spans="1:15">
      <c r="A7433" s="207"/>
      <c r="B7433" s="207"/>
      <c r="N7433" s="4"/>
      <c r="O7433" s="256"/>
    </row>
    <row r="7434" spans="1:15">
      <c r="A7434" s="207"/>
      <c r="B7434" s="207"/>
      <c r="N7434" s="4"/>
      <c r="O7434" s="256"/>
    </row>
    <row r="7435" spans="1:15">
      <c r="A7435" s="207"/>
      <c r="B7435" s="207"/>
      <c r="N7435" s="4"/>
      <c r="O7435" s="256"/>
    </row>
    <row r="7436" spans="1:15">
      <c r="A7436" s="207"/>
      <c r="B7436" s="207"/>
      <c r="N7436" s="4"/>
      <c r="O7436" s="256"/>
    </row>
    <row r="7437" spans="1:15">
      <c r="A7437" s="207"/>
      <c r="B7437" s="207"/>
      <c r="N7437" s="4"/>
      <c r="O7437" s="256"/>
    </row>
    <row r="7438" spans="1:15">
      <c r="A7438" s="207"/>
      <c r="B7438" s="207"/>
      <c r="N7438" s="4"/>
      <c r="O7438" s="256"/>
    </row>
    <row r="7439" spans="1:15">
      <c r="A7439" s="207"/>
      <c r="B7439" s="207"/>
      <c r="N7439" s="4"/>
      <c r="O7439" s="256"/>
    </row>
    <row r="7440" spans="1:15">
      <c r="A7440" s="207"/>
      <c r="B7440" s="207"/>
      <c r="N7440" s="4"/>
      <c r="O7440" s="256"/>
    </row>
    <row r="7441" spans="1:15">
      <c r="A7441" s="207"/>
      <c r="B7441" s="207"/>
      <c r="N7441" s="4"/>
      <c r="O7441" s="256"/>
    </row>
    <row r="7442" spans="1:15">
      <c r="A7442" s="207"/>
      <c r="B7442" s="207"/>
      <c r="N7442" s="4"/>
      <c r="O7442" s="256"/>
    </row>
    <row r="7443" spans="1:15">
      <c r="A7443" s="207"/>
      <c r="B7443" s="207"/>
      <c r="N7443" s="4"/>
      <c r="O7443" s="256"/>
    </row>
    <row r="7444" spans="1:15">
      <c r="A7444" s="207"/>
      <c r="B7444" s="207"/>
      <c r="N7444" s="4"/>
      <c r="O7444" s="256"/>
    </row>
    <row r="7445" spans="1:15">
      <c r="A7445" s="207"/>
      <c r="B7445" s="207"/>
      <c r="N7445" s="4"/>
      <c r="O7445" s="256"/>
    </row>
    <row r="7446" spans="1:15">
      <c r="A7446" s="207"/>
      <c r="B7446" s="207"/>
      <c r="N7446" s="4"/>
      <c r="O7446" s="256"/>
    </row>
    <row r="7447" spans="1:15">
      <c r="A7447" s="207"/>
      <c r="B7447" s="207"/>
      <c r="N7447" s="4"/>
      <c r="O7447" s="256"/>
    </row>
    <row r="7448" spans="1:15">
      <c r="A7448" s="207"/>
      <c r="B7448" s="207"/>
      <c r="N7448" s="4"/>
      <c r="O7448" s="256"/>
    </row>
    <row r="7449" spans="1:15">
      <c r="A7449" s="207"/>
      <c r="B7449" s="207"/>
      <c r="N7449" s="4"/>
      <c r="O7449" s="256"/>
    </row>
    <row r="7450" spans="1:15">
      <c r="A7450" s="207"/>
      <c r="B7450" s="207"/>
      <c r="N7450" s="4"/>
      <c r="O7450" s="256"/>
    </row>
    <row r="7451" spans="1:15">
      <c r="A7451" s="207"/>
      <c r="B7451" s="207"/>
      <c r="N7451" s="4"/>
      <c r="O7451" s="256"/>
    </row>
    <row r="7452" spans="1:15">
      <c r="A7452" s="207"/>
      <c r="B7452" s="207"/>
      <c r="N7452" s="4"/>
      <c r="O7452" s="256"/>
    </row>
    <row r="7453" spans="1:15">
      <c r="A7453" s="207"/>
      <c r="B7453" s="207"/>
      <c r="N7453" s="4"/>
      <c r="O7453" s="256"/>
    </row>
    <row r="7454" spans="1:15">
      <c r="A7454" s="207"/>
      <c r="B7454" s="207"/>
      <c r="N7454" s="4"/>
      <c r="O7454" s="256"/>
    </row>
    <row r="7455" spans="1:15">
      <c r="A7455" s="207"/>
      <c r="B7455" s="207"/>
      <c r="N7455" s="4"/>
      <c r="O7455" s="256"/>
    </row>
    <row r="7456" spans="1:15">
      <c r="A7456" s="207"/>
      <c r="B7456" s="207"/>
      <c r="N7456" s="4"/>
      <c r="O7456" s="256"/>
    </row>
    <row r="7457" spans="1:15">
      <c r="A7457" s="207"/>
      <c r="B7457" s="207"/>
      <c r="N7457" s="4"/>
      <c r="O7457" s="256"/>
    </row>
    <row r="7458" spans="1:15">
      <c r="A7458" s="207"/>
      <c r="B7458" s="207"/>
      <c r="N7458" s="4"/>
      <c r="O7458" s="256"/>
    </row>
    <row r="7459" spans="1:15">
      <c r="A7459" s="207"/>
      <c r="B7459" s="207"/>
      <c r="N7459" s="4"/>
      <c r="O7459" s="256"/>
    </row>
    <row r="7460" spans="1:15">
      <c r="A7460" s="207"/>
      <c r="B7460" s="207"/>
      <c r="N7460" s="4"/>
      <c r="O7460" s="256"/>
    </row>
    <row r="7461" spans="1:15">
      <c r="A7461" s="207"/>
      <c r="B7461" s="207"/>
      <c r="N7461" s="4"/>
      <c r="O7461" s="256"/>
    </row>
    <row r="7462" spans="1:15">
      <c r="A7462" s="207"/>
      <c r="B7462" s="207"/>
      <c r="N7462" s="4"/>
      <c r="O7462" s="256"/>
    </row>
    <row r="7463" spans="1:15">
      <c r="A7463" s="207"/>
      <c r="B7463" s="207"/>
      <c r="N7463" s="4"/>
      <c r="O7463" s="256"/>
    </row>
    <row r="7464" spans="1:15">
      <c r="A7464" s="207"/>
      <c r="B7464" s="207"/>
      <c r="N7464" s="4"/>
      <c r="O7464" s="256"/>
    </row>
    <row r="7465" spans="1:15">
      <c r="A7465" s="207"/>
      <c r="B7465" s="207"/>
      <c r="N7465" s="4"/>
      <c r="O7465" s="256"/>
    </row>
    <row r="7466" spans="1:15">
      <c r="A7466" s="207"/>
      <c r="B7466" s="207"/>
      <c r="N7466" s="4"/>
      <c r="O7466" s="256"/>
    </row>
    <row r="7467" spans="1:15">
      <c r="A7467" s="207"/>
      <c r="B7467" s="207"/>
      <c r="N7467" s="4"/>
      <c r="O7467" s="256"/>
    </row>
    <row r="7468" spans="1:15">
      <c r="A7468" s="207"/>
      <c r="B7468" s="207"/>
      <c r="N7468" s="4"/>
      <c r="O7468" s="256"/>
    </row>
    <row r="7469" spans="1:15">
      <c r="A7469" s="207"/>
      <c r="B7469" s="207"/>
      <c r="N7469" s="4"/>
      <c r="O7469" s="256"/>
    </row>
    <row r="7470" spans="1:15">
      <c r="A7470" s="207"/>
      <c r="B7470" s="207"/>
      <c r="N7470" s="4"/>
      <c r="O7470" s="256"/>
    </row>
    <row r="7471" spans="1:15">
      <c r="A7471" s="207"/>
      <c r="B7471" s="207"/>
      <c r="N7471" s="4"/>
      <c r="O7471" s="256"/>
    </row>
    <row r="7472" spans="1:15">
      <c r="A7472" s="207"/>
      <c r="B7472" s="207"/>
      <c r="N7472" s="4"/>
      <c r="O7472" s="256"/>
    </row>
    <row r="7473" spans="1:15">
      <c r="A7473" s="207"/>
      <c r="B7473" s="207"/>
      <c r="N7473" s="4"/>
      <c r="O7473" s="256"/>
    </row>
    <row r="7474" spans="1:15">
      <c r="A7474" s="207"/>
      <c r="B7474" s="207"/>
      <c r="N7474" s="4"/>
      <c r="O7474" s="256"/>
    </row>
    <row r="7475" spans="1:15">
      <c r="A7475" s="207"/>
      <c r="B7475" s="207"/>
      <c r="N7475" s="4"/>
      <c r="O7475" s="256"/>
    </row>
    <row r="7476" spans="1:15">
      <c r="A7476" s="207"/>
      <c r="B7476" s="207"/>
      <c r="N7476" s="4"/>
      <c r="O7476" s="256"/>
    </row>
    <row r="7477" spans="1:15">
      <c r="A7477" s="207"/>
      <c r="B7477" s="207"/>
      <c r="N7477" s="4"/>
      <c r="O7477" s="256"/>
    </row>
    <row r="7478" spans="1:15">
      <c r="A7478" s="207"/>
      <c r="B7478" s="207"/>
      <c r="N7478" s="4"/>
      <c r="O7478" s="256"/>
    </row>
    <row r="7479" spans="1:15">
      <c r="A7479" s="207"/>
      <c r="B7479" s="207"/>
      <c r="N7479" s="4"/>
      <c r="O7479" s="256"/>
    </row>
    <row r="7480" spans="1:15">
      <c r="A7480" s="207"/>
      <c r="B7480" s="207"/>
      <c r="N7480" s="4"/>
      <c r="O7480" s="256"/>
    </row>
    <row r="7481" spans="1:15">
      <c r="A7481" s="207"/>
      <c r="B7481" s="207"/>
      <c r="N7481" s="4"/>
      <c r="O7481" s="256"/>
    </row>
    <row r="7482" spans="1:15">
      <c r="A7482" s="207"/>
      <c r="B7482" s="207"/>
      <c r="N7482" s="4"/>
      <c r="O7482" s="256"/>
    </row>
    <row r="7483" spans="1:15">
      <c r="A7483" s="207"/>
      <c r="B7483" s="207"/>
      <c r="N7483" s="4"/>
      <c r="O7483" s="256"/>
    </row>
    <row r="7484" spans="1:15">
      <c r="A7484" s="207"/>
      <c r="B7484" s="207"/>
      <c r="N7484" s="4"/>
      <c r="O7484" s="256"/>
    </row>
    <row r="7485" spans="1:15">
      <c r="A7485" s="207"/>
      <c r="B7485" s="207"/>
      <c r="N7485" s="4"/>
      <c r="O7485" s="256"/>
    </row>
    <row r="7486" spans="1:15">
      <c r="A7486" s="207"/>
      <c r="B7486" s="207"/>
      <c r="N7486" s="4"/>
      <c r="O7486" s="256"/>
    </row>
    <row r="7487" spans="1:15">
      <c r="A7487" s="207"/>
      <c r="B7487" s="207"/>
      <c r="N7487" s="4"/>
      <c r="O7487" s="256"/>
    </row>
    <row r="7488" spans="1:15">
      <c r="A7488" s="207"/>
      <c r="B7488" s="207"/>
      <c r="N7488" s="4"/>
      <c r="O7488" s="256"/>
    </row>
    <row r="7489" spans="1:15">
      <c r="A7489" s="207"/>
      <c r="B7489" s="207"/>
      <c r="N7489" s="4"/>
      <c r="O7489" s="256"/>
    </row>
    <row r="7490" spans="1:15">
      <c r="A7490" s="207"/>
      <c r="B7490" s="207"/>
      <c r="N7490" s="4"/>
      <c r="O7490" s="256"/>
    </row>
    <row r="7491" spans="1:15">
      <c r="A7491" s="207"/>
      <c r="B7491" s="207"/>
      <c r="N7491" s="4"/>
      <c r="O7491" s="256"/>
    </row>
    <row r="7492" spans="1:15">
      <c r="A7492" s="207"/>
      <c r="B7492" s="207"/>
      <c r="N7492" s="4"/>
      <c r="O7492" s="256"/>
    </row>
    <row r="7493" spans="1:15">
      <c r="A7493" s="207"/>
      <c r="B7493" s="207"/>
      <c r="N7493" s="4"/>
      <c r="O7493" s="256"/>
    </row>
    <row r="7494" spans="1:15">
      <c r="A7494" s="207"/>
      <c r="B7494" s="207"/>
      <c r="N7494" s="4"/>
      <c r="O7494" s="256"/>
    </row>
    <row r="7495" spans="1:15">
      <c r="A7495" s="207"/>
      <c r="B7495" s="207"/>
      <c r="N7495" s="4"/>
      <c r="O7495" s="256"/>
    </row>
    <row r="7496" spans="1:15">
      <c r="A7496" s="207"/>
      <c r="B7496" s="207"/>
      <c r="N7496" s="4"/>
      <c r="O7496" s="256"/>
    </row>
    <row r="7497" spans="1:15">
      <c r="A7497" s="207"/>
      <c r="B7497" s="207"/>
      <c r="N7497" s="4"/>
      <c r="O7497" s="256"/>
    </row>
    <row r="7498" spans="1:15">
      <c r="A7498" s="207"/>
      <c r="B7498" s="207"/>
      <c r="N7498" s="4"/>
      <c r="O7498" s="256"/>
    </row>
    <row r="7499" spans="1:15">
      <c r="A7499" s="207"/>
      <c r="B7499" s="207"/>
      <c r="N7499" s="4"/>
      <c r="O7499" s="256"/>
    </row>
    <row r="7500" spans="1:15">
      <c r="A7500" s="207"/>
      <c r="B7500" s="207"/>
      <c r="N7500" s="4"/>
      <c r="O7500" s="256"/>
    </row>
    <row r="7501" spans="1:15">
      <c r="A7501" s="207"/>
      <c r="B7501" s="207"/>
      <c r="N7501" s="4"/>
      <c r="O7501" s="256"/>
    </row>
    <row r="7502" spans="1:15">
      <c r="A7502" s="207"/>
      <c r="B7502" s="207"/>
      <c r="N7502" s="4"/>
      <c r="O7502" s="256"/>
    </row>
    <row r="7503" spans="1:15">
      <c r="A7503" s="207"/>
      <c r="B7503" s="207"/>
      <c r="N7503" s="4"/>
      <c r="O7503" s="256"/>
    </row>
    <row r="7504" spans="1:15">
      <c r="A7504" s="207"/>
      <c r="B7504" s="207"/>
      <c r="N7504" s="4"/>
      <c r="O7504" s="256"/>
    </row>
    <row r="7505" spans="1:15">
      <c r="A7505" s="207"/>
      <c r="B7505" s="207"/>
      <c r="N7505" s="4"/>
      <c r="O7505" s="256"/>
    </row>
    <row r="7506" spans="1:15">
      <c r="A7506" s="207"/>
      <c r="B7506" s="207"/>
      <c r="N7506" s="4"/>
      <c r="O7506" s="256"/>
    </row>
    <row r="7507" spans="1:15">
      <c r="A7507" s="207"/>
      <c r="B7507" s="207"/>
      <c r="N7507" s="4"/>
      <c r="O7507" s="256"/>
    </row>
    <row r="7508" spans="1:15">
      <c r="A7508" s="207"/>
      <c r="B7508" s="207"/>
      <c r="N7508" s="4"/>
      <c r="O7508" s="256"/>
    </row>
    <row r="7509" spans="1:15">
      <c r="A7509" s="207"/>
      <c r="B7509" s="207"/>
      <c r="N7509" s="4"/>
      <c r="O7509" s="256"/>
    </row>
    <row r="7510" spans="1:15">
      <c r="A7510" s="207"/>
      <c r="B7510" s="207"/>
      <c r="N7510" s="4"/>
      <c r="O7510" s="256"/>
    </row>
    <row r="7511" spans="1:15">
      <c r="A7511" s="207"/>
      <c r="B7511" s="207"/>
      <c r="N7511" s="4"/>
      <c r="O7511" s="256"/>
    </row>
    <row r="7512" spans="1:15">
      <c r="A7512" s="207"/>
      <c r="B7512" s="207"/>
      <c r="N7512" s="4"/>
      <c r="O7512" s="256"/>
    </row>
    <row r="7513" spans="1:15">
      <c r="A7513" s="207"/>
      <c r="B7513" s="207"/>
      <c r="N7513" s="4"/>
      <c r="O7513" s="256"/>
    </row>
    <row r="7514" spans="1:15">
      <c r="A7514" s="207"/>
      <c r="B7514" s="207"/>
      <c r="N7514" s="4"/>
      <c r="O7514" s="256"/>
    </row>
    <row r="7515" spans="1:15">
      <c r="A7515" s="207"/>
      <c r="B7515" s="207"/>
      <c r="N7515" s="4"/>
      <c r="O7515" s="256"/>
    </row>
    <row r="7516" spans="1:15">
      <c r="A7516" s="207"/>
      <c r="B7516" s="207"/>
      <c r="N7516" s="4"/>
      <c r="O7516" s="256"/>
    </row>
    <row r="7517" spans="1:15">
      <c r="A7517" s="207"/>
      <c r="B7517" s="207"/>
      <c r="N7517" s="4"/>
      <c r="O7517" s="256"/>
    </row>
    <row r="7518" spans="1:15">
      <c r="A7518" s="207"/>
      <c r="B7518" s="207"/>
      <c r="N7518" s="4"/>
      <c r="O7518" s="256"/>
    </row>
    <row r="7519" spans="1:15">
      <c r="A7519" s="207"/>
      <c r="B7519" s="207"/>
      <c r="N7519" s="4"/>
      <c r="O7519" s="256"/>
    </row>
    <row r="7520" spans="1:15">
      <c r="A7520" s="207"/>
      <c r="B7520" s="207"/>
      <c r="N7520" s="4"/>
      <c r="O7520" s="256"/>
    </row>
    <row r="7521" spans="1:15">
      <c r="A7521" s="207"/>
      <c r="B7521" s="207"/>
      <c r="N7521" s="4"/>
      <c r="O7521" s="256"/>
    </row>
    <row r="7522" spans="1:15">
      <c r="A7522" s="207"/>
      <c r="B7522" s="207"/>
      <c r="N7522" s="4"/>
      <c r="O7522" s="256"/>
    </row>
    <row r="7523" spans="1:15">
      <c r="A7523" s="207"/>
      <c r="B7523" s="207"/>
      <c r="N7523" s="4"/>
      <c r="O7523" s="256"/>
    </row>
    <row r="7524" spans="1:15">
      <c r="A7524" s="207"/>
      <c r="B7524" s="207"/>
      <c r="N7524" s="4"/>
      <c r="O7524" s="256"/>
    </row>
    <row r="7525" spans="1:15">
      <c r="A7525" s="207"/>
      <c r="B7525" s="207"/>
      <c r="N7525" s="4"/>
      <c r="O7525" s="256"/>
    </row>
    <row r="7526" spans="1:15">
      <c r="A7526" s="207"/>
      <c r="B7526" s="207"/>
      <c r="N7526" s="4"/>
      <c r="O7526" s="256"/>
    </row>
    <row r="7527" spans="1:15">
      <c r="A7527" s="207"/>
      <c r="B7527" s="207"/>
      <c r="N7527" s="4"/>
      <c r="O7527" s="256"/>
    </row>
    <row r="7528" spans="1:15">
      <c r="A7528" s="207"/>
      <c r="B7528" s="207"/>
      <c r="N7528" s="4"/>
      <c r="O7528" s="256"/>
    </row>
    <row r="7529" spans="1:15">
      <c r="A7529" s="207"/>
      <c r="B7529" s="207"/>
      <c r="N7529" s="4"/>
      <c r="O7529" s="256"/>
    </row>
    <row r="7530" spans="1:15">
      <c r="A7530" s="207"/>
      <c r="B7530" s="207"/>
      <c r="N7530" s="4"/>
      <c r="O7530" s="256"/>
    </row>
    <row r="7531" spans="1:15">
      <c r="A7531" s="207"/>
      <c r="B7531" s="207"/>
      <c r="N7531" s="4"/>
      <c r="O7531" s="256"/>
    </row>
    <row r="7532" spans="1:15">
      <c r="A7532" s="207"/>
      <c r="B7532" s="207"/>
      <c r="N7532" s="4"/>
      <c r="O7532" s="256"/>
    </row>
    <row r="7533" spans="1:15">
      <c r="A7533" s="207"/>
      <c r="B7533" s="207"/>
      <c r="N7533" s="4"/>
      <c r="O7533" s="256"/>
    </row>
    <row r="7534" spans="1:15">
      <c r="A7534" s="207"/>
      <c r="B7534" s="207"/>
      <c r="N7534" s="4"/>
      <c r="O7534" s="256"/>
    </row>
    <row r="7535" spans="1:15">
      <c r="A7535" s="207"/>
      <c r="B7535" s="207"/>
      <c r="N7535" s="4"/>
      <c r="O7535" s="256"/>
    </row>
    <row r="7536" spans="1:15">
      <c r="A7536" s="207"/>
      <c r="B7536" s="207"/>
      <c r="N7536" s="4"/>
      <c r="O7536" s="256"/>
    </row>
    <row r="7537" spans="1:15">
      <c r="A7537" s="207"/>
      <c r="B7537" s="207"/>
      <c r="N7537" s="4"/>
      <c r="O7537" s="256"/>
    </row>
    <row r="7538" spans="1:15">
      <c r="A7538" s="207"/>
      <c r="B7538" s="207"/>
      <c r="N7538" s="4"/>
      <c r="O7538" s="256"/>
    </row>
    <row r="7539" spans="1:15">
      <c r="A7539" s="207"/>
      <c r="B7539" s="207"/>
      <c r="N7539" s="4"/>
      <c r="O7539" s="256"/>
    </row>
    <row r="7540" spans="1:15">
      <c r="A7540" s="207"/>
      <c r="B7540" s="207"/>
      <c r="N7540" s="4"/>
      <c r="O7540" s="256"/>
    </row>
    <row r="7541" spans="1:15">
      <c r="A7541" s="207"/>
      <c r="B7541" s="207"/>
      <c r="N7541" s="4"/>
      <c r="O7541" s="256"/>
    </row>
    <row r="7542" spans="1:15">
      <c r="A7542" s="207"/>
      <c r="B7542" s="207"/>
      <c r="N7542" s="4"/>
      <c r="O7542" s="256"/>
    </row>
    <row r="7543" spans="1:15">
      <c r="A7543" s="207"/>
      <c r="B7543" s="207"/>
      <c r="N7543" s="4"/>
      <c r="O7543" s="256"/>
    </row>
    <row r="7544" spans="1:15">
      <c r="A7544" s="207"/>
      <c r="B7544" s="207"/>
      <c r="N7544" s="4"/>
      <c r="O7544" s="256"/>
    </row>
    <row r="7545" spans="1:15">
      <c r="A7545" s="207"/>
      <c r="B7545" s="207"/>
      <c r="N7545" s="4"/>
      <c r="O7545" s="256"/>
    </row>
    <row r="7546" spans="1:15">
      <c r="A7546" s="207"/>
      <c r="B7546" s="207"/>
      <c r="N7546" s="4"/>
      <c r="O7546" s="256"/>
    </row>
    <row r="7547" spans="1:15">
      <c r="A7547" s="207"/>
      <c r="B7547" s="207"/>
      <c r="N7547" s="4"/>
      <c r="O7547" s="256"/>
    </row>
    <row r="7548" spans="1:15">
      <c r="A7548" s="207"/>
      <c r="B7548" s="207"/>
      <c r="N7548" s="4"/>
      <c r="O7548" s="256"/>
    </row>
    <row r="7549" spans="1:15">
      <c r="A7549" s="207"/>
      <c r="B7549" s="207"/>
      <c r="N7549" s="4"/>
      <c r="O7549" s="256"/>
    </row>
    <row r="7550" spans="1:15">
      <c r="A7550" s="207"/>
      <c r="B7550" s="207"/>
      <c r="N7550" s="4"/>
      <c r="O7550" s="256"/>
    </row>
    <row r="7551" spans="1:15">
      <c r="A7551" s="207"/>
      <c r="B7551" s="207"/>
      <c r="N7551" s="4"/>
      <c r="O7551" s="256"/>
    </row>
    <row r="7552" spans="1:15">
      <c r="A7552" s="207"/>
      <c r="B7552" s="207"/>
      <c r="N7552" s="4"/>
      <c r="O7552" s="256"/>
    </row>
    <row r="7553" spans="1:15">
      <c r="A7553" s="207"/>
      <c r="B7553" s="207"/>
      <c r="N7553" s="4"/>
      <c r="O7553" s="256"/>
    </row>
    <row r="7554" spans="1:15">
      <c r="A7554" s="207"/>
      <c r="B7554" s="207"/>
      <c r="N7554" s="4"/>
      <c r="O7554" s="256"/>
    </row>
    <row r="7555" spans="1:15">
      <c r="A7555" s="207"/>
      <c r="B7555" s="207"/>
      <c r="N7555" s="4"/>
      <c r="O7555" s="256"/>
    </row>
    <row r="7556" spans="1:15">
      <c r="A7556" s="207"/>
      <c r="B7556" s="207"/>
      <c r="N7556" s="4"/>
      <c r="O7556" s="256"/>
    </row>
    <row r="7557" spans="1:15">
      <c r="A7557" s="207"/>
      <c r="B7557" s="207"/>
      <c r="N7557" s="4"/>
      <c r="O7557" s="256"/>
    </row>
    <row r="7558" spans="1:15">
      <c r="A7558" s="207"/>
      <c r="B7558" s="207"/>
      <c r="N7558" s="4"/>
      <c r="O7558" s="256"/>
    </row>
    <row r="7559" spans="1:15">
      <c r="A7559" s="207"/>
      <c r="B7559" s="207"/>
      <c r="N7559" s="4"/>
      <c r="O7559" s="256"/>
    </row>
    <row r="7560" spans="1:15">
      <c r="A7560" s="207"/>
      <c r="B7560" s="207"/>
      <c r="N7560" s="4"/>
      <c r="O7560" s="256"/>
    </row>
    <row r="7561" spans="1:15">
      <c r="A7561" s="207"/>
      <c r="B7561" s="207"/>
      <c r="N7561" s="4"/>
      <c r="O7561" s="256"/>
    </row>
    <row r="7562" spans="1:15">
      <c r="A7562" s="207"/>
      <c r="B7562" s="207"/>
      <c r="N7562" s="4"/>
      <c r="O7562" s="256"/>
    </row>
    <row r="7563" spans="1:15">
      <c r="A7563" s="207"/>
      <c r="B7563" s="207"/>
      <c r="N7563" s="4"/>
      <c r="O7563" s="256"/>
    </row>
    <row r="7564" spans="1:15">
      <c r="A7564" s="207"/>
      <c r="B7564" s="207"/>
      <c r="N7564" s="4"/>
      <c r="O7564" s="256"/>
    </row>
    <row r="7565" spans="1:15">
      <c r="A7565" s="207"/>
      <c r="B7565" s="207"/>
      <c r="N7565" s="4"/>
      <c r="O7565" s="256"/>
    </row>
    <row r="7566" spans="1:15">
      <c r="A7566" s="207"/>
      <c r="B7566" s="207"/>
      <c r="N7566" s="4"/>
      <c r="O7566" s="256"/>
    </row>
    <row r="7567" spans="1:15">
      <c r="A7567" s="207"/>
      <c r="B7567" s="207"/>
      <c r="N7567" s="4"/>
      <c r="O7567" s="256"/>
    </row>
    <row r="7568" spans="1:15">
      <c r="A7568" s="207"/>
      <c r="B7568" s="207"/>
      <c r="N7568" s="4"/>
      <c r="O7568" s="256"/>
    </row>
    <row r="7569" spans="1:15">
      <c r="A7569" s="207"/>
      <c r="B7569" s="207"/>
      <c r="N7569" s="4"/>
      <c r="O7569" s="256"/>
    </row>
    <row r="7570" spans="1:15">
      <c r="A7570" s="207"/>
      <c r="B7570" s="207"/>
      <c r="N7570" s="4"/>
      <c r="O7570" s="256"/>
    </row>
    <row r="7571" spans="1:15">
      <c r="A7571" s="207"/>
      <c r="B7571" s="207"/>
      <c r="N7571" s="4"/>
      <c r="O7571" s="256"/>
    </row>
    <row r="7572" spans="1:15">
      <c r="A7572" s="207"/>
      <c r="B7572" s="207"/>
      <c r="N7572" s="4"/>
      <c r="O7572" s="256"/>
    </row>
    <row r="7573" spans="1:15">
      <c r="A7573" s="207"/>
      <c r="B7573" s="207"/>
      <c r="N7573" s="4"/>
      <c r="O7573" s="256"/>
    </row>
    <row r="7574" spans="1:15">
      <c r="A7574" s="207"/>
      <c r="B7574" s="207"/>
      <c r="N7574" s="4"/>
      <c r="O7574" s="256"/>
    </row>
    <row r="7575" spans="1:15">
      <c r="A7575" s="207"/>
      <c r="B7575" s="207"/>
      <c r="N7575" s="4"/>
      <c r="O7575" s="256"/>
    </row>
    <row r="7576" spans="1:15">
      <c r="A7576" s="207"/>
      <c r="B7576" s="207"/>
      <c r="N7576" s="4"/>
      <c r="O7576" s="256"/>
    </row>
    <row r="7577" spans="1:15">
      <c r="A7577" s="207"/>
      <c r="B7577" s="207"/>
      <c r="N7577" s="4"/>
      <c r="O7577" s="256"/>
    </row>
    <row r="7578" spans="1:15">
      <c r="A7578" s="207"/>
      <c r="B7578" s="207"/>
      <c r="N7578" s="4"/>
      <c r="O7578" s="256"/>
    </row>
    <row r="7579" spans="1:15">
      <c r="A7579" s="207"/>
      <c r="B7579" s="207"/>
      <c r="N7579" s="4"/>
      <c r="O7579" s="256"/>
    </row>
    <row r="7580" spans="1:15">
      <c r="A7580" s="207"/>
      <c r="B7580" s="207"/>
      <c r="N7580" s="4"/>
      <c r="O7580" s="256"/>
    </row>
    <row r="7581" spans="1:15">
      <c r="A7581" s="207"/>
      <c r="B7581" s="207"/>
      <c r="N7581" s="4"/>
      <c r="O7581" s="256"/>
    </row>
    <row r="7582" spans="1:15">
      <c r="A7582" s="207"/>
      <c r="B7582" s="207"/>
      <c r="N7582" s="4"/>
      <c r="O7582" s="256"/>
    </row>
    <row r="7583" spans="1:15">
      <c r="A7583" s="207"/>
      <c r="B7583" s="207"/>
      <c r="N7583" s="4"/>
      <c r="O7583" s="256"/>
    </row>
    <row r="7584" spans="1:15">
      <c r="A7584" s="207"/>
      <c r="B7584" s="207"/>
      <c r="N7584" s="4"/>
      <c r="O7584" s="256"/>
    </row>
    <row r="7585" spans="1:15">
      <c r="A7585" s="207"/>
      <c r="B7585" s="207"/>
      <c r="N7585" s="4"/>
      <c r="O7585" s="256"/>
    </row>
    <row r="7586" spans="1:15">
      <c r="A7586" s="207"/>
      <c r="B7586" s="207"/>
      <c r="N7586" s="4"/>
      <c r="O7586" s="256"/>
    </row>
    <row r="7587" spans="1:15">
      <c r="A7587" s="207"/>
      <c r="B7587" s="207"/>
      <c r="N7587" s="4"/>
      <c r="O7587" s="256"/>
    </row>
    <row r="7588" spans="1:15">
      <c r="A7588" s="207"/>
      <c r="B7588" s="207"/>
      <c r="N7588" s="4"/>
      <c r="O7588" s="256"/>
    </row>
    <row r="7589" spans="1:15">
      <c r="A7589" s="207"/>
      <c r="B7589" s="207"/>
      <c r="N7589" s="4"/>
      <c r="O7589" s="256"/>
    </row>
    <row r="7590" spans="1:15">
      <c r="A7590" s="207"/>
      <c r="B7590" s="207"/>
      <c r="N7590" s="4"/>
      <c r="O7590" s="256"/>
    </row>
    <row r="7591" spans="1:15">
      <c r="A7591" s="207"/>
      <c r="B7591" s="207"/>
      <c r="N7591" s="4"/>
      <c r="O7591" s="256"/>
    </row>
    <row r="7592" spans="1:15">
      <c r="A7592" s="207"/>
      <c r="B7592" s="207"/>
      <c r="N7592" s="4"/>
      <c r="O7592" s="256"/>
    </row>
    <row r="7593" spans="1:15">
      <c r="A7593" s="207"/>
      <c r="B7593" s="207"/>
      <c r="N7593" s="4"/>
      <c r="O7593" s="256"/>
    </row>
    <row r="7594" spans="1:15">
      <c r="A7594" s="207"/>
      <c r="B7594" s="207"/>
      <c r="N7594" s="4"/>
      <c r="O7594" s="256"/>
    </row>
    <row r="7595" spans="1:15">
      <c r="A7595" s="207"/>
      <c r="B7595" s="207"/>
      <c r="N7595" s="4"/>
      <c r="O7595" s="256"/>
    </row>
    <row r="7596" spans="1:15">
      <c r="A7596" s="207"/>
      <c r="B7596" s="207"/>
      <c r="N7596" s="4"/>
      <c r="O7596" s="256"/>
    </row>
    <row r="7597" spans="1:15">
      <c r="A7597" s="207"/>
      <c r="B7597" s="207"/>
      <c r="N7597" s="4"/>
      <c r="O7597" s="256"/>
    </row>
    <row r="7598" spans="1:15">
      <c r="A7598" s="207"/>
      <c r="B7598" s="207"/>
      <c r="N7598" s="4"/>
      <c r="O7598" s="256"/>
    </row>
    <row r="7599" spans="1:15">
      <c r="A7599" s="207"/>
      <c r="B7599" s="207"/>
      <c r="N7599" s="4"/>
      <c r="O7599" s="256"/>
    </row>
    <row r="7600" spans="1:15">
      <c r="A7600" s="207"/>
      <c r="B7600" s="207"/>
      <c r="N7600" s="4"/>
      <c r="O7600" s="256"/>
    </row>
    <row r="7601" spans="1:15">
      <c r="A7601" s="207"/>
      <c r="B7601" s="207"/>
      <c r="N7601" s="4"/>
      <c r="O7601" s="256"/>
    </row>
    <row r="7602" spans="1:15">
      <c r="A7602" s="207"/>
      <c r="B7602" s="207"/>
      <c r="N7602" s="4"/>
      <c r="O7602" s="256"/>
    </row>
    <row r="7603" spans="1:15">
      <c r="A7603" s="207"/>
      <c r="B7603" s="207"/>
      <c r="N7603" s="4"/>
      <c r="O7603" s="256"/>
    </row>
    <row r="7604" spans="1:15">
      <c r="A7604" s="207"/>
      <c r="B7604" s="207"/>
      <c r="N7604" s="4"/>
      <c r="O7604" s="256"/>
    </row>
    <row r="7605" spans="1:15">
      <c r="A7605" s="207"/>
      <c r="B7605" s="207"/>
      <c r="N7605" s="4"/>
      <c r="O7605" s="256"/>
    </row>
    <row r="7606" spans="1:15">
      <c r="A7606" s="207"/>
      <c r="B7606" s="207"/>
      <c r="N7606" s="4"/>
      <c r="O7606" s="256"/>
    </row>
    <row r="7607" spans="1:15">
      <c r="A7607" s="207"/>
      <c r="B7607" s="207"/>
      <c r="N7607" s="4"/>
      <c r="O7607" s="256"/>
    </row>
    <row r="7608" spans="1:15">
      <c r="A7608" s="207"/>
      <c r="B7608" s="207"/>
      <c r="N7608" s="4"/>
      <c r="O7608" s="256"/>
    </row>
    <row r="7609" spans="1:15">
      <c r="A7609" s="207"/>
      <c r="B7609" s="207"/>
      <c r="N7609" s="4"/>
      <c r="O7609" s="256"/>
    </row>
    <row r="7610" spans="1:15">
      <c r="A7610" s="207"/>
      <c r="B7610" s="207"/>
      <c r="N7610" s="4"/>
      <c r="O7610" s="256"/>
    </row>
    <row r="7611" spans="1:15">
      <c r="A7611" s="207"/>
      <c r="B7611" s="207"/>
      <c r="N7611" s="4"/>
      <c r="O7611" s="256"/>
    </row>
    <row r="7612" spans="1:15">
      <c r="A7612" s="207"/>
      <c r="B7612" s="207"/>
      <c r="N7612" s="4"/>
      <c r="O7612" s="256"/>
    </row>
    <row r="7613" spans="1:15">
      <c r="A7613" s="207"/>
      <c r="B7613" s="207"/>
      <c r="N7613" s="4"/>
      <c r="O7613" s="256"/>
    </row>
    <row r="7614" spans="1:15">
      <c r="A7614" s="207"/>
      <c r="B7614" s="207"/>
      <c r="N7614" s="4"/>
      <c r="O7614" s="256"/>
    </row>
    <row r="7615" spans="1:15">
      <c r="A7615" s="207"/>
      <c r="B7615" s="207"/>
      <c r="N7615" s="4"/>
      <c r="O7615" s="256"/>
    </row>
    <row r="7616" spans="1:15">
      <c r="A7616" s="207"/>
      <c r="B7616" s="207"/>
      <c r="N7616" s="4"/>
      <c r="O7616" s="256"/>
    </row>
    <row r="7617" spans="1:15">
      <c r="A7617" s="207"/>
      <c r="B7617" s="207"/>
      <c r="N7617" s="4"/>
      <c r="O7617" s="256"/>
    </row>
    <row r="7618" spans="1:15">
      <c r="A7618" s="207"/>
      <c r="B7618" s="207"/>
      <c r="N7618" s="4"/>
      <c r="O7618" s="256"/>
    </row>
    <row r="7619" spans="1:15">
      <c r="A7619" s="207"/>
      <c r="B7619" s="207"/>
      <c r="N7619" s="4"/>
      <c r="O7619" s="256"/>
    </row>
    <row r="7620" spans="1:15">
      <c r="A7620" s="207"/>
      <c r="B7620" s="207"/>
      <c r="N7620" s="4"/>
      <c r="O7620" s="256"/>
    </row>
    <row r="7621" spans="1:15">
      <c r="A7621" s="207"/>
      <c r="B7621" s="207"/>
      <c r="N7621" s="4"/>
      <c r="O7621" s="256"/>
    </row>
    <row r="7622" spans="1:15">
      <c r="A7622" s="207"/>
      <c r="B7622" s="207"/>
      <c r="N7622" s="4"/>
      <c r="O7622" s="256"/>
    </row>
    <row r="7623" spans="1:15">
      <c r="A7623" s="207"/>
      <c r="B7623" s="207"/>
      <c r="N7623" s="4"/>
      <c r="O7623" s="256"/>
    </row>
    <row r="7624" spans="1:15">
      <c r="A7624" s="207"/>
      <c r="B7624" s="207"/>
      <c r="N7624" s="4"/>
      <c r="O7624" s="256"/>
    </row>
    <row r="7625" spans="1:15">
      <c r="A7625" s="207"/>
      <c r="B7625" s="207"/>
      <c r="N7625" s="4"/>
      <c r="O7625" s="256"/>
    </row>
    <row r="7626" spans="1:15">
      <c r="A7626" s="207"/>
      <c r="B7626" s="207"/>
      <c r="N7626" s="4"/>
      <c r="O7626" s="256"/>
    </row>
    <row r="7627" spans="1:15">
      <c r="A7627" s="207"/>
      <c r="B7627" s="207"/>
      <c r="N7627" s="4"/>
      <c r="O7627" s="256"/>
    </row>
    <row r="7628" spans="1:15">
      <c r="A7628" s="207"/>
      <c r="B7628" s="207"/>
      <c r="N7628" s="4"/>
      <c r="O7628" s="256"/>
    </row>
    <row r="7629" spans="1:15">
      <c r="A7629" s="207"/>
      <c r="B7629" s="207"/>
      <c r="N7629" s="4"/>
      <c r="O7629" s="256"/>
    </row>
    <row r="7630" spans="1:15">
      <c r="A7630" s="207"/>
      <c r="B7630" s="207"/>
      <c r="N7630" s="4"/>
      <c r="O7630" s="256"/>
    </row>
    <row r="7631" spans="1:15">
      <c r="A7631" s="207"/>
      <c r="B7631" s="207"/>
      <c r="N7631" s="4"/>
      <c r="O7631" s="256"/>
    </row>
    <row r="7632" spans="1:15">
      <c r="A7632" s="207"/>
      <c r="B7632" s="207"/>
      <c r="N7632" s="4"/>
      <c r="O7632" s="256"/>
    </row>
    <row r="7633" spans="1:15">
      <c r="A7633" s="207"/>
      <c r="B7633" s="207"/>
      <c r="N7633" s="4"/>
      <c r="O7633" s="256"/>
    </row>
    <row r="7634" spans="1:15">
      <c r="A7634" s="207"/>
      <c r="B7634" s="207"/>
      <c r="N7634" s="4"/>
      <c r="O7634" s="256"/>
    </row>
    <row r="7635" spans="1:15">
      <c r="A7635" s="207"/>
      <c r="B7635" s="207"/>
      <c r="N7635" s="4"/>
      <c r="O7635" s="256"/>
    </row>
    <row r="7636" spans="1:15">
      <c r="A7636" s="207"/>
      <c r="B7636" s="207"/>
      <c r="N7636" s="4"/>
      <c r="O7636" s="256"/>
    </row>
    <row r="7637" spans="1:15">
      <c r="A7637" s="207"/>
      <c r="B7637" s="207"/>
      <c r="N7637" s="4"/>
      <c r="O7637" s="256"/>
    </row>
    <row r="7638" spans="1:15">
      <c r="A7638" s="207"/>
      <c r="B7638" s="207"/>
      <c r="N7638" s="4"/>
      <c r="O7638" s="256"/>
    </row>
    <row r="7639" spans="1:15">
      <c r="A7639" s="207"/>
      <c r="B7639" s="207"/>
      <c r="N7639" s="4"/>
      <c r="O7639" s="256"/>
    </row>
    <row r="7640" spans="1:15">
      <c r="A7640" s="207"/>
      <c r="B7640" s="207"/>
      <c r="N7640" s="4"/>
      <c r="O7640" s="256"/>
    </row>
    <row r="7641" spans="1:15">
      <c r="A7641" s="207"/>
      <c r="B7641" s="207"/>
      <c r="N7641" s="4"/>
      <c r="O7641" s="256"/>
    </row>
    <row r="7642" spans="1:15">
      <c r="A7642" s="207"/>
      <c r="B7642" s="207"/>
      <c r="N7642" s="4"/>
      <c r="O7642" s="256"/>
    </row>
    <row r="7643" spans="1:15">
      <c r="A7643" s="207"/>
      <c r="B7643" s="207"/>
      <c r="N7643" s="4"/>
      <c r="O7643" s="256"/>
    </row>
    <row r="7644" spans="1:15">
      <c r="A7644" s="207"/>
      <c r="B7644" s="207"/>
      <c r="N7644" s="4"/>
      <c r="O7644" s="256"/>
    </row>
    <row r="7645" spans="1:15">
      <c r="A7645" s="207"/>
      <c r="B7645" s="207"/>
      <c r="N7645" s="4"/>
      <c r="O7645" s="256"/>
    </row>
    <row r="7646" spans="1:15">
      <c r="A7646" s="207"/>
      <c r="B7646" s="207"/>
      <c r="N7646" s="4"/>
      <c r="O7646" s="256"/>
    </row>
    <row r="7647" spans="1:15">
      <c r="A7647" s="207"/>
      <c r="B7647" s="207"/>
      <c r="N7647" s="4"/>
      <c r="O7647" s="256"/>
    </row>
    <row r="7648" spans="1:15">
      <c r="A7648" s="207"/>
      <c r="B7648" s="207"/>
      <c r="N7648" s="4"/>
      <c r="O7648" s="256"/>
    </row>
    <row r="7649" spans="1:15">
      <c r="A7649" s="207"/>
      <c r="B7649" s="207"/>
      <c r="N7649" s="4"/>
      <c r="O7649" s="256"/>
    </row>
    <row r="7650" spans="1:15">
      <c r="A7650" s="207"/>
      <c r="B7650" s="207"/>
      <c r="N7650" s="4"/>
      <c r="O7650" s="256"/>
    </row>
    <row r="7651" spans="1:15">
      <c r="A7651" s="207"/>
      <c r="B7651" s="207"/>
      <c r="N7651" s="4"/>
      <c r="O7651" s="256"/>
    </row>
    <row r="7652" spans="1:15">
      <c r="A7652" s="207"/>
      <c r="B7652" s="207"/>
      <c r="N7652" s="4"/>
      <c r="O7652" s="256"/>
    </row>
    <row r="7653" spans="1:15">
      <c r="A7653" s="207"/>
      <c r="B7653" s="207"/>
      <c r="N7653" s="4"/>
      <c r="O7653" s="256"/>
    </row>
    <row r="7654" spans="1:15">
      <c r="A7654" s="207"/>
      <c r="B7654" s="207"/>
      <c r="N7654" s="4"/>
      <c r="O7654" s="256"/>
    </row>
    <row r="7655" spans="1:15">
      <c r="A7655" s="207"/>
      <c r="B7655" s="207"/>
      <c r="N7655" s="4"/>
      <c r="O7655" s="256"/>
    </row>
    <row r="7656" spans="1:15">
      <c r="A7656" s="207"/>
      <c r="B7656" s="207"/>
      <c r="N7656" s="4"/>
      <c r="O7656" s="256"/>
    </row>
    <row r="7657" spans="1:15">
      <c r="A7657" s="207"/>
      <c r="B7657" s="207"/>
      <c r="N7657" s="4"/>
      <c r="O7657" s="256"/>
    </row>
    <row r="7658" spans="1:15">
      <c r="A7658" s="207"/>
      <c r="B7658" s="207"/>
      <c r="N7658" s="4"/>
      <c r="O7658" s="256"/>
    </row>
    <row r="7659" spans="1:15">
      <c r="A7659" s="207"/>
      <c r="B7659" s="207"/>
      <c r="N7659" s="4"/>
      <c r="O7659" s="256"/>
    </row>
    <row r="7660" spans="1:15">
      <c r="A7660" s="207"/>
      <c r="B7660" s="207"/>
      <c r="N7660" s="4"/>
      <c r="O7660" s="256"/>
    </row>
    <row r="7661" spans="1:15">
      <c r="A7661" s="207"/>
      <c r="B7661" s="207"/>
      <c r="N7661" s="4"/>
      <c r="O7661" s="256"/>
    </row>
    <row r="7662" spans="1:15">
      <c r="A7662" s="207"/>
      <c r="B7662" s="207"/>
      <c r="N7662" s="4"/>
      <c r="O7662" s="256"/>
    </row>
    <row r="7663" spans="1:15">
      <c r="A7663" s="207"/>
      <c r="B7663" s="207"/>
      <c r="N7663" s="4"/>
      <c r="O7663" s="256"/>
    </row>
    <row r="7664" spans="1:15">
      <c r="A7664" s="207"/>
      <c r="B7664" s="207"/>
      <c r="N7664" s="4"/>
      <c r="O7664" s="256"/>
    </row>
    <row r="7665" spans="1:15">
      <c r="A7665" s="207"/>
      <c r="B7665" s="207"/>
      <c r="N7665" s="4"/>
      <c r="O7665" s="256"/>
    </row>
    <row r="7666" spans="1:15">
      <c r="A7666" s="207"/>
      <c r="B7666" s="207"/>
      <c r="N7666" s="4"/>
      <c r="O7666" s="256"/>
    </row>
    <row r="7667" spans="1:15">
      <c r="A7667" s="207"/>
      <c r="B7667" s="207"/>
      <c r="N7667" s="4"/>
      <c r="O7667" s="256"/>
    </row>
    <row r="7668" spans="1:15">
      <c r="A7668" s="207"/>
      <c r="B7668" s="207"/>
      <c r="N7668" s="4"/>
      <c r="O7668" s="256"/>
    </row>
    <row r="7669" spans="1:15">
      <c r="A7669" s="207"/>
      <c r="B7669" s="207"/>
      <c r="N7669" s="4"/>
      <c r="O7669" s="256"/>
    </row>
    <row r="7670" spans="1:15">
      <c r="A7670" s="207"/>
      <c r="B7670" s="207"/>
      <c r="N7670" s="4"/>
      <c r="O7670" s="256"/>
    </row>
    <row r="7671" spans="1:15">
      <c r="A7671" s="207"/>
      <c r="B7671" s="207"/>
      <c r="N7671" s="4"/>
      <c r="O7671" s="256"/>
    </row>
    <row r="7672" spans="1:15">
      <c r="A7672" s="207"/>
      <c r="B7672" s="207"/>
      <c r="N7672" s="4"/>
      <c r="O7672" s="256"/>
    </row>
    <row r="7673" spans="1:15">
      <c r="A7673" s="207"/>
      <c r="B7673" s="207"/>
      <c r="N7673" s="4"/>
      <c r="O7673" s="256"/>
    </row>
    <row r="7674" spans="1:15">
      <c r="A7674" s="207"/>
      <c r="B7674" s="207"/>
      <c r="N7674" s="4"/>
      <c r="O7674" s="256"/>
    </row>
    <row r="7675" spans="1:15">
      <c r="A7675" s="207"/>
      <c r="B7675" s="207"/>
      <c r="N7675" s="4"/>
      <c r="O7675" s="256"/>
    </row>
    <row r="7676" spans="1:15">
      <c r="A7676" s="207"/>
      <c r="B7676" s="207"/>
      <c r="N7676" s="4"/>
      <c r="O7676" s="256"/>
    </row>
    <row r="7677" spans="1:15">
      <c r="A7677" s="207"/>
      <c r="B7677" s="207"/>
      <c r="N7677" s="4"/>
      <c r="O7677" s="256"/>
    </row>
    <row r="7678" spans="1:15">
      <c r="A7678" s="207"/>
      <c r="B7678" s="207"/>
      <c r="N7678" s="4"/>
      <c r="O7678" s="256"/>
    </row>
    <row r="7679" spans="1:15">
      <c r="A7679" s="207"/>
      <c r="B7679" s="207"/>
      <c r="N7679" s="4"/>
      <c r="O7679" s="256"/>
    </row>
    <row r="7680" spans="1:15">
      <c r="A7680" s="207"/>
      <c r="B7680" s="207"/>
      <c r="N7680" s="4"/>
      <c r="O7680" s="256"/>
    </row>
    <row r="7681" spans="1:15">
      <c r="A7681" s="207"/>
      <c r="B7681" s="207"/>
      <c r="N7681" s="4"/>
      <c r="O7681" s="256"/>
    </row>
    <row r="7682" spans="1:15">
      <c r="A7682" s="207"/>
      <c r="B7682" s="207"/>
      <c r="N7682" s="4"/>
      <c r="O7682" s="256"/>
    </row>
    <row r="7683" spans="1:15">
      <c r="A7683" s="207"/>
      <c r="B7683" s="207"/>
      <c r="N7683" s="4"/>
      <c r="O7683" s="256"/>
    </row>
    <row r="7684" spans="1:15">
      <c r="A7684" s="207"/>
      <c r="B7684" s="207"/>
      <c r="N7684" s="4"/>
      <c r="O7684" s="256"/>
    </row>
    <row r="7685" spans="1:15">
      <c r="A7685" s="207"/>
      <c r="B7685" s="207"/>
      <c r="N7685" s="4"/>
      <c r="O7685" s="256"/>
    </row>
    <row r="7686" spans="1:15">
      <c r="A7686" s="207"/>
      <c r="B7686" s="207"/>
      <c r="N7686" s="4"/>
      <c r="O7686" s="256"/>
    </row>
    <row r="7687" spans="1:15">
      <c r="A7687" s="207"/>
      <c r="B7687" s="207"/>
      <c r="N7687" s="4"/>
      <c r="O7687" s="256"/>
    </row>
    <row r="7688" spans="1:15">
      <c r="A7688" s="207"/>
      <c r="B7688" s="207"/>
      <c r="N7688" s="4"/>
      <c r="O7688" s="256"/>
    </row>
    <row r="7689" spans="1:15">
      <c r="A7689" s="207"/>
      <c r="B7689" s="207"/>
      <c r="N7689" s="4"/>
      <c r="O7689" s="256"/>
    </row>
    <row r="7690" spans="1:15">
      <c r="A7690" s="207"/>
      <c r="B7690" s="207"/>
      <c r="N7690" s="4"/>
      <c r="O7690" s="256"/>
    </row>
    <row r="7691" spans="1:15">
      <c r="A7691" s="207"/>
      <c r="B7691" s="207"/>
      <c r="N7691" s="4"/>
      <c r="O7691" s="256"/>
    </row>
    <row r="7692" spans="1:15">
      <c r="A7692" s="207"/>
      <c r="B7692" s="207"/>
      <c r="N7692" s="4"/>
      <c r="O7692" s="256"/>
    </row>
    <row r="7693" spans="1:15">
      <c r="A7693" s="207"/>
      <c r="B7693" s="207"/>
      <c r="N7693" s="4"/>
      <c r="O7693" s="256"/>
    </row>
    <row r="7694" spans="1:15">
      <c r="A7694" s="207"/>
      <c r="B7694" s="207"/>
      <c r="N7694" s="4"/>
      <c r="O7694" s="256"/>
    </row>
    <row r="7695" spans="1:15">
      <c r="A7695" s="207"/>
      <c r="B7695" s="207"/>
      <c r="N7695" s="4"/>
      <c r="O7695" s="256"/>
    </row>
    <row r="7696" spans="1:15">
      <c r="A7696" s="207"/>
      <c r="B7696" s="207"/>
      <c r="N7696" s="4"/>
      <c r="O7696" s="256"/>
    </row>
    <row r="7697" spans="1:15">
      <c r="A7697" s="207"/>
      <c r="B7697" s="207"/>
      <c r="N7697" s="4"/>
      <c r="O7697" s="256"/>
    </row>
    <row r="7698" spans="1:15">
      <c r="A7698" s="207"/>
      <c r="B7698" s="207"/>
      <c r="N7698" s="4"/>
      <c r="O7698" s="256"/>
    </row>
    <row r="7699" spans="1:15">
      <c r="A7699" s="207"/>
      <c r="B7699" s="207"/>
      <c r="N7699" s="4"/>
      <c r="O7699" s="256"/>
    </row>
    <row r="7700" spans="1:15">
      <c r="A7700" s="207"/>
      <c r="B7700" s="207"/>
      <c r="N7700" s="4"/>
      <c r="O7700" s="256"/>
    </row>
    <row r="7701" spans="1:15">
      <c r="A7701" s="207"/>
      <c r="B7701" s="207"/>
      <c r="N7701" s="4"/>
      <c r="O7701" s="256"/>
    </row>
    <row r="7702" spans="1:15">
      <c r="A7702" s="207"/>
      <c r="B7702" s="207"/>
      <c r="N7702" s="4"/>
      <c r="O7702" s="256"/>
    </row>
    <row r="7703" spans="1:15">
      <c r="A7703" s="207"/>
      <c r="B7703" s="207"/>
      <c r="N7703" s="4"/>
      <c r="O7703" s="256"/>
    </row>
    <row r="7704" spans="1:15">
      <c r="A7704" s="207"/>
      <c r="B7704" s="207"/>
      <c r="N7704" s="4"/>
      <c r="O7704" s="256"/>
    </row>
    <row r="7705" spans="1:15">
      <c r="A7705" s="207"/>
      <c r="B7705" s="207"/>
      <c r="N7705" s="4"/>
      <c r="O7705" s="256"/>
    </row>
    <row r="7706" spans="1:15">
      <c r="A7706" s="207"/>
      <c r="B7706" s="207"/>
      <c r="N7706" s="4"/>
      <c r="O7706" s="256"/>
    </row>
    <row r="7707" spans="1:15">
      <c r="A7707" s="207"/>
      <c r="B7707" s="207"/>
      <c r="N7707" s="4"/>
      <c r="O7707" s="256"/>
    </row>
    <row r="7708" spans="1:15">
      <c r="A7708" s="207"/>
      <c r="B7708" s="207"/>
      <c r="N7708" s="4"/>
      <c r="O7708" s="256"/>
    </row>
    <row r="7709" spans="1:15">
      <c r="A7709" s="207"/>
      <c r="B7709" s="207"/>
      <c r="N7709" s="4"/>
      <c r="O7709" s="256"/>
    </row>
    <row r="7710" spans="1:15">
      <c r="A7710" s="207"/>
      <c r="B7710" s="207"/>
      <c r="N7710" s="4"/>
      <c r="O7710" s="256"/>
    </row>
    <row r="7711" spans="1:15">
      <c r="A7711" s="207"/>
      <c r="B7711" s="207"/>
      <c r="N7711" s="4"/>
      <c r="O7711" s="256"/>
    </row>
    <row r="7712" spans="1:15">
      <c r="A7712" s="207"/>
      <c r="B7712" s="207"/>
      <c r="N7712" s="4"/>
      <c r="O7712" s="256"/>
    </row>
    <row r="7713" spans="1:15">
      <c r="A7713" s="207"/>
      <c r="B7713" s="207"/>
      <c r="N7713" s="4"/>
      <c r="O7713" s="256"/>
    </row>
    <row r="7714" spans="1:15">
      <c r="A7714" s="207"/>
      <c r="B7714" s="207"/>
      <c r="N7714" s="4"/>
      <c r="O7714" s="256"/>
    </row>
    <row r="7715" spans="1:15">
      <c r="A7715" s="207"/>
      <c r="B7715" s="207"/>
      <c r="N7715" s="4"/>
      <c r="O7715" s="256"/>
    </row>
    <row r="7716" spans="1:15">
      <c r="A7716" s="207"/>
      <c r="B7716" s="207"/>
      <c r="N7716" s="4"/>
      <c r="O7716" s="256"/>
    </row>
    <row r="7717" spans="1:15">
      <c r="A7717" s="207"/>
      <c r="B7717" s="207"/>
      <c r="N7717" s="4"/>
      <c r="O7717" s="256"/>
    </row>
    <row r="7718" spans="1:15">
      <c r="A7718" s="207"/>
      <c r="B7718" s="207"/>
      <c r="N7718" s="4"/>
      <c r="O7718" s="256"/>
    </row>
    <row r="7719" spans="1:15">
      <c r="A7719" s="207"/>
      <c r="B7719" s="207"/>
      <c r="N7719" s="4"/>
      <c r="O7719" s="256"/>
    </row>
    <row r="7720" spans="1:15">
      <c r="A7720" s="207"/>
      <c r="B7720" s="207"/>
      <c r="N7720" s="4"/>
      <c r="O7720" s="256"/>
    </row>
    <row r="7721" spans="1:15">
      <c r="A7721" s="207"/>
      <c r="B7721" s="207"/>
      <c r="N7721" s="4"/>
      <c r="O7721" s="256"/>
    </row>
    <row r="7722" spans="1:15">
      <c r="A7722" s="207"/>
      <c r="B7722" s="207"/>
      <c r="N7722" s="4"/>
      <c r="O7722" s="256"/>
    </row>
    <row r="7723" spans="1:15">
      <c r="A7723" s="207"/>
      <c r="B7723" s="207"/>
      <c r="N7723" s="4"/>
      <c r="O7723" s="256"/>
    </row>
    <row r="7724" spans="1:15">
      <c r="A7724" s="207"/>
      <c r="B7724" s="207"/>
      <c r="N7724" s="4"/>
      <c r="O7724" s="256"/>
    </row>
    <row r="7725" spans="1:15">
      <c r="A7725" s="207"/>
      <c r="B7725" s="207"/>
      <c r="N7725" s="4"/>
      <c r="O7725" s="256"/>
    </row>
    <row r="7726" spans="1:15">
      <c r="A7726" s="207"/>
      <c r="B7726" s="207"/>
      <c r="N7726" s="4"/>
      <c r="O7726" s="256"/>
    </row>
    <row r="7727" spans="1:15">
      <c r="A7727" s="207"/>
      <c r="B7727" s="207"/>
      <c r="N7727" s="4"/>
      <c r="O7727" s="256"/>
    </row>
    <row r="7728" spans="1:15">
      <c r="A7728" s="207"/>
      <c r="B7728" s="207"/>
      <c r="N7728" s="4"/>
      <c r="O7728" s="256"/>
    </row>
    <row r="7729" spans="1:15">
      <c r="A7729" s="207"/>
      <c r="B7729" s="207"/>
      <c r="N7729" s="4"/>
      <c r="O7729" s="256"/>
    </row>
    <row r="7730" spans="1:15">
      <c r="A7730" s="207"/>
      <c r="B7730" s="207"/>
      <c r="N7730" s="4"/>
      <c r="O7730" s="256"/>
    </row>
    <row r="7731" spans="1:15">
      <c r="A7731" s="207"/>
      <c r="B7731" s="207"/>
      <c r="N7731" s="4"/>
      <c r="O7731" s="256"/>
    </row>
    <row r="7732" spans="1:15">
      <c r="A7732" s="207"/>
      <c r="B7732" s="207"/>
      <c r="N7732" s="4"/>
      <c r="O7732" s="256"/>
    </row>
    <row r="7733" spans="1:15">
      <c r="A7733" s="207"/>
      <c r="B7733" s="207"/>
      <c r="N7733" s="4"/>
      <c r="O7733" s="256"/>
    </row>
    <row r="7734" spans="1:15">
      <c r="A7734" s="207"/>
      <c r="B7734" s="207"/>
      <c r="N7734" s="4"/>
      <c r="O7734" s="256"/>
    </row>
    <row r="7735" spans="1:15">
      <c r="A7735" s="207"/>
      <c r="B7735" s="207"/>
      <c r="N7735" s="4"/>
      <c r="O7735" s="256"/>
    </row>
    <row r="7736" spans="1:15">
      <c r="A7736" s="207"/>
      <c r="B7736" s="207"/>
      <c r="N7736" s="4"/>
      <c r="O7736" s="256"/>
    </row>
    <row r="7737" spans="1:15">
      <c r="A7737" s="207"/>
      <c r="B7737" s="207"/>
      <c r="N7737" s="4"/>
      <c r="O7737" s="256"/>
    </row>
    <row r="7738" spans="1:15">
      <c r="A7738" s="207"/>
      <c r="B7738" s="207"/>
      <c r="N7738" s="4"/>
      <c r="O7738" s="256"/>
    </row>
    <row r="7739" spans="1:15">
      <c r="A7739" s="207"/>
      <c r="B7739" s="207"/>
      <c r="N7739" s="4"/>
      <c r="O7739" s="256"/>
    </row>
    <row r="7740" spans="1:15">
      <c r="A7740" s="207"/>
      <c r="B7740" s="207"/>
      <c r="N7740" s="4"/>
      <c r="O7740" s="256"/>
    </row>
    <row r="7741" spans="1:15">
      <c r="A7741" s="207"/>
      <c r="B7741" s="207"/>
      <c r="N7741" s="4"/>
      <c r="O7741" s="256"/>
    </row>
    <row r="7742" spans="1:15">
      <c r="A7742" s="207"/>
      <c r="B7742" s="207"/>
      <c r="N7742" s="4"/>
      <c r="O7742" s="256"/>
    </row>
    <row r="7743" spans="1:15">
      <c r="A7743" s="207"/>
      <c r="B7743" s="207"/>
      <c r="N7743" s="4"/>
      <c r="O7743" s="256"/>
    </row>
    <row r="7744" spans="1:15">
      <c r="A7744" s="207"/>
      <c r="B7744" s="207"/>
      <c r="N7744" s="4"/>
      <c r="O7744" s="256"/>
    </row>
    <row r="7745" spans="1:15">
      <c r="A7745" s="207"/>
      <c r="B7745" s="207"/>
      <c r="N7745" s="4"/>
      <c r="O7745" s="256"/>
    </row>
    <row r="7746" spans="1:15">
      <c r="A7746" s="207"/>
      <c r="B7746" s="207"/>
      <c r="N7746" s="4"/>
      <c r="O7746" s="256"/>
    </row>
    <row r="7747" spans="1:15">
      <c r="A7747" s="207"/>
      <c r="B7747" s="207"/>
      <c r="N7747" s="4"/>
      <c r="O7747" s="256"/>
    </row>
    <row r="7748" spans="1:15">
      <c r="A7748" s="207"/>
      <c r="B7748" s="207"/>
      <c r="N7748" s="4"/>
      <c r="O7748" s="256"/>
    </row>
    <row r="7749" spans="1:15">
      <c r="A7749" s="207"/>
      <c r="B7749" s="207"/>
      <c r="N7749" s="4"/>
      <c r="O7749" s="256"/>
    </row>
    <row r="7750" spans="1:15">
      <c r="A7750" s="207"/>
      <c r="B7750" s="207"/>
      <c r="N7750" s="4"/>
      <c r="O7750" s="256"/>
    </row>
    <row r="7751" spans="1:15">
      <c r="A7751" s="207"/>
      <c r="B7751" s="207"/>
      <c r="N7751" s="4"/>
      <c r="O7751" s="256"/>
    </row>
    <row r="7752" spans="1:15">
      <c r="A7752" s="207"/>
      <c r="B7752" s="207"/>
      <c r="N7752" s="4"/>
      <c r="O7752" s="256"/>
    </row>
    <row r="7753" spans="1:15">
      <c r="A7753" s="207"/>
      <c r="B7753" s="207"/>
      <c r="N7753" s="4"/>
      <c r="O7753" s="256"/>
    </row>
    <row r="7754" spans="1:15">
      <c r="A7754" s="207"/>
      <c r="B7754" s="207"/>
      <c r="N7754" s="4"/>
      <c r="O7754" s="256"/>
    </row>
    <row r="7755" spans="1:15">
      <c r="A7755" s="207"/>
      <c r="B7755" s="207"/>
      <c r="N7755" s="4"/>
      <c r="O7755" s="256"/>
    </row>
    <row r="7756" spans="1:15">
      <c r="A7756" s="207"/>
      <c r="B7756" s="207"/>
      <c r="N7756" s="4"/>
      <c r="O7756" s="256"/>
    </row>
    <row r="7757" spans="1:15">
      <c r="A7757" s="207"/>
      <c r="B7757" s="207"/>
      <c r="N7757" s="4"/>
      <c r="O7757" s="256"/>
    </row>
    <row r="7758" spans="1:15">
      <c r="A7758" s="207"/>
      <c r="B7758" s="207"/>
      <c r="N7758" s="4"/>
      <c r="O7758" s="256"/>
    </row>
    <row r="7759" spans="1:15">
      <c r="A7759" s="207"/>
      <c r="B7759" s="207"/>
      <c r="N7759" s="4"/>
      <c r="O7759" s="256"/>
    </row>
    <row r="7760" spans="1:15">
      <c r="A7760" s="207"/>
      <c r="B7760" s="207"/>
      <c r="N7760" s="4"/>
      <c r="O7760" s="256"/>
    </row>
    <row r="7761" spans="1:15">
      <c r="A7761" s="207"/>
      <c r="B7761" s="207"/>
      <c r="N7761" s="4"/>
      <c r="O7761" s="256"/>
    </row>
    <row r="7762" spans="1:15">
      <c r="A7762" s="207"/>
      <c r="B7762" s="207"/>
      <c r="N7762" s="4"/>
      <c r="O7762" s="256"/>
    </row>
    <row r="7763" spans="1:15">
      <c r="A7763" s="207"/>
      <c r="B7763" s="207"/>
      <c r="N7763" s="4"/>
      <c r="O7763" s="256"/>
    </row>
    <row r="7764" spans="1:15">
      <c r="A7764" s="207"/>
      <c r="B7764" s="207"/>
      <c r="N7764" s="4"/>
      <c r="O7764" s="256"/>
    </row>
    <row r="7765" spans="1:15">
      <c r="A7765" s="207"/>
      <c r="B7765" s="207"/>
      <c r="N7765" s="4"/>
      <c r="O7765" s="256"/>
    </row>
    <row r="7766" spans="1:15">
      <c r="A7766" s="207"/>
      <c r="B7766" s="207"/>
      <c r="N7766" s="4"/>
      <c r="O7766" s="256"/>
    </row>
    <row r="7767" spans="1:15">
      <c r="A7767" s="207"/>
      <c r="B7767" s="207"/>
      <c r="N7767" s="4"/>
      <c r="O7767" s="256"/>
    </row>
    <row r="7768" spans="1:15">
      <c r="A7768" s="207"/>
      <c r="B7768" s="207"/>
      <c r="N7768" s="4"/>
      <c r="O7768" s="256"/>
    </row>
    <row r="7769" spans="1:15">
      <c r="A7769" s="207"/>
      <c r="B7769" s="207"/>
      <c r="N7769" s="4"/>
      <c r="O7769" s="256"/>
    </row>
    <row r="7770" spans="1:15">
      <c r="A7770" s="207"/>
      <c r="B7770" s="207"/>
      <c r="N7770" s="4"/>
      <c r="O7770" s="256"/>
    </row>
    <row r="7771" spans="1:15">
      <c r="A7771" s="207"/>
      <c r="B7771" s="207"/>
      <c r="N7771" s="4"/>
      <c r="O7771" s="256"/>
    </row>
    <row r="7772" spans="1:15">
      <c r="A7772" s="207"/>
      <c r="B7772" s="207"/>
      <c r="N7772" s="4"/>
      <c r="O7772" s="256"/>
    </row>
    <row r="7773" spans="1:15">
      <c r="A7773" s="207"/>
      <c r="B7773" s="207"/>
      <c r="N7773" s="4"/>
      <c r="O7773" s="256"/>
    </row>
    <row r="7774" spans="1:15">
      <c r="A7774" s="207"/>
      <c r="B7774" s="207"/>
      <c r="N7774" s="4"/>
      <c r="O7774" s="256"/>
    </row>
    <row r="7775" spans="1:15">
      <c r="A7775" s="207"/>
      <c r="B7775" s="207"/>
      <c r="N7775" s="4"/>
      <c r="O7775" s="256"/>
    </row>
    <row r="7776" spans="1:15">
      <c r="A7776" s="207"/>
      <c r="B7776" s="207"/>
      <c r="N7776" s="4"/>
      <c r="O7776" s="256"/>
    </row>
    <row r="7777" spans="1:15">
      <c r="A7777" s="207"/>
      <c r="B7777" s="207"/>
      <c r="N7777" s="4"/>
      <c r="O7777" s="256"/>
    </row>
    <row r="7778" spans="1:15">
      <c r="A7778" s="207"/>
      <c r="B7778" s="207"/>
      <c r="N7778" s="4"/>
      <c r="O7778" s="256"/>
    </row>
    <row r="7779" spans="1:15">
      <c r="A7779" s="207"/>
      <c r="B7779" s="207"/>
      <c r="N7779" s="4"/>
      <c r="O7779" s="256"/>
    </row>
    <row r="7780" spans="1:15">
      <c r="A7780" s="207"/>
      <c r="B7780" s="207"/>
      <c r="N7780" s="4"/>
      <c r="O7780" s="256"/>
    </row>
    <row r="7781" spans="1:15">
      <c r="A7781" s="207"/>
      <c r="B7781" s="207"/>
      <c r="N7781" s="4"/>
      <c r="O7781" s="256"/>
    </row>
    <row r="7782" spans="1:15">
      <c r="A7782" s="207"/>
      <c r="B7782" s="207"/>
      <c r="N7782" s="4"/>
      <c r="O7782" s="256"/>
    </row>
    <row r="7783" spans="1:15">
      <c r="A7783" s="207"/>
      <c r="B7783" s="207"/>
      <c r="N7783" s="4"/>
      <c r="O7783" s="256"/>
    </row>
    <row r="7784" spans="1:15">
      <c r="A7784" s="207"/>
      <c r="B7784" s="207"/>
      <c r="N7784" s="4"/>
      <c r="O7784" s="256"/>
    </row>
    <row r="7785" spans="1:15">
      <c r="A7785" s="207"/>
      <c r="B7785" s="207"/>
      <c r="N7785" s="4"/>
      <c r="O7785" s="256"/>
    </row>
    <row r="7786" spans="1:15">
      <c r="A7786" s="207"/>
      <c r="B7786" s="207"/>
      <c r="N7786" s="4"/>
      <c r="O7786" s="256"/>
    </row>
    <row r="7787" spans="1:15">
      <c r="A7787" s="207"/>
      <c r="B7787" s="207"/>
      <c r="N7787" s="4"/>
      <c r="O7787" s="256"/>
    </row>
    <row r="7788" spans="1:15">
      <c r="A7788" s="207"/>
      <c r="B7788" s="207"/>
      <c r="N7788" s="4"/>
      <c r="O7788" s="256"/>
    </row>
    <row r="7789" spans="1:15">
      <c r="A7789" s="207"/>
      <c r="B7789" s="207"/>
      <c r="N7789" s="4"/>
      <c r="O7789" s="256"/>
    </row>
    <row r="7790" spans="1:15">
      <c r="A7790" s="207"/>
      <c r="B7790" s="207"/>
      <c r="N7790" s="4"/>
      <c r="O7790" s="256"/>
    </row>
    <row r="7791" spans="1:15">
      <c r="A7791" s="207"/>
      <c r="B7791" s="207"/>
      <c r="N7791" s="4"/>
      <c r="O7791" s="256"/>
    </row>
    <row r="7792" spans="1:15">
      <c r="A7792" s="207"/>
      <c r="B7792" s="207"/>
      <c r="N7792" s="4"/>
      <c r="O7792" s="256"/>
    </row>
    <row r="7793" spans="1:15">
      <c r="A7793" s="207"/>
      <c r="B7793" s="207"/>
      <c r="N7793" s="4"/>
      <c r="O7793" s="256"/>
    </row>
    <row r="7794" spans="1:15">
      <c r="A7794" s="207"/>
      <c r="B7794" s="207"/>
      <c r="N7794" s="4"/>
      <c r="O7794" s="256"/>
    </row>
    <row r="7795" spans="1:15">
      <c r="A7795" s="207"/>
      <c r="B7795" s="207"/>
      <c r="N7795" s="4"/>
      <c r="O7795" s="256"/>
    </row>
    <row r="7796" spans="1:15">
      <c r="A7796" s="207"/>
      <c r="B7796" s="207"/>
      <c r="N7796" s="4"/>
      <c r="O7796" s="256"/>
    </row>
    <row r="7797" spans="1:15">
      <c r="A7797" s="207"/>
      <c r="B7797" s="207"/>
      <c r="N7797" s="4"/>
      <c r="O7797" s="256"/>
    </row>
    <row r="7798" spans="1:15">
      <c r="A7798" s="207"/>
      <c r="B7798" s="207"/>
      <c r="N7798" s="4"/>
      <c r="O7798" s="256"/>
    </row>
    <row r="7799" spans="1:15">
      <c r="A7799" s="207"/>
      <c r="B7799" s="207"/>
      <c r="N7799" s="4"/>
      <c r="O7799" s="256"/>
    </row>
    <row r="7800" spans="1:15">
      <c r="A7800" s="207"/>
      <c r="B7800" s="207"/>
      <c r="N7800" s="4"/>
      <c r="O7800" s="256"/>
    </row>
    <row r="7801" spans="1:15">
      <c r="A7801" s="207"/>
      <c r="B7801" s="207"/>
      <c r="N7801" s="4"/>
      <c r="O7801" s="256"/>
    </row>
    <row r="7802" spans="1:15">
      <c r="A7802" s="207"/>
      <c r="B7802" s="207"/>
      <c r="N7802" s="4"/>
      <c r="O7802" s="256"/>
    </row>
    <row r="7803" spans="1:15">
      <c r="A7803" s="207"/>
      <c r="B7803" s="207"/>
      <c r="N7803" s="4"/>
      <c r="O7803" s="256"/>
    </row>
    <row r="7804" spans="1:15">
      <c r="A7804" s="207"/>
      <c r="B7804" s="207"/>
      <c r="N7804" s="4"/>
      <c r="O7804" s="256"/>
    </row>
    <row r="7805" spans="1:15">
      <c r="A7805" s="207"/>
      <c r="B7805" s="207"/>
      <c r="N7805" s="4"/>
      <c r="O7805" s="256"/>
    </row>
    <row r="7806" spans="1:15">
      <c r="A7806" s="207"/>
      <c r="B7806" s="207"/>
      <c r="N7806" s="4"/>
      <c r="O7806" s="256"/>
    </row>
    <row r="7807" spans="1:15">
      <c r="A7807" s="207"/>
      <c r="B7807" s="207"/>
      <c r="N7807" s="4"/>
      <c r="O7807" s="256"/>
    </row>
    <row r="7808" spans="1:15">
      <c r="A7808" s="207"/>
      <c r="B7808" s="207"/>
      <c r="N7808" s="4"/>
      <c r="O7808" s="256"/>
    </row>
    <row r="7809" spans="1:15">
      <c r="A7809" s="207"/>
      <c r="B7809" s="207"/>
      <c r="N7809" s="4"/>
      <c r="O7809" s="256"/>
    </row>
    <row r="7810" spans="1:15">
      <c r="A7810" s="207"/>
      <c r="B7810" s="207"/>
      <c r="N7810" s="4"/>
      <c r="O7810" s="256"/>
    </row>
    <row r="7811" spans="1:15">
      <c r="A7811" s="207"/>
      <c r="B7811" s="207"/>
      <c r="N7811" s="4"/>
      <c r="O7811" s="256"/>
    </row>
    <row r="7812" spans="1:15">
      <c r="A7812" s="207"/>
      <c r="B7812" s="207"/>
      <c r="N7812" s="4"/>
      <c r="O7812" s="256"/>
    </row>
    <row r="7813" spans="1:15">
      <c r="A7813" s="207"/>
      <c r="B7813" s="207"/>
      <c r="N7813" s="4"/>
      <c r="O7813" s="256"/>
    </row>
    <row r="7814" spans="1:15">
      <c r="A7814" s="207"/>
      <c r="B7814" s="207"/>
      <c r="N7814" s="4"/>
      <c r="O7814" s="256"/>
    </row>
    <row r="7815" spans="1:15">
      <c r="A7815" s="207"/>
      <c r="B7815" s="207"/>
      <c r="N7815" s="4"/>
      <c r="O7815" s="256"/>
    </row>
    <row r="7816" spans="1:15">
      <c r="A7816" s="207"/>
      <c r="B7816" s="207"/>
      <c r="N7816" s="4"/>
      <c r="O7816" s="256"/>
    </row>
    <row r="7817" spans="1:15">
      <c r="A7817" s="207"/>
      <c r="B7817" s="207"/>
      <c r="N7817" s="4"/>
      <c r="O7817" s="256"/>
    </row>
    <row r="7818" spans="1:15">
      <c r="A7818" s="207"/>
      <c r="B7818" s="207"/>
      <c r="N7818" s="4"/>
      <c r="O7818" s="256"/>
    </row>
    <row r="7819" spans="1:15">
      <c r="A7819" s="207"/>
      <c r="B7819" s="207"/>
      <c r="N7819" s="4"/>
      <c r="O7819" s="256"/>
    </row>
    <row r="7820" spans="1:15">
      <c r="A7820" s="207"/>
      <c r="B7820" s="207"/>
      <c r="N7820" s="4"/>
      <c r="O7820" s="256"/>
    </row>
    <row r="7821" spans="1:15">
      <c r="A7821" s="207"/>
      <c r="B7821" s="207"/>
      <c r="N7821" s="4"/>
      <c r="O7821" s="256"/>
    </row>
    <row r="7822" spans="1:15">
      <c r="A7822" s="207"/>
      <c r="B7822" s="207"/>
      <c r="N7822" s="4"/>
      <c r="O7822" s="256"/>
    </row>
    <row r="7823" spans="1:15">
      <c r="A7823" s="207"/>
      <c r="B7823" s="207"/>
      <c r="N7823" s="4"/>
      <c r="O7823" s="256"/>
    </row>
    <row r="7824" spans="1:15">
      <c r="A7824" s="207"/>
      <c r="B7824" s="207"/>
      <c r="N7824" s="4"/>
      <c r="O7824" s="256"/>
    </row>
    <row r="7825" spans="1:15">
      <c r="A7825" s="207"/>
      <c r="B7825" s="207"/>
      <c r="N7825" s="4"/>
      <c r="O7825" s="256"/>
    </row>
    <row r="7826" spans="1:15">
      <c r="A7826" s="207"/>
      <c r="B7826" s="207"/>
      <c r="N7826" s="4"/>
      <c r="O7826" s="256"/>
    </row>
    <row r="7827" spans="1:15">
      <c r="A7827" s="207"/>
      <c r="B7827" s="207"/>
      <c r="N7827" s="4"/>
      <c r="O7827" s="256"/>
    </row>
    <row r="7828" spans="1:15">
      <c r="A7828" s="207"/>
      <c r="B7828" s="207"/>
      <c r="N7828" s="4"/>
      <c r="O7828" s="256"/>
    </row>
    <row r="7829" spans="1:15">
      <c r="A7829" s="207"/>
      <c r="B7829" s="207"/>
      <c r="N7829" s="4"/>
      <c r="O7829" s="256"/>
    </row>
    <row r="7830" spans="1:15">
      <c r="A7830" s="207"/>
      <c r="B7830" s="207"/>
      <c r="N7830" s="4"/>
      <c r="O7830" s="256"/>
    </row>
    <row r="7831" spans="1:15">
      <c r="A7831" s="207"/>
      <c r="B7831" s="207"/>
      <c r="N7831" s="4"/>
      <c r="O7831" s="256"/>
    </row>
    <row r="7832" spans="1:15">
      <c r="A7832" s="207"/>
      <c r="B7832" s="207"/>
      <c r="N7832" s="4"/>
      <c r="O7832" s="256"/>
    </row>
    <row r="7833" spans="1:15">
      <c r="A7833" s="207"/>
      <c r="B7833" s="207"/>
      <c r="N7833" s="4"/>
      <c r="O7833" s="256"/>
    </row>
    <row r="7834" spans="1:15">
      <c r="A7834" s="207"/>
      <c r="B7834" s="207"/>
      <c r="N7834" s="4"/>
      <c r="O7834" s="256"/>
    </row>
    <row r="7835" spans="1:15">
      <c r="A7835" s="207"/>
      <c r="B7835" s="207"/>
      <c r="N7835" s="4"/>
      <c r="O7835" s="256"/>
    </row>
    <row r="7836" spans="1:15">
      <c r="A7836" s="207"/>
      <c r="B7836" s="207"/>
      <c r="N7836" s="4"/>
      <c r="O7836" s="256"/>
    </row>
    <row r="7837" spans="1:15">
      <c r="A7837" s="207"/>
      <c r="B7837" s="207"/>
      <c r="N7837" s="4"/>
      <c r="O7837" s="256"/>
    </row>
    <row r="7838" spans="1:15">
      <c r="A7838" s="207"/>
      <c r="B7838" s="207"/>
      <c r="N7838" s="4"/>
      <c r="O7838" s="256"/>
    </row>
    <row r="7839" spans="1:15">
      <c r="A7839" s="207"/>
      <c r="B7839" s="207"/>
      <c r="N7839" s="4"/>
      <c r="O7839" s="256"/>
    </row>
    <row r="7840" spans="1:15">
      <c r="A7840" s="207"/>
      <c r="B7840" s="207"/>
      <c r="N7840" s="4"/>
      <c r="O7840" s="256"/>
    </row>
    <row r="7841" spans="1:15">
      <c r="A7841" s="207"/>
      <c r="B7841" s="207"/>
      <c r="N7841" s="4"/>
      <c r="O7841" s="256"/>
    </row>
    <row r="7842" spans="1:15">
      <c r="A7842" s="207"/>
      <c r="B7842" s="207"/>
      <c r="N7842" s="4"/>
      <c r="O7842" s="256"/>
    </row>
    <row r="7843" spans="1:15">
      <c r="A7843" s="207"/>
      <c r="B7843" s="207"/>
      <c r="N7843" s="4"/>
      <c r="O7843" s="256"/>
    </row>
    <row r="7844" spans="1:15">
      <c r="A7844" s="207"/>
      <c r="B7844" s="207"/>
      <c r="N7844" s="4"/>
      <c r="O7844" s="256"/>
    </row>
    <row r="7845" spans="1:15">
      <c r="A7845" s="207"/>
      <c r="B7845" s="207"/>
      <c r="N7845" s="4"/>
      <c r="O7845" s="256"/>
    </row>
    <row r="7846" spans="1:15">
      <c r="A7846" s="207"/>
      <c r="B7846" s="207"/>
      <c r="N7846" s="4"/>
      <c r="O7846" s="256"/>
    </row>
    <row r="7847" spans="1:15">
      <c r="A7847" s="207"/>
      <c r="B7847" s="207"/>
      <c r="N7847" s="4"/>
      <c r="O7847" s="256"/>
    </row>
    <row r="7848" spans="1:15">
      <c r="A7848" s="207"/>
      <c r="B7848" s="207"/>
      <c r="N7848" s="4"/>
      <c r="O7848" s="256"/>
    </row>
    <row r="7849" spans="1:15">
      <c r="A7849" s="207"/>
      <c r="B7849" s="207"/>
      <c r="N7849" s="4"/>
      <c r="O7849" s="256"/>
    </row>
    <row r="7850" spans="1:15">
      <c r="A7850" s="207"/>
      <c r="B7850" s="207"/>
      <c r="N7850" s="4"/>
      <c r="O7850" s="256"/>
    </row>
    <row r="7851" spans="1:15">
      <c r="A7851" s="207"/>
      <c r="B7851" s="207"/>
      <c r="N7851" s="4"/>
      <c r="O7851" s="256"/>
    </row>
    <row r="7852" spans="1:15">
      <c r="A7852" s="207"/>
      <c r="B7852" s="207"/>
      <c r="N7852" s="4"/>
      <c r="O7852" s="256"/>
    </row>
    <row r="7853" spans="1:15">
      <c r="A7853" s="207"/>
      <c r="B7853" s="207"/>
      <c r="N7853" s="4"/>
      <c r="O7853" s="256"/>
    </row>
    <row r="7854" spans="1:15">
      <c r="A7854" s="207"/>
      <c r="B7854" s="207"/>
      <c r="N7854" s="4"/>
      <c r="O7854" s="256"/>
    </row>
    <row r="7855" spans="1:15">
      <c r="A7855" s="207"/>
      <c r="B7855" s="207"/>
      <c r="N7855" s="4"/>
      <c r="O7855" s="256"/>
    </row>
    <row r="7856" spans="1:15">
      <c r="A7856" s="207"/>
      <c r="B7856" s="207"/>
      <c r="N7856" s="4"/>
      <c r="O7856" s="256"/>
    </row>
    <row r="7857" spans="1:15">
      <c r="A7857" s="207"/>
      <c r="B7857" s="207"/>
      <c r="N7857" s="4"/>
      <c r="O7857" s="256"/>
    </row>
    <row r="7858" spans="1:15">
      <c r="A7858" s="207"/>
      <c r="B7858" s="207"/>
      <c r="N7858" s="4"/>
      <c r="O7858" s="256"/>
    </row>
    <row r="7859" spans="1:15">
      <c r="A7859" s="207"/>
      <c r="B7859" s="207"/>
      <c r="N7859" s="4"/>
      <c r="O7859" s="256"/>
    </row>
    <row r="7860" spans="1:15">
      <c r="A7860" s="207"/>
      <c r="B7860" s="207"/>
      <c r="N7860" s="4"/>
      <c r="O7860" s="256"/>
    </row>
    <row r="7861" spans="1:15">
      <c r="A7861" s="207"/>
      <c r="B7861" s="207"/>
      <c r="N7861" s="4"/>
      <c r="O7861" s="256"/>
    </row>
    <row r="7862" spans="1:15">
      <c r="A7862" s="207"/>
      <c r="B7862" s="207"/>
      <c r="N7862" s="4"/>
      <c r="O7862" s="256"/>
    </row>
    <row r="7863" spans="1:15">
      <c r="A7863" s="207"/>
      <c r="B7863" s="207"/>
      <c r="N7863" s="4"/>
      <c r="O7863" s="256"/>
    </row>
    <row r="7864" spans="1:15">
      <c r="A7864" s="207"/>
      <c r="B7864" s="207"/>
      <c r="N7864" s="4"/>
      <c r="O7864" s="256"/>
    </row>
    <row r="7865" spans="1:15">
      <c r="A7865" s="207"/>
      <c r="B7865" s="207"/>
      <c r="N7865" s="4"/>
      <c r="O7865" s="256"/>
    </row>
    <row r="7866" spans="1:15">
      <c r="A7866" s="207"/>
      <c r="B7866" s="207"/>
      <c r="N7866" s="4"/>
      <c r="O7866" s="256"/>
    </row>
    <row r="7867" spans="1:15">
      <c r="A7867" s="207"/>
      <c r="B7867" s="207"/>
      <c r="N7867" s="4"/>
      <c r="O7867" s="256"/>
    </row>
    <row r="7868" spans="1:15">
      <c r="A7868" s="207"/>
      <c r="B7868" s="207"/>
      <c r="N7868" s="4"/>
      <c r="O7868" s="256"/>
    </row>
    <row r="7869" spans="1:15">
      <c r="A7869" s="207"/>
      <c r="B7869" s="207"/>
      <c r="N7869" s="4"/>
      <c r="O7869" s="256"/>
    </row>
    <row r="7870" spans="1:15">
      <c r="A7870" s="207"/>
      <c r="B7870" s="207"/>
      <c r="N7870" s="4"/>
      <c r="O7870" s="256"/>
    </row>
    <row r="7871" spans="1:15">
      <c r="A7871" s="207"/>
      <c r="B7871" s="207"/>
      <c r="N7871" s="4"/>
      <c r="O7871" s="256"/>
    </row>
    <row r="7872" spans="1:15">
      <c r="A7872" s="207"/>
      <c r="B7872" s="207"/>
      <c r="N7872" s="4"/>
      <c r="O7872" s="256"/>
    </row>
    <row r="7873" spans="1:15">
      <c r="A7873" s="207"/>
      <c r="B7873" s="207"/>
      <c r="N7873" s="4"/>
      <c r="O7873" s="256"/>
    </row>
    <row r="7874" spans="1:15">
      <c r="A7874" s="207"/>
      <c r="B7874" s="207"/>
      <c r="N7874" s="4"/>
      <c r="O7874" s="256"/>
    </row>
    <row r="7875" spans="1:15">
      <c r="A7875" s="207"/>
      <c r="B7875" s="207"/>
      <c r="N7875" s="4"/>
      <c r="O7875" s="256"/>
    </row>
    <row r="7876" spans="1:15">
      <c r="A7876" s="207"/>
      <c r="B7876" s="207"/>
      <c r="N7876" s="4"/>
      <c r="O7876" s="256"/>
    </row>
    <row r="7877" spans="1:15">
      <c r="A7877" s="207"/>
      <c r="B7877" s="207"/>
      <c r="N7877" s="4"/>
      <c r="O7877" s="256"/>
    </row>
    <row r="7878" spans="1:15">
      <c r="A7878" s="207"/>
      <c r="B7878" s="207"/>
      <c r="N7878" s="4"/>
      <c r="O7878" s="256"/>
    </row>
    <row r="7879" spans="1:15">
      <c r="A7879" s="207"/>
      <c r="B7879" s="207"/>
      <c r="N7879" s="4"/>
      <c r="O7879" s="256"/>
    </row>
    <row r="7880" spans="1:15">
      <c r="A7880" s="207"/>
      <c r="B7880" s="207"/>
      <c r="N7880" s="4"/>
      <c r="O7880" s="256"/>
    </row>
    <row r="7881" spans="1:15">
      <c r="A7881" s="207"/>
      <c r="B7881" s="207"/>
      <c r="N7881" s="4"/>
      <c r="O7881" s="256"/>
    </row>
    <row r="7882" spans="1:15">
      <c r="A7882" s="207"/>
      <c r="B7882" s="207"/>
      <c r="N7882" s="4"/>
      <c r="O7882" s="256"/>
    </row>
    <row r="7883" spans="1:15">
      <c r="A7883" s="207"/>
      <c r="B7883" s="207"/>
      <c r="N7883" s="4"/>
      <c r="O7883" s="256"/>
    </row>
    <row r="7884" spans="1:15">
      <c r="A7884" s="207"/>
      <c r="B7884" s="207"/>
      <c r="N7884" s="4"/>
      <c r="O7884" s="256"/>
    </row>
    <row r="7885" spans="1:15">
      <c r="A7885" s="207"/>
      <c r="B7885" s="207"/>
      <c r="N7885" s="4"/>
      <c r="O7885" s="256"/>
    </row>
    <row r="7886" spans="1:15">
      <c r="A7886" s="207"/>
      <c r="B7886" s="207"/>
      <c r="N7886" s="4"/>
      <c r="O7886" s="256"/>
    </row>
    <row r="7887" spans="1:15">
      <c r="A7887" s="207"/>
      <c r="B7887" s="207"/>
      <c r="N7887" s="4"/>
      <c r="O7887" s="256"/>
    </row>
    <row r="7888" spans="1:15">
      <c r="A7888" s="207"/>
      <c r="B7888" s="207"/>
      <c r="N7888" s="4"/>
      <c r="O7888" s="256"/>
    </row>
    <row r="7889" spans="1:15">
      <c r="A7889" s="207"/>
      <c r="B7889" s="207"/>
      <c r="N7889" s="4"/>
      <c r="O7889" s="256"/>
    </row>
    <row r="7890" spans="1:15">
      <c r="A7890" s="207"/>
      <c r="B7890" s="207"/>
      <c r="N7890" s="4"/>
      <c r="O7890" s="256"/>
    </row>
    <row r="7891" spans="1:15">
      <c r="A7891" s="207"/>
      <c r="B7891" s="207"/>
      <c r="N7891" s="4"/>
      <c r="O7891" s="256"/>
    </row>
    <row r="7892" spans="1:15">
      <c r="A7892" s="207"/>
      <c r="B7892" s="207"/>
      <c r="N7892" s="4"/>
      <c r="O7892" s="256"/>
    </row>
    <row r="7893" spans="1:15">
      <c r="A7893" s="207"/>
      <c r="B7893" s="207"/>
      <c r="N7893" s="4"/>
      <c r="O7893" s="256"/>
    </row>
    <row r="7894" spans="1:15">
      <c r="A7894" s="207"/>
      <c r="B7894" s="207"/>
      <c r="N7894" s="4"/>
      <c r="O7894" s="256"/>
    </row>
    <row r="7895" spans="1:15">
      <c r="A7895" s="207"/>
      <c r="B7895" s="207"/>
      <c r="N7895" s="4"/>
      <c r="O7895" s="256"/>
    </row>
    <row r="7896" spans="1:15">
      <c r="A7896" s="207"/>
      <c r="B7896" s="207"/>
      <c r="N7896" s="4"/>
      <c r="O7896" s="256"/>
    </row>
    <row r="7897" spans="1:15">
      <c r="A7897" s="207"/>
      <c r="B7897" s="207"/>
      <c r="N7897" s="4"/>
      <c r="O7897" s="256"/>
    </row>
    <row r="7898" spans="1:15">
      <c r="A7898" s="207"/>
      <c r="B7898" s="207"/>
      <c r="N7898" s="4"/>
      <c r="O7898" s="256"/>
    </row>
    <row r="7899" spans="1:15">
      <c r="A7899" s="207"/>
      <c r="B7899" s="207"/>
      <c r="N7899" s="4"/>
      <c r="O7899" s="256"/>
    </row>
    <row r="7900" spans="1:15">
      <c r="A7900" s="207"/>
      <c r="B7900" s="207"/>
      <c r="N7900" s="4"/>
      <c r="O7900" s="256"/>
    </row>
    <row r="7901" spans="1:15">
      <c r="A7901" s="207"/>
      <c r="B7901" s="207"/>
      <c r="N7901" s="4"/>
      <c r="O7901" s="256"/>
    </row>
    <row r="7902" spans="1:15">
      <c r="A7902" s="207"/>
      <c r="B7902" s="207"/>
      <c r="N7902" s="4"/>
      <c r="O7902" s="256"/>
    </row>
    <row r="7903" spans="1:15">
      <c r="A7903" s="207"/>
      <c r="B7903" s="207"/>
      <c r="N7903" s="4"/>
      <c r="O7903" s="256"/>
    </row>
    <row r="7904" spans="1:15">
      <c r="A7904" s="207"/>
      <c r="B7904" s="207"/>
      <c r="N7904" s="4"/>
      <c r="O7904" s="256"/>
    </row>
    <row r="7905" spans="1:15">
      <c r="A7905" s="207"/>
      <c r="B7905" s="207"/>
      <c r="N7905" s="4"/>
      <c r="O7905" s="256"/>
    </row>
    <row r="7906" spans="1:15">
      <c r="A7906" s="207"/>
      <c r="B7906" s="207"/>
      <c r="N7906" s="4"/>
      <c r="O7906" s="256"/>
    </row>
    <row r="7907" spans="1:15">
      <c r="A7907" s="207"/>
      <c r="B7907" s="207"/>
      <c r="N7907" s="4"/>
      <c r="O7907" s="256"/>
    </row>
    <row r="7908" spans="1:15">
      <c r="A7908" s="207"/>
      <c r="B7908" s="207"/>
      <c r="N7908" s="4"/>
      <c r="O7908" s="256"/>
    </row>
    <row r="7909" spans="1:15">
      <c r="A7909" s="207"/>
      <c r="B7909" s="207"/>
      <c r="N7909" s="4"/>
      <c r="O7909" s="256"/>
    </row>
    <row r="7910" spans="1:15">
      <c r="A7910" s="207"/>
      <c r="B7910" s="207"/>
      <c r="N7910" s="4"/>
      <c r="O7910" s="256"/>
    </row>
    <row r="7911" spans="1:15">
      <c r="A7911" s="207"/>
      <c r="B7911" s="207"/>
      <c r="N7911" s="4"/>
      <c r="O7911" s="256"/>
    </row>
    <row r="7912" spans="1:15">
      <c r="A7912" s="207"/>
      <c r="B7912" s="207"/>
      <c r="N7912" s="4"/>
      <c r="O7912" s="256"/>
    </row>
    <row r="7913" spans="1:15">
      <c r="A7913" s="207"/>
      <c r="B7913" s="207"/>
      <c r="N7913" s="4"/>
      <c r="O7913" s="256"/>
    </row>
    <row r="7914" spans="1:15">
      <c r="A7914" s="207"/>
      <c r="B7914" s="207"/>
      <c r="N7914" s="4"/>
      <c r="O7914" s="256"/>
    </row>
    <row r="7915" spans="1:15">
      <c r="A7915" s="207"/>
      <c r="B7915" s="207"/>
      <c r="N7915" s="4"/>
      <c r="O7915" s="256"/>
    </row>
    <row r="7916" spans="1:15">
      <c r="A7916" s="207"/>
      <c r="B7916" s="207"/>
      <c r="N7916" s="4"/>
      <c r="O7916" s="256"/>
    </row>
    <row r="7917" spans="1:15">
      <c r="A7917" s="207"/>
      <c r="B7917" s="207"/>
      <c r="N7917" s="4"/>
      <c r="O7917" s="256"/>
    </row>
    <row r="7918" spans="1:15">
      <c r="A7918" s="207"/>
      <c r="B7918" s="207"/>
      <c r="N7918" s="4"/>
      <c r="O7918" s="256"/>
    </row>
    <row r="7919" spans="1:15">
      <c r="A7919" s="207"/>
      <c r="B7919" s="207"/>
      <c r="N7919" s="4"/>
      <c r="O7919" s="256"/>
    </row>
    <row r="7920" spans="1:15">
      <c r="A7920" s="207"/>
      <c r="B7920" s="207"/>
      <c r="N7920" s="4"/>
      <c r="O7920" s="256"/>
    </row>
    <row r="7921" spans="1:15">
      <c r="A7921" s="207"/>
      <c r="B7921" s="207"/>
      <c r="N7921" s="4"/>
      <c r="O7921" s="256"/>
    </row>
    <row r="7922" spans="1:15">
      <c r="A7922" s="207"/>
      <c r="B7922" s="207"/>
      <c r="N7922" s="4"/>
      <c r="O7922" s="256"/>
    </row>
    <row r="7923" spans="1:15">
      <c r="A7923" s="207"/>
      <c r="B7923" s="207"/>
      <c r="N7923" s="4"/>
      <c r="O7923" s="256"/>
    </row>
    <row r="7924" spans="1:15">
      <c r="A7924" s="207"/>
      <c r="B7924" s="207"/>
      <c r="N7924" s="4"/>
      <c r="O7924" s="256"/>
    </row>
    <row r="7925" spans="1:15">
      <c r="A7925" s="207"/>
      <c r="B7925" s="207"/>
      <c r="N7925" s="4"/>
      <c r="O7925" s="256"/>
    </row>
    <row r="7926" spans="1:15">
      <c r="A7926" s="207"/>
      <c r="B7926" s="207"/>
      <c r="N7926" s="4"/>
      <c r="O7926" s="256"/>
    </row>
    <row r="7927" spans="1:15">
      <c r="A7927" s="207"/>
      <c r="B7927" s="207"/>
      <c r="N7927" s="4"/>
      <c r="O7927" s="256"/>
    </row>
    <row r="7928" spans="1:15">
      <c r="A7928" s="207"/>
      <c r="B7928" s="207"/>
      <c r="N7928" s="4"/>
      <c r="O7928" s="256"/>
    </row>
    <row r="7929" spans="1:15">
      <c r="A7929" s="207"/>
      <c r="B7929" s="207"/>
      <c r="N7929" s="4"/>
      <c r="O7929" s="256"/>
    </row>
    <row r="7930" spans="1:15">
      <c r="A7930" s="207"/>
      <c r="B7930" s="207"/>
      <c r="N7930" s="4"/>
      <c r="O7930" s="256"/>
    </row>
    <row r="7931" spans="1:15">
      <c r="A7931" s="207"/>
      <c r="B7931" s="207"/>
      <c r="N7931" s="4"/>
      <c r="O7931" s="256"/>
    </row>
    <row r="7932" spans="1:15">
      <c r="A7932" s="207"/>
      <c r="B7932" s="207"/>
      <c r="N7932" s="4"/>
      <c r="O7932" s="256"/>
    </row>
    <row r="7933" spans="1:15">
      <c r="A7933" s="207"/>
      <c r="B7933" s="207"/>
      <c r="N7933" s="4"/>
      <c r="O7933" s="256"/>
    </row>
    <row r="7934" spans="1:15">
      <c r="A7934" s="207"/>
      <c r="B7934" s="207"/>
      <c r="N7934" s="4"/>
      <c r="O7934" s="256"/>
    </row>
    <row r="7935" spans="1:15">
      <c r="A7935" s="207"/>
      <c r="B7935" s="207"/>
      <c r="N7935" s="4"/>
      <c r="O7935" s="256"/>
    </row>
    <row r="7936" spans="1:15">
      <c r="A7936" s="207"/>
      <c r="B7936" s="207"/>
      <c r="N7936" s="4"/>
      <c r="O7936" s="256"/>
    </row>
    <row r="7937" spans="1:15">
      <c r="A7937" s="207"/>
      <c r="B7937" s="207"/>
      <c r="N7937" s="4"/>
      <c r="O7937" s="256"/>
    </row>
    <row r="7938" spans="1:15">
      <c r="A7938" s="207"/>
      <c r="B7938" s="207"/>
      <c r="N7938" s="4"/>
      <c r="O7938" s="256"/>
    </row>
    <row r="7939" spans="1:15">
      <c r="A7939" s="207"/>
      <c r="B7939" s="207"/>
      <c r="N7939" s="4"/>
      <c r="O7939" s="256"/>
    </row>
    <row r="7940" spans="1:15">
      <c r="A7940" s="207"/>
      <c r="B7940" s="207"/>
      <c r="N7940" s="4"/>
      <c r="O7940" s="256"/>
    </row>
    <row r="7941" spans="1:15">
      <c r="A7941" s="207"/>
      <c r="B7941" s="207"/>
      <c r="N7941" s="4"/>
      <c r="O7941" s="256"/>
    </row>
    <row r="7942" spans="1:15">
      <c r="A7942" s="207"/>
      <c r="B7942" s="207"/>
      <c r="N7942" s="4"/>
      <c r="O7942" s="256"/>
    </row>
    <row r="7943" spans="1:15">
      <c r="A7943" s="207"/>
      <c r="B7943" s="207"/>
      <c r="N7943" s="4"/>
      <c r="O7943" s="256"/>
    </row>
    <row r="7944" spans="1:15">
      <c r="A7944" s="207"/>
      <c r="B7944" s="207"/>
      <c r="N7944" s="4"/>
      <c r="O7944" s="256"/>
    </row>
    <row r="7945" spans="1:15">
      <c r="A7945" s="207"/>
      <c r="B7945" s="207"/>
      <c r="N7945" s="4"/>
      <c r="O7945" s="256"/>
    </row>
    <row r="7946" spans="1:15">
      <c r="A7946" s="207"/>
      <c r="B7946" s="207"/>
      <c r="N7946" s="4"/>
      <c r="O7946" s="256"/>
    </row>
    <row r="7947" spans="1:15">
      <c r="A7947" s="207"/>
      <c r="B7947" s="207"/>
      <c r="N7947" s="4"/>
      <c r="O7947" s="256"/>
    </row>
    <row r="7948" spans="1:15">
      <c r="A7948" s="207"/>
      <c r="B7948" s="207"/>
      <c r="N7948" s="4"/>
      <c r="O7948" s="256"/>
    </row>
    <row r="7949" spans="1:15">
      <c r="A7949" s="207"/>
      <c r="B7949" s="207"/>
      <c r="N7949" s="4"/>
      <c r="O7949" s="256"/>
    </row>
    <row r="7950" spans="1:15">
      <c r="A7950" s="207"/>
      <c r="B7950" s="207"/>
      <c r="N7950" s="4"/>
      <c r="O7950" s="256"/>
    </row>
    <row r="7951" spans="1:15">
      <c r="A7951" s="207"/>
      <c r="B7951" s="207"/>
      <c r="N7951" s="4"/>
      <c r="O7951" s="256"/>
    </row>
    <row r="7952" spans="1:15">
      <c r="A7952" s="207"/>
      <c r="B7952" s="207"/>
      <c r="N7952" s="4"/>
      <c r="O7952" s="256"/>
    </row>
    <row r="7953" spans="1:15">
      <c r="A7953" s="207"/>
      <c r="B7953" s="207"/>
      <c r="N7953" s="4"/>
      <c r="O7953" s="256"/>
    </row>
    <row r="7954" spans="1:15">
      <c r="A7954" s="207"/>
      <c r="B7954" s="207"/>
      <c r="N7954" s="4"/>
      <c r="O7954" s="256"/>
    </row>
    <row r="7955" spans="1:15">
      <c r="A7955" s="207"/>
      <c r="B7955" s="207"/>
      <c r="N7955" s="4"/>
      <c r="O7955" s="256"/>
    </row>
    <row r="7956" spans="1:15">
      <c r="A7956" s="207"/>
      <c r="B7956" s="207"/>
      <c r="N7956" s="4"/>
      <c r="O7956" s="256"/>
    </row>
    <row r="7957" spans="1:15">
      <c r="A7957" s="207"/>
      <c r="B7957" s="207"/>
      <c r="N7957" s="4"/>
      <c r="O7957" s="256"/>
    </row>
    <row r="7958" spans="1:15">
      <c r="A7958" s="207"/>
      <c r="B7958" s="207"/>
      <c r="N7958" s="4"/>
      <c r="O7958" s="256"/>
    </row>
    <row r="7959" spans="1:15">
      <c r="A7959" s="207"/>
      <c r="B7959" s="207"/>
      <c r="N7959" s="4"/>
      <c r="O7959" s="256"/>
    </row>
    <row r="7960" spans="1:15">
      <c r="A7960" s="207"/>
      <c r="B7960" s="207"/>
      <c r="N7960" s="4"/>
      <c r="O7960" s="256"/>
    </row>
    <row r="7961" spans="1:15">
      <c r="A7961" s="207"/>
      <c r="B7961" s="207"/>
      <c r="N7961" s="4"/>
      <c r="O7961" s="256"/>
    </row>
    <row r="7962" spans="1:15">
      <c r="A7962" s="207"/>
      <c r="B7962" s="207"/>
      <c r="N7962" s="4"/>
      <c r="O7962" s="256"/>
    </row>
    <row r="7963" spans="1:15">
      <c r="A7963" s="207"/>
      <c r="B7963" s="207"/>
      <c r="N7963" s="4"/>
      <c r="O7963" s="256"/>
    </row>
    <row r="7964" spans="1:15">
      <c r="A7964" s="207"/>
      <c r="B7964" s="207"/>
      <c r="N7964" s="4"/>
      <c r="O7964" s="256"/>
    </row>
    <row r="7965" spans="1:15">
      <c r="A7965" s="207"/>
      <c r="B7965" s="207"/>
      <c r="N7965" s="4"/>
      <c r="O7965" s="256"/>
    </row>
    <row r="7966" spans="1:15">
      <c r="A7966" s="207"/>
      <c r="B7966" s="207"/>
      <c r="N7966" s="4"/>
      <c r="O7966" s="256"/>
    </row>
    <row r="7967" spans="1:15">
      <c r="A7967" s="207"/>
      <c r="B7967" s="207"/>
      <c r="N7967" s="4"/>
      <c r="O7967" s="256"/>
    </row>
    <row r="7968" spans="1:15">
      <c r="A7968" s="207"/>
      <c r="B7968" s="207"/>
      <c r="N7968" s="4"/>
      <c r="O7968" s="256"/>
    </row>
    <row r="7969" spans="1:15">
      <c r="A7969" s="207"/>
      <c r="B7969" s="207"/>
      <c r="N7969" s="4"/>
      <c r="O7969" s="256"/>
    </row>
    <row r="7970" spans="1:15">
      <c r="A7970" s="207"/>
      <c r="B7970" s="207"/>
      <c r="N7970" s="4"/>
      <c r="O7970" s="256"/>
    </row>
    <row r="7971" spans="1:15">
      <c r="A7971" s="207"/>
      <c r="B7971" s="207"/>
      <c r="N7971" s="4"/>
      <c r="O7971" s="256"/>
    </row>
    <row r="7972" spans="1:15">
      <c r="A7972" s="207"/>
      <c r="B7972" s="207"/>
      <c r="N7972" s="4"/>
      <c r="O7972" s="256"/>
    </row>
    <row r="7973" spans="1:15">
      <c r="A7973" s="207"/>
      <c r="B7973" s="207"/>
      <c r="N7973" s="4"/>
      <c r="O7973" s="256"/>
    </row>
    <row r="7974" spans="1:15">
      <c r="A7974" s="207"/>
      <c r="B7974" s="207"/>
      <c r="N7974" s="4"/>
      <c r="O7974" s="256"/>
    </row>
    <row r="7975" spans="1:15">
      <c r="A7975" s="207"/>
      <c r="B7975" s="207"/>
      <c r="N7975" s="4"/>
      <c r="O7975" s="256"/>
    </row>
    <row r="7976" spans="1:15">
      <c r="A7976" s="207"/>
      <c r="B7976" s="207"/>
      <c r="N7976" s="4"/>
      <c r="O7976" s="256"/>
    </row>
    <row r="7977" spans="1:15">
      <c r="A7977" s="207"/>
      <c r="B7977" s="207"/>
      <c r="N7977" s="4"/>
      <c r="O7977" s="256"/>
    </row>
    <row r="7978" spans="1:15">
      <c r="A7978" s="207"/>
      <c r="B7978" s="207"/>
      <c r="N7978" s="4"/>
      <c r="O7978" s="256"/>
    </row>
    <row r="7979" spans="1:15">
      <c r="A7979" s="207"/>
      <c r="B7979" s="207"/>
      <c r="N7979" s="4"/>
      <c r="O7979" s="256"/>
    </row>
    <row r="7980" spans="1:15">
      <c r="A7980" s="207"/>
      <c r="B7980" s="207"/>
      <c r="N7980" s="4"/>
      <c r="O7980" s="256"/>
    </row>
    <row r="7981" spans="1:15">
      <c r="A7981" s="207"/>
      <c r="B7981" s="207"/>
      <c r="N7981" s="4"/>
      <c r="O7981" s="256"/>
    </row>
    <row r="7982" spans="1:15">
      <c r="A7982" s="207"/>
      <c r="B7982" s="207"/>
      <c r="N7982" s="4"/>
      <c r="O7982" s="256"/>
    </row>
    <row r="7983" spans="1:15">
      <c r="A7983" s="207"/>
      <c r="B7983" s="207"/>
      <c r="N7983" s="4"/>
      <c r="O7983" s="256"/>
    </row>
    <row r="7984" spans="1:15">
      <c r="A7984" s="207"/>
      <c r="B7984" s="207"/>
      <c r="N7984" s="4"/>
      <c r="O7984" s="256"/>
    </row>
    <row r="7985" spans="1:15">
      <c r="A7985" s="207"/>
      <c r="B7985" s="207"/>
      <c r="N7985" s="4"/>
      <c r="O7985" s="256"/>
    </row>
    <row r="7986" spans="1:15">
      <c r="A7986" s="207"/>
      <c r="B7986" s="207"/>
      <c r="N7986" s="4"/>
      <c r="O7986" s="256"/>
    </row>
    <row r="7987" spans="1:15">
      <c r="A7987" s="207"/>
      <c r="B7987" s="207"/>
      <c r="N7987" s="4"/>
      <c r="O7987" s="256"/>
    </row>
    <row r="7988" spans="1:15">
      <c r="A7988" s="207"/>
      <c r="B7988" s="207"/>
      <c r="N7988" s="4"/>
      <c r="O7988" s="256"/>
    </row>
    <row r="7989" spans="1:15">
      <c r="A7989" s="207"/>
      <c r="B7989" s="207"/>
      <c r="N7989" s="4"/>
      <c r="O7989" s="256"/>
    </row>
    <row r="7990" spans="1:15">
      <c r="A7990" s="207"/>
      <c r="B7990" s="207"/>
      <c r="N7990" s="4"/>
      <c r="O7990" s="256"/>
    </row>
    <row r="7991" spans="1:15">
      <c r="A7991" s="207"/>
      <c r="B7991" s="207"/>
      <c r="N7991" s="4"/>
      <c r="O7991" s="256"/>
    </row>
    <row r="7992" spans="1:15">
      <c r="A7992" s="207"/>
      <c r="B7992" s="207"/>
      <c r="N7992" s="4"/>
      <c r="O7992" s="256"/>
    </row>
    <row r="7993" spans="1:15">
      <c r="A7993" s="207"/>
      <c r="B7993" s="207"/>
      <c r="N7993" s="4"/>
      <c r="O7993" s="256"/>
    </row>
    <row r="7994" spans="1:15">
      <c r="A7994" s="207"/>
      <c r="B7994" s="207"/>
      <c r="N7994" s="4"/>
      <c r="O7994" s="256"/>
    </row>
    <row r="7995" spans="1:15">
      <c r="A7995" s="207"/>
      <c r="B7995" s="207"/>
      <c r="N7995" s="4"/>
      <c r="O7995" s="256"/>
    </row>
    <row r="7996" spans="1:15">
      <c r="A7996" s="207"/>
      <c r="B7996" s="207"/>
      <c r="N7996" s="4"/>
      <c r="O7996" s="256"/>
    </row>
    <row r="7997" spans="1:15">
      <c r="A7997" s="207"/>
      <c r="B7997" s="207"/>
      <c r="N7997" s="4"/>
      <c r="O7997" s="256"/>
    </row>
    <row r="7998" spans="1:15">
      <c r="A7998" s="207"/>
      <c r="B7998" s="207"/>
      <c r="N7998" s="4"/>
      <c r="O7998" s="256"/>
    </row>
    <row r="7999" spans="1:15">
      <c r="A7999" s="207"/>
      <c r="B7999" s="207"/>
      <c r="N7999" s="4"/>
      <c r="O7999" s="256"/>
    </row>
    <row r="8000" spans="1:15">
      <c r="A8000" s="207"/>
      <c r="B8000" s="207"/>
      <c r="N8000" s="4"/>
      <c r="O8000" s="256"/>
    </row>
    <row r="8001" spans="1:15">
      <c r="A8001" s="207"/>
      <c r="B8001" s="207"/>
      <c r="N8001" s="4"/>
      <c r="O8001" s="256"/>
    </row>
    <row r="8002" spans="1:15">
      <c r="A8002" s="207"/>
      <c r="B8002" s="207"/>
      <c r="N8002" s="4"/>
      <c r="O8002" s="256"/>
    </row>
    <row r="8003" spans="1:15">
      <c r="A8003" s="207"/>
      <c r="B8003" s="207"/>
      <c r="N8003" s="4"/>
      <c r="O8003" s="256"/>
    </row>
    <row r="8004" spans="1:15">
      <c r="A8004" s="207"/>
      <c r="B8004" s="207"/>
      <c r="N8004" s="4"/>
      <c r="O8004" s="256"/>
    </row>
    <row r="8005" spans="1:15">
      <c r="A8005" s="207"/>
      <c r="B8005" s="207"/>
      <c r="N8005" s="4"/>
      <c r="O8005" s="256"/>
    </row>
    <row r="8006" spans="1:15">
      <c r="A8006" s="207"/>
      <c r="B8006" s="207"/>
      <c r="N8006" s="4"/>
      <c r="O8006" s="256"/>
    </row>
    <row r="8007" spans="1:15">
      <c r="A8007" s="207"/>
      <c r="B8007" s="207"/>
      <c r="N8007" s="4"/>
      <c r="O8007" s="256"/>
    </row>
    <row r="8008" spans="1:15">
      <c r="A8008" s="207"/>
      <c r="B8008" s="207"/>
      <c r="N8008" s="4"/>
      <c r="O8008" s="256"/>
    </row>
    <row r="8009" spans="1:15">
      <c r="A8009" s="207"/>
      <c r="B8009" s="207"/>
      <c r="N8009" s="4"/>
      <c r="O8009" s="256"/>
    </row>
    <row r="8010" spans="1:15">
      <c r="A8010" s="207"/>
      <c r="B8010" s="207"/>
      <c r="N8010" s="4"/>
      <c r="O8010" s="256"/>
    </row>
    <row r="8011" spans="1:15">
      <c r="A8011" s="207"/>
      <c r="B8011" s="207"/>
      <c r="N8011" s="4"/>
      <c r="O8011" s="256"/>
    </row>
    <row r="8012" spans="1:15">
      <c r="A8012" s="207"/>
      <c r="B8012" s="207"/>
      <c r="N8012" s="4"/>
      <c r="O8012" s="256"/>
    </row>
    <row r="8013" spans="1:15">
      <c r="A8013" s="207"/>
      <c r="B8013" s="207"/>
      <c r="N8013" s="4"/>
      <c r="O8013" s="256"/>
    </row>
    <row r="8014" spans="1:15">
      <c r="A8014" s="207"/>
      <c r="B8014" s="207"/>
      <c r="N8014" s="4"/>
      <c r="O8014" s="256"/>
    </row>
    <row r="8015" spans="1:15">
      <c r="A8015" s="207"/>
      <c r="B8015" s="207"/>
      <c r="N8015" s="4"/>
      <c r="O8015" s="256"/>
    </row>
    <row r="8016" spans="1:15">
      <c r="A8016" s="207"/>
      <c r="B8016" s="207"/>
      <c r="N8016" s="4"/>
      <c r="O8016" s="256"/>
    </row>
    <row r="8017" spans="1:15">
      <c r="A8017" s="207"/>
      <c r="B8017" s="207"/>
      <c r="N8017" s="4"/>
      <c r="O8017" s="256"/>
    </row>
    <row r="8018" spans="1:15">
      <c r="A8018" s="207"/>
      <c r="B8018" s="207"/>
      <c r="N8018" s="4"/>
      <c r="O8018" s="256"/>
    </row>
    <row r="8019" spans="1:15">
      <c r="A8019" s="207"/>
      <c r="B8019" s="207"/>
      <c r="N8019" s="4"/>
      <c r="O8019" s="256"/>
    </row>
    <row r="8020" spans="1:15">
      <c r="A8020" s="207"/>
      <c r="B8020" s="207"/>
      <c r="N8020" s="4"/>
      <c r="O8020" s="256"/>
    </row>
    <row r="8021" spans="1:15">
      <c r="A8021" s="207"/>
      <c r="B8021" s="207"/>
      <c r="N8021" s="4"/>
      <c r="O8021" s="256"/>
    </row>
    <row r="8022" spans="1:15">
      <c r="A8022" s="207"/>
      <c r="B8022" s="207"/>
      <c r="N8022" s="4"/>
      <c r="O8022" s="256"/>
    </row>
    <row r="8023" spans="1:15">
      <c r="A8023" s="207"/>
      <c r="B8023" s="207"/>
      <c r="N8023" s="4"/>
      <c r="O8023" s="256"/>
    </row>
    <row r="8024" spans="1:15">
      <c r="A8024" s="207"/>
      <c r="B8024" s="207"/>
      <c r="N8024" s="4"/>
      <c r="O8024" s="256"/>
    </row>
    <row r="8025" spans="1:15">
      <c r="A8025" s="207"/>
      <c r="B8025" s="207"/>
      <c r="N8025" s="4"/>
      <c r="O8025" s="256"/>
    </row>
    <row r="8026" spans="1:15">
      <c r="A8026" s="207"/>
      <c r="B8026" s="207"/>
      <c r="N8026" s="4"/>
      <c r="O8026" s="256"/>
    </row>
    <row r="8027" spans="1:15">
      <c r="A8027" s="207"/>
      <c r="B8027" s="207"/>
      <c r="N8027" s="4"/>
      <c r="O8027" s="256"/>
    </row>
    <row r="8028" spans="1:15">
      <c r="A8028" s="207"/>
      <c r="B8028" s="207"/>
      <c r="N8028" s="4"/>
      <c r="O8028" s="256"/>
    </row>
    <row r="8029" spans="1:15">
      <c r="A8029" s="207"/>
      <c r="B8029" s="207"/>
      <c r="N8029" s="4"/>
      <c r="O8029" s="256"/>
    </row>
    <row r="8030" spans="1:15">
      <c r="A8030" s="207"/>
      <c r="B8030" s="207"/>
      <c r="N8030" s="4"/>
      <c r="O8030" s="256"/>
    </row>
    <row r="8031" spans="1:15">
      <c r="A8031" s="207"/>
      <c r="B8031" s="207"/>
      <c r="N8031" s="4"/>
      <c r="O8031" s="256"/>
    </row>
    <row r="8032" spans="1:15">
      <c r="A8032" s="207"/>
      <c r="B8032" s="207"/>
      <c r="N8032" s="4"/>
      <c r="O8032" s="256"/>
    </row>
    <row r="8033" spans="1:15">
      <c r="A8033" s="207"/>
      <c r="B8033" s="207"/>
      <c r="N8033" s="4"/>
      <c r="O8033" s="256"/>
    </row>
    <row r="8034" spans="1:15">
      <c r="A8034" s="207"/>
      <c r="B8034" s="207"/>
      <c r="N8034" s="4"/>
      <c r="O8034" s="256"/>
    </row>
    <row r="8035" spans="1:15">
      <c r="A8035" s="207"/>
      <c r="B8035" s="207"/>
      <c r="N8035" s="4"/>
      <c r="O8035" s="256"/>
    </row>
    <row r="8036" spans="1:15">
      <c r="A8036" s="207"/>
      <c r="B8036" s="207"/>
      <c r="N8036" s="4"/>
      <c r="O8036" s="256"/>
    </row>
    <row r="8037" spans="1:15">
      <c r="A8037" s="207"/>
      <c r="B8037" s="207"/>
      <c r="N8037" s="4"/>
      <c r="O8037" s="256"/>
    </row>
    <row r="8038" spans="1:15">
      <c r="A8038" s="207"/>
      <c r="B8038" s="207"/>
      <c r="N8038" s="4"/>
      <c r="O8038" s="256"/>
    </row>
    <row r="8039" spans="1:15">
      <c r="A8039" s="207"/>
      <c r="B8039" s="207"/>
      <c r="N8039" s="4"/>
      <c r="O8039" s="256"/>
    </row>
    <row r="8040" spans="1:15">
      <c r="A8040" s="207"/>
      <c r="B8040" s="207"/>
      <c r="N8040" s="4"/>
      <c r="O8040" s="256"/>
    </row>
    <row r="8041" spans="1:15">
      <c r="A8041" s="207"/>
      <c r="B8041" s="207"/>
      <c r="N8041" s="4"/>
      <c r="O8041" s="256"/>
    </row>
    <row r="8042" spans="1:15">
      <c r="A8042" s="207"/>
      <c r="B8042" s="207"/>
      <c r="N8042" s="4"/>
      <c r="O8042" s="256"/>
    </row>
    <row r="8043" spans="1:15">
      <c r="A8043" s="207"/>
      <c r="B8043" s="207"/>
      <c r="N8043" s="4"/>
      <c r="O8043" s="256"/>
    </row>
    <row r="8044" spans="1:15">
      <c r="A8044" s="207"/>
      <c r="B8044" s="207"/>
      <c r="N8044" s="4"/>
      <c r="O8044" s="256"/>
    </row>
    <row r="8045" spans="1:15">
      <c r="A8045" s="207"/>
      <c r="B8045" s="207"/>
      <c r="N8045" s="4"/>
      <c r="O8045" s="256"/>
    </row>
    <row r="8046" spans="1:15">
      <c r="A8046" s="207"/>
      <c r="B8046" s="207"/>
      <c r="N8046" s="4"/>
      <c r="O8046" s="256"/>
    </row>
    <row r="8047" spans="1:15">
      <c r="A8047" s="207"/>
      <c r="B8047" s="207"/>
      <c r="N8047" s="4"/>
      <c r="O8047" s="256"/>
    </row>
    <row r="8048" spans="1:15">
      <c r="A8048" s="207"/>
      <c r="B8048" s="207"/>
      <c r="N8048" s="4"/>
      <c r="O8048" s="256"/>
    </row>
    <row r="8049" spans="1:15">
      <c r="A8049" s="207"/>
      <c r="B8049" s="207"/>
      <c r="N8049" s="4"/>
      <c r="O8049" s="256"/>
    </row>
    <row r="8050" spans="1:15">
      <c r="A8050" s="207"/>
      <c r="B8050" s="207"/>
      <c r="N8050" s="4"/>
      <c r="O8050" s="256"/>
    </row>
    <row r="8051" spans="1:15">
      <c r="A8051" s="207"/>
      <c r="B8051" s="207"/>
      <c r="N8051" s="4"/>
      <c r="O8051" s="256"/>
    </row>
    <row r="8052" spans="1:15">
      <c r="A8052" s="207"/>
      <c r="B8052" s="207"/>
      <c r="N8052" s="4"/>
      <c r="O8052" s="256"/>
    </row>
    <row r="8053" spans="1:15">
      <c r="A8053" s="207"/>
      <c r="B8053" s="207"/>
      <c r="N8053" s="4"/>
      <c r="O8053" s="256"/>
    </row>
    <row r="8054" spans="1:15">
      <c r="A8054" s="207"/>
      <c r="B8054" s="207"/>
      <c r="N8054" s="4"/>
      <c r="O8054" s="256"/>
    </row>
    <row r="8055" spans="1:15">
      <c r="A8055" s="207"/>
      <c r="B8055" s="207"/>
      <c r="N8055" s="4"/>
      <c r="O8055" s="256"/>
    </row>
    <row r="8056" spans="1:15">
      <c r="A8056" s="207"/>
      <c r="B8056" s="207"/>
      <c r="N8056" s="4"/>
      <c r="O8056" s="256"/>
    </row>
    <row r="8057" spans="1:15">
      <c r="A8057" s="207"/>
      <c r="B8057" s="207"/>
      <c r="N8057" s="4"/>
      <c r="O8057" s="256"/>
    </row>
    <row r="8058" spans="1:15">
      <c r="A8058" s="207"/>
      <c r="B8058" s="207"/>
      <c r="N8058" s="4"/>
      <c r="O8058" s="256"/>
    </row>
    <row r="8059" spans="1:15">
      <c r="A8059" s="207"/>
      <c r="B8059" s="207"/>
      <c r="N8059" s="4"/>
      <c r="O8059" s="256"/>
    </row>
    <row r="8060" spans="1:15">
      <c r="A8060" s="207"/>
      <c r="B8060" s="207"/>
      <c r="N8060" s="4"/>
      <c r="O8060" s="256"/>
    </row>
    <row r="8061" spans="1:15">
      <c r="A8061" s="207"/>
      <c r="B8061" s="207"/>
      <c r="N8061" s="4"/>
      <c r="O8061" s="256"/>
    </row>
    <row r="8062" spans="1:15">
      <c r="A8062" s="207"/>
      <c r="B8062" s="207"/>
      <c r="N8062" s="4"/>
      <c r="O8062" s="256"/>
    </row>
    <row r="8063" spans="1:15">
      <c r="A8063" s="207"/>
      <c r="B8063" s="207"/>
      <c r="N8063" s="4"/>
      <c r="O8063" s="256"/>
    </row>
    <row r="8064" spans="1:15">
      <c r="A8064" s="207"/>
      <c r="B8064" s="207"/>
      <c r="N8064" s="4"/>
      <c r="O8064" s="256"/>
    </row>
    <row r="8065" spans="1:15">
      <c r="A8065" s="207"/>
      <c r="B8065" s="207"/>
      <c r="N8065" s="4"/>
      <c r="O8065" s="256"/>
    </row>
    <row r="8066" spans="1:15">
      <c r="A8066" s="207"/>
      <c r="B8066" s="207"/>
      <c r="N8066" s="4"/>
      <c r="O8066" s="256"/>
    </row>
    <row r="8067" spans="1:15">
      <c r="A8067" s="207"/>
      <c r="B8067" s="207"/>
      <c r="N8067" s="4"/>
      <c r="O8067" s="256"/>
    </row>
    <row r="8068" spans="1:15">
      <c r="A8068" s="207"/>
      <c r="B8068" s="207"/>
      <c r="N8068" s="4"/>
      <c r="O8068" s="256"/>
    </row>
    <row r="8069" spans="1:15">
      <c r="A8069" s="207"/>
      <c r="B8069" s="207"/>
      <c r="N8069" s="4"/>
      <c r="O8069" s="256"/>
    </row>
    <row r="8070" spans="1:15">
      <c r="A8070" s="207"/>
      <c r="B8070" s="207"/>
      <c r="N8070" s="4"/>
      <c r="O8070" s="256"/>
    </row>
    <row r="8071" spans="1:15">
      <c r="A8071" s="207"/>
      <c r="B8071" s="207"/>
      <c r="N8071" s="4"/>
      <c r="O8071" s="256"/>
    </row>
    <row r="8072" spans="1:15">
      <c r="A8072" s="207"/>
      <c r="B8072" s="207"/>
      <c r="N8072" s="4"/>
      <c r="O8072" s="256"/>
    </row>
    <row r="8073" spans="1:15">
      <c r="A8073" s="207"/>
      <c r="B8073" s="207"/>
      <c r="N8073" s="4"/>
      <c r="O8073" s="256"/>
    </row>
    <row r="8074" spans="1:15">
      <c r="A8074" s="207"/>
      <c r="B8074" s="207"/>
      <c r="N8074" s="4"/>
      <c r="O8074" s="256"/>
    </row>
    <row r="8075" spans="1:15">
      <c r="A8075" s="207"/>
      <c r="B8075" s="207"/>
      <c r="N8075" s="4"/>
      <c r="O8075" s="256"/>
    </row>
    <row r="8076" spans="1:15">
      <c r="A8076" s="207"/>
      <c r="B8076" s="207"/>
      <c r="N8076" s="4"/>
      <c r="O8076" s="256"/>
    </row>
    <row r="8077" spans="1:15">
      <c r="A8077" s="207"/>
      <c r="B8077" s="207"/>
      <c r="N8077" s="4"/>
      <c r="O8077" s="256"/>
    </row>
    <row r="8078" spans="1:15">
      <c r="A8078" s="207"/>
      <c r="B8078" s="207"/>
      <c r="N8078" s="4"/>
      <c r="O8078" s="256"/>
    </row>
    <row r="8079" spans="1:15">
      <c r="A8079" s="207"/>
      <c r="B8079" s="207"/>
      <c r="N8079" s="4"/>
      <c r="O8079" s="256"/>
    </row>
    <row r="8080" spans="1:15">
      <c r="A8080" s="207"/>
      <c r="B8080" s="207"/>
      <c r="N8080" s="4"/>
      <c r="O8080" s="256"/>
    </row>
    <row r="8081" spans="1:15">
      <c r="A8081" s="207"/>
      <c r="B8081" s="207"/>
      <c r="N8081" s="4"/>
      <c r="O8081" s="256"/>
    </row>
    <row r="8082" spans="1:15">
      <c r="A8082" s="207"/>
      <c r="B8082" s="207"/>
      <c r="N8082" s="4"/>
      <c r="O8082" s="256"/>
    </row>
    <row r="8083" spans="1:15">
      <c r="A8083" s="207"/>
      <c r="B8083" s="207"/>
      <c r="N8083" s="4"/>
      <c r="O8083" s="256"/>
    </row>
    <row r="8084" spans="1:15">
      <c r="A8084" s="207"/>
      <c r="B8084" s="207"/>
      <c r="N8084" s="4"/>
      <c r="O8084" s="256"/>
    </row>
    <row r="8085" spans="1:15">
      <c r="A8085" s="207"/>
      <c r="B8085" s="207"/>
      <c r="N8085" s="4"/>
      <c r="O8085" s="256"/>
    </row>
    <row r="8086" spans="1:15">
      <c r="A8086" s="207"/>
      <c r="B8086" s="207"/>
      <c r="N8086" s="4"/>
      <c r="O8086" s="256"/>
    </row>
    <row r="8087" spans="1:15">
      <c r="A8087" s="207"/>
      <c r="B8087" s="207"/>
      <c r="N8087" s="4"/>
      <c r="O8087" s="256"/>
    </row>
    <row r="8088" spans="1:15">
      <c r="A8088" s="207"/>
      <c r="B8088" s="207"/>
      <c r="N8088" s="4"/>
      <c r="O8088" s="256"/>
    </row>
    <row r="8089" spans="1:15">
      <c r="A8089" s="207"/>
      <c r="B8089" s="207"/>
      <c r="N8089" s="4"/>
      <c r="O8089" s="256"/>
    </row>
    <row r="8090" spans="1:15">
      <c r="A8090" s="207"/>
      <c r="B8090" s="207"/>
      <c r="N8090" s="4"/>
      <c r="O8090" s="256"/>
    </row>
    <row r="8091" spans="1:15">
      <c r="A8091" s="207"/>
      <c r="B8091" s="207"/>
      <c r="N8091" s="4"/>
      <c r="O8091" s="256"/>
    </row>
    <row r="8092" spans="1:15">
      <c r="A8092" s="207"/>
      <c r="B8092" s="207"/>
      <c r="N8092" s="4"/>
      <c r="O8092" s="256"/>
    </row>
    <row r="8093" spans="1:15">
      <c r="A8093" s="207"/>
      <c r="B8093" s="207"/>
      <c r="N8093" s="4"/>
      <c r="O8093" s="256"/>
    </row>
    <row r="8094" spans="1:15">
      <c r="A8094" s="207"/>
      <c r="B8094" s="207"/>
      <c r="N8094" s="4"/>
      <c r="O8094" s="256"/>
    </row>
    <row r="8095" spans="1:15">
      <c r="A8095" s="207"/>
      <c r="B8095" s="207"/>
      <c r="N8095" s="4"/>
      <c r="O8095" s="256"/>
    </row>
    <row r="8096" spans="1:15">
      <c r="A8096" s="207"/>
      <c r="B8096" s="207"/>
      <c r="N8096" s="4"/>
      <c r="O8096" s="256"/>
    </row>
    <row r="8097" spans="1:15">
      <c r="A8097" s="207"/>
      <c r="B8097" s="207"/>
      <c r="N8097" s="4"/>
      <c r="O8097" s="256"/>
    </row>
    <row r="8098" spans="1:15">
      <c r="A8098" s="207"/>
      <c r="B8098" s="207"/>
      <c r="N8098" s="4"/>
      <c r="O8098" s="256"/>
    </row>
    <row r="8099" spans="1:15">
      <c r="A8099" s="207"/>
      <c r="B8099" s="207"/>
      <c r="N8099" s="4"/>
      <c r="O8099" s="256"/>
    </row>
    <row r="8100" spans="1:15">
      <c r="A8100" s="207"/>
      <c r="B8100" s="207"/>
      <c r="N8100" s="4"/>
      <c r="O8100" s="256"/>
    </row>
    <row r="8101" spans="1:15">
      <c r="A8101" s="207"/>
      <c r="B8101" s="207"/>
      <c r="N8101" s="4"/>
      <c r="O8101" s="256"/>
    </row>
    <row r="8102" spans="1:15">
      <c r="A8102" s="207"/>
      <c r="B8102" s="207"/>
      <c r="N8102" s="4"/>
      <c r="O8102" s="256"/>
    </row>
    <row r="8103" spans="1:15">
      <c r="A8103" s="207"/>
      <c r="B8103" s="207"/>
      <c r="N8103" s="4"/>
      <c r="O8103" s="256"/>
    </row>
    <row r="8104" spans="1:15">
      <c r="A8104" s="207"/>
      <c r="B8104" s="207"/>
      <c r="N8104" s="4"/>
      <c r="O8104" s="256"/>
    </row>
    <row r="8105" spans="1:15">
      <c r="A8105" s="207"/>
      <c r="B8105" s="207"/>
      <c r="N8105" s="4"/>
      <c r="O8105" s="256"/>
    </row>
    <row r="8106" spans="1:15">
      <c r="A8106" s="207"/>
      <c r="B8106" s="207"/>
      <c r="N8106" s="4"/>
      <c r="O8106" s="256"/>
    </row>
    <row r="8107" spans="1:15">
      <c r="A8107" s="207"/>
      <c r="B8107" s="207"/>
      <c r="N8107" s="4"/>
      <c r="O8107" s="256"/>
    </row>
    <row r="8108" spans="1:15">
      <c r="A8108" s="207"/>
      <c r="B8108" s="207"/>
      <c r="N8108" s="4"/>
      <c r="O8108" s="256"/>
    </row>
    <row r="8109" spans="1:15">
      <c r="A8109" s="207"/>
      <c r="B8109" s="207"/>
      <c r="N8109" s="4"/>
      <c r="O8109" s="256"/>
    </row>
    <row r="8110" spans="1:15">
      <c r="A8110" s="207"/>
      <c r="B8110" s="207"/>
      <c r="N8110" s="4"/>
      <c r="O8110" s="256"/>
    </row>
    <row r="8111" spans="1:15">
      <c r="A8111" s="207"/>
      <c r="B8111" s="207"/>
      <c r="N8111" s="4"/>
      <c r="O8111" s="256"/>
    </row>
    <row r="8112" spans="1:15">
      <c r="A8112" s="207"/>
      <c r="B8112" s="207"/>
      <c r="N8112" s="4"/>
      <c r="O8112" s="256"/>
    </row>
    <row r="8113" spans="1:15">
      <c r="A8113" s="207"/>
      <c r="B8113" s="207"/>
      <c r="N8113" s="4"/>
      <c r="O8113" s="256"/>
    </row>
    <row r="8114" spans="1:15">
      <c r="A8114" s="207"/>
      <c r="B8114" s="207"/>
      <c r="N8114" s="4"/>
      <c r="O8114" s="256"/>
    </row>
    <row r="8115" spans="1:15">
      <c r="A8115" s="207"/>
      <c r="B8115" s="207"/>
      <c r="N8115" s="4"/>
      <c r="O8115" s="256"/>
    </row>
    <row r="8116" spans="1:15">
      <c r="A8116" s="207"/>
      <c r="B8116" s="207"/>
      <c r="N8116" s="4"/>
      <c r="O8116" s="256"/>
    </row>
    <row r="8117" spans="1:15">
      <c r="A8117" s="207"/>
      <c r="B8117" s="207"/>
      <c r="N8117" s="4"/>
      <c r="O8117" s="256"/>
    </row>
    <row r="8118" spans="1:15">
      <c r="A8118" s="207"/>
      <c r="B8118" s="207"/>
      <c r="N8118" s="4"/>
      <c r="O8118" s="256"/>
    </row>
    <row r="8119" spans="1:15">
      <c r="A8119" s="207"/>
      <c r="B8119" s="207"/>
      <c r="N8119" s="4"/>
      <c r="O8119" s="256"/>
    </row>
    <row r="8120" spans="1:15">
      <c r="A8120" s="207"/>
      <c r="B8120" s="207"/>
      <c r="N8120" s="4"/>
      <c r="O8120" s="256"/>
    </row>
    <row r="8121" spans="1:15">
      <c r="A8121" s="207"/>
      <c r="B8121" s="207"/>
      <c r="N8121" s="4"/>
      <c r="O8121" s="256"/>
    </row>
    <row r="8122" spans="1:15">
      <c r="A8122" s="207"/>
      <c r="B8122" s="207"/>
      <c r="N8122" s="4"/>
      <c r="O8122" s="256"/>
    </row>
    <row r="8123" spans="1:15">
      <c r="A8123" s="207"/>
      <c r="B8123" s="207"/>
      <c r="N8123" s="4"/>
      <c r="O8123" s="256"/>
    </row>
    <row r="8124" spans="1:15">
      <c r="A8124" s="207"/>
      <c r="B8124" s="207"/>
      <c r="N8124" s="4"/>
      <c r="O8124" s="256"/>
    </row>
    <row r="8125" spans="1:15">
      <c r="A8125" s="207"/>
      <c r="B8125" s="207"/>
      <c r="N8125" s="4"/>
      <c r="O8125" s="256"/>
    </row>
    <row r="8126" spans="1:15">
      <c r="A8126" s="207"/>
      <c r="B8126" s="207"/>
      <c r="N8126" s="4"/>
      <c r="O8126" s="256"/>
    </row>
    <row r="8127" spans="1:15">
      <c r="A8127" s="207"/>
      <c r="B8127" s="207"/>
      <c r="N8127" s="4"/>
      <c r="O8127" s="256"/>
    </row>
    <row r="8128" spans="1:15">
      <c r="A8128" s="207"/>
      <c r="B8128" s="207"/>
      <c r="N8128" s="4"/>
      <c r="O8128" s="256"/>
    </row>
    <row r="8129" spans="1:15">
      <c r="A8129" s="207"/>
      <c r="B8129" s="207"/>
      <c r="N8129" s="4"/>
      <c r="O8129" s="256"/>
    </row>
    <row r="8130" spans="1:15">
      <c r="A8130" s="207"/>
      <c r="B8130" s="207"/>
      <c r="N8130" s="4"/>
      <c r="O8130" s="256"/>
    </row>
    <row r="8131" spans="1:15">
      <c r="A8131" s="207"/>
      <c r="B8131" s="207"/>
      <c r="N8131" s="4"/>
      <c r="O8131" s="256"/>
    </row>
    <row r="8132" spans="1:15">
      <c r="A8132" s="207"/>
      <c r="B8132" s="207"/>
      <c r="N8132" s="4"/>
      <c r="O8132" s="256"/>
    </row>
    <row r="8133" spans="1:15">
      <c r="A8133" s="207"/>
      <c r="B8133" s="207"/>
      <c r="N8133" s="4"/>
      <c r="O8133" s="256"/>
    </row>
    <row r="8134" spans="1:15">
      <c r="A8134" s="207"/>
      <c r="B8134" s="207"/>
      <c r="N8134" s="4"/>
      <c r="O8134" s="256"/>
    </row>
    <row r="8135" spans="1:15">
      <c r="A8135" s="207"/>
      <c r="B8135" s="207"/>
      <c r="N8135" s="4"/>
      <c r="O8135" s="256"/>
    </row>
    <row r="8136" spans="1:15">
      <c r="A8136" s="207"/>
      <c r="B8136" s="207"/>
      <c r="N8136" s="4"/>
      <c r="O8136" s="256"/>
    </row>
    <row r="8137" spans="1:15">
      <c r="A8137" s="207"/>
      <c r="B8137" s="207"/>
      <c r="N8137" s="4"/>
      <c r="O8137" s="256"/>
    </row>
    <row r="8138" spans="1:15">
      <c r="A8138" s="207"/>
      <c r="B8138" s="207"/>
      <c r="N8138" s="4"/>
      <c r="O8138" s="256"/>
    </row>
    <row r="8139" spans="1:15">
      <c r="A8139" s="207"/>
      <c r="B8139" s="207"/>
      <c r="N8139" s="4"/>
      <c r="O8139" s="256"/>
    </row>
    <row r="8140" spans="1:15">
      <c r="A8140" s="207"/>
      <c r="B8140" s="207"/>
      <c r="N8140" s="4"/>
      <c r="O8140" s="256"/>
    </row>
    <row r="8141" spans="1:15">
      <c r="A8141" s="207"/>
      <c r="B8141" s="207"/>
      <c r="N8141" s="4"/>
      <c r="O8141" s="256"/>
    </row>
    <row r="8142" spans="1:15">
      <c r="A8142" s="207"/>
      <c r="B8142" s="207"/>
      <c r="N8142" s="4"/>
      <c r="O8142" s="256"/>
    </row>
    <row r="8143" spans="1:15">
      <c r="A8143" s="207"/>
      <c r="B8143" s="207"/>
      <c r="N8143" s="4"/>
      <c r="O8143" s="256"/>
    </row>
    <row r="8144" spans="1:15">
      <c r="A8144" s="207"/>
      <c r="B8144" s="207"/>
      <c r="N8144" s="4"/>
      <c r="O8144" s="256"/>
    </row>
    <row r="8145" spans="1:15">
      <c r="A8145" s="207"/>
      <c r="B8145" s="207"/>
      <c r="N8145" s="4"/>
      <c r="O8145" s="256"/>
    </row>
    <row r="8146" spans="1:15">
      <c r="A8146" s="207"/>
      <c r="B8146" s="207"/>
      <c r="N8146" s="4"/>
      <c r="O8146" s="256"/>
    </row>
    <row r="8147" spans="1:15">
      <c r="A8147" s="207"/>
      <c r="B8147" s="207"/>
      <c r="N8147" s="4"/>
      <c r="O8147" s="256"/>
    </row>
    <row r="8148" spans="1:15">
      <c r="A8148" s="207"/>
      <c r="B8148" s="207"/>
      <c r="N8148" s="4"/>
      <c r="O8148" s="256"/>
    </row>
    <row r="8149" spans="1:15">
      <c r="A8149" s="207"/>
      <c r="B8149" s="207"/>
      <c r="N8149" s="4"/>
      <c r="O8149" s="256"/>
    </row>
    <row r="8150" spans="1:15">
      <c r="A8150" s="207"/>
      <c r="B8150" s="207"/>
      <c r="N8150" s="4"/>
      <c r="O8150" s="256"/>
    </row>
    <row r="8151" spans="1:15">
      <c r="A8151" s="207"/>
      <c r="B8151" s="207"/>
      <c r="N8151" s="4"/>
      <c r="O8151" s="256"/>
    </row>
    <row r="8152" spans="1:15">
      <c r="A8152" s="207"/>
      <c r="B8152" s="207"/>
      <c r="N8152" s="4"/>
      <c r="O8152" s="256"/>
    </row>
    <row r="8153" spans="1:15">
      <c r="A8153" s="207"/>
      <c r="B8153" s="207"/>
      <c r="N8153" s="4"/>
      <c r="O8153" s="256"/>
    </row>
    <row r="8154" spans="1:15">
      <c r="A8154" s="207"/>
      <c r="B8154" s="207"/>
      <c r="N8154" s="4"/>
      <c r="O8154" s="256"/>
    </row>
    <row r="8155" spans="1:15">
      <c r="A8155" s="207"/>
      <c r="B8155" s="207"/>
      <c r="N8155" s="4"/>
      <c r="O8155" s="256"/>
    </row>
    <row r="8156" spans="1:15">
      <c r="A8156" s="207"/>
      <c r="B8156" s="207"/>
      <c r="N8156" s="4"/>
      <c r="O8156" s="256"/>
    </row>
    <row r="8157" spans="1:15">
      <c r="A8157" s="207"/>
      <c r="B8157" s="207"/>
      <c r="N8157" s="4"/>
      <c r="O8157" s="256"/>
    </row>
    <row r="8158" spans="1:15">
      <c r="A8158" s="207"/>
      <c r="B8158" s="207"/>
      <c r="N8158" s="4"/>
      <c r="O8158" s="256"/>
    </row>
    <row r="8159" spans="1:15">
      <c r="A8159" s="207"/>
      <c r="B8159" s="207"/>
      <c r="N8159" s="4"/>
      <c r="O8159" s="256"/>
    </row>
    <row r="8160" spans="1:15">
      <c r="A8160" s="207"/>
      <c r="B8160" s="207"/>
      <c r="N8160" s="4"/>
      <c r="O8160" s="256"/>
    </row>
    <row r="8161" spans="1:15">
      <c r="A8161" s="207"/>
      <c r="B8161" s="207"/>
      <c r="N8161" s="4"/>
      <c r="O8161" s="256"/>
    </row>
    <row r="8162" spans="1:15">
      <c r="A8162" s="207"/>
      <c r="B8162" s="207"/>
      <c r="N8162" s="4"/>
      <c r="O8162" s="256"/>
    </row>
    <row r="8163" spans="1:15">
      <c r="A8163" s="207"/>
      <c r="B8163" s="207"/>
      <c r="N8163" s="4"/>
      <c r="O8163" s="256"/>
    </row>
    <row r="8164" spans="1:15">
      <c r="A8164" s="207"/>
      <c r="B8164" s="207"/>
      <c r="N8164" s="4"/>
      <c r="O8164" s="256"/>
    </row>
    <row r="8165" spans="1:15">
      <c r="A8165" s="207"/>
      <c r="B8165" s="207"/>
      <c r="N8165" s="4"/>
      <c r="O8165" s="256"/>
    </row>
    <row r="8166" spans="1:15">
      <c r="A8166" s="207"/>
      <c r="B8166" s="207"/>
      <c r="N8166" s="4"/>
      <c r="O8166" s="256"/>
    </row>
    <row r="8167" spans="1:15">
      <c r="A8167" s="207"/>
      <c r="B8167" s="207"/>
      <c r="N8167" s="4"/>
      <c r="O8167" s="256"/>
    </row>
    <row r="8168" spans="1:15">
      <c r="A8168" s="207"/>
      <c r="B8168" s="207"/>
      <c r="N8168" s="4"/>
      <c r="O8168" s="256"/>
    </row>
    <row r="8169" spans="1:15">
      <c r="A8169" s="207"/>
      <c r="B8169" s="207"/>
      <c r="N8169" s="4"/>
      <c r="O8169" s="256"/>
    </row>
    <row r="8170" spans="1:15">
      <c r="A8170" s="207"/>
      <c r="B8170" s="207"/>
      <c r="N8170" s="4"/>
      <c r="O8170" s="256"/>
    </row>
    <row r="8171" spans="1:15">
      <c r="A8171" s="207"/>
      <c r="B8171" s="207"/>
      <c r="N8171" s="4"/>
      <c r="O8171" s="256"/>
    </row>
    <row r="8172" spans="1:15">
      <c r="A8172" s="207"/>
      <c r="B8172" s="207"/>
      <c r="N8172" s="4"/>
      <c r="O8172" s="256"/>
    </row>
    <row r="8173" spans="1:15">
      <c r="A8173" s="207"/>
      <c r="B8173" s="207"/>
      <c r="N8173" s="4"/>
      <c r="O8173" s="256"/>
    </row>
    <row r="8174" spans="1:15">
      <c r="A8174" s="207"/>
      <c r="B8174" s="207"/>
      <c r="N8174" s="4"/>
      <c r="O8174" s="256"/>
    </row>
    <row r="8175" spans="1:15">
      <c r="A8175" s="207"/>
      <c r="B8175" s="207"/>
      <c r="N8175" s="4"/>
      <c r="O8175" s="256"/>
    </row>
    <row r="8176" spans="1:15">
      <c r="A8176" s="207"/>
      <c r="B8176" s="207"/>
      <c r="N8176" s="4"/>
      <c r="O8176" s="256"/>
    </row>
    <row r="8177" spans="1:15">
      <c r="A8177" s="207"/>
      <c r="B8177" s="207"/>
      <c r="N8177" s="4"/>
      <c r="O8177" s="256"/>
    </row>
    <row r="8178" spans="1:15">
      <c r="A8178" s="207"/>
      <c r="B8178" s="207"/>
      <c r="N8178" s="4"/>
      <c r="O8178" s="256"/>
    </row>
    <row r="8179" spans="1:15">
      <c r="A8179" s="207"/>
      <c r="B8179" s="207"/>
      <c r="N8179" s="4"/>
      <c r="O8179" s="256"/>
    </row>
    <row r="8180" spans="1:15">
      <c r="A8180" s="207"/>
      <c r="B8180" s="207"/>
      <c r="N8180" s="4"/>
      <c r="O8180" s="256"/>
    </row>
    <row r="8181" spans="1:15">
      <c r="A8181" s="207"/>
      <c r="B8181" s="207"/>
      <c r="N8181" s="4"/>
      <c r="O8181" s="256"/>
    </row>
    <row r="8182" spans="1:15">
      <c r="A8182" s="207"/>
      <c r="B8182" s="207"/>
      <c r="N8182" s="4"/>
      <c r="O8182" s="256"/>
    </row>
    <row r="8183" spans="1:15">
      <c r="A8183" s="207"/>
      <c r="B8183" s="207"/>
      <c r="N8183" s="4"/>
      <c r="O8183" s="256"/>
    </row>
    <row r="8184" spans="1:15">
      <c r="A8184" s="207"/>
      <c r="B8184" s="207"/>
      <c r="N8184" s="4"/>
      <c r="O8184" s="256"/>
    </row>
    <row r="8185" spans="1:15">
      <c r="A8185" s="207"/>
      <c r="B8185" s="207"/>
      <c r="N8185" s="4"/>
      <c r="O8185" s="256"/>
    </row>
    <row r="8186" spans="1:15">
      <c r="A8186" s="207"/>
      <c r="B8186" s="207"/>
      <c r="N8186" s="4"/>
      <c r="O8186" s="256"/>
    </row>
    <row r="8187" spans="1:15">
      <c r="A8187" s="207"/>
      <c r="B8187" s="207"/>
      <c r="N8187" s="4"/>
      <c r="O8187" s="256"/>
    </row>
    <row r="8188" spans="1:15">
      <c r="A8188" s="207"/>
      <c r="B8188" s="207"/>
      <c r="N8188" s="4"/>
      <c r="O8188" s="256"/>
    </row>
    <row r="8189" spans="1:15">
      <c r="A8189" s="207"/>
      <c r="B8189" s="207"/>
      <c r="N8189" s="4"/>
      <c r="O8189" s="256"/>
    </row>
    <row r="8190" spans="1:15">
      <c r="A8190" s="207"/>
      <c r="B8190" s="207"/>
      <c r="N8190" s="4"/>
      <c r="O8190" s="256"/>
    </row>
    <row r="8191" spans="1:15">
      <c r="A8191" s="207"/>
      <c r="B8191" s="207"/>
      <c r="N8191" s="4"/>
      <c r="O8191" s="256"/>
    </row>
    <row r="8192" spans="1:15">
      <c r="A8192" s="207"/>
      <c r="B8192" s="207"/>
      <c r="N8192" s="4"/>
      <c r="O8192" s="256"/>
    </row>
    <row r="8193" spans="1:15">
      <c r="A8193" s="207"/>
      <c r="B8193" s="207"/>
      <c r="N8193" s="4"/>
      <c r="O8193" s="256"/>
    </row>
    <row r="8194" spans="1:15">
      <c r="A8194" s="207"/>
      <c r="B8194" s="207"/>
      <c r="N8194" s="4"/>
      <c r="O8194" s="256"/>
    </row>
    <row r="8195" spans="1:15">
      <c r="A8195" s="207"/>
      <c r="B8195" s="207"/>
      <c r="N8195" s="4"/>
      <c r="O8195" s="256"/>
    </row>
    <row r="8196" spans="1:15">
      <c r="A8196" s="207"/>
      <c r="B8196" s="207"/>
      <c r="N8196" s="4"/>
      <c r="O8196" s="256"/>
    </row>
    <row r="8197" spans="1:15">
      <c r="A8197" s="207"/>
      <c r="B8197" s="207"/>
      <c r="N8197" s="4"/>
      <c r="O8197" s="256"/>
    </row>
    <row r="8198" spans="1:15">
      <c r="A8198" s="207"/>
      <c r="B8198" s="207"/>
      <c r="N8198" s="4"/>
      <c r="O8198" s="256"/>
    </row>
    <row r="8199" spans="1:15">
      <c r="A8199" s="207"/>
      <c r="B8199" s="207"/>
      <c r="N8199" s="4"/>
      <c r="O8199" s="256"/>
    </row>
    <row r="8200" spans="1:15">
      <c r="A8200" s="207"/>
      <c r="B8200" s="207"/>
      <c r="N8200" s="4"/>
      <c r="O8200" s="256"/>
    </row>
    <row r="8201" spans="1:15">
      <c r="A8201" s="207"/>
      <c r="B8201" s="207"/>
      <c r="N8201" s="4"/>
      <c r="O8201" s="256"/>
    </row>
    <row r="8202" spans="1:15">
      <c r="A8202" s="207"/>
      <c r="B8202" s="207"/>
      <c r="N8202" s="4"/>
      <c r="O8202" s="256"/>
    </row>
    <row r="8203" spans="1:15">
      <c r="A8203" s="207"/>
      <c r="B8203" s="207"/>
      <c r="N8203" s="4"/>
      <c r="O8203" s="256"/>
    </row>
    <row r="8204" spans="1:15">
      <c r="A8204" s="207"/>
      <c r="B8204" s="207"/>
      <c r="N8204" s="4"/>
      <c r="O8204" s="256"/>
    </row>
    <row r="8205" spans="1:15">
      <c r="A8205" s="207"/>
      <c r="B8205" s="207"/>
      <c r="N8205" s="4"/>
      <c r="O8205" s="256"/>
    </row>
    <row r="8206" spans="1:15">
      <c r="A8206" s="207"/>
      <c r="B8206" s="207"/>
      <c r="N8206" s="4"/>
      <c r="O8206" s="256"/>
    </row>
    <row r="8207" spans="1:15">
      <c r="A8207" s="207"/>
      <c r="B8207" s="207"/>
      <c r="N8207" s="4"/>
      <c r="O8207" s="256"/>
    </row>
    <row r="8208" spans="1:15">
      <c r="A8208" s="207"/>
      <c r="B8208" s="207"/>
      <c r="N8208" s="4"/>
      <c r="O8208" s="256"/>
    </row>
    <row r="8209" spans="1:15">
      <c r="A8209" s="207"/>
      <c r="B8209" s="207"/>
      <c r="N8209" s="4"/>
      <c r="O8209" s="256"/>
    </row>
    <row r="8210" spans="1:15">
      <c r="A8210" s="207"/>
      <c r="B8210" s="207"/>
      <c r="N8210" s="4"/>
      <c r="O8210" s="256"/>
    </row>
    <row r="8211" spans="1:15">
      <c r="A8211" s="207"/>
      <c r="B8211" s="207"/>
      <c r="N8211" s="4"/>
      <c r="O8211" s="256"/>
    </row>
    <row r="8212" spans="1:15">
      <c r="A8212" s="207"/>
      <c r="B8212" s="207"/>
      <c r="N8212" s="4"/>
      <c r="O8212" s="256"/>
    </row>
    <row r="8213" spans="1:15">
      <c r="A8213" s="207"/>
      <c r="B8213" s="207"/>
      <c r="N8213" s="4"/>
      <c r="O8213" s="256"/>
    </row>
    <row r="8214" spans="1:15">
      <c r="A8214" s="207"/>
      <c r="B8214" s="207"/>
      <c r="N8214" s="4"/>
      <c r="O8214" s="256"/>
    </row>
    <row r="8215" spans="1:15">
      <c r="A8215" s="207"/>
      <c r="B8215" s="207"/>
      <c r="N8215" s="4"/>
      <c r="O8215" s="256"/>
    </row>
    <row r="8216" spans="1:15">
      <c r="A8216" s="207"/>
      <c r="B8216" s="207"/>
      <c r="N8216" s="4"/>
      <c r="O8216" s="256"/>
    </row>
    <row r="8217" spans="1:15">
      <c r="A8217" s="207"/>
      <c r="B8217" s="207"/>
      <c r="N8217" s="4"/>
      <c r="O8217" s="256"/>
    </row>
    <row r="8218" spans="1:15">
      <c r="A8218" s="207"/>
      <c r="B8218" s="207"/>
      <c r="N8218" s="4"/>
      <c r="O8218" s="256"/>
    </row>
    <row r="8219" spans="1:15">
      <c r="A8219" s="207"/>
      <c r="B8219" s="207"/>
      <c r="N8219" s="4"/>
      <c r="O8219" s="256"/>
    </row>
    <row r="8220" spans="1:15">
      <c r="A8220" s="207"/>
      <c r="B8220" s="207"/>
      <c r="N8220" s="4"/>
      <c r="O8220" s="256"/>
    </row>
    <row r="8221" spans="1:15">
      <c r="A8221" s="207"/>
      <c r="B8221" s="207"/>
      <c r="N8221" s="4"/>
      <c r="O8221" s="256"/>
    </row>
    <row r="8222" spans="1:15">
      <c r="A8222" s="207"/>
      <c r="B8222" s="207"/>
      <c r="N8222" s="4"/>
      <c r="O8222" s="256"/>
    </row>
    <row r="8223" spans="1:15">
      <c r="A8223" s="207"/>
      <c r="B8223" s="207"/>
      <c r="N8223" s="4"/>
      <c r="O8223" s="256"/>
    </row>
    <row r="8224" spans="1:15">
      <c r="A8224" s="207"/>
      <c r="B8224" s="207"/>
      <c r="N8224" s="4"/>
      <c r="O8224" s="256"/>
    </row>
    <row r="8225" spans="1:15">
      <c r="A8225" s="207"/>
      <c r="B8225" s="207"/>
      <c r="N8225" s="4"/>
      <c r="O8225" s="256"/>
    </row>
    <row r="8226" spans="1:15">
      <c r="A8226" s="207"/>
      <c r="B8226" s="207"/>
      <c r="N8226" s="4"/>
      <c r="O8226" s="256"/>
    </row>
    <row r="8227" spans="1:15">
      <c r="A8227" s="207"/>
      <c r="B8227" s="207"/>
      <c r="N8227" s="4"/>
      <c r="O8227" s="256"/>
    </row>
    <row r="8228" spans="1:15">
      <c r="A8228" s="207"/>
      <c r="B8228" s="207"/>
      <c r="N8228" s="4"/>
      <c r="O8228" s="256"/>
    </row>
    <row r="8229" spans="1:15">
      <c r="A8229" s="207"/>
      <c r="B8229" s="207"/>
      <c r="N8229" s="4"/>
      <c r="O8229" s="256"/>
    </row>
    <row r="8230" spans="1:15">
      <c r="A8230" s="207"/>
      <c r="B8230" s="207"/>
      <c r="N8230" s="4"/>
      <c r="O8230" s="256"/>
    </row>
    <row r="8231" spans="1:15">
      <c r="A8231" s="207"/>
      <c r="B8231" s="207"/>
      <c r="N8231" s="4"/>
      <c r="O8231" s="256"/>
    </row>
    <row r="8232" spans="1:15">
      <c r="A8232" s="207"/>
      <c r="B8232" s="207"/>
      <c r="N8232" s="4"/>
      <c r="O8232" s="256"/>
    </row>
    <row r="8233" spans="1:15">
      <c r="A8233" s="207"/>
      <c r="B8233" s="207"/>
      <c r="N8233" s="4"/>
      <c r="O8233" s="256"/>
    </row>
    <row r="8234" spans="1:15">
      <c r="A8234" s="207"/>
      <c r="B8234" s="207"/>
      <c r="N8234" s="4"/>
      <c r="O8234" s="256"/>
    </row>
    <row r="8235" spans="1:15">
      <c r="A8235" s="207"/>
      <c r="B8235" s="207"/>
      <c r="N8235" s="4"/>
      <c r="O8235" s="256"/>
    </row>
    <row r="8236" spans="1:15">
      <c r="A8236" s="207"/>
      <c r="B8236" s="207"/>
      <c r="N8236" s="4"/>
      <c r="O8236" s="256"/>
    </row>
    <row r="8237" spans="1:15">
      <c r="A8237" s="207"/>
      <c r="B8237" s="207"/>
      <c r="N8237" s="4"/>
      <c r="O8237" s="256"/>
    </row>
    <row r="8238" spans="1:15">
      <c r="A8238" s="207"/>
      <c r="B8238" s="207"/>
      <c r="N8238" s="4"/>
      <c r="O8238" s="256"/>
    </row>
    <row r="8239" spans="1:15">
      <c r="A8239" s="207"/>
      <c r="B8239" s="207"/>
      <c r="N8239" s="4"/>
      <c r="O8239" s="256"/>
    </row>
    <row r="8240" spans="1:15">
      <c r="A8240" s="207"/>
      <c r="B8240" s="207"/>
      <c r="N8240" s="4"/>
      <c r="O8240" s="256"/>
    </row>
    <row r="8241" spans="1:15">
      <c r="A8241" s="207"/>
      <c r="B8241" s="207"/>
      <c r="N8241" s="4"/>
      <c r="O8241" s="256"/>
    </row>
    <row r="8242" spans="1:15">
      <c r="A8242" s="207"/>
      <c r="B8242" s="207"/>
      <c r="N8242" s="4"/>
      <c r="O8242" s="256"/>
    </row>
    <row r="8243" spans="1:15">
      <c r="A8243" s="207"/>
      <c r="B8243" s="207"/>
      <c r="N8243" s="4"/>
      <c r="O8243" s="256"/>
    </row>
    <row r="8244" spans="1:15">
      <c r="A8244" s="207"/>
      <c r="B8244" s="207"/>
      <c r="N8244" s="4"/>
      <c r="O8244" s="256"/>
    </row>
    <row r="8245" spans="1:15">
      <c r="A8245" s="207"/>
      <c r="B8245" s="207"/>
      <c r="N8245" s="4"/>
      <c r="O8245" s="256"/>
    </row>
    <row r="8246" spans="1:15">
      <c r="A8246" s="207"/>
      <c r="B8246" s="207"/>
      <c r="N8246" s="4"/>
      <c r="O8246" s="256"/>
    </row>
    <row r="8247" spans="1:15">
      <c r="A8247" s="207"/>
      <c r="B8247" s="207"/>
      <c r="N8247" s="4"/>
      <c r="O8247" s="256"/>
    </row>
    <row r="8248" spans="1:15">
      <c r="A8248" s="207"/>
      <c r="B8248" s="207"/>
      <c r="N8248" s="4"/>
      <c r="O8248" s="256"/>
    </row>
    <row r="8249" spans="1:15">
      <c r="A8249" s="207"/>
      <c r="B8249" s="207"/>
      <c r="N8249" s="4"/>
      <c r="O8249" s="256"/>
    </row>
    <row r="8250" spans="1:15">
      <c r="A8250" s="207"/>
      <c r="B8250" s="207"/>
      <c r="N8250" s="4"/>
      <c r="O8250" s="256"/>
    </row>
    <row r="8251" spans="1:15">
      <c r="A8251" s="207"/>
      <c r="B8251" s="207"/>
      <c r="N8251" s="4"/>
      <c r="O8251" s="256"/>
    </row>
    <row r="8252" spans="1:15">
      <c r="A8252" s="207"/>
      <c r="B8252" s="207"/>
      <c r="N8252" s="4"/>
      <c r="O8252" s="256"/>
    </row>
    <row r="8253" spans="1:15">
      <c r="A8253" s="207"/>
      <c r="B8253" s="207"/>
      <c r="N8253" s="4"/>
      <c r="O8253" s="256"/>
    </row>
    <row r="8254" spans="1:15">
      <c r="A8254" s="207"/>
      <c r="B8254" s="207"/>
      <c r="N8254" s="4"/>
      <c r="O8254" s="256"/>
    </row>
    <row r="8255" spans="1:15">
      <c r="A8255" s="207"/>
      <c r="B8255" s="207"/>
      <c r="N8255" s="4"/>
      <c r="O8255" s="256"/>
    </row>
    <row r="8256" spans="1:15">
      <c r="A8256" s="207"/>
      <c r="B8256" s="207"/>
      <c r="N8256" s="4"/>
      <c r="O8256" s="256"/>
    </row>
    <row r="8257" spans="1:15">
      <c r="A8257" s="207"/>
      <c r="B8257" s="207"/>
      <c r="N8257" s="4"/>
      <c r="O8257" s="256"/>
    </row>
    <row r="8258" spans="1:15">
      <c r="A8258" s="207"/>
      <c r="B8258" s="207"/>
      <c r="N8258" s="4"/>
      <c r="O8258" s="256"/>
    </row>
    <row r="8259" spans="1:15">
      <c r="A8259" s="207"/>
      <c r="B8259" s="207"/>
      <c r="N8259" s="4"/>
      <c r="O8259" s="256"/>
    </row>
    <row r="8260" spans="1:15">
      <c r="A8260" s="207"/>
      <c r="B8260" s="207"/>
      <c r="N8260" s="4"/>
      <c r="O8260" s="256"/>
    </row>
    <row r="8261" spans="1:15">
      <c r="A8261" s="207"/>
      <c r="B8261" s="207"/>
      <c r="N8261" s="4"/>
      <c r="O8261" s="256"/>
    </row>
    <row r="8262" spans="1:15">
      <c r="A8262" s="207"/>
      <c r="B8262" s="207"/>
      <c r="N8262" s="4"/>
      <c r="O8262" s="256"/>
    </row>
    <row r="8263" spans="1:15">
      <c r="A8263" s="207"/>
      <c r="B8263" s="207"/>
      <c r="N8263" s="4"/>
      <c r="O8263" s="256"/>
    </row>
    <row r="8264" spans="1:15">
      <c r="A8264" s="207"/>
      <c r="B8264" s="207"/>
      <c r="N8264" s="4"/>
      <c r="O8264" s="256"/>
    </row>
    <row r="8265" spans="1:15">
      <c r="A8265" s="207"/>
      <c r="B8265" s="207"/>
      <c r="N8265" s="4"/>
      <c r="O8265" s="256"/>
    </row>
    <row r="8266" spans="1:15">
      <c r="A8266" s="207"/>
      <c r="B8266" s="207"/>
      <c r="N8266" s="4"/>
      <c r="O8266" s="256"/>
    </row>
    <row r="8267" spans="1:15">
      <c r="A8267" s="207"/>
      <c r="B8267" s="207"/>
      <c r="N8267" s="4"/>
      <c r="O8267" s="256"/>
    </row>
    <row r="8268" spans="1:15">
      <c r="A8268" s="207"/>
      <c r="B8268" s="207"/>
      <c r="N8268" s="4"/>
      <c r="O8268" s="256"/>
    </row>
    <row r="8269" spans="1:15">
      <c r="A8269" s="207"/>
      <c r="B8269" s="207"/>
      <c r="N8269" s="4"/>
      <c r="O8269" s="256"/>
    </row>
    <row r="8270" spans="1:15">
      <c r="A8270" s="207"/>
      <c r="B8270" s="207"/>
      <c r="N8270" s="4"/>
      <c r="O8270" s="256"/>
    </row>
    <row r="8271" spans="1:15">
      <c r="A8271" s="207"/>
      <c r="B8271" s="207"/>
      <c r="N8271" s="4"/>
      <c r="O8271" s="256"/>
    </row>
    <row r="8272" spans="1:15">
      <c r="A8272" s="207"/>
      <c r="B8272" s="207"/>
      <c r="N8272" s="4"/>
      <c r="O8272" s="256"/>
    </row>
    <row r="8273" spans="1:15">
      <c r="A8273" s="207"/>
      <c r="B8273" s="207"/>
      <c r="N8273" s="4"/>
      <c r="O8273" s="256"/>
    </row>
    <row r="8274" spans="1:15">
      <c r="A8274" s="207"/>
      <c r="B8274" s="207"/>
      <c r="N8274" s="4"/>
      <c r="O8274" s="256"/>
    </row>
    <row r="8275" spans="1:15">
      <c r="A8275" s="207"/>
      <c r="B8275" s="207"/>
      <c r="N8275" s="4"/>
      <c r="O8275" s="256"/>
    </row>
    <row r="8276" spans="1:15">
      <c r="A8276" s="207"/>
      <c r="B8276" s="207"/>
      <c r="N8276" s="4"/>
      <c r="O8276" s="256"/>
    </row>
    <row r="8277" spans="1:15">
      <c r="A8277" s="207"/>
      <c r="B8277" s="207"/>
      <c r="N8277" s="4"/>
      <c r="O8277" s="256"/>
    </row>
    <row r="8278" spans="1:15">
      <c r="A8278" s="207"/>
      <c r="B8278" s="207"/>
      <c r="N8278" s="4"/>
      <c r="O8278" s="256"/>
    </row>
    <row r="8279" spans="1:15">
      <c r="A8279" s="207"/>
      <c r="B8279" s="207"/>
      <c r="N8279" s="4"/>
      <c r="O8279" s="256"/>
    </row>
    <row r="8280" spans="1:15">
      <c r="A8280" s="207"/>
      <c r="B8280" s="207"/>
      <c r="N8280" s="4"/>
      <c r="O8280" s="256"/>
    </row>
    <row r="8281" spans="1:15">
      <c r="A8281" s="207"/>
      <c r="B8281" s="207"/>
      <c r="N8281" s="4"/>
      <c r="O8281" s="256"/>
    </row>
    <row r="8282" spans="1:15">
      <c r="A8282" s="207"/>
      <c r="B8282" s="207"/>
      <c r="N8282" s="4"/>
      <c r="O8282" s="256"/>
    </row>
    <row r="8283" spans="1:15">
      <c r="A8283" s="207"/>
      <c r="B8283" s="207"/>
      <c r="N8283" s="4"/>
      <c r="O8283" s="256"/>
    </row>
    <row r="8284" spans="1:15">
      <c r="A8284" s="207"/>
      <c r="B8284" s="207"/>
      <c r="N8284" s="4"/>
      <c r="O8284" s="256"/>
    </row>
    <row r="8285" spans="1:15">
      <c r="A8285" s="207"/>
      <c r="B8285" s="207"/>
      <c r="N8285" s="4"/>
      <c r="O8285" s="256"/>
    </row>
    <row r="8286" spans="1:15">
      <c r="A8286" s="207"/>
      <c r="B8286" s="207"/>
      <c r="N8286" s="4"/>
      <c r="O8286" s="256"/>
    </row>
    <row r="8287" spans="1:15">
      <c r="A8287" s="207"/>
      <c r="B8287" s="207"/>
      <c r="N8287" s="4"/>
      <c r="O8287" s="256"/>
    </row>
    <row r="8288" spans="1:15">
      <c r="A8288" s="207"/>
      <c r="B8288" s="207"/>
      <c r="N8288" s="4"/>
      <c r="O8288" s="256"/>
    </row>
    <row r="8289" spans="1:15">
      <c r="A8289" s="207"/>
      <c r="B8289" s="207"/>
      <c r="N8289" s="4"/>
      <c r="O8289" s="256"/>
    </row>
    <row r="8290" spans="1:15">
      <c r="A8290" s="207"/>
      <c r="B8290" s="207"/>
      <c r="N8290" s="4"/>
      <c r="O8290" s="256"/>
    </row>
    <row r="8291" spans="1:15">
      <c r="A8291" s="207"/>
      <c r="B8291" s="207"/>
      <c r="N8291" s="4"/>
      <c r="O8291" s="256"/>
    </row>
    <row r="8292" spans="1:15">
      <c r="A8292" s="207"/>
      <c r="B8292" s="207"/>
      <c r="N8292" s="4"/>
      <c r="O8292" s="256"/>
    </row>
    <row r="8293" spans="1:15">
      <c r="A8293" s="207"/>
      <c r="B8293" s="207"/>
      <c r="N8293" s="4"/>
      <c r="O8293" s="256"/>
    </row>
    <row r="8294" spans="1:15">
      <c r="A8294" s="207"/>
      <c r="B8294" s="207"/>
      <c r="N8294" s="4"/>
      <c r="O8294" s="256"/>
    </row>
    <row r="8295" spans="1:15">
      <c r="A8295" s="207"/>
      <c r="B8295" s="207"/>
      <c r="N8295" s="4"/>
      <c r="O8295" s="256"/>
    </row>
    <row r="8296" spans="1:15">
      <c r="A8296" s="207"/>
      <c r="B8296" s="207"/>
      <c r="N8296" s="4"/>
      <c r="O8296" s="256"/>
    </row>
    <row r="8297" spans="1:15">
      <c r="A8297" s="207"/>
      <c r="B8297" s="207"/>
      <c r="N8297" s="4"/>
      <c r="O8297" s="256"/>
    </row>
    <row r="8298" spans="1:15">
      <c r="A8298" s="207"/>
      <c r="B8298" s="207"/>
      <c r="N8298" s="4"/>
      <c r="O8298" s="256"/>
    </row>
    <row r="8299" spans="1:15">
      <c r="A8299" s="207"/>
      <c r="B8299" s="207"/>
      <c r="N8299" s="4"/>
      <c r="O8299" s="256"/>
    </row>
    <row r="8300" spans="1:15">
      <c r="A8300" s="207"/>
      <c r="B8300" s="207"/>
      <c r="N8300" s="4"/>
      <c r="O8300" s="256"/>
    </row>
    <row r="8301" spans="1:15">
      <c r="A8301" s="207"/>
      <c r="B8301" s="207"/>
      <c r="N8301" s="4"/>
      <c r="O8301" s="256"/>
    </row>
    <row r="8302" spans="1:15">
      <c r="A8302" s="207"/>
      <c r="B8302" s="207"/>
      <c r="N8302" s="4"/>
      <c r="O8302" s="256"/>
    </row>
    <row r="8303" spans="1:15">
      <c r="A8303" s="207"/>
      <c r="B8303" s="207"/>
      <c r="N8303" s="4"/>
      <c r="O8303" s="256"/>
    </row>
    <row r="8304" spans="1:15">
      <c r="A8304" s="207"/>
      <c r="B8304" s="207"/>
      <c r="N8304" s="4"/>
      <c r="O8304" s="256"/>
    </row>
    <row r="8305" spans="1:15">
      <c r="A8305" s="207"/>
      <c r="B8305" s="207"/>
      <c r="N8305" s="4"/>
      <c r="O8305" s="256"/>
    </row>
    <row r="8306" spans="1:15">
      <c r="A8306" s="207"/>
      <c r="B8306" s="207"/>
      <c r="N8306" s="4"/>
      <c r="O8306" s="256"/>
    </row>
    <row r="8307" spans="1:15">
      <c r="A8307" s="207"/>
      <c r="B8307" s="207"/>
      <c r="N8307" s="4"/>
      <c r="O8307" s="256"/>
    </row>
    <row r="8308" spans="1:15">
      <c r="A8308" s="207"/>
      <c r="B8308" s="207"/>
      <c r="N8308" s="4"/>
      <c r="O8308" s="256"/>
    </row>
    <row r="8309" spans="1:15">
      <c r="A8309" s="207"/>
      <c r="B8309" s="207"/>
      <c r="N8309" s="4"/>
      <c r="O8309" s="256"/>
    </row>
    <row r="8310" spans="1:15">
      <c r="A8310" s="207"/>
      <c r="B8310" s="207"/>
      <c r="N8310" s="4"/>
      <c r="O8310" s="256"/>
    </row>
    <row r="8311" spans="1:15">
      <c r="A8311" s="207"/>
      <c r="B8311" s="207"/>
      <c r="N8311" s="4"/>
      <c r="O8311" s="256"/>
    </row>
    <row r="8312" spans="1:15">
      <c r="A8312" s="207"/>
      <c r="B8312" s="207"/>
      <c r="N8312" s="4"/>
      <c r="O8312" s="256"/>
    </row>
    <row r="8313" spans="1:15">
      <c r="A8313" s="207"/>
      <c r="B8313" s="207"/>
      <c r="N8313" s="4"/>
      <c r="O8313" s="256"/>
    </row>
    <row r="8314" spans="1:15">
      <c r="A8314" s="207"/>
      <c r="B8314" s="207"/>
      <c r="N8314" s="4"/>
      <c r="O8314" s="256"/>
    </row>
    <row r="8315" spans="1:15">
      <c r="A8315" s="207"/>
      <c r="B8315" s="207"/>
      <c r="N8315" s="4"/>
      <c r="O8315" s="256"/>
    </row>
    <row r="8316" spans="1:15">
      <c r="A8316" s="207"/>
      <c r="B8316" s="207"/>
      <c r="N8316" s="4"/>
      <c r="O8316" s="256"/>
    </row>
    <row r="8317" spans="1:15">
      <c r="A8317" s="207"/>
      <c r="B8317" s="207"/>
      <c r="N8317" s="4"/>
      <c r="O8317" s="256"/>
    </row>
    <row r="8318" spans="1:15">
      <c r="A8318" s="207"/>
      <c r="B8318" s="207"/>
      <c r="N8318" s="4"/>
      <c r="O8318" s="256"/>
    </row>
    <row r="8319" spans="1:15">
      <c r="A8319" s="207"/>
      <c r="B8319" s="207"/>
      <c r="N8319" s="4"/>
      <c r="O8319" s="256"/>
    </row>
    <row r="8320" spans="1:15">
      <c r="A8320" s="207"/>
      <c r="B8320" s="207"/>
      <c r="N8320" s="4"/>
      <c r="O8320" s="256"/>
    </row>
    <row r="8321" spans="1:15">
      <c r="A8321" s="207"/>
      <c r="B8321" s="207"/>
      <c r="N8321" s="4"/>
      <c r="O8321" s="256"/>
    </row>
    <row r="8322" spans="1:15">
      <c r="A8322" s="207"/>
      <c r="B8322" s="207"/>
      <c r="N8322" s="4"/>
      <c r="O8322" s="256"/>
    </row>
    <row r="8323" spans="1:15">
      <c r="A8323" s="207"/>
      <c r="B8323" s="207"/>
      <c r="N8323" s="4"/>
      <c r="O8323" s="256"/>
    </row>
    <row r="8324" spans="1:15">
      <c r="A8324" s="207"/>
      <c r="B8324" s="207"/>
      <c r="N8324" s="4"/>
      <c r="O8324" s="256"/>
    </row>
    <row r="8325" spans="1:15">
      <c r="A8325" s="207"/>
      <c r="B8325" s="207"/>
      <c r="N8325" s="4"/>
      <c r="O8325" s="256"/>
    </row>
    <row r="8326" spans="1:15">
      <c r="A8326" s="207"/>
      <c r="B8326" s="207"/>
      <c r="N8326" s="4"/>
      <c r="O8326" s="256"/>
    </row>
    <row r="8327" spans="1:15">
      <c r="A8327" s="207"/>
      <c r="B8327" s="207"/>
      <c r="N8327" s="4"/>
      <c r="O8327" s="256"/>
    </row>
    <row r="8328" spans="1:15">
      <c r="A8328" s="207"/>
      <c r="B8328" s="207"/>
      <c r="N8328" s="4"/>
      <c r="O8328" s="256"/>
    </row>
    <row r="8329" spans="1:15">
      <c r="A8329" s="207"/>
      <c r="B8329" s="207"/>
      <c r="N8329" s="4"/>
      <c r="O8329" s="256"/>
    </row>
    <row r="8330" spans="1:15">
      <c r="A8330" s="207"/>
      <c r="B8330" s="207"/>
      <c r="N8330" s="4"/>
      <c r="O8330" s="256"/>
    </row>
    <row r="8331" spans="1:15">
      <c r="A8331" s="207"/>
      <c r="B8331" s="207"/>
      <c r="N8331" s="4"/>
      <c r="O8331" s="256"/>
    </row>
    <row r="8332" spans="1:15">
      <c r="A8332" s="207"/>
      <c r="B8332" s="207"/>
      <c r="N8332" s="4"/>
      <c r="O8332" s="256"/>
    </row>
    <row r="8333" spans="1:15">
      <c r="A8333" s="207"/>
      <c r="B8333" s="207"/>
      <c r="N8333" s="4"/>
      <c r="O8333" s="256"/>
    </row>
    <row r="8334" spans="1:15">
      <c r="A8334" s="207"/>
      <c r="B8334" s="207"/>
      <c r="N8334" s="4"/>
      <c r="O8334" s="256"/>
    </row>
    <row r="8335" spans="1:15">
      <c r="A8335" s="207"/>
      <c r="B8335" s="207"/>
      <c r="N8335" s="4"/>
      <c r="O8335" s="256"/>
    </row>
    <row r="8336" spans="1:15">
      <c r="A8336" s="207"/>
      <c r="B8336" s="207"/>
      <c r="N8336" s="4"/>
      <c r="O8336" s="256"/>
    </row>
    <row r="8337" spans="1:15">
      <c r="A8337" s="207"/>
      <c r="B8337" s="207"/>
      <c r="N8337" s="4"/>
      <c r="O8337" s="256"/>
    </row>
    <row r="8338" spans="1:15">
      <c r="A8338" s="207"/>
      <c r="B8338" s="207"/>
      <c r="N8338" s="4"/>
      <c r="O8338" s="256"/>
    </row>
    <row r="8339" spans="1:15">
      <c r="A8339" s="207"/>
      <c r="B8339" s="207"/>
      <c r="N8339" s="4"/>
      <c r="O8339" s="256"/>
    </row>
    <row r="8340" spans="1:15">
      <c r="A8340" s="207"/>
      <c r="B8340" s="207"/>
      <c r="N8340" s="4"/>
      <c r="O8340" s="256"/>
    </row>
    <row r="8341" spans="1:15">
      <c r="A8341" s="207"/>
      <c r="B8341" s="207"/>
      <c r="N8341" s="4"/>
      <c r="O8341" s="256"/>
    </row>
    <row r="8342" spans="1:15">
      <c r="A8342" s="207"/>
      <c r="B8342" s="207"/>
      <c r="N8342" s="4"/>
      <c r="O8342" s="256"/>
    </row>
    <row r="8343" spans="1:15">
      <c r="A8343" s="207"/>
      <c r="B8343" s="207"/>
      <c r="N8343" s="4"/>
      <c r="O8343" s="256"/>
    </row>
    <row r="8344" spans="1:15">
      <c r="A8344" s="207"/>
      <c r="B8344" s="207"/>
      <c r="N8344" s="4"/>
      <c r="O8344" s="256"/>
    </row>
    <row r="8345" spans="1:15">
      <c r="A8345" s="207"/>
      <c r="B8345" s="207"/>
      <c r="N8345" s="4"/>
      <c r="O8345" s="256"/>
    </row>
    <row r="8346" spans="1:15">
      <c r="A8346" s="207"/>
      <c r="B8346" s="207"/>
      <c r="N8346" s="4"/>
      <c r="O8346" s="256"/>
    </row>
    <row r="8347" spans="1:15">
      <c r="A8347" s="207"/>
      <c r="B8347" s="207"/>
      <c r="N8347" s="4"/>
      <c r="O8347" s="256"/>
    </row>
    <row r="8348" spans="1:15">
      <c r="A8348" s="207"/>
      <c r="B8348" s="207"/>
      <c r="N8348" s="4"/>
      <c r="O8348" s="256"/>
    </row>
    <row r="8349" spans="1:15">
      <c r="A8349" s="207"/>
      <c r="B8349" s="207"/>
      <c r="N8349" s="4"/>
      <c r="O8349" s="256"/>
    </row>
    <row r="8350" spans="1:15">
      <c r="A8350" s="207"/>
      <c r="B8350" s="207"/>
      <c r="N8350" s="4"/>
      <c r="O8350" s="256"/>
    </row>
    <row r="8351" spans="1:15">
      <c r="A8351" s="207"/>
      <c r="B8351" s="207"/>
      <c r="N8351" s="4"/>
      <c r="O8351" s="256"/>
    </row>
    <row r="8352" spans="1:15">
      <c r="A8352" s="207"/>
      <c r="B8352" s="207"/>
      <c r="N8352" s="4"/>
      <c r="O8352" s="256"/>
    </row>
    <row r="8353" spans="1:15">
      <c r="A8353" s="207"/>
      <c r="B8353" s="207"/>
      <c r="N8353" s="4"/>
      <c r="O8353" s="256"/>
    </row>
    <row r="8354" spans="1:15">
      <c r="A8354" s="207"/>
      <c r="B8354" s="207"/>
      <c r="N8354" s="4"/>
      <c r="O8354" s="256"/>
    </row>
    <row r="8355" spans="1:15">
      <c r="A8355" s="207"/>
      <c r="B8355" s="207"/>
      <c r="N8355" s="4"/>
      <c r="O8355" s="256"/>
    </row>
    <row r="8356" spans="1:15">
      <c r="A8356" s="207"/>
      <c r="B8356" s="207"/>
      <c r="N8356" s="4"/>
      <c r="O8356" s="256"/>
    </row>
    <row r="8357" spans="1:15">
      <c r="A8357" s="207"/>
      <c r="B8357" s="207"/>
      <c r="N8357" s="4"/>
      <c r="O8357" s="256"/>
    </row>
    <row r="8358" spans="1:15">
      <c r="A8358" s="207"/>
      <c r="B8358" s="207"/>
      <c r="N8358" s="4"/>
      <c r="O8358" s="256"/>
    </row>
    <row r="8359" spans="1:15">
      <c r="A8359" s="207"/>
      <c r="B8359" s="207"/>
      <c r="N8359" s="4"/>
      <c r="O8359" s="256"/>
    </row>
    <row r="8360" spans="1:15">
      <c r="A8360" s="207"/>
      <c r="B8360" s="207"/>
      <c r="N8360" s="4"/>
      <c r="O8360" s="256"/>
    </row>
    <row r="8361" spans="1:15">
      <c r="A8361" s="207"/>
      <c r="B8361" s="207"/>
      <c r="N8361" s="4"/>
      <c r="O8361" s="256"/>
    </row>
    <row r="8362" spans="1:15">
      <c r="A8362" s="207"/>
      <c r="B8362" s="207"/>
      <c r="N8362" s="4"/>
      <c r="O8362" s="256"/>
    </row>
    <row r="8363" spans="1:15">
      <c r="A8363" s="207"/>
      <c r="B8363" s="207"/>
      <c r="N8363" s="4"/>
      <c r="O8363" s="256"/>
    </row>
    <row r="8364" spans="1:15">
      <c r="A8364" s="207"/>
      <c r="B8364" s="207"/>
      <c r="N8364" s="4"/>
      <c r="O8364" s="256"/>
    </row>
    <row r="8365" spans="1:15">
      <c r="A8365" s="207"/>
      <c r="B8365" s="207"/>
      <c r="N8365" s="4"/>
      <c r="O8365" s="256"/>
    </row>
    <row r="8366" spans="1:15">
      <c r="A8366" s="207"/>
      <c r="B8366" s="207"/>
      <c r="N8366" s="4"/>
      <c r="O8366" s="256"/>
    </row>
    <row r="8367" spans="1:15">
      <c r="A8367" s="207"/>
      <c r="B8367" s="207"/>
      <c r="N8367" s="4"/>
      <c r="O8367" s="256"/>
    </row>
    <row r="8368" spans="1:15">
      <c r="A8368" s="207"/>
      <c r="B8368" s="207"/>
      <c r="N8368" s="4"/>
      <c r="O8368" s="256"/>
    </row>
    <row r="8369" spans="1:15">
      <c r="A8369" s="207"/>
      <c r="B8369" s="207"/>
      <c r="N8369" s="4"/>
      <c r="O8369" s="256"/>
    </row>
    <row r="8370" spans="1:15">
      <c r="A8370" s="207"/>
      <c r="B8370" s="207"/>
      <c r="N8370" s="4"/>
      <c r="O8370" s="256"/>
    </row>
    <row r="8371" spans="1:15">
      <c r="A8371" s="207"/>
      <c r="B8371" s="207"/>
      <c r="N8371" s="4"/>
      <c r="O8371" s="256"/>
    </row>
    <row r="8372" spans="1:15">
      <c r="A8372" s="207"/>
      <c r="B8372" s="207"/>
      <c r="N8372" s="4"/>
      <c r="O8372" s="256"/>
    </row>
    <row r="8373" spans="1:15">
      <c r="A8373" s="207"/>
      <c r="B8373" s="207"/>
      <c r="N8373" s="4"/>
      <c r="O8373" s="256"/>
    </row>
    <row r="8374" spans="1:15">
      <c r="A8374" s="207"/>
      <c r="B8374" s="207"/>
      <c r="N8374" s="4"/>
      <c r="O8374" s="256"/>
    </row>
    <row r="8375" spans="1:15">
      <c r="A8375" s="207"/>
      <c r="B8375" s="207"/>
      <c r="N8375" s="4"/>
      <c r="O8375" s="256"/>
    </row>
    <row r="8376" spans="1:15">
      <c r="A8376" s="207"/>
      <c r="B8376" s="207"/>
      <c r="N8376" s="4"/>
      <c r="O8376" s="256"/>
    </row>
    <row r="8377" spans="1:15">
      <c r="A8377" s="207"/>
      <c r="B8377" s="207"/>
      <c r="N8377" s="4"/>
      <c r="O8377" s="256"/>
    </row>
    <row r="8378" spans="1:15">
      <c r="A8378" s="207"/>
      <c r="B8378" s="207"/>
      <c r="N8378" s="4"/>
      <c r="O8378" s="256"/>
    </row>
    <row r="8379" spans="1:15">
      <c r="A8379" s="207"/>
      <c r="B8379" s="207"/>
      <c r="N8379" s="4"/>
      <c r="O8379" s="256"/>
    </row>
    <row r="8380" spans="1:15">
      <c r="A8380" s="207"/>
      <c r="B8380" s="207"/>
      <c r="N8380" s="4"/>
      <c r="O8380" s="256"/>
    </row>
    <row r="8381" spans="1:15">
      <c r="A8381" s="207"/>
      <c r="B8381" s="207"/>
      <c r="N8381" s="4"/>
      <c r="O8381" s="256"/>
    </row>
    <row r="8382" spans="1:15">
      <c r="A8382" s="207"/>
      <c r="B8382" s="207"/>
      <c r="N8382" s="4"/>
      <c r="O8382" s="256"/>
    </row>
    <row r="8383" spans="1:15">
      <c r="A8383" s="207"/>
      <c r="B8383" s="207"/>
      <c r="N8383" s="4"/>
      <c r="O8383" s="256"/>
    </row>
    <row r="8384" spans="1:15">
      <c r="A8384" s="207"/>
      <c r="B8384" s="207"/>
      <c r="N8384" s="4"/>
      <c r="O8384" s="256"/>
    </row>
    <row r="8385" spans="1:15">
      <c r="A8385" s="207"/>
      <c r="B8385" s="207"/>
      <c r="N8385" s="4"/>
      <c r="O8385" s="256"/>
    </row>
    <row r="8386" spans="1:15">
      <c r="A8386" s="207"/>
      <c r="B8386" s="207"/>
      <c r="N8386" s="4"/>
      <c r="O8386" s="256"/>
    </row>
    <row r="8387" spans="1:15">
      <c r="A8387" s="207"/>
      <c r="B8387" s="207"/>
      <c r="N8387" s="4"/>
      <c r="O8387" s="256"/>
    </row>
    <row r="8388" spans="1:15">
      <c r="A8388" s="207"/>
      <c r="B8388" s="207"/>
      <c r="N8388" s="4"/>
      <c r="O8388" s="256"/>
    </row>
    <row r="8389" spans="1:15">
      <c r="A8389" s="207"/>
      <c r="B8389" s="207"/>
      <c r="N8389" s="4"/>
      <c r="O8389" s="256"/>
    </row>
    <row r="8390" spans="1:15">
      <c r="A8390" s="207"/>
      <c r="B8390" s="207"/>
      <c r="N8390" s="4"/>
      <c r="O8390" s="256"/>
    </row>
    <row r="8391" spans="1:15">
      <c r="A8391" s="207"/>
      <c r="B8391" s="207"/>
      <c r="N8391" s="4"/>
      <c r="O8391" s="256"/>
    </row>
    <row r="8392" spans="1:15">
      <c r="A8392" s="207"/>
      <c r="B8392" s="207"/>
      <c r="N8392" s="4"/>
      <c r="O8392" s="256"/>
    </row>
    <row r="8393" spans="1:15">
      <c r="A8393" s="207"/>
      <c r="B8393" s="207"/>
      <c r="N8393" s="4"/>
      <c r="O8393" s="256"/>
    </row>
    <row r="8394" spans="1:15">
      <c r="A8394" s="207"/>
      <c r="B8394" s="207"/>
      <c r="N8394" s="4"/>
      <c r="O8394" s="256"/>
    </row>
    <row r="8395" spans="1:15">
      <c r="A8395" s="207"/>
      <c r="B8395" s="207"/>
      <c r="N8395" s="4"/>
      <c r="O8395" s="256"/>
    </row>
    <row r="8396" spans="1:15">
      <c r="A8396" s="207"/>
      <c r="B8396" s="207"/>
      <c r="N8396" s="4"/>
      <c r="O8396" s="256"/>
    </row>
    <row r="8397" spans="1:15">
      <c r="A8397" s="207"/>
      <c r="B8397" s="207"/>
      <c r="N8397" s="4"/>
      <c r="O8397" s="256"/>
    </row>
    <row r="8398" spans="1:15">
      <c r="A8398" s="207"/>
      <c r="B8398" s="207"/>
      <c r="N8398" s="4"/>
      <c r="O8398" s="256"/>
    </row>
    <row r="8399" spans="1:15">
      <c r="A8399" s="207"/>
      <c r="B8399" s="207"/>
      <c r="N8399" s="4"/>
      <c r="O8399" s="256"/>
    </row>
    <row r="8400" spans="1:15">
      <c r="A8400" s="207"/>
      <c r="B8400" s="207"/>
      <c r="N8400" s="4"/>
      <c r="O8400" s="256"/>
    </row>
    <row r="8401" spans="1:15">
      <c r="A8401" s="207"/>
      <c r="B8401" s="207"/>
      <c r="N8401" s="4"/>
      <c r="O8401" s="256"/>
    </row>
    <row r="8402" spans="1:15">
      <c r="A8402" s="207"/>
      <c r="B8402" s="207"/>
      <c r="N8402" s="4"/>
      <c r="O8402" s="256"/>
    </row>
    <row r="8403" spans="1:15">
      <c r="A8403" s="207"/>
      <c r="B8403" s="207"/>
      <c r="N8403" s="4"/>
      <c r="O8403" s="256"/>
    </row>
    <row r="8404" spans="1:15">
      <c r="A8404" s="207"/>
      <c r="B8404" s="207"/>
      <c r="N8404" s="4"/>
      <c r="O8404" s="256"/>
    </row>
    <row r="8405" spans="1:15">
      <c r="A8405" s="207"/>
      <c r="B8405" s="207"/>
      <c r="N8405" s="4"/>
      <c r="O8405" s="256"/>
    </row>
    <row r="8406" spans="1:15">
      <c r="A8406" s="207"/>
      <c r="B8406" s="207"/>
      <c r="N8406" s="4"/>
      <c r="O8406" s="256"/>
    </row>
    <row r="8407" spans="1:15">
      <c r="A8407" s="207"/>
      <c r="B8407" s="207"/>
      <c r="N8407" s="4"/>
      <c r="O8407" s="256"/>
    </row>
    <row r="8408" spans="1:15">
      <c r="A8408" s="207"/>
      <c r="B8408" s="207"/>
      <c r="N8408" s="4"/>
      <c r="O8408" s="256"/>
    </row>
    <row r="8409" spans="1:15">
      <c r="A8409" s="207"/>
      <c r="B8409" s="207"/>
      <c r="N8409" s="4"/>
      <c r="O8409" s="256"/>
    </row>
    <row r="8410" spans="1:15">
      <c r="A8410" s="207"/>
      <c r="B8410" s="207"/>
      <c r="N8410" s="4"/>
      <c r="O8410" s="256"/>
    </row>
    <row r="8411" spans="1:15">
      <c r="A8411" s="207"/>
      <c r="B8411" s="207"/>
      <c r="N8411" s="4"/>
      <c r="O8411" s="256"/>
    </row>
    <row r="8412" spans="1:15">
      <c r="A8412" s="207"/>
      <c r="B8412" s="207"/>
      <c r="N8412" s="4"/>
      <c r="O8412" s="256"/>
    </row>
    <row r="8413" spans="1:15">
      <c r="A8413" s="207"/>
      <c r="B8413" s="207"/>
      <c r="N8413" s="4"/>
      <c r="O8413" s="256"/>
    </row>
    <row r="8414" spans="1:15">
      <c r="A8414" s="207"/>
      <c r="B8414" s="207"/>
      <c r="N8414" s="4"/>
      <c r="O8414" s="256"/>
    </row>
    <row r="8415" spans="1:15">
      <c r="A8415" s="207"/>
      <c r="B8415" s="207"/>
      <c r="N8415" s="4"/>
      <c r="O8415" s="256"/>
    </row>
    <row r="8416" spans="1:15">
      <c r="A8416" s="207"/>
      <c r="B8416" s="207"/>
      <c r="N8416" s="4"/>
      <c r="O8416" s="256"/>
    </row>
    <row r="8417" spans="1:15">
      <c r="A8417" s="207"/>
      <c r="B8417" s="207"/>
      <c r="N8417" s="4"/>
      <c r="O8417" s="256"/>
    </row>
    <row r="8418" spans="1:15">
      <c r="A8418" s="207"/>
      <c r="B8418" s="207"/>
      <c r="N8418" s="4"/>
      <c r="O8418" s="256"/>
    </row>
    <row r="8419" spans="1:15">
      <c r="A8419" s="207"/>
      <c r="B8419" s="207"/>
      <c r="N8419" s="4"/>
      <c r="O8419" s="256"/>
    </row>
    <row r="8420" spans="1:15">
      <c r="A8420" s="207"/>
      <c r="B8420" s="207"/>
      <c r="N8420" s="4"/>
      <c r="O8420" s="256"/>
    </row>
    <row r="8421" spans="1:15">
      <c r="A8421" s="207"/>
      <c r="B8421" s="207"/>
      <c r="N8421" s="4"/>
      <c r="O8421" s="256"/>
    </row>
    <row r="8422" spans="1:15">
      <c r="A8422" s="207"/>
      <c r="B8422" s="207"/>
      <c r="N8422" s="4"/>
      <c r="O8422" s="256"/>
    </row>
    <row r="8423" spans="1:15">
      <c r="A8423" s="207"/>
      <c r="B8423" s="207"/>
      <c r="N8423" s="4"/>
      <c r="O8423" s="256"/>
    </row>
    <row r="8424" spans="1:15">
      <c r="A8424" s="207"/>
      <c r="B8424" s="207"/>
      <c r="N8424" s="4"/>
      <c r="O8424" s="256"/>
    </row>
    <row r="8425" spans="1:15">
      <c r="A8425" s="207"/>
      <c r="B8425" s="207"/>
      <c r="N8425" s="4"/>
      <c r="O8425" s="256"/>
    </row>
    <row r="8426" spans="1:15">
      <c r="A8426" s="207"/>
      <c r="B8426" s="207"/>
      <c r="N8426" s="4"/>
      <c r="O8426" s="256"/>
    </row>
    <row r="8427" spans="1:15">
      <c r="A8427" s="207"/>
      <c r="B8427" s="207"/>
      <c r="N8427" s="4"/>
      <c r="O8427" s="256"/>
    </row>
    <row r="8428" spans="1:15">
      <c r="A8428" s="207"/>
      <c r="B8428" s="207"/>
      <c r="N8428" s="4"/>
      <c r="O8428" s="256"/>
    </row>
    <row r="8429" spans="1:15">
      <c r="A8429" s="207"/>
      <c r="B8429" s="207"/>
      <c r="N8429" s="4"/>
      <c r="O8429" s="256"/>
    </row>
    <row r="8430" spans="1:15">
      <c r="A8430" s="207"/>
      <c r="B8430" s="207"/>
      <c r="N8430" s="4"/>
      <c r="O8430" s="256"/>
    </row>
    <row r="8431" spans="1:15">
      <c r="A8431" s="207"/>
      <c r="B8431" s="207"/>
      <c r="N8431" s="4"/>
      <c r="O8431" s="256"/>
    </row>
    <row r="8432" spans="1:15">
      <c r="A8432" s="207"/>
      <c r="B8432" s="207"/>
      <c r="N8432" s="4"/>
      <c r="O8432" s="256"/>
    </row>
    <row r="8433" spans="1:15">
      <c r="A8433" s="207"/>
      <c r="B8433" s="207"/>
      <c r="N8433" s="4"/>
      <c r="O8433" s="256"/>
    </row>
    <row r="8434" spans="1:15">
      <c r="A8434" s="207"/>
      <c r="B8434" s="207"/>
      <c r="N8434" s="4"/>
      <c r="O8434" s="256"/>
    </row>
    <row r="8435" spans="1:15">
      <c r="A8435" s="207"/>
      <c r="B8435" s="207"/>
      <c r="N8435" s="4"/>
      <c r="O8435" s="256"/>
    </row>
    <row r="8436" spans="1:15">
      <c r="A8436" s="207"/>
      <c r="B8436" s="207"/>
      <c r="N8436" s="4"/>
      <c r="O8436" s="256"/>
    </row>
    <row r="8437" spans="1:15">
      <c r="A8437" s="207"/>
      <c r="B8437" s="207"/>
      <c r="N8437" s="4"/>
      <c r="O8437" s="256"/>
    </row>
    <row r="8438" spans="1:15">
      <c r="A8438" s="207"/>
      <c r="B8438" s="207"/>
      <c r="N8438" s="4"/>
      <c r="O8438" s="256"/>
    </row>
    <row r="8439" spans="1:15">
      <c r="A8439" s="207"/>
      <c r="B8439" s="207"/>
      <c r="N8439" s="4"/>
      <c r="O8439" s="256"/>
    </row>
    <row r="8440" spans="1:15">
      <c r="A8440" s="207"/>
      <c r="B8440" s="207"/>
      <c r="N8440" s="4"/>
      <c r="O8440" s="256"/>
    </row>
    <row r="8441" spans="1:15">
      <c r="A8441" s="207"/>
      <c r="B8441" s="207"/>
      <c r="N8441" s="4"/>
      <c r="O8441" s="256"/>
    </row>
    <row r="8442" spans="1:15">
      <c r="A8442" s="207"/>
      <c r="B8442" s="207"/>
      <c r="N8442" s="4"/>
      <c r="O8442" s="256"/>
    </row>
    <row r="8443" spans="1:15">
      <c r="A8443" s="207"/>
      <c r="B8443" s="207"/>
      <c r="N8443" s="4"/>
      <c r="O8443" s="256"/>
    </row>
    <row r="8444" spans="1:15">
      <c r="A8444" s="207"/>
      <c r="B8444" s="207"/>
      <c r="N8444" s="4"/>
      <c r="O8444" s="256"/>
    </row>
    <row r="8445" spans="1:15">
      <c r="A8445" s="207"/>
      <c r="B8445" s="207"/>
      <c r="N8445" s="4"/>
      <c r="O8445" s="256"/>
    </row>
    <row r="8446" spans="1:15">
      <c r="A8446" s="207"/>
      <c r="B8446" s="207"/>
      <c r="N8446" s="4"/>
      <c r="O8446" s="256"/>
    </row>
    <row r="8447" spans="1:15">
      <c r="A8447" s="207"/>
      <c r="B8447" s="207"/>
      <c r="N8447" s="4"/>
      <c r="O8447" s="256"/>
    </row>
    <row r="8448" spans="1:15">
      <c r="A8448" s="207"/>
      <c r="B8448" s="207"/>
      <c r="N8448" s="4"/>
      <c r="O8448" s="256"/>
    </row>
    <row r="8449" spans="1:15">
      <c r="A8449" s="207"/>
      <c r="B8449" s="207"/>
      <c r="N8449" s="4"/>
      <c r="O8449" s="256"/>
    </row>
    <row r="8450" spans="1:15">
      <c r="A8450" s="207"/>
      <c r="B8450" s="207"/>
      <c r="N8450" s="4"/>
      <c r="O8450" s="256"/>
    </row>
    <row r="8451" spans="1:15">
      <c r="A8451" s="207"/>
      <c r="B8451" s="207"/>
      <c r="N8451" s="4"/>
      <c r="O8451" s="256"/>
    </row>
    <row r="8452" spans="1:15">
      <c r="A8452" s="207"/>
      <c r="B8452" s="207"/>
      <c r="N8452" s="4"/>
      <c r="O8452" s="256"/>
    </row>
    <row r="8453" spans="1:15">
      <c r="A8453" s="207"/>
      <c r="B8453" s="207"/>
      <c r="N8453" s="4"/>
      <c r="O8453" s="256"/>
    </row>
    <row r="8454" spans="1:15">
      <c r="A8454" s="207"/>
      <c r="B8454" s="207"/>
      <c r="N8454" s="4"/>
      <c r="O8454" s="256"/>
    </row>
    <row r="8455" spans="1:15">
      <c r="A8455" s="207"/>
      <c r="B8455" s="207"/>
      <c r="N8455" s="4"/>
      <c r="O8455" s="256"/>
    </row>
    <row r="8456" spans="1:15">
      <c r="A8456" s="207"/>
      <c r="B8456" s="207"/>
      <c r="N8456" s="4"/>
      <c r="O8456" s="256"/>
    </row>
    <row r="8457" spans="1:15">
      <c r="A8457" s="207"/>
      <c r="B8457" s="207"/>
      <c r="N8457" s="4"/>
      <c r="O8457" s="256"/>
    </row>
    <row r="8458" spans="1:15">
      <c r="A8458" s="207"/>
      <c r="B8458" s="207"/>
      <c r="N8458" s="4"/>
      <c r="O8458" s="256"/>
    </row>
    <row r="8459" spans="1:15">
      <c r="A8459" s="207"/>
      <c r="B8459" s="207"/>
      <c r="N8459" s="4"/>
      <c r="O8459" s="256"/>
    </row>
    <row r="8460" spans="1:15">
      <c r="A8460" s="207"/>
      <c r="B8460" s="207"/>
      <c r="N8460" s="4"/>
      <c r="O8460" s="256"/>
    </row>
    <row r="8461" spans="1:15">
      <c r="A8461" s="207"/>
      <c r="B8461" s="207"/>
      <c r="N8461" s="4"/>
      <c r="O8461" s="256"/>
    </row>
    <row r="8462" spans="1:15">
      <c r="A8462" s="207"/>
      <c r="B8462" s="207"/>
      <c r="N8462" s="4"/>
      <c r="O8462" s="256"/>
    </row>
    <row r="8463" spans="1:15">
      <c r="A8463" s="207"/>
      <c r="B8463" s="207"/>
      <c r="N8463" s="4"/>
      <c r="O8463" s="256"/>
    </row>
    <row r="8464" spans="1:15">
      <c r="A8464" s="207"/>
      <c r="B8464" s="207"/>
      <c r="N8464" s="4"/>
      <c r="O8464" s="256"/>
    </row>
    <row r="8465" spans="1:15">
      <c r="A8465" s="207"/>
      <c r="B8465" s="207"/>
      <c r="N8465" s="4"/>
      <c r="O8465" s="256"/>
    </row>
    <row r="8466" spans="1:15">
      <c r="A8466" s="207"/>
      <c r="B8466" s="207"/>
      <c r="N8466" s="4"/>
      <c r="O8466" s="256"/>
    </row>
    <row r="8467" spans="1:15">
      <c r="A8467" s="207"/>
      <c r="B8467" s="207"/>
      <c r="N8467" s="4"/>
      <c r="O8467" s="256"/>
    </row>
    <row r="8468" spans="1:15">
      <c r="A8468" s="207"/>
      <c r="B8468" s="207"/>
      <c r="N8468" s="4"/>
      <c r="O8468" s="256"/>
    </row>
    <row r="8469" spans="1:15">
      <c r="A8469" s="207"/>
      <c r="B8469" s="207"/>
      <c r="N8469" s="4"/>
      <c r="O8469" s="256"/>
    </row>
    <row r="8470" spans="1:15">
      <c r="A8470" s="207"/>
      <c r="B8470" s="207"/>
      <c r="N8470" s="4"/>
      <c r="O8470" s="256"/>
    </row>
    <row r="8471" spans="1:15">
      <c r="A8471" s="207"/>
      <c r="B8471" s="207"/>
      <c r="N8471" s="4"/>
      <c r="O8471" s="256"/>
    </row>
    <row r="8472" spans="1:15">
      <c r="A8472" s="207"/>
      <c r="B8472" s="207"/>
      <c r="N8472" s="4"/>
      <c r="O8472" s="256"/>
    </row>
    <row r="8473" spans="1:15">
      <c r="A8473" s="207"/>
      <c r="B8473" s="207"/>
      <c r="N8473" s="4"/>
      <c r="O8473" s="256"/>
    </row>
    <row r="8474" spans="1:15">
      <c r="A8474" s="207"/>
      <c r="B8474" s="207"/>
      <c r="N8474" s="4"/>
      <c r="O8474" s="256"/>
    </row>
    <row r="8475" spans="1:15">
      <c r="A8475" s="207"/>
      <c r="B8475" s="207"/>
      <c r="N8475" s="4"/>
      <c r="O8475" s="256"/>
    </row>
    <row r="8476" spans="1:15">
      <c r="A8476" s="207"/>
      <c r="B8476" s="207"/>
      <c r="N8476" s="4"/>
      <c r="O8476" s="256"/>
    </row>
    <row r="8477" spans="1:15">
      <c r="A8477" s="207"/>
      <c r="B8477" s="207"/>
      <c r="N8477" s="4"/>
      <c r="O8477" s="256"/>
    </row>
    <row r="8478" spans="1:15">
      <c r="A8478" s="207"/>
      <c r="B8478" s="207"/>
      <c r="N8478" s="4"/>
      <c r="O8478" s="256"/>
    </row>
    <row r="8479" spans="1:15">
      <c r="A8479" s="207"/>
      <c r="B8479" s="207"/>
      <c r="N8479" s="4"/>
      <c r="O8479" s="256"/>
    </row>
    <row r="8480" spans="1:15">
      <c r="A8480" s="207"/>
      <c r="B8480" s="207"/>
      <c r="N8480" s="4"/>
      <c r="O8480" s="256"/>
    </row>
    <row r="8481" spans="1:15">
      <c r="A8481" s="207"/>
      <c r="B8481" s="207"/>
      <c r="N8481" s="4"/>
      <c r="O8481" s="256"/>
    </row>
    <row r="8482" spans="1:15">
      <c r="A8482" s="207"/>
      <c r="B8482" s="207"/>
      <c r="N8482" s="4"/>
      <c r="O8482" s="256"/>
    </row>
    <row r="8483" spans="1:15">
      <c r="A8483" s="207"/>
      <c r="B8483" s="207"/>
      <c r="N8483" s="4"/>
      <c r="O8483" s="256"/>
    </row>
    <row r="8484" spans="1:15">
      <c r="A8484" s="207"/>
      <c r="B8484" s="207"/>
      <c r="N8484" s="4"/>
      <c r="O8484" s="256"/>
    </row>
    <row r="8485" spans="1:15">
      <c r="A8485" s="207"/>
      <c r="B8485" s="207"/>
      <c r="N8485" s="4"/>
      <c r="O8485" s="256"/>
    </row>
    <row r="8486" spans="1:15">
      <c r="A8486" s="207"/>
      <c r="B8486" s="207"/>
      <c r="N8486" s="4"/>
      <c r="O8486" s="256"/>
    </row>
    <row r="8487" spans="1:15">
      <c r="A8487" s="207"/>
      <c r="B8487" s="207"/>
      <c r="N8487" s="4"/>
      <c r="O8487" s="256"/>
    </row>
    <row r="8488" spans="1:15">
      <c r="A8488" s="207"/>
      <c r="B8488" s="207"/>
      <c r="N8488" s="4"/>
      <c r="O8488" s="256"/>
    </row>
    <row r="8489" spans="1:15">
      <c r="A8489" s="207"/>
      <c r="B8489" s="207"/>
      <c r="N8489" s="4"/>
      <c r="O8489" s="256"/>
    </row>
    <row r="8490" spans="1:15">
      <c r="A8490" s="207"/>
      <c r="B8490" s="207"/>
      <c r="N8490" s="4"/>
      <c r="O8490" s="256"/>
    </row>
    <row r="8491" spans="1:15">
      <c r="A8491" s="207"/>
      <c r="B8491" s="207"/>
      <c r="N8491" s="4"/>
      <c r="O8491" s="256"/>
    </row>
    <row r="8492" spans="1:15">
      <c r="A8492" s="207"/>
      <c r="B8492" s="207"/>
      <c r="N8492" s="4"/>
      <c r="O8492" s="256"/>
    </row>
    <row r="8493" spans="1:15">
      <c r="A8493" s="207"/>
      <c r="B8493" s="207"/>
      <c r="N8493" s="4"/>
      <c r="O8493" s="256"/>
    </row>
    <row r="8494" spans="1:15">
      <c r="A8494" s="207"/>
      <c r="B8494" s="207"/>
      <c r="N8494" s="4"/>
      <c r="O8494" s="256"/>
    </row>
    <row r="8495" spans="1:15">
      <c r="A8495" s="207"/>
      <c r="B8495" s="207"/>
      <c r="N8495" s="4"/>
      <c r="O8495" s="256"/>
    </row>
    <row r="8496" spans="1:15">
      <c r="A8496" s="207"/>
      <c r="B8496" s="207"/>
      <c r="N8496" s="4"/>
      <c r="O8496" s="256"/>
    </row>
    <row r="8497" spans="1:15">
      <c r="A8497" s="207"/>
      <c r="B8497" s="207"/>
      <c r="N8497" s="4"/>
      <c r="O8497" s="256"/>
    </row>
    <row r="8498" spans="1:15">
      <c r="A8498" s="207"/>
      <c r="B8498" s="207"/>
      <c r="N8498" s="4"/>
      <c r="O8498" s="256"/>
    </row>
    <row r="8499" spans="1:15">
      <c r="A8499" s="207"/>
      <c r="B8499" s="207"/>
      <c r="N8499" s="4"/>
      <c r="O8499" s="256"/>
    </row>
    <row r="8500" spans="1:15">
      <c r="A8500" s="207"/>
      <c r="B8500" s="207"/>
      <c r="N8500" s="4"/>
      <c r="O8500" s="256"/>
    </row>
    <row r="8501" spans="1:15">
      <c r="A8501" s="207"/>
      <c r="B8501" s="207"/>
      <c r="N8501" s="4"/>
      <c r="O8501" s="256"/>
    </row>
    <row r="8502" spans="1:15">
      <c r="A8502" s="207"/>
      <c r="B8502" s="207"/>
      <c r="N8502" s="4"/>
      <c r="O8502" s="256"/>
    </row>
    <row r="8503" spans="1:15">
      <c r="A8503" s="207"/>
      <c r="B8503" s="207"/>
      <c r="N8503" s="4"/>
      <c r="O8503" s="256"/>
    </row>
    <row r="8504" spans="1:15">
      <c r="A8504" s="207"/>
      <c r="B8504" s="207"/>
      <c r="N8504" s="4"/>
      <c r="O8504" s="256"/>
    </row>
    <row r="8505" spans="1:15">
      <c r="A8505" s="207"/>
      <c r="B8505" s="207"/>
      <c r="N8505" s="4"/>
      <c r="O8505" s="256"/>
    </row>
    <row r="8506" spans="1:15">
      <c r="A8506" s="207"/>
      <c r="B8506" s="207"/>
      <c r="N8506" s="4"/>
      <c r="O8506" s="256"/>
    </row>
    <row r="8507" spans="1:15">
      <c r="A8507" s="207"/>
      <c r="B8507" s="207"/>
      <c r="N8507" s="4"/>
      <c r="O8507" s="256"/>
    </row>
    <row r="8508" spans="1:15">
      <c r="A8508" s="207"/>
      <c r="B8508" s="207"/>
      <c r="N8508" s="4"/>
      <c r="O8508" s="256"/>
    </row>
    <row r="8509" spans="1:15">
      <c r="A8509" s="207"/>
      <c r="B8509" s="207"/>
      <c r="N8509" s="4"/>
      <c r="O8509" s="256"/>
    </row>
    <row r="8510" spans="1:15">
      <c r="A8510" s="207"/>
      <c r="B8510" s="207"/>
      <c r="N8510" s="4"/>
      <c r="O8510" s="256"/>
    </row>
    <row r="8511" spans="1:15">
      <c r="A8511" s="207"/>
      <c r="B8511" s="207"/>
      <c r="N8511" s="4"/>
      <c r="O8511" s="256"/>
    </row>
    <row r="8512" spans="1:15">
      <c r="A8512" s="207"/>
      <c r="B8512" s="207"/>
      <c r="N8512" s="4"/>
      <c r="O8512" s="256"/>
    </row>
    <row r="8513" spans="1:15">
      <c r="A8513" s="207"/>
      <c r="B8513" s="207"/>
      <c r="N8513" s="4"/>
      <c r="O8513" s="256"/>
    </row>
    <row r="8514" spans="1:15">
      <c r="A8514" s="207"/>
      <c r="B8514" s="207"/>
      <c r="N8514" s="4"/>
      <c r="O8514" s="256"/>
    </row>
    <row r="8515" spans="1:15">
      <c r="A8515" s="207"/>
      <c r="B8515" s="207"/>
      <c r="N8515" s="4"/>
      <c r="O8515" s="256"/>
    </row>
    <row r="8516" spans="1:15">
      <c r="A8516" s="207"/>
      <c r="B8516" s="207"/>
      <c r="N8516" s="4"/>
      <c r="O8516" s="256"/>
    </row>
    <row r="8517" spans="1:15">
      <c r="A8517" s="207"/>
      <c r="B8517" s="207"/>
      <c r="N8517" s="4"/>
      <c r="O8517" s="256"/>
    </row>
    <row r="8518" spans="1:15">
      <c r="A8518" s="207"/>
      <c r="B8518" s="207"/>
      <c r="N8518" s="4"/>
      <c r="O8518" s="256"/>
    </row>
    <row r="8519" spans="1:15">
      <c r="A8519" s="207"/>
      <c r="B8519" s="207"/>
      <c r="N8519" s="4"/>
      <c r="O8519" s="256"/>
    </row>
    <row r="8520" spans="1:15">
      <c r="A8520" s="207"/>
      <c r="B8520" s="207"/>
      <c r="N8520" s="4"/>
      <c r="O8520" s="256"/>
    </row>
    <row r="8521" spans="1:15">
      <c r="A8521" s="207"/>
      <c r="B8521" s="207"/>
      <c r="N8521" s="4"/>
      <c r="O8521" s="256"/>
    </row>
    <row r="8522" spans="1:15">
      <c r="A8522" s="207"/>
      <c r="B8522" s="207"/>
      <c r="N8522" s="4"/>
      <c r="O8522" s="256"/>
    </row>
    <row r="8523" spans="1:15">
      <c r="A8523" s="207"/>
      <c r="B8523" s="207"/>
      <c r="N8523" s="4"/>
      <c r="O8523" s="256"/>
    </row>
    <row r="8524" spans="1:15">
      <c r="A8524" s="207"/>
      <c r="B8524" s="207"/>
      <c r="N8524" s="4"/>
      <c r="O8524" s="256"/>
    </row>
    <row r="8525" spans="1:15">
      <c r="A8525" s="207"/>
      <c r="B8525" s="207"/>
      <c r="N8525" s="4"/>
      <c r="O8525" s="256"/>
    </row>
    <row r="8526" spans="1:15">
      <c r="A8526" s="207"/>
      <c r="B8526" s="207"/>
      <c r="N8526" s="4"/>
      <c r="O8526" s="256"/>
    </row>
    <row r="8527" spans="1:15">
      <c r="A8527" s="207"/>
      <c r="B8527" s="207"/>
      <c r="N8527" s="4"/>
      <c r="O8527" s="256"/>
    </row>
    <row r="8528" spans="1:15">
      <c r="A8528" s="207"/>
      <c r="B8528" s="207"/>
      <c r="N8528" s="4"/>
      <c r="O8528" s="256"/>
    </row>
    <row r="8529" spans="1:15">
      <c r="A8529" s="207"/>
      <c r="B8529" s="207"/>
      <c r="N8529" s="4"/>
      <c r="O8529" s="256"/>
    </row>
    <row r="8530" spans="1:15">
      <c r="A8530" s="207"/>
      <c r="B8530" s="207"/>
      <c r="N8530" s="4"/>
      <c r="O8530" s="256"/>
    </row>
    <row r="8531" spans="1:15">
      <c r="A8531" s="207"/>
      <c r="B8531" s="207"/>
      <c r="N8531" s="4"/>
      <c r="O8531" s="256"/>
    </row>
    <row r="8532" spans="1:15">
      <c r="A8532" s="207"/>
      <c r="B8532" s="207"/>
      <c r="N8532" s="4"/>
      <c r="O8532" s="256"/>
    </row>
    <row r="8533" spans="1:15">
      <c r="A8533" s="207"/>
      <c r="B8533" s="207"/>
      <c r="N8533" s="4"/>
      <c r="O8533" s="256"/>
    </row>
    <row r="8534" spans="1:15">
      <c r="A8534" s="207"/>
      <c r="B8534" s="207"/>
      <c r="N8534" s="4"/>
      <c r="O8534" s="256"/>
    </row>
    <row r="8535" spans="1:15">
      <c r="A8535" s="207"/>
      <c r="B8535" s="207"/>
      <c r="N8535" s="4"/>
      <c r="O8535" s="256"/>
    </row>
    <row r="8536" spans="1:15">
      <c r="A8536" s="207"/>
      <c r="B8536" s="207"/>
      <c r="N8536" s="4"/>
      <c r="O8536" s="256"/>
    </row>
    <row r="8537" spans="1:15">
      <c r="A8537" s="207"/>
      <c r="B8537" s="207"/>
      <c r="N8537" s="4"/>
      <c r="O8537" s="256"/>
    </row>
    <row r="8538" spans="1:15">
      <c r="A8538" s="207"/>
      <c r="B8538" s="207"/>
      <c r="N8538" s="4"/>
      <c r="O8538" s="256"/>
    </row>
    <row r="8539" spans="1:15">
      <c r="A8539" s="207"/>
      <c r="B8539" s="207"/>
      <c r="N8539" s="4"/>
      <c r="O8539" s="256"/>
    </row>
    <row r="8540" spans="1:15">
      <c r="A8540" s="207"/>
      <c r="B8540" s="207"/>
      <c r="N8540" s="4"/>
      <c r="O8540" s="256"/>
    </row>
    <row r="8541" spans="1:15">
      <c r="A8541" s="207"/>
      <c r="B8541" s="207"/>
      <c r="N8541" s="4"/>
      <c r="O8541" s="256"/>
    </row>
    <row r="8542" spans="1:15">
      <c r="A8542" s="207"/>
      <c r="B8542" s="207"/>
      <c r="N8542" s="4"/>
      <c r="O8542" s="256"/>
    </row>
    <row r="8543" spans="1:15">
      <c r="A8543" s="207"/>
      <c r="B8543" s="207"/>
      <c r="N8543" s="4"/>
      <c r="O8543" s="256"/>
    </row>
    <row r="8544" spans="1:15">
      <c r="A8544" s="207"/>
      <c r="B8544" s="207"/>
      <c r="N8544" s="4"/>
      <c r="O8544" s="256"/>
    </row>
    <row r="8545" spans="1:15">
      <c r="A8545" s="207"/>
      <c r="B8545" s="207"/>
      <c r="N8545" s="4"/>
      <c r="O8545" s="256"/>
    </row>
    <row r="8546" spans="1:15">
      <c r="A8546" s="207"/>
      <c r="B8546" s="207"/>
      <c r="N8546" s="4"/>
      <c r="O8546" s="256"/>
    </row>
    <row r="8547" spans="1:15">
      <c r="A8547" s="207"/>
      <c r="B8547" s="207"/>
      <c r="N8547" s="4"/>
      <c r="O8547" s="256"/>
    </row>
    <row r="8548" spans="1:15">
      <c r="A8548" s="207"/>
      <c r="B8548" s="207"/>
      <c r="N8548" s="4"/>
      <c r="O8548" s="256"/>
    </row>
    <row r="8549" spans="1:15">
      <c r="A8549" s="207"/>
      <c r="B8549" s="207"/>
      <c r="N8549" s="4"/>
      <c r="O8549" s="256"/>
    </row>
    <row r="8550" spans="1:15">
      <c r="A8550" s="207"/>
      <c r="B8550" s="207"/>
      <c r="N8550" s="4"/>
      <c r="O8550" s="256"/>
    </row>
    <row r="8551" spans="1:15">
      <c r="A8551" s="207"/>
      <c r="B8551" s="207"/>
      <c r="N8551" s="4"/>
      <c r="O8551" s="256"/>
    </row>
    <row r="8552" spans="1:15">
      <c r="A8552" s="207"/>
      <c r="B8552" s="207"/>
      <c r="N8552" s="4"/>
      <c r="O8552" s="256"/>
    </row>
    <row r="8553" spans="1:15">
      <c r="A8553" s="207"/>
      <c r="B8553" s="207"/>
      <c r="N8553" s="4"/>
      <c r="O8553" s="256"/>
    </row>
    <row r="8554" spans="1:15">
      <c r="A8554" s="207"/>
      <c r="B8554" s="207"/>
      <c r="N8554" s="4"/>
      <c r="O8554" s="256"/>
    </row>
    <row r="8555" spans="1:15">
      <c r="A8555" s="207"/>
      <c r="B8555" s="207"/>
      <c r="N8555" s="4"/>
      <c r="O8555" s="256"/>
    </row>
    <row r="8556" spans="1:15">
      <c r="A8556" s="207"/>
      <c r="B8556" s="207"/>
      <c r="N8556" s="4"/>
      <c r="O8556" s="256"/>
    </row>
    <row r="8557" spans="1:15">
      <c r="A8557" s="207"/>
      <c r="B8557" s="207"/>
      <c r="N8557" s="4"/>
      <c r="O8557" s="256"/>
    </row>
    <row r="8558" spans="1:15">
      <c r="A8558" s="207"/>
      <c r="B8558" s="207"/>
      <c r="N8558" s="4"/>
      <c r="O8558" s="256"/>
    </row>
    <row r="8559" spans="1:15">
      <c r="A8559" s="207"/>
      <c r="B8559" s="207"/>
      <c r="N8559" s="4"/>
      <c r="O8559" s="256"/>
    </row>
    <row r="8560" spans="1:15">
      <c r="A8560" s="207"/>
      <c r="B8560" s="207"/>
      <c r="N8560" s="4"/>
      <c r="O8560" s="256"/>
    </row>
    <row r="8561" spans="1:15">
      <c r="A8561" s="207"/>
      <c r="B8561" s="207"/>
      <c r="N8561" s="4"/>
      <c r="O8561" s="256"/>
    </row>
    <row r="8562" spans="1:15">
      <c r="A8562" s="207"/>
      <c r="B8562" s="207"/>
      <c r="N8562" s="4"/>
      <c r="O8562" s="256"/>
    </row>
    <row r="8563" spans="1:15">
      <c r="A8563" s="207"/>
      <c r="B8563" s="207"/>
      <c r="N8563" s="4"/>
      <c r="O8563" s="256"/>
    </row>
    <row r="8564" spans="1:15">
      <c r="A8564" s="207"/>
      <c r="B8564" s="207"/>
      <c r="N8564" s="4"/>
      <c r="O8564" s="256"/>
    </row>
    <row r="8565" spans="1:15">
      <c r="A8565" s="207"/>
      <c r="B8565" s="207"/>
      <c r="N8565" s="4"/>
      <c r="O8565" s="256"/>
    </row>
    <row r="8566" spans="1:15">
      <c r="A8566" s="207"/>
      <c r="B8566" s="207"/>
      <c r="N8566" s="4"/>
      <c r="O8566" s="256"/>
    </row>
    <row r="8567" spans="1:15">
      <c r="A8567" s="207"/>
      <c r="B8567" s="207"/>
      <c r="N8567" s="4"/>
      <c r="O8567" s="256"/>
    </row>
    <row r="8568" spans="1:15">
      <c r="A8568" s="207"/>
      <c r="B8568" s="207"/>
      <c r="N8568" s="4"/>
      <c r="O8568" s="256"/>
    </row>
    <row r="8569" spans="1:15">
      <c r="A8569" s="207"/>
      <c r="B8569" s="207"/>
      <c r="N8569" s="4"/>
      <c r="O8569" s="256"/>
    </row>
    <row r="8570" spans="1:15">
      <c r="A8570" s="207"/>
      <c r="B8570" s="207"/>
      <c r="N8570" s="4"/>
      <c r="O8570" s="256"/>
    </row>
    <row r="8571" spans="1:15">
      <c r="A8571" s="207"/>
      <c r="B8571" s="207"/>
      <c r="N8571" s="4"/>
      <c r="O8571" s="256"/>
    </row>
    <row r="8572" spans="1:15">
      <c r="A8572" s="207"/>
      <c r="B8572" s="207"/>
      <c r="N8572" s="4"/>
      <c r="O8572" s="256"/>
    </row>
    <row r="8573" spans="1:15">
      <c r="A8573" s="207"/>
      <c r="B8573" s="207"/>
      <c r="N8573" s="4"/>
      <c r="O8573" s="256"/>
    </row>
    <row r="8574" spans="1:15">
      <c r="A8574" s="207"/>
      <c r="B8574" s="207"/>
      <c r="N8574" s="4"/>
      <c r="O8574" s="256"/>
    </row>
    <row r="8575" spans="1:15">
      <c r="A8575" s="207"/>
      <c r="B8575" s="207"/>
      <c r="N8575" s="4"/>
      <c r="O8575" s="256"/>
    </row>
    <row r="8576" spans="1:15">
      <c r="A8576" s="207"/>
      <c r="B8576" s="207"/>
      <c r="N8576" s="4"/>
      <c r="O8576" s="256"/>
    </row>
    <row r="8577" spans="1:15">
      <c r="A8577" s="207"/>
      <c r="B8577" s="207"/>
      <c r="N8577" s="4"/>
      <c r="O8577" s="256"/>
    </row>
    <row r="8578" spans="1:15">
      <c r="A8578" s="207"/>
      <c r="B8578" s="207"/>
      <c r="N8578" s="4"/>
      <c r="O8578" s="256"/>
    </row>
    <row r="8579" spans="1:15">
      <c r="A8579" s="207"/>
      <c r="B8579" s="207"/>
      <c r="N8579" s="4"/>
      <c r="O8579" s="256"/>
    </row>
    <row r="8580" spans="1:15">
      <c r="A8580" s="207"/>
      <c r="B8580" s="207"/>
      <c r="N8580" s="4"/>
      <c r="O8580" s="256"/>
    </row>
    <row r="8581" spans="1:15">
      <c r="A8581" s="207"/>
      <c r="B8581" s="207"/>
      <c r="N8581" s="4"/>
      <c r="O8581" s="256"/>
    </row>
    <row r="8582" spans="1:15">
      <c r="A8582" s="207"/>
      <c r="B8582" s="207"/>
      <c r="N8582" s="4"/>
      <c r="O8582" s="256"/>
    </row>
    <row r="8583" spans="1:15">
      <c r="A8583" s="207"/>
      <c r="B8583" s="207"/>
      <c r="N8583" s="4"/>
      <c r="O8583" s="256"/>
    </row>
    <row r="8584" spans="1:15">
      <c r="A8584" s="207"/>
      <c r="B8584" s="207"/>
      <c r="N8584" s="4"/>
      <c r="O8584" s="256"/>
    </row>
    <row r="8585" spans="1:15">
      <c r="A8585" s="207"/>
      <c r="B8585" s="207"/>
      <c r="N8585" s="4"/>
      <c r="O8585" s="256"/>
    </row>
    <row r="8586" spans="1:15">
      <c r="A8586" s="207"/>
      <c r="B8586" s="207"/>
      <c r="N8586" s="4"/>
      <c r="O8586" s="256"/>
    </row>
    <row r="8587" spans="1:15">
      <c r="A8587" s="207"/>
      <c r="B8587" s="207"/>
      <c r="N8587" s="4"/>
      <c r="O8587" s="256"/>
    </row>
    <row r="8588" spans="1:15">
      <c r="A8588" s="207"/>
      <c r="B8588" s="207"/>
      <c r="N8588" s="4"/>
      <c r="O8588" s="256"/>
    </row>
    <row r="8589" spans="1:15">
      <c r="A8589" s="207"/>
      <c r="B8589" s="207"/>
      <c r="N8589" s="4"/>
      <c r="O8589" s="256"/>
    </row>
    <row r="8590" spans="1:15">
      <c r="A8590" s="207"/>
      <c r="B8590" s="207"/>
      <c r="N8590" s="4"/>
      <c r="O8590" s="256"/>
    </row>
    <row r="8591" spans="1:15">
      <c r="A8591" s="207"/>
      <c r="B8591" s="207"/>
      <c r="N8591" s="4"/>
      <c r="O8591" s="256"/>
    </row>
    <row r="8592" spans="1:15">
      <c r="A8592" s="207"/>
      <c r="B8592" s="207"/>
      <c r="N8592" s="4"/>
      <c r="O8592" s="256"/>
    </row>
    <row r="8593" spans="1:15">
      <c r="A8593" s="207"/>
      <c r="B8593" s="207"/>
      <c r="N8593" s="4"/>
      <c r="O8593" s="256"/>
    </row>
    <row r="8594" spans="1:15">
      <c r="A8594" s="207"/>
      <c r="B8594" s="207"/>
      <c r="N8594" s="4"/>
      <c r="O8594" s="256"/>
    </row>
    <row r="8595" spans="1:15">
      <c r="A8595" s="207"/>
      <c r="B8595" s="207"/>
      <c r="N8595" s="4"/>
      <c r="O8595" s="256"/>
    </row>
    <row r="8596" spans="1:15">
      <c r="A8596" s="207"/>
      <c r="B8596" s="207"/>
      <c r="N8596" s="4"/>
      <c r="O8596" s="256"/>
    </row>
    <row r="8597" spans="1:15">
      <c r="A8597" s="207"/>
      <c r="B8597" s="207"/>
      <c r="N8597" s="4"/>
      <c r="O8597" s="256"/>
    </row>
    <row r="8598" spans="1:15">
      <c r="A8598" s="207"/>
      <c r="B8598" s="207"/>
      <c r="N8598" s="4"/>
      <c r="O8598" s="256"/>
    </row>
    <row r="8599" spans="1:15">
      <c r="A8599" s="207"/>
      <c r="B8599" s="207"/>
      <c r="N8599" s="4"/>
      <c r="O8599" s="256"/>
    </row>
    <row r="8600" spans="1:15">
      <c r="A8600" s="207"/>
      <c r="B8600" s="207"/>
      <c r="N8600" s="4"/>
      <c r="O8600" s="256"/>
    </row>
    <row r="8601" spans="1:15">
      <c r="A8601" s="207"/>
      <c r="B8601" s="207"/>
      <c r="N8601" s="4"/>
      <c r="O8601" s="256"/>
    </row>
    <row r="8602" spans="1:15">
      <c r="A8602" s="207"/>
      <c r="B8602" s="207"/>
      <c r="N8602" s="4"/>
      <c r="O8602" s="256"/>
    </row>
    <row r="8603" spans="1:15">
      <c r="A8603" s="207"/>
      <c r="B8603" s="207"/>
      <c r="N8603" s="4"/>
      <c r="O8603" s="256"/>
    </row>
    <row r="8604" spans="1:15">
      <c r="A8604" s="207"/>
      <c r="B8604" s="207"/>
      <c r="N8604" s="4"/>
      <c r="O8604" s="256"/>
    </row>
    <row r="8605" spans="1:15">
      <c r="A8605" s="207"/>
      <c r="B8605" s="207"/>
      <c r="N8605" s="4"/>
      <c r="O8605" s="256"/>
    </row>
    <row r="8606" spans="1:15">
      <c r="A8606" s="207"/>
      <c r="B8606" s="207"/>
      <c r="N8606" s="4"/>
      <c r="O8606" s="256"/>
    </row>
    <row r="8607" spans="1:15">
      <c r="A8607" s="207"/>
      <c r="B8607" s="207"/>
      <c r="N8607" s="4"/>
      <c r="O8607" s="256"/>
    </row>
    <row r="8608" spans="1:15">
      <c r="A8608" s="207"/>
      <c r="B8608" s="207"/>
      <c r="N8608" s="4"/>
      <c r="O8608" s="256"/>
    </row>
    <row r="8609" spans="1:15">
      <c r="A8609" s="207"/>
      <c r="B8609" s="207"/>
      <c r="N8609" s="4"/>
      <c r="O8609" s="256"/>
    </row>
    <row r="8610" spans="1:15">
      <c r="A8610" s="207"/>
      <c r="B8610" s="207"/>
      <c r="N8610" s="4"/>
      <c r="O8610" s="256"/>
    </row>
    <row r="8611" spans="1:15">
      <c r="A8611" s="207"/>
      <c r="B8611" s="207"/>
      <c r="N8611" s="4"/>
      <c r="O8611" s="256"/>
    </row>
    <row r="8612" spans="1:15">
      <c r="A8612" s="207"/>
      <c r="B8612" s="207"/>
      <c r="N8612" s="4"/>
      <c r="O8612" s="256"/>
    </row>
    <row r="8613" spans="1:15">
      <c r="A8613" s="207"/>
      <c r="B8613" s="207"/>
      <c r="N8613" s="4"/>
      <c r="O8613" s="256"/>
    </row>
    <row r="8614" spans="1:15">
      <c r="A8614" s="207"/>
      <c r="B8614" s="207"/>
      <c r="N8614" s="4"/>
      <c r="O8614" s="256"/>
    </row>
    <row r="8615" spans="1:15">
      <c r="A8615" s="207"/>
      <c r="B8615" s="207"/>
      <c r="N8615" s="4"/>
      <c r="O8615" s="256"/>
    </row>
    <row r="8616" spans="1:15">
      <c r="A8616" s="207"/>
      <c r="B8616" s="207"/>
      <c r="N8616" s="4"/>
      <c r="O8616" s="256"/>
    </row>
    <row r="8617" spans="1:15">
      <c r="A8617" s="207"/>
      <c r="B8617" s="207"/>
      <c r="N8617" s="4"/>
      <c r="O8617" s="256"/>
    </row>
    <row r="8618" spans="1:15">
      <c r="A8618" s="207"/>
      <c r="B8618" s="207"/>
      <c r="N8618" s="4"/>
      <c r="O8618" s="256"/>
    </row>
    <row r="8619" spans="1:15">
      <c r="A8619" s="207"/>
      <c r="B8619" s="207"/>
      <c r="N8619" s="4"/>
      <c r="O8619" s="256"/>
    </row>
    <row r="8620" spans="1:15">
      <c r="A8620" s="207"/>
      <c r="B8620" s="207"/>
      <c r="N8620" s="4"/>
      <c r="O8620" s="256"/>
    </row>
    <row r="8621" spans="1:15">
      <c r="A8621" s="207"/>
      <c r="B8621" s="207"/>
      <c r="N8621" s="4"/>
      <c r="O8621" s="256"/>
    </row>
    <row r="8622" spans="1:15">
      <c r="A8622" s="207"/>
      <c r="B8622" s="207"/>
      <c r="N8622" s="4"/>
      <c r="O8622" s="256"/>
    </row>
    <row r="8623" spans="1:15">
      <c r="A8623" s="207"/>
      <c r="B8623" s="207"/>
      <c r="N8623" s="4"/>
      <c r="O8623" s="256"/>
    </row>
    <row r="8624" spans="1:15">
      <c r="A8624" s="207"/>
      <c r="B8624" s="207"/>
      <c r="N8624" s="4"/>
      <c r="O8624" s="256"/>
    </row>
    <row r="8625" spans="1:15">
      <c r="A8625" s="207"/>
      <c r="B8625" s="207"/>
      <c r="N8625" s="4"/>
      <c r="O8625" s="256"/>
    </row>
    <row r="8626" spans="1:15">
      <c r="A8626" s="207"/>
      <c r="B8626" s="207"/>
      <c r="N8626" s="4"/>
      <c r="O8626" s="256"/>
    </row>
    <row r="8627" spans="1:15">
      <c r="A8627" s="207"/>
      <c r="B8627" s="207"/>
      <c r="N8627" s="4"/>
      <c r="O8627" s="256"/>
    </row>
    <row r="8628" spans="1:15">
      <c r="A8628" s="207"/>
      <c r="B8628" s="207"/>
      <c r="N8628" s="4"/>
      <c r="O8628" s="256"/>
    </row>
    <row r="8629" spans="1:15">
      <c r="A8629" s="207"/>
      <c r="B8629" s="207"/>
      <c r="N8629" s="4"/>
      <c r="O8629" s="256"/>
    </row>
    <row r="8630" spans="1:15">
      <c r="A8630" s="207"/>
      <c r="B8630" s="207"/>
      <c r="N8630" s="4"/>
      <c r="O8630" s="256"/>
    </row>
    <row r="8631" spans="1:15">
      <c r="A8631" s="207"/>
      <c r="B8631" s="207"/>
      <c r="N8631" s="4"/>
      <c r="O8631" s="256"/>
    </row>
    <row r="8632" spans="1:15">
      <c r="A8632" s="207"/>
      <c r="B8632" s="207"/>
      <c r="N8632" s="4"/>
      <c r="O8632" s="256"/>
    </row>
    <row r="8633" spans="1:15">
      <c r="A8633" s="207"/>
      <c r="B8633" s="207"/>
      <c r="N8633" s="4"/>
      <c r="O8633" s="256"/>
    </row>
    <row r="8634" spans="1:15">
      <c r="A8634" s="207"/>
      <c r="B8634" s="207"/>
      <c r="N8634" s="4"/>
      <c r="O8634" s="256"/>
    </row>
    <row r="8635" spans="1:15">
      <c r="A8635" s="207"/>
      <c r="B8635" s="207"/>
      <c r="N8635" s="4"/>
      <c r="O8635" s="256"/>
    </row>
    <row r="8636" spans="1:15">
      <c r="A8636" s="207"/>
      <c r="B8636" s="207"/>
      <c r="N8636" s="4"/>
      <c r="O8636" s="256"/>
    </row>
    <row r="8637" spans="1:15">
      <c r="A8637" s="207"/>
      <c r="B8637" s="207"/>
      <c r="N8637" s="4"/>
      <c r="O8637" s="256"/>
    </row>
    <row r="8638" spans="1:15">
      <c r="A8638" s="207"/>
      <c r="B8638" s="207"/>
      <c r="N8638" s="4"/>
      <c r="O8638" s="256"/>
    </row>
    <row r="8639" spans="1:15">
      <c r="A8639" s="207"/>
      <c r="B8639" s="207"/>
      <c r="N8639" s="4"/>
      <c r="O8639" s="256"/>
    </row>
    <row r="8640" spans="1:15">
      <c r="A8640" s="207"/>
      <c r="B8640" s="207"/>
      <c r="N8640" s="4"/>
      <c r="O8640" s="256"/>
    </row>
    <row r="8641" spans="1:15">
      <c r="A8641" s="207"/>
      <c r="B8641" s="207"/>
      <c r="N8641" s="4"/>
      <c r="O8641" s="256"/>
    </row>
    <row r="8642" spans="1:15">
      <c r="A8642" s="207"/>
      <c r="B8642" s="207"/>
      <c r="N8642" s="4"/>
      <c r="O8642" s="256"/>
    </row>
    <row r="8643" spans="1:15">
      <c r="A8643" s="207"/>
      <c r="B8643" s="207"/>
      <c r="N8643" s="4"/>
      <c r="O8643" s="256"/>
    </row>
    <row r="8644" spans="1:15">
      <c r="A8644" s="207"/>
      <c r="B8644" s="207"/>
      <c r="N8644" s="4"/>
      <c r="O8644" s="256"/>
    </row>
    <row r="8645" spans="1:15">
      <c r="A8645" s="207"/>
      <c r="B8645" s="207"/>
      <c r="N8645" s="4"/>
      <c r="O8645" s="256"/>
    </row>
    <row r="8646" spans="1:15">
      <c r="A8646" s="207"/>
      <c r="B8646" s="207"/>
      <c r="N8646" s="4"/>
      <c r="O8646" s="256"/>
    </row>
    <row r="8647" spans="1:15">
      <c r="A8647" s="207"/>
      <c r="B8647" s="207"/>
      <c r="N8647" s="4"/>
      <c r="O8647" s="256"/>
    </row>
    <row r="8648" spans="1:15">
      <c r="A8648" s="207"/>
      <c r="B8648" s="207"/>
      <c r="N8648" s="4"/>
      <c r="O8648" s="256"/>
    </row>
    <row r="8649" spans="1:15">
      <c r="A8649" s="207"/>
      <c r="B8649" s="207"/>
      <c r="N8649" s="4"/>
      <c r="O8649" s="256"/>
    </row>
    <row r="8650" spans="1:15">
      <c r="A8650" s="207"/>
      <c r="B8650" s="207"/>
      <c r="N8650" s="4"/>
      <c r="O8650" s="256"/>
    </row>
    <row r="8651" spans="1:15">
      <c r="A8651" s="207"/>
      <c r="B8651" s="207"/>
      <c r="N8651" s="4"/>
      <c r="O8651" s="256"/>
    </row>
    <row r="8652" spans="1:15">
      <c r="A8652" s="207"/>
      <c r="B8652" s="207"/>
      <c r="N8652" s="4"/>
      <c r="O8652" s="256"/>
    </row>
    <row r="8653" spans="1:15">
      <c r="A8653" s="207"/>
      <c r="B8653" s="207"/>
      <c r="N8653" s="4"/>
      <c r="O8653" s="256"/>
    </row>
    <row r="8654" spans="1:15">
      <c r="A8654" s="207"/>
      <c r="B8654" s="207"/>
      <c r="N8654" s="4"/>
      <c r="O8654" s="256"/>
    </row>
    <row r="8655" spans="1:15">
      <c r="A8655" s="207"/>
      <c r="B8655" s="207"/>
      <c r="N8655" s="4"/>
      <c r="O8655" s="256"/>
    </row>
    <row r="8656" spans="1:15">
      <c r="A8656" s="207"/>
      <c r="B8656" s="207"/>
      <c r="N8656" s="4"/>
      <c r="O8656" s="256"/>
    </row>
    <row r="8657" spans="1:15">
      <c r="A8657" s="207"/>
      <c r="B8657" s="207"/>
      <c r="N8657" s="4"/>
      <c r="O8657" s="256"/>
    </row>
    <row r="8658" spans="1:15">
      <c r="A8658" s="207"/>
      <c r="B8658" s="207"/>
      <c r="N8658" s="4"/>
      <c r="O8658" s="256"/>
    </row>
    <row r="8659" spans="1:15">
      <c r="A8659" s="207"/>
      <c r="B8659" s="207"/>
      <c r="N8659" s="4"/>
      <c r="O8659" s="256"/>
    </row>
    <row r="8660" spans="1:15">
      <c r="A8660" s="207"/>
      <c r="B8660" s="207"/>
      <c r="N8660" s="4"/>
      <c r="O8660" s="256"/>
    </row>
    <row r="8661" spans="1:15">
      <c r="A8661" s="207"/>
      <c r="B8661" s="207"/>
      <c r="N8661" s="4"/>
      <c r="O8661" s="256"/>
    </row>
    <row r="8662" spans="1:15">
      <c r="A8662" s="207"/>
      <c r="B8662" s="207"/>
      <c r="N8662" s="4"/>
      <c r="O8662" s="256"/>
    </row>
    <row r="8663" spans="1:15">
      <c r="A8663" s="207"/>
      <c r="B8663" s="207"/>
      <c r="N8663" s="4"/>
      <c r="O8663" s="256"/>
    </row>
    <row r="8664" spans="1:15">
      <c r="A8664" s="207"/>
      <c r="B8664" s="207"/>
      <c r="N8664" s="4"/>
      <c r="O8664" s="256"/>
    </row>
    <row r="8665" spans="1:15">
      <c r="A8665" s="207"/>
      <c r="B8665" s="207"/>
      <c r="N8665" s="4"/>
      <c r="O8665" s="256"/>
    </row>
    <row r="8666" spans="1:15">
      <c r="A8666" s="207"/>
      <c r="B8666" s="207"/>
      <c r="N8666" s="4"/>
      <c r="O8666" s="256"/>
    </row>
    <row r="8667" spans="1:15">
      <c r="A8667" s="207"/>
      <c r="B8667" s="207"/>
      <c r="N8667" s="4"/>
      <c r="O8667" s="256"/>
    </row>
    <row r="8668" spans="1:15">
      <c r="A8668" s="207"/>
      <c r="B8668" s="207"/>
      <c r="N8668" s="4"/>
      <c r="O8668" s="256"/>
    </row>
    <row r="8669" spans="1:15">
      <c r="A8669" s="207"/>
      <c r="B8669" s="207"/>
      <c r="N8669" s="4"/>
      <c r="O8669" s="256"/>
    </row>
    <row r="8670" spans="1:15">
      <c r="A8670" s="207"/>
      <c r="B8670" s="207"/>
      <c r="N8670" s="4"/>
      <c r="O8670" s="256"/>
    </row>
    <row r="8671" spans="1:15">
      <c r="A8671" s="207"/>
      <c r="B8671" s="207"/>
      <c r="N8671" s="4"/>
      <c r="O8671" s="256"/>
    </row>
    <row r="8672" spans="1:15">
      <c r="A8672" s="207"/>
      <c r="B8672" s="207"/>
      <c r="N8672" s="4"/>
      <c r="O8672" s="256"/>
    </row>
    <row r="8673" spans="1:15">
      <c r="A8673" s="207"/>
      <c r="B8673" s="207"/>
      <c r="N8673" s="4"/>
      <c r="O8673" s="256"/>
    </row>
    <row r="8674" spans="1:15">
      <c r="A8674" s="207"/>
      <c r="B8674" s="207"/>
      <c r="N8674" s="4"/>
      <c r="O8674" s="256"/>
    </row>
    <row r="8675" spans="1:15">
      <c r="A8675" s="207"/>
      <c r="B8675" s="207"/>
      <c r="N8675" s="4"/>
      <c r="O8675" s="256"/>
    </row>
    <row r="8676" spans="1:15">
      <c r="A8676" s="207"/>
      <c r="B8676" s="207"/>
      <c r="N8676" s="4"/>
      <c r="O8676" s="256"/>
    </row>
    <row r="8677" spans="1:15">
      <c r="A8677" s="207"/>
      <c r="B8677" s="207"/>
      <c r="N8677" s="4"/>
      <c r="O8677" s="256"/>
    </row>
    <row r="8678" spans="1:15">
      <c r="A8678" s="207"/>
      <c r="B8678" s="207"/>
      <c r="N8678" s="4"/>
      <c r="O8678" s="256"/>
    </row>
    <row r="8679" spans="1:15">
      <c r="A8679" s="207"/>
      <c r="B8679" s="207"/>
      <c r="N8679" s="4"/>
      <c r="O8679" s="256"/>
    </row>
    <row r="8680" spans="1:15">
      <c r="A8680" s="207"/>
      <c r="B8680" s="207"/>
      <c r="N8680" s="4"/>
      <c r="O8680" s="256"/>
    </row>
    <row r="8681" spans="1:15">
      <c r="A8681" s="207"/>
      <c r="B8681" s="207"/>
      <c r="N8681" s="4"/>
      <c r="O8681" s="256"/>
    </row>
    <row r="8682" spans="1:15">
      <c r="A8682" s="207"/>
      <c r="B8682" s="207"/>
      <c r="N8682" s="4"/>
      <c r="O8682" s="256"/>
    </row>
    <row r="8683" spans="1:15">
      <c r="A8683" s="207"/>
      <c r="B8683" s="207"/>
      <c r="N8683" s="4"/>
      <c r="O8683" s="256"/>
    </row>
    <row r="8684" spans="1:15">
      <c r="A8684" s="207"/>
      <c r="B8684" s="207"/>
      <c r="N8684" s="4"/>
      <c r="O8684" s="256"/>
    </row>
    <row r="8685" spans="1:15">
      <c r="A8685" s="207"/>
      <c r="B8685" s="207"/>
      <c r="N8685" s="4"/>
      <c r="O8685" s="256"/>
    </row>
    <row r="8686" spans="1:15">
      <c r="A8686" s="207"/>
      <c r="B8686" s="207"/>
      <c r="N8686" s="4"/>
      <c r="O8686" s="256"/>
    </row>
    <row r="8687" spans="1:15">
      <c r="A8687" s="207"/>
      <c r="B8687" s="207"/>
      <c r="N8687" s="4"/>
      <c r="O8687" s="256"/>
    </row>
    <row r="8688" spans="1:15">
      <c r="A8688" s="207"/>
      <c r="B8688" s="207"/>
      <c r="N8688" s="4"/>
      <c r="O8688" s="256"/>
    </row>
    <row r="8689" spans="1:15">
      <c r="A8689" s="207"/>
      <c r="B8689" s="207"/>
      <c r="N8689" s="4"/>
      <c r="O8689" s="256"/>
    </row>
    <row r="8690" spans="1:15">
      <c r="A8690" s="207"/>
      <c r="B8690" s="207"/>
      <c r="N8690" s="4"/>
      <c r="O8690" s="256"/>
    </row>
    <row r="8691" spans="1:15">
      <c r="A8691" s="207"/>
      <c r="B8691" s="207"/>
      <c r="N8691" s="4"/>
      <c r="O8691" s="256"/>
    </row>
    <row r="8692" spans="1:15">
      <c r="A8692" s="207"/>
      <c r="B8692" s="207"/>
      <c r="N8692" s="4"/>
      <c r="O8692" s="256"/>
    </row>
    <row r="8693" spans="1:15">
      <c r="A8693" s="207"/>
      <c r="B8693" s="207"/>
      <c r="N8693" s="4"/>
      <c r="O8693" s="256"/>
    </row>
    <row r="8694" spans="1:15">
      <c r="A8694" s="207"/>
      <c r="B8694" s="207"/>
      <c r="N8694" s="4"/>
      <c r="O8694" s="256"/>
    </row>
    <row r="8695" spans="1:15">
      <c r="A8695" s="207"/>
      <c r="B8695" s="207"/>
      <c r="N8695" s="4"/>
      <c r="O8695" s="256"/>
    </row>
    <row r="8696" spans="1:15">
      <c r="A8696" s="207"/>
      <c r="B8696" s="207"/>
      <c r="N8696" s="4"/>
      <c r="O8696" s="256"/>
    </row>
    <row r="8697" spans="1:15">
      <c r="A8697" s="207"/>
      <c r="B8697" s="207"/>
      <c r="N8697" s="4"/>
      <c r="O8697" s="256"/>
    </row>
    <row r="8698" spans="1:15">
      <c r="A8698" s="207"/>
      <c r="B8698" s="207"/>
      <c r="N8698" s="4"/>
      <c r="O8698" s="256"/>
    </row>
    <row r="8699" spans="1:15">
      <c r="A8699" s="207"/>
      <c r="B8699" s="207"/>
      <c r="N8699" s="4"/>
      <c r="O8699" s="256"/>
    </row>
    <row r="8700" spans="1:15">
      <c r="A8700" s="207"/>
      <c r="B8700" s="207"/>
      <c r="N8700" s="4"/>
      <c r="O8700" s="256"/>
    </row>
    <row r="8701" spans="1:15">
      <c r="A8701" s="207"/>
      <c r="B8701" s="207"/>
      <c r="N8701" s="4"/>
      <c r="O8701" s="256"/>
    </row>
    <row r="8702" spans="1:15">
      <c r="A8702" s="207"/>
      <c r="B8702" s="207"/>
      <c r="N8702" s="4"/>
      <c r="O8702" s="256"/>
    </row>
    <row r="8703" spans="1:15">
      <c r="A8703" s="207"/>
      <c r="B8703" s="207"/>
      <c r="N8703" s="4"/>
      <c r="O8703" s="256"/>
    </row>
    <row r="8704" spans="1:15">
      <c r="A8704" s="207"/>
      <c r="B8704" s="207"/>
      <c r="N8704" s="4"/>
      <c r="O8704" s="256"/>
    </row>
    <row r="8705" spans="1:15">
      <c r="A8705" s="207"/>
      <c r="B8705" s="207"/>
      <c r="N8705" s="4"/>
      <c r="O8705" s="256"/>
    </row>
    <row r="8706" spans="1:15">
      <c r="A8706" s="207"/>
      <c r="B8706" s="207"/>
      <c r="N8706" s="4"/>
      <c r="O8706" s="256"/>
    </row>
    <row r="8707" spans="1:15">
      <c r="A8707" s="207"/>
      <c r="B8707" s="207"/>
      <c r="N8707" s="4"/>
      <c r="O8707" s="256"/>
    </row>
    <row r="8708" spans="1:15">
      <c r="A8708" s="207"/>
      <c r="B8708" s="207"/>
      <c r="N8708" s="4"/>
      <c r="O8708" s="256"/>
    </row>
    <row r="8709" spans="1:15">
      <c r="A8709" s="207"/>
      <c r="B8709" s="207"/>
      <c r="N8709" s="4"/>
      <c r="O8709" s="256"/>
    </row>
    <row r="8710" spans="1:15">
      <c r="A8710" s="207"/>
      <c r="B8710" s="207"/>
      <c r="N8710" s="4"/>
      <c r="O8710" s="256"/>
    </row>
    <row r="8711" spans="1:15">
      <c r="A8711" s="207"/>
      <c r="B8711" s="207"/>
      <c r="N8711" s="4"/>
      <c r="O8711" s="256"/>
    </row>
    <row r="8712" spans="1:15">
      <c r="A8712" s="207"/>
      <c r="B8712" s="207"/>
      <c r="N8712" s="4"/>
      <c r="O8712" s="256"/>
    </row>
    <row r="8713" spans="1:15">
      <c r="A8713" s="207"/>
      <c r="B8713" s="207"/>
      <c r="N8713" s="4"/>
      <c r="O8713" s="256"/>
    </row>
    <row r="8714" spans="1:15">
      <c r="A8714" s="207"/>
      <c r="B8714" s="207"/>
      <c r="N8714" s="4"/>
      <c r="O8714" s="256"/>
    </row>
    <row r="8715" spans="1:15">
      <c r="A8715" s="207"/>
      <c r="B8715" s="207"/>
      <c r="N8715" s="4"/>
      <c r="O8715" s="256"/>
    </row>
    <row r="8716" spans="1:15">
      <c r="A8716" s="207"/>
      <c r="B8716" s="207"/>
      <c r="N8716" s="4"/>
      <c r="O8716" s="256"/>
    </row>
    <row r="8717" spans="1:15">
      <c r="A8717" s="207"/>
      <c r="B8717" s="207"/>
      <c r="N8717" s="4"/>
      <c r="O8717" s="256"/>
    </row>
    <row r="8718" spans="1:15">
      <c r="A8718" s="207"/>
      <c r="B8718" s="207"/>
      <c r="N8718" s="4"/>
      <c r="O8718" s="256"/>
    </row>
    <row r="8719" spans="1:15">
      <c r="A8719" s="207"/>
      <c r="B8719" s="207"/>
      <c r="N8719" s="4"/>
      <c r="O8719" s="256"/>
    </row>
    <row r="8720" spans="1:15">
      <c r="A8720" s="207"/>
      <c r="B8720" s="207"/>
      <c r="N8720" s="4"/>
      <c r="O8720" s="256"/>
    </row>
    <row r="8721" spans="1:15">
      <c r="A8721" s="207"/>
      <c r="B8721" s="207"/>
      <c r="N8721" s="4"/>
      <c r="O8721" s="256"/>
    </row>
    <row r="8722" spans="1:15">
      <c r="A8722" s="207"/>
      <c r="B8722" s="207"/>
      <c r="N8722" s="4"/>
      <c r="O8722" s="256"/>
    </row>
    <row r="8723" spans="1:15">
      <c r="A8723" s="207"/>
      <c r="B8723" s="207"/>
      <c r="N8723" s="4"/>
      <c r="O8723" s="256"/>
    </row>
    <row r="8724" spans="1:15">
      <c r="A8724" s="207"/>
      <c r="B8724" s="207"/>
      <c r="N8724" s="4"/>
      <c r="O8724" s="256"/>
    </row>
    <row r="8725" spans="1:15">
      <c r="A8725" s="207"/>
      <c r="B8725" s="207"/>
      <c r="N8725" s="4"/>
      <c r="O8725" s="256"/>
    </row>
    <row r="8726" spans="1:15">
      <c r="A8726" s="207"/>
      <c r="B8726" s="207"/>
      <c r="N8726" s="4"/>
      <c r="O8726" s="256"/>
    </row>
    <row r="8727" spans="1:15">
      <c r="A8727" s="207"/>
      <c r="B8727" s="207"/>
      <c r="N8727" s="4"/>
      <c r="O8727" s="256"/>
    </row>
    <row r="8728" spans="1:15">
      <c r="A8728" s="207"/>
      <c r="B8728" s="207"/>
      <c r="N8728" s="4"/>
      <c r="O8728" s="256"/>
    </row>
    <row r="8729" spans="1:15">
      <c r="A8729" s="207"/>
      <c r="B8729" s="207"/>
      <c r="N8729" s="4"/>
      <c r="O8729" s="256"/>
    </row>
    <row r="8730" spans="1:15">
      <c r="A8730" s="207"/>
      <c r="B8730" s="207"/>
      <c r="N8730" s="4"/>
      <c r="O8730" s="256"/>
    </row>
    <row r="8731" spans="1:15">
      <c r="A8731" s="207"/>
      <c r="B8731" s="207"/>
      <c r="N8731" s="4"/>
      <c r="O8731" s="256"/>
    </row>
    <row r="8732" spans="1:15">
      <c r="A8732" s="207"/>
      <c r="B8732" s="207"/>
      <c r="N8732" s="4"/>
      <c r="O8732" s="256"/>
    </row>
    <row r="8733" spans="1:15">
      <c r="A8733" s="207"/>
      <c r="B8733" s="207"/>
      <c r="N8733" s="4"/>
      <c r="O8733" s="256"/>
    </row>
    <row r="8734" spans="1:15">
      <c r="A8734" s="207"/>
      <c r="B8734" s="207"/>
      <c r="N8734" s="4"/>
      <c r="O8734" s="256"/>
    </row>
    <row r="8735" spans="1:15">
      <c r="A8735" s="207"/>
      <c r="B8735" s="207"/>
      <c r="N8735" s="4"/>
      <c r="O8735" s="256"/>
    </row>
    <row r="8736" spans="1:15">
      <c r="A8736" s="207"/>
      <c r="B8736" s="207"/>
      <c r="N8736" s="4"/>
      <c r="O8736" s="256"/>
    </row>
    <row r="8737" spans="1:15">
      <c r="A8737" s="207"/>
      <c r="B8737" s="207"/>
      <c r="N8737" s="4"/>
      <c r="O8737" s="256"/>
    </row>
    <row r="8738" spans="1:15">
      <c r="A8738" s="207"/>
      <c r="B8738" s="207"/>
      <c r="N8738" s="4"/>
      <c r="O8738" s="256"/>
    </row>
    <row r="8739" spans="1:15">
      <c r="A8739" s="207"/>
      <c r="B8739" s="207"/>
      <c r="N8739" s="4"/>
      <c r="O8739" s="256"/>
    </row>
    <row r="8740" spans="1:15">
      <c r="A8740" s="207"/>
      <c r="B8740" s="207"/>
      <c r="N8740" s="4"/>
      <c r="O8740" s="256"/>
    </row>
    <row r="8741" spans="1:15">
      <c r="A8741" s="207"/>
      <c r="B8741" s="207"/>
      <c r="N8741" s="4"/>
      <c r="O8741" s="256"/>
    </row>
    <row r="8742" spans="1:15">
      <c r="A8742" s="207"/>
      <c r="B8742" s="207"/>
      <c r="N8742" s="4"/>
      <c r="O8742" s="256"/>
    </row>
    <row r="8743" spans="1:15">
      <c r="A8743" s="207"/>
      <c r="B8743" s="207"/>
      <c r="N8743" s="4"/>
      <c r="O8743" s="256"/>
    </row>
    <row r="8744" spans="1:15">
      <c r="A8744" s="207"/>
      <c r="B8744" s="207"/>
      <c r="N8744" s="4"/>
      <c r="O8744" s="256"/>
    </row>
    <row r="8745" spans="1:15">
      <c r="A8745" s="207"/>
      <c r="B8745" s="207"/>
      <c r="N8745" s="4"/>
      <c r="O8745" s="256"/>
    </row>
    <row r="8746" spans="1:15">
      <c r="A8746" s="207"/>
      <c r="B8746" s="207"/>
      <c r="N8746" s="4"/>
      <c r="O8746" s="256"/>
    </row>
    <row r="8747" spans="1:15">
      <c r="A8747" s="207"/>
      <c r="B8747" s="207"/>
      <c r="N8747" s="4"/>
      <c r="O8747" s="256"/>
    </row>
    <row r="8748" spans="1:15">
      <c r="A8748" s="207"/>
      <c r="B8748" s="207"/>
      <c r="N8748" s="4"/>
      <c r="O8748" s="256"/>
    </row>
    <row r="8749" spans="1:15">
      <c r="A8749" s="207"/>
      <c r="B8749" s="207"/>
      <c r="N8749" s="4"/>
      <c r="O8749" s="256"/>
    </row>
    <row r="8750" spans="1:15">
      <c r="A8750" s="207"/>
      <c r="B8750" s="207"/>
      <c r="N8750" s="4"/>
      <c r="O8750" s="256"/>
    </row>
    <row r="8751" spans="1:15">
      <c r="A8751" s="207"/>
      <c r="B8751" s="207"/>
      <c r="N8751" s="4"/>
      <c r="O8751" s="256"/>
    </row>
    <row r="8752" spans="1:15">
      <c r="A8752" s="207"/>
      <c r="B8752" s="207"/>
      <c r="N8752" s="4"/>
      <c r="O8752" s="256"/>
    </row>
    <row r="8753" spans="1:15">
      <c r="A8753" s="207"/>
      <c r="B8753" s="207"/>
      <c r="N8753" s="4"/>
      <c r="O8753" s="256"/>
    </row>
    <row r="8754" spans="1:15">
      <c r="A8754" s="207"/>
      <c r="B8754" s="207"/>
      <c r="N8754" s="4"/>
      <c r="O8754" s="256"/>
    </row>
    <row r="8755" spans="1:15">
      <c r="A8755" s="207"/>
      <c r="B8755" s="207"/>
      <c r="N8755" s="4"/>
      <c r="O8755" s="256"/>
    </row>
    <row r="8756" spans="1:15">
      <c r="A8756" s="207"/>
      <c r="B8756" s="207"/>
      <c r="N8756" s="4"/>
      <c r="O8756" s="256"/>
    </row>
    <row r="8757" spans="1:15">
      <c r="A8757" s="207"/>
      <c r="B8757" s="207"/>
      <c r="N8757" s="4"/>
      <c r="O8757" s="256"/>
    </row>
    <row r="8758" spans="1:15">
      <c r="A8758" s="207"/>
      <c r="B8758" s="207"/>
      <c r="N8758" s="4"/>
      <c r="O8758" s="256"/>
    </row>
    <row r="8759" spans="1:15">
      <c r="A8759" s="207"/>
      <c r="B8759" s="207"/>
      <c r="N8759" s="4"/>
      <c r="O8759" s="256"/>
    </row>
    <row r="8760" spans="1:15">
      <c r="A8760" s="207"/>
      <c r="B8760" s="207"/>
      <c r="N8760" s="4"/>
      <c r="O8760" s="256"/>
    </row>
    <row r="8761" spans="1:15">
      <c r="A8761" s="207"/>
      <c r="B8761" s="207"/>
      <c r="N8761" s="4"/>
      <c r="O8761" s="256"/>
    </row>
    <row r="8762" spans="1:15">
      <c r="A8762" s="207"/>
      <c r="B8762" s="207"/>
      <c r="N8762" s="4"/>
      <c r="O8762" s="256"/>
    </row>
    <row r="8763" spans="1:15">
      <c r="A8763" s="207"/>
      <c r="B8763" s="207"/>
      <c r="N8763" s="4"/>
      <c r="O8763" s="256"/>
    </row>
    <row r="8764" spans="1:15">
      <c r="A8764" s="207"/>
      <c r="B8764" s="207"/>
      <c r="N8764" s="4"/>
      <c r="O8764" s="256"/>
    </row>
    <row r="8765" spans="1:15">
      <c r="A8765" s="207"/>
      <c r="B8765" s="207"/>
      <c r="N8765" s="4"/>
      <c r="O8765" s="256"/>
    </row>
    <row r="8766" spans="1:15">
      <c r="A8766" s="207"/>
      <c r="B8766" s="207"/>
      <c r="N8766" s="4"/>
      <c r="O8766" s="256"/>
    </row>
    <row r="8767" spans="1:15">
      <c r="A8767" s="207"/>
      <c r="B8767" s="207"/>
      <c r="N8767" s="4"/>
      <c r="O8767" s="256"/>
    </row>
    <row r="8768" spans="1:15">
      <c r="A8768" s="207"/>
      <c r="B8768" s="207"/>
      <c r="N8768" s="4"/>
      <c r="O8768" s="256"/>
    </row>
    <row r="8769" spans="1:15">
      <c r="A8769" s="207"/>
      <c r="B8769" s="207"/>
      <c r="N8769" s="4"/>
      <c r="O8769" s="256"/>
    </row>
    <row r="8770" spans="1:15">
      <c r="A8770" s="207"/>
      <c r="B8770" s="207"/>
      <c r="N8770" s="4"/>
      <c r="O8770" s="256"/>
    </row>
    <row r="8771" spans="1:15">
      <c r="A8771" s="207"/>
      <c r="B8771" s="207"/>
      <c r="N8771" s="4"/>
      <c r="O8771" s="256"/>
    </row>
    <row r="8772" spans="1:15">
      <c r="A8772" s="207"/>
      <c r="B8772" s="207"/>
      <c r="N8772" s="4"/>
      <c r="O8772" s="256"/>
    </row>
    <row r="8773" spans="1:15">
      <c r="A8773" s="207"/>
      <c r="B8773" s="207"/>
      <c r="N8773" s="4"/>
      <c r="O8773" s="256"/>
    </row>
    <row r="8774" spans="1:15">
      <c r="A8774" s="207"/>
      <c r="B8774" s="207"/>
      <c r="N8774" s="4"/>
      <c r="O8774" s="256"/>
    </row>
    <row r="8775" spans="1:15">
      <c r="A8775" s="207"/>
      <c r="B8775" s="207"/>
      <c r="N8775" s="4"/>
      <c r="O8775" s="256"/>
    </row>
    <row r="8776" spans="1:15">
      <c r="A8776" s="207"/>
      <c r="B8776" s="207"/>
      <c r="N8776" s="4"/>
      <c r="O8776" s="256"/>
    </row>
    <row r="8777" spans="1:15">
      <c r="A8777" s="207"/>
      <c r="B8777" s="207"/>
      <c r="N8777" s="4"/>
      <c r="O8777" s="256"/>
    </row>
    <row r="8778" spans="1:15">
      <c r="A8778" s="207"/>
      <c r="B8778" s="207"/>
      <c r="N8778" s="4"/>
      <c r="O8778" s="256"/>
    </row>
    <row r="8779" spans="1:15">
      <c r="A8779" s="207"/>
      <c r="B8779" s="207"/>
      <c r="N8779" s="4"/>
      <c r="O8779" s="256"/>
    </row>
    <row r="8780" spans="1:15">
      <c r="A8780" s="207"/>
      <c r="B8780" s="207"/>
      <c r="N8780" s="4"/>
      <c r="O8780" s="256"/>
    </row>
    <row r="8781" spans="1:15">
      <c r="A8781" s="207"/>
      <c r="B8781" s="207"/>
      <c r="N8781" s="4"/>
      <c r="O8781" s="256"/>
    </row>
    <row r="8782" spans="1:15">
      <c r="A8782" s="207"/>
      <c r="B8782" s="207"/>
      <c r="N8782" s="4"/>
      <c r="O8782" s="256"/>
    </row>
    <row r="8783" spans="1:15">
      <c r="A8783" s="207"/>
      <c r="B8783" s="207"/>
      <c r="N8783" s="4"/>
      <c r="O8783" s="256"/>
    </row>
    <row r="8784" spans="1:15">
      <c r="A8784" s="207"/>
      <c r="B8784" s="207"/>
      <c r="N8784" s="4"/>
      <c r="O8784" s="256"/>
    </row>
    <row r="8785" spans="1:15">
      <c r="A8785" s="207"/>
      <c r="B8785" s="207"/>
      <c r="N8785" s="4"/>
      <c r="O8785" s="256"/>
    </row>
    <row r="8786" spans="1:15">
      <c r="A8786" s="207"/>
      <c r="B8786" s="207"/>
      <c r="N8786" s="4"/>
      <c r="O8786" s="256"/>
    </row>
    <row r="8787" spans="1:15">
      <c r="A8787" s="207"/>
      <c r="B8787" s="207"/>
      <c r="N8787" s="4"/>
      <c r="O8787" s="256"/>
    </row>
    <row r="8788" spans="1:15">
      <c r="A8788" s="207"/>
      <c r="B8788" s="207"/>
      <c r="N8788" s="4"/>
      <c r="O8788" s="256"/>
    </row>
    <row r="8789" spans="1:15">
      <c r="A8789" s="207"/>
      <c r="B8789" s="207"/>
      <c r="N8789" s="4"/>
      <c r="O8789" s="256"/>
    </row>
    <row r="8790" spans="1:15">
      <c r="A8790" s="207"/>
      <c r="B8790" s="207"/>
      <c r="N8790" s="4"/>
      <c r="O8790" s="256"/>
    </row>
    <row r="8791" spans="1:15">
      <c r="A8791" s="207"/>
      <c r="B8791" s="207"/>
      <c r="N8791" s="4"/>
      <c r="O8791" s="256"/>
    </row>
    <row r="8792" spans="1:15">
      <c r="A8792" s="207"/>
      <c r="B8792" s="207"/>
      <c r="N8792" s="4"/>
      <c r="O8792" s="256"/>
    </row>
    <row r="8793" spans="1:15">
      <c r="A8793" s="207"/>
      <c r="B8793" s="207"/>
      <c r="N8793" s="4"/>
      <c r="O8793" s="256"/>
    </row>
    <row r="8794" spans="1:15">
      <c r="A8794" s="207"/>
      <c r="B8794" s="207"/>
      <c r="N8794" s="4"/>
      <c r="O8794" s="256"/>
    </row>
    <row r="8795" spans="1:15">
      <c r="A8795" s="207"/>
      <c r="B8795" s="207"/>
      <c r="N8795" s="4"/>
      <c r="O8795" s="256"/>
    </row>
    <row r="8796" spans="1:15">
      <c r="A8796" s="207"/>
      <c r="B8796" s="207"/>
      <c r="N8796" s="4"/>
      <c r="O8796" s="256"/>
    </row>
    <row r="8797" spans="1:15">
      <c r="A8797" s="207"/>
      <c r="B8797" s="207"/>
      <c r="N8797" s="4"/>
      <c r="O8797" s="256"/>
    </row>
    <row r="8798" spans="1:15">
      <c r="A8798" s="207"/>
      <c r="B8798" s="207"/>
      <c r="N8798" s="4"/>
      <c r="O8798" s="256"/>
    </row>
    <row r="8799" spans="1:15">
      <c r="A8799" s="207"/>
      <c r="B8799" s="207"/>
      <c r="N8799" s="4"/>
      <c r="O8799" s="256"/>
    </row>
    <row r="8800" spans="1:15">
      <c r="A8800" s="207"/>
      <c r="B8800" s="207"/>
      <c r="N8800" s="4"/>
      <c r="O8800" s="256"/>
    </row>
    <row r="8801" spans="1:15">
      <c r="A8801" s="207"/>
      <c r="B8801" s="207"/>
      <c r="N8801" s="4"/>
      <c r="O8801" s="256"/>
    </row>
    <row r="8802" spans="1:15">
      <c r="A8802" s="207"/>
      <c r="B8802" s="207"/>
      <c r="N8802" s="4"/>
      <c r="O8802" s="256"/>
    </row>
    <row r="8803" spans="1:15">
      <c r="A8803" s="207"/>
      <c r="B8803" s="207"/>
      <c r="N8803" s="4"/>
      <c r="O8803" s="256"/>
    </row>
    <row r="8804" spans="1:15">
      <c r="A8804" s="207"/>
      <c r="B8804" s="207"/>
      <c r="N8804" s="4"/>
      <c r="O8804" s="256"/>
    </row>
    <row r="8805" spans="1:15">
      <c r="A8805" s="207"/>
      <c r="B8805" s="207"/>
      <c r="N8805" s="4"/>
      <c r="O8805" s="256"/>
    </row>
    <row r="8806" spans="1:15">
      <c r="A8806" s="207"/>
      <c r="B8806" s="207"/>
      <c r="N8806" s="4"/>
      <c r="O8806" s="256"/>
    </row>
    <row r="8807" spans="1:15">
      <c r="A8807" s="207"/>
      <c r="B8807" s="207"/>
      <c r="N8807" s="4"/>
      <c r="O8807" s="256"/>
    </row>
    <row r="8808" spans="1:15">
      <c r="A8808" s="207"/>
      <c r="B8808" s="207"/>
      <c r="N8808" s="4"/>
      <c r="O8808" s="256"/>
    </row>
    <row r="8809" spans="1:15">
      <c r="A8809" s="207"/>
      <c r="B8809" s="207"/>
      <c r="N8809" s="4"/>
      <c r="O8809" s="256"/>
    </row>
    <row r="8810" spans="1:15">
      <c r="A8810" s="207"/>
      <c r="B8810" s="207"/>
      <c r="N8810" s="4"/>
      <c r="O8810" s="256"/>
    </row>
    <row r="8811" spans="1:15">
      <c r="A8811" s="207"/>
      <c r="B8811" s="207"/>
      <c r="N8811" s="4"/>
      <c r="O8811" s="256"/>
    </row>
    <row r="8812" spans="1:15">
      <c r="A8812" s="207"/>
      <c r="B8812" s="207"/>
      <c r="N8812" s="4"/>
      <c r="O8812" s="256"/>
    </row>
    <row r="8813" spans="1:15">
      <c r="A8813" s="207"/>
      <c r="B8813" s="207"/>
      <c r="N8813" s="4"/>
      <c r="O8813" s="256"/>
    </row>
    <row r="8814" spans="1:15">
      <c r="A8814" s="207"/>
      <c r="B8814" s="207"/>
      <c r="N8814" s="4"/>
      <c r="O8814" s="256"/>
    </row>
    <row r="8815" spans="1:15">
      <c r="A8815" s="207"/>
      <c r="B8815" s="207"/>
      <c r="N8815" s="4"/>
      <c r="O8815" s="256"/>
    </row>
    <row r="8816" spans="1:15">
      <c r="A8816" s="207"/>
      <c r="B8816" s="207"/>
      <c r="N8816" s="4"/>
      <c r="O8816" s="256"/>
    </row>
    <row r="8817" spans="1:15">
      <c r="A8817" s="207"/>
      <c r="B8817" s="207"/>
      <c r="N8817" s="4"/>
      <c r="O8817" s="256"/>
    </row>
    <row r="8818" spans="1:15">
      <c r="A8818" s="207"/>
      <c r="B8818" s="207"/>
      <c r="N8818" s="4"/>
      <c r="O8818" s="256"/>
    </row>
    <row r="8819" spans="1:15">
      <c r="A8819" s="207"/>
      <c r="B8819" s="207"/>
      <c r="N8819" s="4"/>
      <c r="O8819" s="256"/>
    </row>
    <row r="8820" spans="1:15">
      <c r="A8820" s="207"/>
      <c r="B8820" s="207"/>
      <c r="N8820" s="4"/>
      <c r="O8820" s="256"/>
    </row>
    <row r="8821" spans="1:15">
      <c r="A8821" s="207"/>
      <c r="B8821" s="207"/>
      <c r="N8821" s="4"/>
      <c r="O8821" s="256"/>
    </row>
    <row r="8822" spans="1:15">
      <c r="A8822" s="207"/>
      <c r="B8822" s="207"/>
      <c r="N8822" s="4"/>
      <c r="O8822" s="256"/>
    </row>
    <row r="8823" spans="1:15">
      <c r="A8823" s="207"/>
      <c r="B8823" s="207"/>
      <c r="N8823" s="4"/>
      <c r="O8823" s="256"/>
    </row>
    <row r="8824" spans="1:15">
      <c r="A8824" s="207"/>
      <c r="B8824" s="207"/>
      <c r="N8824" s="4"/>
      <c r="O8824" s="256"/>
    </row>
    <row r="8825" spans="1:15">
      <c r="A8825" s="207"/>
      <c r="B8825" s="207"/>
      <c r="N8825" s="4"/>
      <c r="O8825" s="256"/>
    </row>
    <row r="8826" spans="1:15">
      <c r="A8826" s="207"/>
      <c r="B8826" s="207"/>
      <c r="N8826" s="4"/>
      <c r="O8826" s="256"/>
    </row>
    <row r="8827" spans="1:15">
      <c r="A8827" s="207"/>
      <c r="B8827" s="207"/>
      <c r="N8827" s="4"/>
      <c r="O8827" s="256"/>
    </row>
    <row r="8828" spans="1:15">
      <c r="A8828" s="207"/>
      <c r="B8828" s="207"/>
      <c r="N8828" s="4"/>
      <c r="O8828" s="256"/>
    </row>
    <row r="8829" spans="1:15">
      <c r="A8829" s="207"/>
      <c r="B8829" s="207"/>
      <c r="N8829" s="4"/>
      <c r="O8829" s="256"/>
    </row>
    <row r="8830" spans="1:15">
      <c r="A8830" s="207"/>
      <c r="B8830" s="207"/>
      <c r="N8830" s="4"/>
      <c r="O8830" s="256"/>
    </row>
    <row r="8831" spans="1:15">
      <c r="A8831" s="207"/>
      <c r="B8831" s="207"/>
      <c r="N8831" s="4"/>
      <c r="O8831" s="256"/>
    </row>
    <row r="8832" spans="1:15">
      <c r="A8832" s="207"/>
      <c r="B8832" s="207"/>
      <c r="N8832" s="4"/>
      <c r="O8832" s="256"/>
    </row>
    <row r="8833" spans="1:15">
      <c r="A8833" s="207"/>
      <c r="B8833" s="207"/>
      <c r="N8833" s="4"/>
      <c r="O8833" s="256"/>
    </row>
    <row r="8834" spans="1:15">
      <c r="A8834" s="207"/>
      <c r="B8834" s="207"/>
      <c r="N8834" s="4"/>
      <c r="O8834" s="256"/>
    </row>
    <row r="8835" spans="1:15">
      <c r="A8835" s="207"/>
      <c r="B8835" s="207"/>
      <c r="N8835" s="4"/>
      <c r="O8835" s="256"/>
    </row>
    <row r="8836" spans="1:15">
      <c r="A8836" s="207"/>
      <c r="B8836" s="207"/>
      <c r="N8836" s="4"/>
      <c r="O8836" s="256"/>
    </row>
    <row r="8837" spans="1:15">
      <c r="A8837" s="207"/>
      <c r="B8837" s="207"/>
      <c r="N8837" s="4"/>
      <c r="O8837" s="256"/>
    </row>
    <row r="8838" spans="1:15">
      <c r="A8838" s="207"/>
      <c r="B8838" s="207"/>
      <c r="N8838" s="4"/>
      <c r="O8838" s="256"/>
    </row>
    <row r="8839" spans="1:15">
      <c r="A8839" s="207"/>
      <c r="B8839" s="207"/>
      <c r="N8839" s="4"/>
      <c r="O8839" s="256"/>
    </row>
    <row r="8840" spans="1:15">
      <c r="A8840" s="207"/>
      <c r="B8840" s="207"/>
      <c r="N8840" s="4"/>
      <c r="O8840" s="256"/>
    </row>
    <row r="8841" spans="1:15">
      <c r="A8841" s="207"/>
      <c r="B8841" s="207"/>
      <c r="N8841" s="4"/>
      <c r="O8841" s="256"/>
    </row>
    <row r="8842" spans="1:15">
      <c r="A8842" s="207"/>
      <c r="B8842" s="207"/>
      <c r="N8842" s="4"/>
      <c r="O8842" s="256"/>
    </row>
    <row r="8843" spans="1:15">
      <c r="A8843" s="207"/>
      <c r="B8843" s="207"/>
      <c r="N8843" s="4"/>
      <c r="O8843" s="256"/>
    </row>
    <row r="8844" spans="1:15">
      <c r="A8844" s="207"/>
      <c r="B8844" s="207"/>
      <c r="N8844" s="4"/>
      <c r="O8844" s="256"/>
    </row>
    <row r="8845" spans="1:15">
      <c r="A8845" s="207"/>
      <c r="B8845" s="207"/>
      <c r="N8845" s="4"/>
      <c r="O8845" s="256"/>
    </row>
    <row r="8846" spans="1:15">
      <c r="A8846" s="207"/>
      <c r="B8846" s="207"/>
      <c r="N8846" s="4"/>
      <c r="O8846" s="256"/>
    </row>
    <row r="8847" spans="1:15">
      <c r="A8847" s="207"/>
      <c r="B8847" s="207"/>
      <c r="N8847" s="4"/>
      <c r="O8847" s="256"/>
    </row>
    <row r="8848" spans="1:15">
      <c r="A8848" s="207"/>
      <c r="B8848" s="207"/>
      <c r="N8848" s="4"/>
      <c r="O8848" s="256"/>
    </row>
    <row r="8849" spans="1:15">
      <c r="A8849" s="207"/>
      <c r="B8849" s="207"/>
      <c r="N8849" s="4"/>
      <c r="O8849" s="256"/>
    </row>
    <row r="8850" spans="1:15">
      <c r="A8850" s="207"/>
      <c r="B8850" s="207"/>
      <c r="N8850" s="4"/>
      <c r="O8850" s="256"/>
    </row>
    <row r="8851" spans="1:15">
      <c r="A8851" s="207"/>
      <c r="B8851" s="207"/>
      <c r="N8851" s="4"/>
      <c r="O8851" s="256"/>
    </row>
    <row r="8852" spans="1:15">
      <c r="A8852" s="207"/>
      <c r="B8852" s="207"/>
      <c r="N8852" s="4"/>
      <c r="O8852" s="256"/>
    </row>
    <row r="8853" spans="1:15">
      <c r="A8853" s="207"/>
      <c r="B8853" s="207"/>
      <c r="N8853" s="4"/>
      <c r="O8853" s="256"/>
    </row>
    <row r="8854" spans="1:15">
      <c r="A8854" s="207"/>
      <c r="B8854" s="207"/>
      <c r="N8854" s="4"/>
      <c r="O8854" s="256"/>
    </row>
    <row r="8855" spans="1:15">
      <c r="A8855" s="207"/>
      <c r="B8855" s="207"/>
      <c r="N8855" s="4"/>
      <c r="O8855" s="256"/>
    </row>
    <row r="8856" spans="1:15">
      <c r="A8856" s="207"/>
      <c r="B8856" s="207"/>
      <c r="N8856" s="4"/>
      <c r="O8856" s="256"/>
    </row>
    <row r="8857" spans="1:15">
      <c r="A8857" s="207"/>
      <c r="B8857" s="207"/>
      <c r="N8857" s="4"/>
      <c r="O8857" s="256"/>
    </row>
    <row r="8858" spans="1:15">
      <c r="A8858" s="207"/>
      <c r="B8858" s="207"/>
      <c r="N8858" s="4"/>
      <c r="O8858" s="256"/>
    </row>
    <row r="8859" spans="1:15">
      <c r="A8859" s="207"/>
      <c r="B8859" s="207"/>
      <c r="N8859" s="4"/>
      <c r="O8859" s="256"/>
    </row>
    <row r="8860" spans="1:15">
      <c r="A8860" s="207"/>
      <c r="B8860" s="207"/>
      <c r="N8860" s="4"/>
      <c r="O8860" s="256"/>
    </row>
    <row r="8861" spans="1:15">
      <c r="A8861" s="207"/>
      <c r="B8861" s="207"/>
      <c r="N8861" s="4"/>
      <c r="O8861" s="256"/>
    </row>
    <row r="8862" spans="1:15">
      <c r="A8862" s="207"/>
      <c r="B8862" s="207"/>
      <c r="N8862" s="4"/>
      <c r="O8862" s="256"/>
    </row>
    <row r="8863" spans="1:15">
      <c r="A8863" s="207"/>
      <c r="B8863" s="207"/>
      <c r="N8863" s="4"/>
      <c r="O8863" s="256"/>
    </row>
    <row r="8864" spans="1:15">
      <c r="A8864" s="207"/>
      <c r="B8864" s="207"/>
      <c r="N8864" s="4"/>
      <c r="O8864" s="256"/>
    </row>
    <row r="8865" spans="1:15">
      <c r="A8865" s="207"/>
      <c r="B8865" s="207"/>
      <c r="N8865" s="4"/>
      <c r="O8865" s="256"/>
    </row>
    <row r="8866" spans="1:15">
      <c r="A8866" s="207"/>
      <c r="B8866" s="207"/>
      <c r="N8866" s="4"/>
      <c r="O8866" s="256"/>
    </row>
    <row r="8867" spans="1:15">
      <c r="A8867" s="207"/>
      <c r="B8867" s="207"/>
      <c r="N8867" s="4"/>
      <c r="O8867" s="256"/>
    </row>
    <row r="8868" spans="1:15">
      <c r="A8868" s="207"/>
      <c r="B8868" s="207"/>
      <c r="N8868" s="4"/>
      <c r="O8868" s="256"/>
    </row>
    <row r="8869" spans="1:15">
      <c r="A8869" s="207"/>
      <c r="B8869" s="207"/>
      <c r="N8869" s="4"/>
      <c r="O8869" s="256"/>
    </row>
    <row r="8870" spans="1:15">
      <c r="A8870" s="207"/>
      <c r="B8870" s="207"/>
      <c r="N8870" s="4"/>
      <c r="O8870" s="256"/>
    </row>
    <row r="8871" spans="1:15">
      <c r="A8871" s="207"/>
      <c r="B8871" s="207"/>
      <c r="N8871" s="4"/>
      <c r="O8871" s="256"/>
    </row>
    <row r="8872" spans="1:15">
      <c r="A8872" s="207"/>
      <c r="B8872" s="207"/>
      <c r="N8872" s="4"/>
      <c r="O8872" s="256"/>
    </row>
    <row r="8873" spans="1:15">
      <c r="A8873" s="207"/>
      <c r="B8873" s="207"/>
      <c r="N8873" s="4"/>
      <c r="O8873" s="256"/>
    </row>
    <row r="8874" spans="1:15">
      <c r="A8874" s="207"/>
      <c r="B8874" s="207"/>
      <c r="N8874" s="4"/>
      <c r="O8874" s="256"/>
    </row>
    <row r="8875" spans="1:15">
      <c r="A8875" s="207"/>
      <c r="B8875" s="207"/>
      <c r="N8875" s="4"/>
      <c r="O8875" s="256"/>
    </row>
    <row r="8876" spans="1:15">
      <c r="A8876" s="207"/>
      <c r="B8876" s="207"/>
      <c r="N8876" s="4"/>
      <c r="O8876" s="256"/>
    </row>
    <row r="8877" spans="1:15">
      <c r="A8877" s="207"/>
      <c r="B8877" s="207"/>
      <c r="N8877" s="4"/>
      <c r="O8877" s="256"/>
    </row>
    <row r="8878" spans="1:15">
      <c r="A8878" s="207"/>
      <c r="B8878" s="207"/>
      <c r="N8878" s="4"/>
      <c r="O8878" s="256"/>
    </row>
    <row r="8879" spans="1:15">
      <c r="A8879" s="207"/>
      <c r="B8879" s="207"/>
      <c r="N8879" s="4"/>
      <c r="O8879" s="256"/>
    </row>
    <row r="8880" spans="1:15">
      <c r="A8880" s="207"/>
      <c r="B8880" s="207"/>
      <c r="N8880" s="4"/>
      <c r="O8880" s="256"/>
    </row>
    <row r="8881" spans="1:15">
      <c r="A8881" s="207"/>
      <c r="B8881" s="207"/>
      <c r="N8881" s="4"/>
      <c r="O8881" s="256"/>
    </row>
    <row r="8882" spans="1:15">
      <c r="A8882" s="207"/>
      <c r="B8882" s="207"/>
      <c r="N8882" s="4"/>
      <c r="O8882" s="256"/>
    </row>
    <row r="8883" spans="1:15">
      <c r="A8883" s="207"/>
      <c r="B8883" s="207"/>
      <c r="N8883" s="4"/>
      <c r="O8883" s="256"/>
    </row>
    <row r="8884" spans="1:15">
      <c r="A8884" s="207"/>
      <c r="B8884" s="207"/>
      <c r="N8884" s="4"/>
      <c r="O8884" s="256"/>
    </row>
    <row r="8885" spans="1:15">
      <c r="A8885" s="207"/>
      <c r="B8885" s="207"/>
      <c r="N8885" s="4"/>
      <c r="O8885" s="256"/>
    </row>
    <row r="8886" spans="1:15">
      <c r="A8886" s="207"/>
      <c r="B8886" s="207"/>
      <c r="N8886" s="4"/>
      <c r="O8886" s="256"/>
    </row>
    <row r="8887" spans="1:15">
      <c r="A8887" s="207"/>
      <c r="B8887" s="207"/>
      <c r="N8887" s="4"/>
      <c r="O8887" s="256"/>
    </row>
    <row r="8888" spans="1:15">
      <c r="A8888" s="207"/>
      <c r="B8888" s="207"/>
      <c r="N8888" s="4"/>
      <c r="O8888" s="256"/>
    </row>
    <row r="8889" spans="1:15">
      <c r="A8889" s="207"/>
      <c r="B8889" s="207"/>
      <c r="N8889" s="4"/>
      <c r="O8889" s="256"/>
    </row>
    <row r="8890" spans="1:15">
      <c r="A8890" s="207"/>
      <c r="B8890" s="207"/>
      <c r="N8890" s="4"/>
      <c r="O8890" s="256"/>
    </row>
    <row r="8891" spans="1:15">
      <c r="A8891" s="207"/>
      <c r="B8891" s="207"/>
      <c r="N8891" s="4"/>
      <c r="O8891" s="256"/>
    </row>
    <row r="8892" spans="1:15">
      <c r="A8892" s="207"/>
      <c r="B8892" s="207"/>
      <c r="N8892" s="4"/>
      <c r="O8892" s="256"/>
    </row>
    <row r="8893" spans="1:15">
      <c r="A8893" s="207"/>
      <c r="B8893" s="207"/>
      <c r="N8893" s="4"/>
      <c r="O8893" s="256"/>
    </row>
    <row r="8894" spans="1:15">
      <c r="A8894" s="207"/>
      <c r="B8894" s="207"/>
      <c r="N8894" s="4"/>
      <c r="O8894" s="256"/>
    </row>
    <row r="8895" spans="1:15">
      <c r="A8895" s="207"/>
      <c r="B8895" s="207"/>
      <c r="N8895" s="4"/>
      <c r="O8895" s="256"/>
    </row>
    <row r="8896" spans="1:15">
      <c r="A8896" s="207"/>
      <c r="B8896" s="207"/>
      <c r="N8896" s="4"/>
      <c r="O8896" s="256"/>
    </row>
    <row r="8897" spans="1:15">
      <c r="A8897" s="207"/>
      <c r="B8897" s="207"/>
      <c r="N8897" s="4"/>
      <c r="O8897" s="256"/>
    </row>
    <row r="8898" spans="1:15">
      <c r="A8898" s="207"/>
      <c r="B8898" s="207"/>
      <c r="N8898" s="4"/>
      <c r="O8898" s="256"/>
    </row>
    <row r="8899" spans="1:15">
      <c r="A8899" s="207"/>
      <c r="B8899" s="207"/>
      <c r="N8899" s="4"/>
      <c r="O8899" s="256"/>
    </row>
    <row r="8900" spans="1:15">
      <c r="A8900" s="207"/>
      <c r="B8900" s="207"/>
      <c r="N8900" s="4"/>
      <c r="O8900" s="256"/>
    </row>
    <row r="8901" spans="1:15">
      <c r="A8901" s="207"/>
      <c r="B8901" s="207"/>
      <c r="N8901" s="4"/>
      <c r="O8901" s="256"/>
    </row>
    <row r="8902" spans="1:15">
      <c r="A8902" s="207"/>
      <c r="B8902" s="207"/>
      <c r="N8902" s="4"/>
      <c r="O8902" s="256"/>
    </row>
    <row r="8903" spans="1:15">
      <c r="A8903" s="207"/>
      <c r="B8903" s="207"/>
      <c r="N8903" s="4"/>
      <c r="O8903" s="256"/>
    </row>
    <row r="8904" spans="1:15">
      <c r="A8904" s="207"/>
      <c r="B8904" s="207"/>
      <c r="N8904" s="4"/>
      <c r="O8904" s="256"/>
    </row>
    <row r="8905" spans="1:15">
      <c r="A8905" s="207"/>
      <c r="B8905" s="207"/>
      <c r="N8905" s="4"/>
      <c r="O8905" s="256"/>
    </row>
    <row r="8906" spans="1:15">
      <c r="A8906" s="207"/>
      <c r="B8906" s="207"/>
      <c r="N8906" s="4"/>
      <c r="O8906" s="256"/>
    </row>
    <row r="8907" spans="1:15">
      <c r="A8907" s="207"/>
      <c r="B8907" s="207"/>
      <c r="N8907" s="4"/>
      <c r="O8907" s="256"/>
    </row>
    <row r="8908" spans="1:15">
      <c r="A8908" s="207"/>
      <c r="B8908" s="207"/>
      <c r="N8908" s="4"/>
      <c r="O8908" s="256"/>
    </row>
    <row r="8909" spans="1:15">
      <c r="A8909" s="207"/>
      <c r="B8909" s="207"/>
      <c r="N8909" s="4"/>
      <c r="O8909" s="256"/>
    </row>
    <row r="8910" spans="1:15">
      <c r="A8910" s="207"/>
      <c r="B8910" s="207"/>
      <c r="N8910" s="4"/>
      <c r="O8910" s="256"/>
    </row>
    <row r="8911" spans="1:15">
      <c r="A8911" s="207"/>
      <c r="B8911" s="207"/>
      <c r="N8911" s="4"/>
      <c r="O8911" s="256"/>
    </row>
    <row r="8912" spans="1:15">
      <c r="A8912" s="207"/>
      <c r="B8912" s="207"/>
      <c r="N8912" s="4"/>
      <c r="O8912" s="256"/>
    </row>
    <row r="8913" spans="1:15">
      <c r="A8913" s="207"/>
      <c r="B8913" s="207"/>
      <c r="N8913" s="4"/>
      <c r="O8913" s="256"/>
    </row>
    <row r="8914" spans="1:15">
      <c r="A8914" s="207"/>
      <c r="B8914" s="207"/>
      <c r="N8914" s="4"/>
      <c r="O8914" s="256"/>
    </row>
    <row r="8915" spans="1:15">
      <c r="A8915" s="207"/>
      <c r="B8915" s="207"/>
      <c r="N8915" s="4"/>
      <c r="O8915" s="256"/>
    </row>
    <row r="8916" spans="1:15">
      <c r="A8916" s="207"/>
      <c r="B8916" s="207"/>
      <c r="N8916" s="4"/>
      <c r="O8916" s="256"/>
    </row>
    <row r="8917" spans="1:15">
      <c r="A8917" s="207"/>
      <c r="B8917" s="207"/>
      <c r="N8917" s="4"/>
      <c r="O8917" s="256"/>
    </row>
    <row r="8918" spans="1:15">
      <c r="A8918" s="207"/>
      <c r="B8918" s="207"/>
      <c r="N8918" s="4"/>
      <c r="O8918" s="256"/>
    </row>
    <row r="8919" spans="1:15">
      <c r="A8919" s="207"/>
      <c r="B8919" s="207"/>
      <c r="N8919" s="4"/>
      <c r="O8919" s="256"/>
    </row>
    <row r="8920" spans="1:15">
      <c r="A8920" s="207"/>
      <c r="B8920" s="207"/>
      <c r="N8920" s="4"/>
      <c r="O8920" s="256"/>
    </row>
    <row r="8921" spans="1:15">
      <c r="A8921" s="207"/>
      <c r="B8921" s="207"/>
      <c r="N8921" s="4"/>
      <c r="O8921" s="256"/>
    </row>
    <row r="8922" spans="1:15">
      <c r="A8922" s="207"/>
      <c r="B8922" s="207"/>
      <c r="N8922" s="4"/>
      <c r="O8922" s="256"/>
    </row>
    <row r="8923" spans="1:15">
      <c r="A8923" s="207"/>
      <c r="B8923" s="207"/>
      <c r="N8923" s="4"/>
      <c r="O8923" s="256"/>
    </row>
    <row r="8924" spans="1:15">
      <c r="A8924" s="207"/>
      <c r="B8924" s="207"/>
      <c r="N8924" s="4"/>
      <c r="O8924" s="256"/>
    </row>
    <row r="8925" spans="1:15">
      <c r="A8925" s="207"/>
      <c r="B8925" s="207"/>
      <c r="N8925" s="4"/>
      <c r="O8925" s="256"/>
    </row>
    <row r="8926" spans="1:15">
      <c r="A8926" s="207"/>
      <c r="B8926" s="207"/>
      <c r="N8926" s="4"/>
      <c r="O8926" s="256"/>
    </row>
    <row r="8927" spans="1:15">
      <c r="A8927" s="207"/>
      <c r="B8927" s="207"/>
      <c r="N8927" s="4"/>
      <c r="O8927" s="256"/>
    </row>
    <row r="8928" spans="1:15">
      <c r="A8928" s="207"/>
      <c r="B8928" s="207"/>
      <c r="N8928" s="4"/>
      <c r="O8928" s="256"/>
    </row>
    <row r="8929" spans="1:15">
      <c r="A8929" s="207"/>
      <c r="B8929" s="207"/>
      <c r="N8929" s="4"/>
      <c r="O8929" s="256"/>
    </row>
    <row r="8930" spans="1:15">
      <c r="A8930" s="207"/>
      <c r="B8930" s="207"/>
      <c r="N8930" s="4"/>
      <c r="O8930" s="256"/>
    </row>
    <row r="8931" spans="1:15">
      <c r="A8931" s="207"/>
      <c r="B8931" s="207"/>
      <c r="N8931" s="4"/>
      <c r="O8931" s="256"/>
    </row>
    <row r="8932" spans="1:15">
      <c r="A8932" s="207"/>
      <c r="B8932" s="207"/>
      <c r="N8932" s="4"/>
      <c r="O8932" s="256"/>
    </row>
    <row r="8933" spans="1:15">
      <c r="A8933" s="207"/>
      <c r="B8933" s="207"/>
      <c r="N8933" s="4"/>
      <c r="O8933" s="256"/>
    </row>
    <row r="8934" spans="1:15">
      <c r="A8934" s="207"/>
      <c r="B8934" s="207"/>
      <c r="N8934" s="4"/>
      <c r="O8934" s="256"/>
    </row>
    <row r="8935" spans="1:15">
      <c r="A8935" s="207"/>
      <c r="B8935" s="207"/>
      <c r="N8935" s="4"/>
      <c r="O8935" s="256"/>
    </row>
    <row r="8936" spans="1:15">
      <c r="A8936" s="207"/>
      <c r="B8936" s="207"/>
      <c r="N8936" s="4"/>
      <c r="O8936" s="256"/>
    </row>
    <row r="8937" spans="1:15">
      <c r="A8937" s="207"/>
      <c r="B8937" s="207"/>
      <c r="N8937" s="4"/>
      <c r="O8937" s="256"/>
    </row>
    <row r="8938" spans="1:15">
      <c r="A8938" s="207"/>
      <c r="B8938" s="207"/>
      <c r="N8938" s="4"/>
      <c r="O8938" s="256"/>
    </row>
    <row r="8939" spans="1:15">
      <c r="A8939" s="207"/>
      <c r="B8939" s="207"/>
      <c r="N8939" s="4"/>
      <c r="O8939" s="256"/>
    </row>
    <row r="8940" spans="1:15">
      <c r="A8940" s="207"/>
      <c r="B8940" s="207"/>
      <c r="N8940" s="4"/>
      <c r="O8940" s="256"/>
    </row>
    <row r="8941" spans="1:15">
      <c r="A8941" s="207"/>
      <c r="B8941" s="207"/>
      <c r="N8941" s="4"/>
      <c r="O8941" s="256"/>
    </row>
    <row r="8942" spans="1:15">
      <c r="A8942" s="207"/>
      <c r="B8942" s="207"/>
      <c r="N8942" s="4"/>
      <c r="O8942" s="256"/>
    </row>
    <row r="8943" spans="1:15">
      <c r="A8943" s="207"/>
      <c r="B8943" s="207"/>
      <c r="N8943" s="4"/>
      <c r="O8943" s="256"/>
    </row>
    <row r="8944" spans="1:15">
      <c r="A8944" s="207"/>
      <c r="B8944" s="207"/>
      <c r="N8944" s="4"/>
      <c r="O8944" s="256"/>
    </row>
    <row r="8945" spans="1:15">
      <c r="A8945" s="207"/>
      <c r="B8945" s="207"/>
      <c r="N8945" s="4"/>
      <c r="O8945" s="256"/>
    </row>
    <row r="8946" spans="1:15">
      <c r="A8946" s="207"/>
      <c r="B8946" s="207"/>
      <c r="N8946" s="4"/>
      <c r="O8946" s="256"/>
    </row>
    <row r="8947" spans="1:15">
      <c r="A8947" s="207"/>
      <c r="B8947" s="207"/>
      <c r="N8947" s="4"/>
      <c r="O8947" s="256"/>
    </row>
    <row r="8948" spans="1:15">
      <c r="A8948" s="207"/>
      <c r="B8948" s="207"/>
      <c r="N8948" s="4"/>
      <c r="O8948" s="256"/>
    </row>
    <row r="8949" spans="1:15">
      <c r="A8949" s="207"/>
      <c r="B8949" s="207"/>
      <c r="N8949" s="4"/>
      <c r="O8949" s="256"/>
    </row>
    <row r="8950" spans="1:15">
      <c r="A8950" s="207"/>
      <c r="B8950" s="207"/>
      <c r="N8950" s="4"/>
      <c r="O8950" s="256"/>
    </row>
    <row r="8951" spans="1:15">
      <c r="A8951" s="207"/>
      <c r="B8951" s="207"/>
      <c r="N8951" s="4"/>
      <c r="O8951" s="256"/>
    </row>
    <row r="8952" spans="1:15">
      <c r="A8952" s="207"/>
      <c r="B8952" s="207"/>
      <c r="N8952" s="4"/>
      <c r="O8952" s="256"/>
    </row>
    <row r="8953" spans="1:15">
      <c r="A8953" s="207"/>
      <c r="B8953" s="207"/>
      <c r="N8953" s="4"/>
      <c r="O8953" s="256"/>
    </row>
    <row r="8954" spans="1:15">
      <c r="A8954" s="207"/>
      <c r="B8954" s="207"/>
      <c r="N8954" s="4"/>
      <c r="O8954" s="256"/>
    </row>
    <row r="8955" spans="1:15">
      <c r="A8955" s="207"/>
      <c r="B8955" s="207"/>
      <c r="N8955" s="4"/>
      <c r="O8955" s="256"/>
    </row>
    <row r="8956" spans="1:15">
      <c r="A8956" s="207"/>
      <c r="B8956" s="207"/>
      <c r="N8956" s="4"/>
      <c r="O8956" s="256"/>
    </row>
    <row r="8957" spans="1:15">
      <c r="A8957" s="207"/>
      <c r="B8957" s="207"/>
      <c r="N8957" s="4"/>
      <c r="O8957" s="256"/>
    </row>
    <row r="8958" spans="1:15">
      <c r="A8958" s="207"/>
      <c r="B8958" s="207"/>
      <c r="N8958" s="4"/>
      <c r="O8958" s="256"/>
    </row>
    <row r="8959" spans="1:15">
      <c r="A8959" s="207"/>
      <c r="B8959" s="207"/>
      <c r="N8959" s="4"/>
      <c r="O8959" s="256"/>
    </row>
    <row r="8960" spans="1:15">
      <c r="A8960" s="207"/>
      <c r="B8960" s="207"/>
      <c r="N8960" s="4"/>
      <c r="O8960" s="256"/>
    </row>
    <row r="8961" spans="1:15">
      <c r="A8961" s="207"/>
      <c r="B8961" s="207"/>
      <c r="N8961" s="4"/>
      <c r="O8961" s="256"/>
    </row>
    <row r="8962" spans="1:15">
      <c r="A8962" s="207"/>
      <c r="B8962" s="207"/>
      <c r="N8962" s="4"/>
      <c r="O8962" s="256"/>
    </row>
    <row r="8963" spans="1:15">
      <c r="A8963" s="207"/>
      <c r="B8963" s="207"/>
      <c r="N8963" s="4"/>
      <c r="O8963" s="256"/>
    </row>
    <row r="8964" spans="1:15">
      <c r="A8964" s="207"/>
      <c r="B8964" s="207"/>
      <c r="N8964" s="4"/>
      <c r="O8964" s="256"/>
    </row>
    <row r="8965" spans="1:15">
      <c r="A8965" s="207"/>
      <c r="B8965" s="207"/>
      <c r="N8965" s="4"/>
      <c r="O8965" s="256"/>
    </row>
    <row r="8966" spans="1:15">
      <c r="A8966" s="207"/>
      <c r="B8966" s="207"/>
      <c r="N8966" s="4"/>
      <c r="O8966" s="256"/>
    </row>
    <row r="8967" spans="1:15">
      <c r="A8967" s="207"/>
      <c r="B8967" s="207"/>
      <c r="N8967" s="4"/>
      <c r="O8967" s="256"/>
    </row>
    <row r="8968" spans="1:15">
      <c r="A8968" s="207"/>
      <c r="B8968" s="207"/>
      <c r="N8968" s="4"/>
      <c r="O8968" s="256"/>
    </row>
    <row r="8969" spans="1:15">
      <c r="A8969" s="207"/>
      <c r="B8969" s="207"/>
      <c r="N8969" s="4"/>
      <c r="O8969" s="256"/>
    </row>
    <row r="8970" spans="1:15">
      <c r="A8970" s="207"/>
      <c r="B8970" s="207"/>
      <c r="N8970" s="4"/>
      <c r="O8970" s="256"/>
    </row>
    <row r="8971" spans="1:15">
      <c r="A8971" s="207"/>
      <c r="B8971" s="207"/>
      <c r="N8971" s="4"/>
      <c r="O8971" s="256"/>
    </row>
    <row r="8972" spans="1:15">
      <c r="A8972" s="207"/>
      <c r="B8972" s="207"/>
      <c r="N8972" s="4"/>
      <c r="O8972" s="256"/>
    </row>
    <row r="8973" spans="1:15">
      <c r="A8973" s="207"/>
      <c r="B8973" s="207"/>
      <c r="N8973" s="4"/>
      <c r="O8973" s="256"/>
    </row>
    <row r="8974" spans="1:15">
      <c r="A8974" s="207"/>
      <c r="B8974" s="207"/>
      <c r="N8974" s="4"/>
      <c r="O8974" s="256"/>
    </row>
    <row r="8975" spans="1:15">
      <c r="A8975" s="207"/>
      <c r="B8975" s="207"/>
      <c r="N8975" s="4"/>
      <c r="O8975" s="256"/>
    </row>
    <row r="8976" spans="1:15">
      <c r="A8976" s="207"/>
      <c r="B8976" s="207"/>
      <c r="N8976" s="4"/>
      <c r="O8976" s="256"/>
    </row>
    <row r="8977" spans="1:15">
      <c r="A8977" s="207"/>
      <c r="B8977" s="207"/>
      <c r="N8977" s="4"/>
      <c r="O8977" s="256"/>
    </row>
    <row r="8978" spans="1:15">
      <c r="A8978" s="207"/>
      <c r="B8978" s="207"/>
      <c r="N8978" s="4"/>
      <c r="O8978" s="256"/>
    </row>
    <row r="8979" spans="1:15">
      <c r="A8979" s="207"/>
      <c r="B8979" s="207"/>
      <c r="N8979" s="4"/>
      <c r="O8979" s="256"/>
    </row>
    <row r="8980" spans="1:15">
      <c r="A8980" s="207"/>
      <c r="B8980" s="207"/>
      <c r="N8980" s="4"/>
      <c r="O8980" s="256"/>
    </row>
    <row r="8981" spans="1:15">
      <c r="A8981" s="207"/>
      <c r="B8981" s="207"/>
      <c r="N8981" s="4"/>
      <c r="O8981" s="256"/>
    </row>
    <row r="8982" spans="1:15">
      <c r="A8982" s="207"/>
      <c r="B8982" s="207"/>
      <c r="N8982" s="4"/>
      <c r="O8982" s="256"/>
    </row>
    <row r="8983" spans="1:15">
      <c r="A8983" s="207"/>
      <c r="B8983" s="207"/>
      <c r="N8983" s="4"/>
      <c r="O8983" s="256"/>
    </row>
    <row r="8984" spans="1:15">
      <c r="A8984" s="207"/>
      <c r="B8984" s="207"/>
      <c r="N8984" s="4"/>
      <c r="O8984" s="256"/>
    </row>
    <row r="8985" spans="1:15">
      <c r="A8985" s="207"/>
      <c r="B8985" s="207"/>
      <c r="N8985" s="4"/>
      <c r="O8985" s="256"/>
    </row>
    <row r="8986" spans="1:15">
      <c r="A8986" s="207"/>
      <c r="B8986" s="207"/>
      <c r="N8986" s="4"/>
      <c r="O8986" s="256"/>
    </row>
    <row r="8987" spans="1:15">
      <c r="A8987" s="207"/>
      <c r="B8987" s="207"/>
      <c r="N8987" s="4"/>
      <c r="O8987" s="256"/>
    </row>
    <row r="8988" spans="1:15">
      <c r="A8988" s="207"/>
      <c r="B8988" s="207"/>
      <c r="N8988" s="4"/>
      <c r="O8988" s="256"/>
    </row>
    <row r="8989" spans="1:15">
      <c r="A8989" s="207"/>
      <c r="B8989" s="207"/>
      <c r="N8989" s="4"/>
      <c r="O8989" s="256"/>
    </row>
    <row r="8990" spans="1:15">
      <c r="A8990" s="207"/>
      <c r="B8990" s="207"/>
      <c r="N8990" s="4"/>
      <c r="O8990" s="256"/>
    </row>
    <row r="8991" spans="1:15">
      <c r="A8991" s="207"/>
      <c r="B8991" s="207"/>
      <c r="N8991" s="4"/>
      <c r="O8991" s="256"/>
    </row>
    <row r="8992" spans="1:15">
      <c r="A8992" s="207"/>
      <c r="B8992" s="207"/>
      <c r="N8992" s="4"/>
      <c r="O8992" s="256"/>
    </row>
    <row r="8993" spans="1:15">
      <c r="A8993" s="207"/>
      <c r="B8993" s="207"/>
      <c r="N8993" s="4"/>
      <c r="O8993" s="256"/>
    </row>
    <row r="8994" spans="1:15">
      <c r="A8994" s="207"/>
      <c r="B8994" s="207"/>
      <c r="N8994" s="4"/>
      <c r="O8994" s="256"/>
    </row>
    <row r="8995" spans="1:15">
      <c r="A8995" s="207"/>
      <c r="B8995" s="207"/>
      <c r="N8995" s="4"/>
      <c r="O8995" s="256"/>
    </row>
    <row r="8996" spans="1:15">
      <c r="A8996" s="207"/>
      <c r="B8996" s="207"/>
      <c r="N8996" s="4"/>
      <c r="O8996" s="256"/>
    </row>
    <row r="8997" spans="1:15">
      <c r="A8997" s="207"/>
      <c r="B8997" s="207"/>
      <c r="N8997" s="4"/>
      <c r="O8997" s="256"/>
    </row>
    <row r="8998" spans="1:15">
      <c r="A8998" s="207"/>
      <c r="B8998" s="207"/>
      <c r="N8998" s="4"/>
      <c r="O8998" s="256"/>
    </row>
    <row r="8999" spans="1:15">
      <c r="A8999" s="207"/>
      <c r="B8999" s="207"/>
      <c r="N8999" s="4"/>
      <c r="O8999" s="256"/>
    </row>
    <row r="9000" spans="1:15">
      <c r="A9000" s="207"/>
      <c r="B9000" s="207"/>
      <c r="N9000" s="4"/>
      <c r="O9000" s="256"/>
    </row>
    <row r="9001" spans="1:15">
      <c r="A9001" s="207"/>
      <c r="B9001" s="207"/>
      <c r="N9001" s="4"/>
      <c r="O9001" s="256"/>
    </row>
    <row r="9002" spans="1:15">
      <c r="A9002" s="207"/>
      <c r="B9002" s="207"/>
      <c r="N9002" s="4"/>
      <c r="O9002" s="256"/>
    </row>
    <row r="9003" spans="1:15">
      <c r="A9003" s="207"/>
      <c r="B9003" s="207"/>
      <c r="N9003" s="4"/>
      <c r="O9003" s="256"/>
    </row>
    <row r="9004" spans="1:15">
      <c r="A9004" s="207"/>
      <c r="B9004" s="207"/>
      <c r="N9004" s="4"/>
      <c r="O9004" s="256"/>
    </row>
    <row r="9005" spans="1:15">
      <c r="A9005" s="207"/>
      <c r="B9005" s="207"/>
      <c r="N9005" s="4"/>
      <c r="O9005" s="256"/>
    </row>
    <row r="9006" spans="1:15">
      <c r="A9006" s="207"/>
      <c r="B9006" s="207"/>
      <c r="N9006" s="4"/>
      <c r="O9006" s="256"/>
    </row>
    <row r="9007" spans="1:15">
      <c r="A9007" s="207"/>
      <c r="B9007" s="207"/>
      <c r="N9007" s="4"/>
      <c r="O9007" s="256"/>
    </row>
    <row r="9008" spans="1:15">
      <c r="A9008" s="207"/>
      <c r="B9008" s="207"/>
      <c r="N9008" s="4"/>
      <c r="O9008" s="256"/>
    </row>
    <row r="9009" spans="1:15">
      <c r="A9009" s="207"/>
      <c r="B9009" s="207"/>
      <c r="N9009" s="4"/>
      <c r="O9009" s="256"/>
    </row>
    <row r="9010" spans="1:15">
      <c r="A9010" s="207"/>
      <c r="B9010" s="207"/>
      <c r="N9010" s="4"/>
      <c r="O9010" s="256"/>
    </row>
    <row r="9011" spans="1:15">
      <c r="A9011" s="207"/>
      <c r="B9011" s="207"/>
      <c r="N9011" s="4"/>
      <c r="O9011" s="256"/>
    </row>
    <row r="9012" spans="1:15">
      <c r="A9012" s="207"/>
      <c r="B9012" s="207"/>
      <c r="N9012" s="4"/>
      <c r="O9012" s="256"/>
    </row>
    <row r="9013" spans="1:15">
      <c r="A9013" s="207"/>
      <c r="B9013" s="207"/>
      <c r="N9013" s="4"/>
      <c r="O9013" s="256"/>
    </row>
    <row r="9014" spans="1:15">
      <c r="A9014" s="207"/>
      <c r="B9014" s="207"/>
      <c r="N9014" s="4"/>
      <c r="O9014" s="256"/>
    </row>
    <row r="9015" spans="1:15">
      <c r="A9015" s="207"/>
      <c r="B9015" s="207"/>
      <c r="N9015" s="4"/>
      <c r="O9015" s="256"/>
    </row>
    <row r="9016" spans="1:15">
      <c r="A9016" s="207"/>
      <c r="B9016" s="207"/>
      <c r="N9016" s="4"/>
      <c r="O9016" s="256"/>
    </row>
    <row r="9017" spans="1:15">
      <c r="A9017" s="207"/>
      <c r="B9017" s="207"/>
      <c r="N9017" s="4"/>
      <c r="O9017" s="256"/>
    </row>
    <row r="9018" spans="1:15">
      <c r="A9018" s="207"/>
      <c r="B9018" s="207"/>
      <c r="N9018" s="4"/>
      <c r="O9018" s="256"/>
    </row>
    <row r="9019" spans="1:15">
      <c r="A9019" s="207"/>
      <c r="B9019" s="207"/>
      <c r="N9019" s="4"/>
      <c r="O9019" s="256"/>
    </row>
    <row r="9020" spans="1:15">
      <c r="A9020" s="207"/>
      <c r="B9020" s="207"/>
      <c r="N9020" s="4"/>
      <c r="O9020" s="256"/>
    </row>
    <row r="9021" spans="1:15">
      <c r="A9021" s="207"/>
      <c r="B9021" s="207"/>
      <c r="N9021" s="4"/>
      <c r="O9021" s="256"/>
    </row>
    <row r="9022" spans="1:15">
      <c r="A9022" s="207"/>
      <c r="B9022" s="207"/>
      <c r="N9022" s="4"/>
      <c r="O9022" s="256"/>
    </row>
    <row r="9023" spans="1:15">
      <c r="A9023" s="207"/>
      <c r="B9023" s="207"/>
      <c r="N9023" s="4"/>
      <c r="O9023" s="256"/>
    </row>
    <row r="9024" spans="1:15">
      <c r="A9024" s="207"/>
      <c r="B9024" s="207"/>
      <c r="N9024" s="4"/>
      <c r="O9024" s="256"/>
    </row>
    <row r="9025" spans="1:15">
      <c r="A9025" s="207"/>
      <c r="B9025" s="207"/>
      <c r="N9025" s="4"/>
      <c r="O9025" s="256"/>
    </row>
    <row r="9026" spans="1:15">
      <c r="A9026" s="207"/>
      <c r="B9026" s="207"/>
      <c r="N9026" s="4"/>
      <c r="O9026" s="256"/>
    </row>
    <row r="9027" spans="1:15">
      <c r="A9027" s="207"/>
      <c r="B9027" s="207"/>
      <c r="N9027" s="4"/>
      <c r="O9027" s="256"/>
    </row>
    <row r="9028" spans="1:15">
      <c r="A9028" s="207"/>
      <c r="B9028" s="207"/>
      <c r="N9028" s="4"/>
      <c r="O9028" s="256"/>
    </row>
    <row r="9029" spans="1:15">
      <c r="A9029" s="207"/>
      <c r="B9029" s="207"/>
      <c r="N9029" s="4"/>
      <c r="O9029" s="256"/>
    </row>
    <row r="9030" spans="1:15">
      <c r="A9030" s="207"/>
      <c r="B9030" s="207"/>
      <c r="N9030" s="4"/>
      <c r="O9030" s="256"/>
    </row>
    <row r="9031" spans="1:15">
      <c r="A9031" s="207"/>
      <c r="B9031" s="207"/>
      <c r="N9031" s="4"/>
      <c r="O9031" s="256"/>
    </row>
    <row r="9032" spans="1:15">
      <c r="A9032" s="207"/>
      <c r="B9032" s="207"/>
      <c r="N9032" s="4"/>
      <c r="O9032" s="256"/>
    </row>
    <row r="9033" spans="1:15">
      <c r="A9033" s="207"/>
      <c r="B9033" s="207"/>
      <c r="N9033" s="4"/>
      <c r="O9033" s="256"/>
    </row>
    <row r="9034" spans="1:15">
      <c r="A9034" s="207"/>
      <c r="B9034" s="207"/>
      <c r="N9034" s="4"/>
      <c r="O9034" s="256"/>
    </row>
    <row r="9035" spans="1:15">
      <c r="A9035" s="207"/>
      <c r="B9035" s="207"/>
      <c r="N9035" s="4"/>
      <c r="O9035" s="256"/>
    </row>
    <row r="9036" spans="1:15">
      <c r="A9036" s="207"/>
      <c r="B9036" s="207"/>
      <c r="N9036" s="4"/>
      <c r="O9036" s="256"/>
    </row>
    <row r="9037" spans="1:15">
      <c r="A9037" s="207"/>
      <c r="B9037" s="207"/>
      <c r="N9037" s="4"/>
      <c r="O9037" s="256"/>
    </row>
    <row r="9038" spans="1:15">
      <c r="A9038" s="207"/>
      <c r="B9038" s="207"/>
      <c r="N9038" s="4"/>
      <c r="O9038" s="256"/>
    </row>
    <row r="9039" spans="1:15">
      <c r="A9039" s="207"/>
      <c r="B9039" s="207"/>
      <c r="N9039" s="4"/>
      <c r="O9039" s="256"/>
    </row>
    <row r="9040" spans="1:15">
      <c r="A9040" s="207"/>
      <c r="B9040" s="207"/>
      <c r="N9040" s="4"/>
      <c r="O9040" s="256"/>
    </row>
    <row r="9041" spans="1:15">
      <c r="A9041" s="207"/>
      <c r="B9041" s="207"/>
      <c r="N9041" s="4"/>
      <c r="O9041" s="256"/>
    </row>
    <row r="9042" spans="1:15">
      <c r="A9042" s="207"/>
      <c r="B9042" s="207"/>
      <c r="N9042" s="4"/>
      <c r="O9042" s="256"/>
    </row>
    <row r="9043" spans="1:15">
      <c r="A9043" s="207"/>
      <c r="B9043" s="207"/>
      <c r="N9043" s="4"/>
      <c r="O9043" s="256"/>
    </row>
    <row r="9044" spans="1:15">
      <c r="A9044" s="207"/>
      <c r="B9044" s="207"/>
      <c r="N9044" s="4"/>
      <c r="O9044" s="256"/>
    </row>
    <row r="9045" spans="1:15">
      <c r="A9045" s="207"/>
      <c r="B9045" s="207"/>
      <c r="N9045" s="4"/>
      <c r="O9045" s="256"/>
    </row>
    <row r="9046" spans="1:15">
      <c r="A9046" s="207"/>
      <c r="B9046" s="207"/>
      <c r="N9046" s="4"/>
      <c r="O9046" s="256"/>
    </row>
    <row r="9047" spans="1:15">
      <c r="A9047" s="207"/>
      <c r="B9047" s="207"/>
      <c r="N9047" s="4"/>
      <c r="O9047" s="256"/>
    </row>
    <row r="9048" spans="1:15">
      <c r="A9048" s="207"/>
      <c r="B9048" s="207"/>
      <c r="N9048" s="4"/>
      <c r="O9048" s="256"/>
    </row>
    <row r="9049" spans="1:15">
      <c r="A9049" s="207"/>
      <c r="B9049" s="207"/>
      <c r="N9049" s="4"/>
      <c r="O9049" s="256"/>
    </row>
    <row r="9050" spans="1:15">
      <c r="A9050" s="207"/>
      <c r="B9050" s="207"/>
      <c r="N9050" s="4"/>
      <c r="O9050" s="256"/>
    </row>
    <row r="9051" spans="1:15">
      <c r="A9051" s="207"/>
      <c r="B9051" s="207"/>
      <c r="N9051" s="4"/>
      <c r="O9051" s="256"/>
    </row>
    <row r="9052" spans="1:15">
      <c r="A9052" s="207"/>
      <c r="B9052" s="207"/>
      <c r="N9052" s="4"/>
      <c r="O9052" s="256"/>
    </row>
    <row r="9053" spans="1:15">
      <c r="A9053" s="207"/>
      <c r="B9053" s="207"/>
      <c r="N9053" s="4"/>
      <c r="O9053" s="256"/>
    </row>
    <row r="9054" spans="1:15">
      <c r="A9054" s="207"/>
      <c r="B9054" s="207"/>
      <c r="N9054" s="4"/>
      <c r="O9054" s="256"/>
    </row>
    <row r="9055" spans="1:15">
      <c r="A9055" s="207"/>
      <c r="B9055" s="207"/>
      <c r="N9055" s="4"/>
      <c r="O9055" s="256"/>
    </row>
    <row r="9056" spans="1:15">
      <c r="A9056" s="207"/>
      <c r="B9056" s="207"/>
      <c r="N9056" s="4"/>
      <c r="O9056" s="256"/>
    </row>
    <row r="9057" spans="1:15">
      <c r="A9057" s="207"/>
      <c r="B9057" s="207"/>
      <c r="N9057" s="4"/>
      <c r="O9057" s="256"/>
    </row>
    <row r="9058" spans="1:15">
      <c r="A9058" s="207"/>
      <c r="B9058" s="207"/>
      <c r="N9058" s="4"/>
      <c r="O9058" s="256"/>
    </row>
    <row r="9059" spans="1:15">
      <c r="A9059" s="207"/>
      <c r="B9059" s="207"/>
      <c r="N9059" s="4"/>
      <c r="O9059" s="256"/>
    </row>
    <row r="9060" spans="1:15">
      <c r="A9060" s="207"/>
      <c r="B9060" s="207"/>
      <c r="N9060" s="4"/>
      <c r="O9060" s="256"/>
    </row>
    <row r="9061" spans="1:15">
      <c r="A9061" s="207"/>
      <c r="B9061" s="207"/>
      <c r="N9061" s="4"/>
      <c r="O9061" s="256"/>
    </row>
    <row r="9062" spans="1:15">
      <c r="A9062" s="207"/>
      <c r="B9062" s="207"/>
      <c r="N9062" s="4"/>
      <c r="O9062" s="256"/>
    </row>
    <row r="9063" spans="1:15">
      <c r="A9063" s="207"/>
      <c r="B9063" s="207"/>
      <c r="N9063" s="4"/>
      <c r="O9063" s="256"/>
    </row>
    <row r="9064" spans="1:15">
      <c r="A9064" s="207"/>
      <c r="B9064" s="207"/>
      <c r="N9064" s="4"/>
      <c r="O9064" s="256"/>
    </row>
    <row r="9065" spans="1:15">
      <c r="A9065" s="207"/>
      <c r="B9065" s="207"/>
      <c r="N9065" s="4"/>
      <c r="O9065" s="256"/>
    </row>
    <row r="9066" spans="1:15">
      <c r="A9066" s="207"/>
      <c r="B9066" s="207"/>
      <c r="N9066" s="4"/>
      <c r="O9066" s="256"/>
    </row>
    <row r="9067" spans="1:15">
      <c r="A9067" s="207"/>
      <c r="B9067" s="207"/>
      <c r="N9067" s="4"/>
      <c r="O9067" s="256"/>
    </row>
    <row r="9068" spans="1:15">
      <c r="A9068" s="207"/>
      <c r="B9068" s="207"/>
      <c r="N9068" s="4"/>
      <c r="O9068" s="256"/>
    </row>
    <row r="9069" spans="1:15">
      <c r="A9069" s="207"/>
      <c r="B9069" s="207"/>
      <c r="N9069" s="4"/>
      <c r="O9069" s="256"/>
    </row>
    <row r="9070" spans="1:15">
      <c r="A9070" s="207"/>
      <c r="B9070" s="207"/>
      <c r="N9070" s="4"/>
      <c r="O9070" s="256"/>
    </row>
    <row r="9071" spans="1:15">
      <c r="A9071" s="207"/>
      <c r="B9071" s="207"/>
      <c r="N9071" s="4"/>
      <c r="O9071" s="256"/>
    </row>
    <row r="9072" spans="1:15">
      <c r="A9072" s="207"/>
      <c r="B9072" s="207"/>
      <c r="N9072" s="4"/>
      <c r="O9072" s="256"/>
    </row>
    <row r="9073" spans="1:15">
      <c r="A9073" s="207"/>
      <c r="B9073" s="207"/>
      <c r="N9073" s="4"/>
      <c r="O9073" s="256"/>
    </row>
    <row r="9074" spans="1:15">
      <c r="A9074" s="207"/>
      <c r="B9074" s="207"/>
      <c r="N9074" s="4"/>
      <c r="O9074" s="256"/>
    </row>
    <row r="9075" spans="1:15">
      <c r="A9075" s="207"/>
      <c r="B9075" s="207"/>
      <c r="N9075" s="4"/>
      <c r="O9075" s="256"/>
    </row>
    <row r="9076" spans="1:15">
      <c r="A9076" s="207"/>
      <c r="B9076" s="207"/>
      <c r="N9076" s="4"/>
      <c r="O9076" s="256"/>
    </row>
    <row r="9077" spans="1:15">
      <c r="A9077" s="207"/>
      <c r="B9077" s="207"/>
      <c r="N9077" s="4"/>
      <c r="O9077" s="256"/>
    </row>
    <row r="9078" spans="1:15">
      <c r="A9078" s="207"/>
      <c r="B9078" s="207"/>
      <c r="N9078" s="4"/>
      <c r="O9078" s="256"/>
    </row>
    <row r="9079" spans="1:15">
      <c r="A9079" s="207"/>
      <c r="B9079" s="207"/>
      <c r="N9079" s="4"/>
      <c r="O9079" s="256"/>
    </row>
    <row r="9080" spans="1:15">
      <c r="A9080" s="207"/>
      <c r="B9080" s="207"/>
      <c r="N9080" s="4"/>
      <c r="O9080" s="256"/>
    </row>
    <row r="9081" spans="1:15">
      <c r="A9081" s="207"/>
      <c r="B9081" s="207"/>
      <c r="N9081" s="4"/>
      <c r="O9081" s="256"/>
    </row>
    <row r="9082" spans="1:15">
      <c r="A9082" s="207"/>
      <c r="B9082" s="207"/>
      <c r="N9082" s="4"/>
      <c r="O9082" s="256"/>
    </row>
    <row r="9083" spans="1:15">
      <c r="A9083" s="207"/>
      <c r="B9083" s="207"/>
      <c r="N9083" s="4"/>
      <c r="O9083" s="256"/>
    </row>
    <row r="9084" spans="1:15">
      <c r="A9084" s="207"/>
      <c r="B9084" s="207"/>
      <c r="N9084" s="4"/>
      <c r="O9084" s="256"/>
    </row>
    <row r="9085" spans="1:15">
      <c r="A9085" s="207"/>
      <c r="B9085" s="207"/>
      <c r="N9085" s="4"/>
      <c r="O9085" s="256"/>
    </row>
    <row r="9086" spans="1:15">
      <c r="A9086" s="207"/>
      <c r="B9086" s="207"/>
      <c r="N9086" s="4"/>
      <c r="O9086" s="256"/>
    </row>
    <row r="9087" spans="1:15">
      <c r="A9087" s="207"/>
      <c r="B9087" s="207"/>
      <c r="N9087" s="4"/>
      <c r="O9087" s="256"/>
    </row>
    <row r="9088" spans="1:15">
      <c r="A9088" s="207"/>
      <c r="B9088" s="207"/>
      <c r="N9088" s="4"/>
      <c r="O9088" s="256"/>
    </row>
    <row r="9089" spans="1:15">
      <c r="A9089" s="207"/>
      <c r="B9089" s="207"/>
      <c r="N9089" s="4"/>
      <c r="O9089" s="256"/>
    </row>
    <row r="9090" spans="1:15">
      <c r="A9090" s="207"/>
      <c r="B9090" s="207"/>
      <c r="N9090" s="4"/>
      <c r="O9090" s="256"/>
    </row>
    <row r="9091" spans="1:15">
      <c r="A9091" s="207"/>
      <c r="B9091" s="207"/>
      <c r="N9091" s="4"/>
      <c r="O9091" s="256"/>
    </row>
    <row r="9092" spans="1:15">
      <c r="A9092" s="207"/>
      <c r="B9092" s="207"/>
      <c r="N9092" s="4"/>
      <c r="O9092" s="256"/>
    </row>
    <row r="9093" spans="1:15">
      <c r="A9093" s="207"/>
      <c r="B9093" s="207"/>
      <c r="N9093" s="4"/>
      <c r="O9093" s="256"/>
    </row>
    <row r="9094" spans="1:15">
      <c r="A9094" s="207"/>
      <c r="B9094" s="207"/>
      <c r="N9094" s="4"/>
      <c r="O9094" s="256"/>
    </row>
    <row r="9095" spans="1:15">
      <c r="A9095" s="207"/>
      <c r="B9095" s="207"/>
      <c r="N9095" s="4"/>
      <c r="O9095" s="256"/>
    </row>
    <row r="9096" spans="1:15">
      <c r="A9096" s="207"/>
      <c r="B9096" s="207"/>
      <c r="N9096" s="4"/>
      <c r="O9096" s="256"/>
    </row>
    <row r="9097" spans="1:15">
      <c r="A9097" s="207"/>
      <c r="B9097" s="207"/>
      <c r="N9097" s="4"/>
      <c r="O9097" s="256"/>
    </row>
    <row r="9098" spans="1:15">
      <c r="A9098" s="207"/>
      <c r="B9098" s="207"/>
      <c r="N9098" s="4"/>
      <c r="O9098" s="256"/>
    </row>
    <row r="9099" spans="1:15">
      <c r="A9099" s="207"/>
      <c r="B9099" s="207"/>
      <c r="N9099" s="4"/>
      <c r="O9099" s="256"/>
    </row>
    <row r="9100" spans="1:15">
      <c r="A9100" s="207"/>
      <c r="B9100" s="207"/>
      <c r="N9100" s="4"/>
      <c r="O9100" s="256"/>
    </row>
    <row r="9101" spans="1:15">
      <c r="A9101" s="207"/>
      <c r="B9101" s="207"/>
      <c r="N9101" s="4"/>
      <c r="O9101" s="256"/>
    </row>
    <row r="9102" spans="1:15">
      <c r="A9102" s="207"/>
      <c r="B9102" s="207"/>
      <c r="N9102" s="4"/>
      <c r="O9102" s="256"/>
    </row>
    <row r="9103" spans="1:15">
      <c r="A9103" s="207"/>
      <c r="B9103" s="207"/>
      <c r="N9103" s="4"/>
      <c r="O9103" s="256"/>
    </row>
    <row r="9104" spans="1:15">
      <c r="A9104" s="207"/>
      <c r="B9104" s="207"/>
      <c r="N9104" s="4"/>
      <c r="O9104" s="256"/>
    </row>
    <row r="9105" spans="1:15">
      <c r="A9105" s="207"/>
      <c r="B9105" s="207"/>
      <c r="N9105" s="4"/>
      <c r="O9105" s="256"/>
    </row>
    <row r="9106" spans="1:15">
      <c r="A9106" s="207"/>
      <c r="B9106" s="207"/>
      <c r="N9106" s="4"/>
      <c r="O9106" s="256"/>
    </row>
    <row r="9107" spans="1:15">
      <c r="A9107" s="207"/>
      <c r="B9107" s="207"/>
      <c r="N9107" s="4"/>
      <c r="O9107" s="256"/>
    </row>
    <row r="9108" spans="1:15">
      <c r="A9108" s="207"/>
      <c r="B9108" s="207"/>
      <c r="N9108" s="4"/>
      <c r="O9108" s="256"/>
    </row>
    <row r="9109" spans="1:15">
      <c r="A9109" s="207"/>
      <c r="B9109" s="207"/>
      <c r="N9109" s="4"/>
      <c r="O9109" s="256"/>
    </row>
    <row r="9110" spans="1:15">
      <c r="A9110" s="207"/>
      <c r="B9110" s="207"/>
      <c r="N9110" s="4"/>
      <c r="O9110" s="256"/>
    </row>
    <row r="9111" spans="1:15">
      <c r="A9111" s="207"/>
      <c r="B9111" s="207"/>
      <c r="N9111" s="4"/>
      <c r="O9111" s="256"/>
    </row>
    <row r="9112" spans="1:15">
      <c r="A9112" s="207"/>
      <c r="B9112" s="207"/>
      <c r="N9112" s="4"/>
      <c r="O9112" s="256"/>
    </row>
    <row r="9113" spans="1:15">
      <c r="A9113" s="207"/>
      <c r="B9113" s="207"/>
      <c r="N9113" s="4"/>
      <c r="O9113" s="256"/>
    </row>
    <row r="9114" spans="1:15">
      <c r="A9114" s="207"/>
      <c r="B9114" s="207"/>
      <c r="N9114" s="4"/>
      <c r="O9114" s="256"/>
    </row>
    <row r="9115" spans="1:15">
      <c r="A9115" s="207"/>
      <c r="B9115" s="207"/>
      <c r="N9115" s="4"/>
      <c r="O9115" s="256"/>
    </row>
    <row r="9116" spans="1:15">
      <c r="A9116" s="207"/>
      <c r="B9116" s="207"/>
      <c r="N9116" s="4"/>
      <c r="O9116" s="256"/>
    </row>
    <row r="9117" spans="1:15">
      <c r="A9117" s="207"/>
      <c r="B9117" s="207"/>
      <c r="N9117" s="4"/>
      <c r="O9117" s="256"/>
    </row>
    <row r="9118" spans="1:15">
      <c r="A9118" s="207"/>
      <c r="B9118" s="207"/>
      <c r="N9118" s="4"/>
      <c r="O9118" s="256"/>
    </row>
    <row r="9119" spans="1:15">
      <c r="A9119" s="207"/>
      <c r="B9119" s="207"/>
      <c r="N9119" s="4"/>
      <c r="O9119" s="256"/>
    </row>
    <row r="9120" spans="1:15">
      <c r="A9120" s="207"/>
      <c r="B9120" s="207"/>
      <c r="N9120" s="4"/>
      <c r="O9120" s="256"/>
    </row>
    <row r="9121" spans="1:15">
      <c r="A9121" s="207"/>
      <c r="B9121" s="207"/>
      <c r="N9121" s="4"/>
      <c r="O9121" s="256"/>
    </row>
    <row r="9122" spans="1:15">
      <c r="A9122" s="207"/>
      <c r="B9122" s="207"/>
      <c r="N9122" s="4"/>
      <c r="O9122" s="256"/>
    </row>
    <row r="9123" spans="1:15">
      <c r="A9123" s="207"/>
      <c r="B9123" s="207"/>
      <c r="N9123" s="4"/>
      <c r="O9123" s="256"/>
    </row>
    <row r="9124" spans="1:15">
      <c r="A9124" s="207"/>
      <c r="B9124" s="207"/>
      <c r="N9124" s="4"/>
      <c r="O9124" s="256"/>
    </row>
    <row r="9125" spans="1:15">
      <c r="A9125" s="207"/>
      <c r="B9125" s="207"/>
      <c r="N9125" s="4"/>
      <c r="O9125" s="256"/>
    </row>
    <row r="9126" spans="1:15">
      <c r="A9126" s="207"/>
      <c r="B9126" s="207"/>
      <c r="N9126" s="4"/>
      <c r="O9126" s="256"/>
    </row>
    <row r="9127" spans="1:15">
      <c r="A9127" s="207"/>
      <c r="B9127" s="207"/>
      <c r="N9127" s="4"/>
      <c r="O9127" s="256"/>
    </row>
    <row r="9128" spans="1:15">
      <c r="A9128" s="207"/>
      <c r="B9128" s="207"/>
      <c r="N9128" s="4"/>
      <c r="O9128" s="256"/>
    </row>
    <row r="9129" spans="1:15">
      <c r="A9129" s="207"/>
      <c r="B9129" s="207"/>
      <c r="N9129" s="4"/>
      <c r="O9129" s="256"/>
    </row>
    <row r="9130" spans="1:15">
      <c r="A9130" s="207"/>
      <c r="B9130" s="207"/>
      <c r="N9130" s="4"/>
      <c r="O9130" s="256"/>
    </row>
    <row r="9131" spans="1:15">
      <c r="A9131" s="207"/>
      <c r="B9131" s="207"/>
      <c r="N9131" s="4"/>
      <c r="O9131" s="256"/>
    </row>
    <row r="9132" spans="1:15">
      <c r="A9132" s="207"/>
      <c r="B9132" s="207"/>
      <c r="N9132" s="4"/>
      <c r="O9132" s="256"/>
    </row>
    <row r="9133" spans="1:15">
      <c r="A9133" s="207"/>
      <c r="B9133" s="207"/>
      <c r="N9133" s="4"/>
      <c r="O9133" s="256"/>
    </row>
    <row r="9134" spans="1:15">
      <c r="A9134" s="207"/>
      <c r="B9134" s="207"/>
      <c r="N9134" s="4"/>
      <c r="O9134" s="256"/>
    </row>
    <row r="9135" spans="1:15">
      <c r="A9135" s="207"/>
      <c r="B9135" s="207"/>
      <c r="N9135" s="4"/>
      <c r="O9135" s="256"/>
    </row>
    <row r="9136" spans="1:15">
      <c r="A9136" s="207"/>
      <c r="B9136" s="207"/>
      <c r="N9136" s="4"/>
      <c r="O9136" s="256"/>
    </row>
    <row r="9137" spans="1:15">
      <c r="A9137" s="207"/>
      <c r="B9137" s="207"/>
      <c r="N9137" s="4"/>
      <c r="O9137" s="256"/>
    </row>
    <row r="9138" spans="1:15">
      <c r="A9138" s="207"/>
      <c r="B9138" s="207"/>
      <c r="N9138" s="4"/>
      <c r="O9138" s="256"/>
    </row>
    <row r="9139" spans="1:15">
      <c r="A9139" s="207"/>
      <c r="B9139" s="207"/>
      <c r="N9139" s="4"/>
      <c r="O9139" s="256"/>
    </row>
    <row r="9140" spans="1:15">
      <c r="A9140" s="207"/>
      <c r="B9140" s="207"/>
      <c r="N9140" s="4"/>
      <c r="O9140" s="256"/>
    </row>
    <row r="9141" spans="1:15">
      <c r="A9141" s="207"/>
      <c r="B9141" s="207"/>
      <c r="N9141" s="4"/>
      <c r="O9141" s="256"/>
    </row>
    <row r="9142" spans="1:15">
      <c r="A9142" s="207"/>
      <c r="B9142" s="207"/>
      <c r="N9142" s="4"/>
      <c r="O9142" s="256"/>
    </row>
    <row r="9143" spans="1:15">
      <c r="A9143" s="207"/>
      <c r="B9143" s="207"/>
      <c r="N9143" s="4"/>
      <c r="O9143" s="256"/>
    </row>
    <row r="9144" spans="1:15">
      <c r="A9144" s="207"/>
      <c r="B9144" s="207"/>
      <c r="N9144" s="4"/>
      <c r="O9144" s="256"/>
    </row>
    <row r="9145" spans="1:15">
      <c r="A9145" s="207"/>
      <c r="B9145" s="207"/>
      <c r="N9145" s="4"/>
      <c r="O9145" s="256"/>
    </row>
    <row r="9146" spans="1:15">
      <c r="A9146" s="207"/>
      <c r="B9146" s="207"/>
      <c r="N9146" s="4"/>
      <c r="O9146" s="256"/>
    </row>
    <row r="9147" spans="1:15">
      <c r="A9147" s="207"/>
      <c r="B9147" s="207"/>
      <c r="N9147" s="4"/>
      <c r="O9147" s="256"/>
    </row>
    <row r="9148" spans="1:15">
      <c r="A9148" s="207"/>
      <c r="B9148" s="207"/>
      <c r="N9148" s="4"/>
      <c r="O9148" s="256"/>
    </row>
    <row r="9149" spans="1:15">
      <c r="A9149" s="207"/>
      <c r="B9149" s="207"/>
      <c r="N9149" s="4"/>
      <c r="O9149" s="256"/>
    </row>
    <row r="9150" spans="1:15">
      <c r="A9150" s="207"/>
      <c r="B9150" s="207"/>
      <c r="N9150" s="4"/>
      <c r="O9150" s="256"/>
    </row>
    <row r="9151" spans="1:15">
      <c r="A9151" s="207"/>
      <c r="B9151" s="207"/>
      <c r="N9151" s="4"/>
      <c r="O9151" s="256"/>
    </row>
    <row r="9152" spans="1:15">
      <c r="A9152" s="207"/>
      <c r="B9152" s="207"/>
      <c r="N9152" s="4"/>
      <c r="O9152" s="256"/>
    </row>
    <row r="9153" spans="1:15">
      <c r="A9153" s="207"/>
      <c r="B9153" s="207"/>
      <c r="N9153" s="4"/>
      <c r="O9153" s="256"/>
    </row>
    <row r="9154" spans="1:15">
      <c r="A9154" s="207"/>
      <c r="B9154" s="207"/>
      <c r="N9154" s="4"/>
      <c r="O9154" s="256"/>
    </row>
    <row r="9155" spans="1:15">
      <c r="A9155" s="207"/>
      <c r="B9155" s="207"/>
      <c r="N9155" s="4"/>
      <c r="O9155" s="256"/>
    </row>
    <row r="9156" spans="1:15">
      <c r="A9156" s="207"/>
      <c r="B9156" s="207"/>
      <c r="N9156" s="4"/>
      <c r="O9156" s="256"/>
    </row>
    <row r="9157" spans="1:15">
      <c r="A9157" s="207"/>
      <c r="B9157" s="207"/>
      <c r="N9157" s="4"/>
      <c r="O9157" s="256"/>
    </row>
    <row r="9158" spans="1:15">
      <c r="A9158" s="207"/>
      <c r="B9158" s="207"/>
      <c r="N9158" s="4"/>
      <c r="O9158" s="256"/>
    </row>
    <row r="9159" spans="1:15">
      <c r="A9159" s="207"/>
      <c r="B9159" s="207"/>
      <c r="N9159" s="4"/>
      <c r="O9159" s="256"/>
    </row>
    <row r="9160" spans="1:15">
      <c r="A9160" s="207"/>
      <c r="B9160" s="207"/>
      <c r="N9160" s="4"/>
      <c r="O9160" s="256"/>
    </row>
    <row r="9161" spans="1:15">
      <c r="A9161" s="207"/>
      <c r="B9161" s="207"/>
      <c r="N9161" s="4"/>
      <c r="O9161" s="256"/>
    </row>
    <row r="9162" spans="1:15">
      <c r="A9162" s="207"/>
      <c r="B9162" s="207"/>
      <c r="N9162" s="4"/>
      <c r="O9162" s="256"/>
    </row>
    <row r="9163" spans="1:15">
      <c r="A9163" s="207"/>
      <c r="B9163" s="207"/>
      <c r="N9163" s="4"/>
      <c r="O9163" s="256"/>
    </row>
    <row r="9164" spans="1:15">
      <c r="A9164" s="207"/>
      <c r="B9164" s="207"/>
      <c r="N9164" s="4"/>
      <c r="O9164" s="256"/>
    </row>
    <row r="9165" spans="1:15">
      <c r="A9165" s="207"/>
      <c r="B9165" s="207"/>
      <c r="N9165" s="4"/>
      <c r="O9165" s="256"/>
    </row>
    <row r="9166" spans="1:15">
      <c r="A9166" s="207"/>
      <c r="B9166" s="207"/>
      <c r="N9166" s="4"/>
      <c r="O9166" s="256"/>
    </row>
    <row r="9167" spans="1:15">
      <c r="A9167" s="207"/>
      <c r="B9167" s="207"/>
      <c r="N9167" s="4"/>
      <c r="O9167" s="256"/>
    </row>
    <row r="9168" spans="1:15">
      <c r="A9168" s="207"/>
      <c r="B9168" s="207"/>
      <c r="N9168" s="4"/>
      <c r="O9168" s="256"/>
    </row>
    <row r="9169" spans="1:15">
      <c r="A9169" s="207"/>
      <c r="B9169" s="207"/>
      <c r="N9169" s="4"/>
      <c r="O9169" s="256"/>
    </row>
    <row r="9170" spans="1:15">
      <c r="A9170" s="207"/>
      <c r="B9170" s="207"/>
      <c r="N9170" s="4"/>
      <c r="O9170" s="256"/>
    </row>
    <row r="9171" spans="1:15">
      <c r="A9171" s="207"/>
      <c r="B9171" s="207"/>
      <c r="N9171" s="4"/>
      <c r="O9171" s="256"/>
    </row>
    <row r="9172" spans="1:15">
      <c r="A9172" s="207"/>
      <c r="B9172" s="207"/>
      <c r="N9172" s="4"/>
      <c r="O9172" s="256"/>
    </row>
    <row r="9173" spans="1:15">
      <c r="A9173" s="207"/>
      <c r="B9173" s="207"/>
      <c r="N9173" s="4"/>
      <c r="O9173" s="256"/>
    </row>
    <row r="9174" spans="1:15">
      <c r="A9174" s="207"/>
      <c r="B9174" s="207"/>
      <c r="N9174" s="4"/>
      <c r="O9174" s="256"/>
    </row>
    <row r="9175" spans="1:15">
      <c r="A9175" s="207"/>
      <c r="B9175" s="207"/>
      <c r="N9175" s="4"/>
      <c r="O9175" s="256"/>
    </row>
    <row r="9176" spans="1:15">
      <c r="A9176" s="207"/>
      <c r="B9176" s="207"/>
      <c r="N9176" s="4"/>
      <c r="O9176" s="256"/>
    </row>
    <row r="9177" spans="1:15">
      <c r="A9177" s="207"/>
      <c r="B9177" s="207"/>
      <c r="N9177" s="4"/>
      <c r="O9177" s="256"/>
    </row>
    <row r="9178" spans="1:15">
      <c r="A9178" s="207"/>
      <c r="B9178" s="207"/>
      <c r="N9178" s="4"/>
      <c r="O9178" s="256"/>
    </row>
    <row r="9179" spans="1:15">
      <c r="A9179" s="207"/>
      <c r="B9179" s="207"/>
      <c r="N9179" s="4"/>
      <c r="O9179" s="256"/>
    </row>
    <row r="9180" spans="1:15">
      <c r="A9180" s="207"/>
      <c r="B9180" s="207"/>
      <c r="N9180" s="4"/>
      <c r="O9180" s="256"/>
    </row>
    <row r="9181" spans="1:15">
      <c r="A9181" s="207"/>
      <c r="B9181" s="207"/>
      <c r="N9181" s="4"/>
      <c r="O9181" s="256"/>
    </row>
    <row r="9182" spans="1:15">
      <c r="A9182" s="207"/>
      <c r="B9182" s="207"/>
      <c r="N9182" s="4"/>
      <c r="O9182" s="256"/>
    </row>
    <row r="9183" spans="1:15">
      <c r="A9183" s="207"/>
      <c r="B9183" s="207"/>
      <c r="N9183" s="4"/>
      <c r="O9183" s="256"/>
    </row>
    <row r="9184" spans="1:15">
      <c r="A9184" s="207"/>
      <c r="B9184" s="207"/>
      <c r="N9184" s="4"/>
      <c r="O9184" s="256"/>
    </row>
    <row r="9185" spans="1:15">
      <c r="A9185" s="207"/>
      <c r="B9185" s="207"/>
      <c r="N9185" s="4"/>
      <c r="O9185" s="256"/>
    </row>
    <row r="9186" spans="1:15">
      <c r="A9186" s="207"/>
      <c r="B9186" s="207"/>
      <c r="N9186" s="4"/>
      <c r="O9186" s="256"/>
    </row>
    <row r="9187" spans="1:15">
      <c r="A9187" s="207"/>
      <c r="B9187" s="207"/>
      <c r="N9187" s="4"/>
      <c r="O9187" s="256"/>
    </row>
    <row r="9188" spans="1:15">
      <c r="A9188" s="207"/>
      <c r="B9188" s="207"/>
      <c r="N9188" s="4"/>
      <c r="O9188" s="256"/>
    </row>
    <row r="9189" spans="1:15">
      <c r="A9189" s="207"/>
      <c r="B9189" s="207"/>
      <c r="N9189" s="4"/>
      <c r="O9189" s="256"/>
    </row>
    <row r="9190" spans="1:15">
      <c r="A9190" s="207"/>
      <c r="B9190" s="207"/>
      <c r="N9190" s="4"/>
      <c r="O9190" s="256"/>
    </row>
    <row r="9191" spans="1:15">
      <c r="A9191" s="207"/>
      <c r="B9191" s="207"/>
      <c r="N9191" s="4"/>
      <c r="O9191" s="256"/>
    </row>
    <row r="9192" spans="1:15">
      <c r="A9192" s="207"/>
      <c r="B9192" s="207"/>
      <c r="N9192" s="4"/>
      <c r="O9192" s="256"/>
    </row>
    <row r="9193" spans="1:15">
      <c r="A9193" s="207"/>
      <c r="B9193" s="207"/>
      <c r="N9193" s="4"/>
      <c r="O9193" s="256"/>
    </row>
    <row r="9194" spans="1:15">
      <c r="A9194" s="207"/>
      <c r="B9194" s="207"/>
      <c r="N9194" s="4"/>
      <c r="O9194" s="256"/>
    </row>
    <row r="9195" spans="1:15">
      <c r="A9195" s="207"/>
      <c r="B9195" s="207"/>
      <c r="N9195" s="4"/>
      <c r="O9195" s="256"/>
    </row>
    <row r="9196" spans="1:15">
      <c r="A9196" s="207"/>
      <c r="B9196" s="207"/>
      <c r="N9196" s="4"/>
      <c r="O9196" s="256"/>
    </row>
    <row r="9197" spans="1:15">
      <c r="A9197" s="207"/>
      <c r="B9197" s="207"/>
      <c r="N9197" s="4"/>
      <c r="O9197" s="256"/>
    </row>
    <row r="9198" spans="1:15">
      <c r="A9198" s="207"/>
      <c r="B9198" s="207"/>
      <c r="N9198" s="4"/>
      <c r="O9198" s="256"/>
    </row>
    <row r="9199" spans="1:15">
      <c r="A9199" s="207"/>
      <c r="B9199" s="207"/>
      <c r="N9199" s="4"/>
      <c r="O9199" s="256"/>
    </row>
    <row r="9200" spans="1:15">
      <c r="A9200" s="207"/>
      <c r="B9200" s="207"/>
      <c r="N9200" s="4"/>
      <c r="O9200" s="256"/>
    </row>
    <row r="9201" spans="1:15">
      <c r="A9201" s="207"/>
      <c r="B9201" s="207"/>
      <c r="N9201" s="4"/>
      <c r="O9201" s="256"/>
    </row>
    <row r="9202" spans="1:15">
      <c r="A9202" s="207"/>
      <c r="B9202" s="207"/>
      <c r="N9202" s="4"/>
      <c r="O9202" s="256"/>
    </row>
    <row r="9203" spans="1:15">
      <c r="A9203" s="207"/>
      <c r="B9203" s="207"/>
      <c r="N9203" s="4"/>
      <c r="O9203" s="256"/>
    </row>
    <row r="9204" spans="1:15">
      <c r="A9204" s="207"/>
      <c r="B9204" s="207"/>
      <c r="N9204" s="4"/>
      <c r="O9204" s="256"/>
    </row>
    <row r="9205" spans="1:15">
      <c r="A9205" s="207"/>
      <c r="B9205" s="207"/>
      <c r="N9205" s="4"/>
      <c r="O9205" s="256"/>
    </row>
    <row r="9206" spans="1:15">
      <c r="A9206" s="207"/>
      <c r="B9206" s="207"/>
      <c r="N9206" s="4"/>
      <c r="O9206" s="256"/>
    </row>
    <row r="9207" spans="1:15">
      <c r="A9207" s="207"/>
      <c r="B9207" s="207"/>
      <c r="N9207" s="4"/>
      <c r="O9207" s="256"/>
    </row>
    <row r="9208" spans="1:15">
      <c r="A9208" s="207"/>
      <c r="B9208" s="207"/>
      <c r="N9208" s="4"/>
      <c r="O9208" s="256"/>
    </row>
    <row r="9209" spans="1:15">
      <c r="A9209" s="207"/>
      <c r="B9209" s="207"/>
      <c r="N9209" s="4"/>
      <c r="O9209" s="256"/>
    </row>
    <row r="9210" spans="1:15">
      <c r="A9210" s="207"/>
      <c r="B9210" s="207"/>
      <c r="N9210" s="4"/>
      <c r="O9210" s="256"/>
    </row>
    <row r="9211" spans="1:15">
      <c r="A9211" s="207"/>
      <c r="B9211" s="207"/>
      <c r="N9211" s="4"/>
      <c r="O9211" s="256"/>
    </row>
    <row r="9212" spans="1:15">
      <c r="A9212" s="207"/>
      <c r="B9212" s="207"/>
      <c r="N9212" s="4"/>
      <c r="O9212" s="256"/>
    </row>
    <row r="9213" spans="1:15">
      <c r="A9213" s="207"/>
      <c r="B9213" s="207"/>
      <c r="N9213" s="4"/>
      <c r="O9213" s="256"/>
    </row>
    <row r="9214" spans="1:15">
      <c r="A9214" s="207"/>
      <c r="B9214" s="207"/>
      <c r="N9214" s="4"/>
      <c r="O9214" s="256"/>
    </row>
    <row r="9215" spans="1:15">
      <c r="A9215" s="207"/>
      <c r="B9215" s="207"/>
      <c r="N9215" s="4"/>
      <c r="O9215" s="256"/>
    </row>
    <row r="9216" spans="1:15">
      <c r="A9216" s="207"/>
      <c r="B9216" s="207"/>
      <c r="N9216" s="4"/>
      <c r="O9216" s="256"/>
    </row>
    <row r="9217" spans="1:15">
      <c r="A9217" s="207"/>
      <c r="B9217" s="207"/>
      <c r="N9217" s="4"/>
      <c r="O9217" s="256"/>
    </row>
    <row r="9218" spans="1:15">
      <c r="A9218" s="207"/>
      <c r="B9218" s="207"/>
      <c r="N9218" s="4"/>
      <c r="O9218" s="256"/>
    </row>
    <row r="9219" spans="1:15">
      <c r="A9219" s="207"/>
      <c r="B9219" s="207"/>
      <c r="N9219" s="4"/>
      <c r="O9219" s="256"/>
    </row>
    <row r="9220" spans="1:15">
      <c r="A9220" s="207"/>
      <c r="B9220" s="207"/>
      <c r="N9220" s="4"/>
      <c r="O9220" s="256"/>
    </row>
    <row r="9221" spans="1:15">
      <c r="A9221" s="207"/>
      <c r="B9221" s="207"/>
      <c r="N9221" s="4"/>
      <c r="O9221" s="256"/>
    </row>
    <row r="9222" spans="1:15">
      <c r="A9222" s="207"/>
      <c r="B9222" s="207"/>
      <c r="N9222" s="4"/>
      <c r="O9222" s="256"/>
    </row>
    <row r="9223" spans="1:15">
      <c r="A9223" s="207"/>
      <c r="B9223" s="207"/>
      <c r="N9223" s="4"/>
      <c r="O9223" s="256"/>
    </row>
    <row r="9224" spans="1:15">
      <c r="A9224" s="207"/>
      <c r="B9224" s="207"/>
      <c r="N9224" s="4"/>
      <c r="O9224" s="256"/>
    </row>
    <row r="9225" spans="1:15">
      <c r="A9225" s="207"/>
      <c r="B9225" s="207"/>
      <c r="N9225" s="4"/>
      <c r="O9225" s="256"/>
    </row>
    <row r="9226" spans="1:15">
      <c r="A9226" s="207"/>
      <c r="B9226" s="207"/>
      <c r="N9226" s="4"/>
      <c r="O9226" s="256"/>
    </row>
    <row r="9227" spans="1:15">
      <c r="A9227" s="207"/>
      <c r="B9227" s="207"/>
      <c r="N9227" s="4"/>
      <c r="O9227" s="256"/>
    </row>
    <row r="9228" spans="1:15">
      <c r="A9228" s="207"/>
      <c r="B9228" s="207"/>
      <c r="N9228" s="4"/>
      <c r="O9228" s="256"/>
    </row>
    <row r="9229" spans="1:15">
      <c r="A9229" s="207"/>
      <c r="B9229" s="207"/>
      <c r="N9229" s="4"/>
      <c r="O9229" s="256"/>
    </row>
    <row r="9230" spans="1:15">
      <c r="A9230" s="207"/>
      <c r="B9230" s="207"/>
      <c r="N9230" s="4"/>
      <c r="O9230" s="256"/>
    </row>
    <row r="9231" spans="1:15">
      <c r="A9231" s="207"/>
      <c r="B9231" s="207"/>
      <c r="N9231" s="4"/>
      <c r="O9231" s="256"/>
    </row>
    <row r="9232" spans="1:15">
      <c r="A9232" s="207"/>
      <c r="B9232" s="207"/>
      <c r="N9232" s="4"/>
      <c r="O9232" s="256"/>
    </row>
    <row r="9233" spans="1:15">
      <c r="A9233" s="207"/>
      <c r="B9233" s="207"/>
      <c r="N9233" s="4"/>
      <c r="O9233" s="256"/>
    </row>
    <row r="9234" spans="1:15">
      <c r="A9234" s="207"/>
      <c r="B9234" s="207"/>
      <c r="N9234" s="4"/>
      <c r="O9234" s="256"/>
    </row>
    <row r="9235" spans="1:15">
      <c r="A9235" s="207"/>
      <c r="B9235" s="207"/>
      <c r="N9235" s="4"/>
      <c r="O9235" s="256"/>
    </row>
    <row r="9236" spans="1:15">
      <c r="A9236" s="207"/>
      <c r="B9236" s="207"/>
      <c r="N9236" s="4"/>
      <c r="O9236" s="256"/>
    </row>
    <row r="9237" spans="1:15">
      <c r="A9237" s="207"/>
      <c r="B9237" s="207"/>
      <c r="N9237" s="4"/>
      <c r="O9237" s="256"/>
    </row>
    <row r="9238" spans="1:15">
      <c r="A9238" s="207"/>
      <c r="B9238" s="207"/>
      <c r="N9238" s="4"/>
      <c r="O9238" s="256"/>
    </row>
    <row r="9239" spans="1:15">
      <c r="A9239" s="207"/>
      <c r="B9239" s="207"/>
      <c r="N9239" s="4"/>
      <c r="O9239" s="256"/>
    </row>
    <row r="9240" spans="1:15">
      <c r="A9240" s="207"/>
      <c r="B9240" s="207"/>
      <c r="N9240" s="4"/>
      <c r="O9240" s="256"/>
    </row>
    <row r="9241" spans="1:15">
      <c r="A9241" s="207"/>
      <c r="B9241" s="207"/>
      <c r="N9241" s="4"/>
      <c r="O9241" s="256"/>
    </row>
    <row r="9242" spans="1:15">
      <c r="A9242" s="207"/>
      <c r="B9242" s="207"/>
      <c r="N9242" s="4"/>
      <c r="O9242" s="256"/>
    </row>
    <row r="9243" spans="1:15">
      <c r="A9243" s="207"/>
      <c r="B9243" s="207"/>
      <c r="N9243" s="4"/>
      <c r="O9243" s="256"/>
    </row>
    <row r="9244" spans="1:15">
      <c r="A9244" s="207"/>
      <c r="B9244" s="207"/>
      <c r="N9244" s="4"/>
      <c r="O9244" s="256"/>
    </row>
    <row r="9245" spans="1:15">
      <c r="A9245" s="207"/>
      <c r="B9245" s="207"/>
      <c r="N9245" s="4"/>
      <c r="O9245" s="256"/>
    </row>
    <row r="9246" spans="1:15">
      <c r="A9246" s="207"/>
      <c r="B9246" s="207"/>
      <c r="N9246" s="4"/>
      <c r="O9246" s="256"/>
    </row>
    <row r="9247" spans="1:15">
      <c r="A9247" s="207"/>
      <c r="B9247" s="207"/>
      <c r="N9247" s="4"/>
      <c r="O9247" s="256"/>
    </row>
    <row r="9248" spans="1:15">
      <c r="A9248" s="207"/>
      <c r="B9248" s="207"/>
      <c r="N9248" s="4"/>
      <c r="O9248" s="256"/>
    </row>
    <row r="9249" spans="1:15">
      <c r="A9249" s="207"/>
      <c r="B9249" s="207"/>
      <c r="N9249" s="4"/>
      <c r="O9249" s="256"/>
    </row>
    <row r="9250" spans="1:15">
      <c r="A9250" s="207"/>
      <c r="B9250" s="207"/>
      <c r="N9250" s="4"/>
      <c r="O9250" s="256"/>
    </row>
    <row r="9251" spans="1:15">
      <c r="A9251" s="207"/>
      <c r="B9251" s="207"/>
      <c r="N9251" s="4"/>
      <c r="O9251" s="256"/>
    </row>
    <row r="9252" spans="1:15">
      <c r="A9252" s="207"/>
      <c r="B9252" s="207"/>
      <c r="N9252" s="4"/>
      <c r="O9252" s="256"/>
    </row>
    <row r="9253" spans="1:15">
      <c r="A9253" s="207"/>
      <c r="B9253" s="207"/>
      <c r="N9253" s="4"/>
      <c r="O9253" s="256"/>
    </row>
    <row r="9254" spans="1:15">
      <c r="A9254" s="207"/>
      <c r="B9254" s="207"/>
      <c r="N9254" s="4"/>
      <c r="O9254" s="256"/>
    </row>
    <row r="9255" spans="1:15">
      <c r="A9255" s="207"/>
      <c r="B9255" s="207"/>
      <c r="N9255" s="4"/>
      <c r="O9255" s="256"/>
    </row>
    <row r="9256" spans="1:15">
      <c r="A9256" s="207"/>
      <c r="B9256" s="207"/>
      <c r="N9256" s="4"/>
      <c r="O9256" s="256"/>
    </row>
    <row r="9257" spans="1:15">
      <c r="A9257" s="207"/>
      <c r="B9257" s="207"/>
      <c r="N9257" s="4"/>
      <c r="O9257" s="256"/>
    </row>
    <row r="9258" spans="1:15">
      <c r="A9258" s="207"/>
      <c r="B9258" s="207"/>
      <c r="N9258" s="4"/>
      <c r="O9258" s="256"/>
    </row>
    <row r="9259" spans="1:15">
      <c r="A9259" s="207"/>
      <c r="B9259" s="207"/>
      <c r="N9259" s="4"/>
      <c r="O9259" s="256"/>
    </row>
    <row r="9260" spans="1:15">
      <c r="A9260" s="207"/>
      <c r="B9260" s="207"/>
      <c r="N9260" s="4"/>
      <c r="O9260" s="256"/>
    </row>
    <row r="9261" spans="1:15">
      <c r="A9261" s="207"/>
      <c r="B9261" s="207"/>
      <c r="N9261" s="4"/>
      <c r="O9261" s="256"/>
    </row>
    <row r="9262" spans="1:15">
      <c r="A9262" s="207"/>
      <c r="B9262" s="207"/>
      <c r="N9262" s="4"/>
      <c r="O9262" s="256"/>
    </row>
    <row r="9263" spans="1:15">
      <c r="A9263" s="207"/>
      <c r="B9263" s="207"/>
      <c r="N9263" s="4"/>
      <c r="O9263" s="256"/>
    </row>
    <row r="9264" spans="1:15">
      <c r="A9264" s="207"/>
      <c r="B9264" s="207"/>
      <c r="N9264" s="4"/>
      <c r="O9264" s="256"/>
    </row>
    <row r="9265" spans="1:15">
      <c r="A9265" s="207"/>
      <c r="B9265" s="207"/>
      <c r="N9265" s="4"/>
      <c r="O9265" s="256"/>
    </row>
    <row r="9266" spans="1:15">
      <c r="A9266" s="207"/>
      <c r="B9266" s="207"/>
      <c r="N9266" s="4"/>
      <c r="O9266" s="256"/>
    </row>
    <row r="9267" spans="1:15">
      <c r="A9267" s="207"/>
      <c r="B9267" s="207"/>
      <c r="N9267" s="4"/>
      <c r="O9267" s="256"/>
    </row>
    <row r="9268" spans="1:15">
      <c r="A9268" s="207"/>
      <c r="B9268" s="207"/>
      <c r="N9268" s="4"/>
      <c r="O9268" s="256"/>
    </row>
    <row r="9269" spans="1:15">
      <c r="A9269" s="207"/>
      <c r="B9269" s="207"/>
      <c r="N9269" s="4"/>
      <c r="O9269" s="256"/>
    </row>
    <row r="9270" spans="1:15">
      <c r="A9270" s="207"/>
      <c r="B9270" s="207"/>
      <c r="N9270" s="4"/>
      <c r="O9270" s="256"/>
    </row>
    <row r="9271" spans="1:15">
      <c r="A9271" s="207"/>
      <c r="B9271" s="207"/>
      <c r="N9271" s="4"/>
      <c r="O9271" s="256"/>
    </row>
    <row r="9272" spans="1:15">
      <c r="A9272" s="207"/>
      <c r="B9272" s="207"/>
      <c r="N9272" s="4"/>
      <c r="O9272" s="256"/>
    </row>
    <row r="9273" spans="1:15">
      <c r="A9273" s="207"/>
      <c r="B9273" s="207"/>
      <c r="N9273" s="4"/>
      <c r="O9273" s="256"/>
    </row>
    <row r="9274" spans="1:15">
      <c r="A9274" s="207"/>
      <c r="B9274" s="207"/>
      <c r="N9274" s="4"/>
      <c r="O9274" s="256"/>
    </row>
    <row r="9275" spans="1:15">
      <c r="A9275" s="207"/>
      <c r="B9275" s="207"/>
      <c r="N9275" s="4"/>
      <c r="O9275" s="256"/>
    </row>
    <row r="9276" spans="1:15">
      <c r="A9276" s="207"/>
      <c r="B9276" s="207"/>
      <c r="N9276" s="4"/>
      <c r="O9276" s="256"/>
    </row>
    <row r="9277" spans="1:15">
      <c r="A9277" s="207"/>
      <c r="B9277" s="207"/>
      <c r="N9277" s="4"/>
      <c r="O9277" s="256"/>
    </row>
    <row r="9278" spans="1:15">
      <c r="A9278" s="207"/>
      <c r="B9278" s="207"/>
      <c r="N9278" s="4"/>
      <c r="O9278" s="256"/>
    </row>
    <row r="9279" spans="1:15">
      <c r="A9279" s="207"/>
      <c r="B9279" s="207"/>
      <c r="N9279" s="4"/>
      <c r="O9279" s="256"/>
    </row>
    <row r="9280" spans="1:15">
      <c r="A9280" s="207"/>
      <c r="B9280" s="207"/>
      <c r="N9280" s="4"/>
      <c r="O9280" s="256"/>
    </row>
    <row r="9281" spans="1:15">
      <c r="A9281" s="207"/>
      <c r="B9281" s="207"/>
      <c r="N9281" s="4"/>
      <c r="O9281" s="256"/>
    </row>
    <row r="9282" spans="1:15">
      <c r="A9282" s="207"/>
      <c r="B9282" s="207"/>
      <c r="N9282" s="4"/>
      <c r="O9282" s="256"/>
    </row>
    <row r="9283" spans="1:15">
      <c r="A9283" s="207"/>
      <c r="B9283" s="207"/>
      <c r="N9283" s="4"/>
      <c r="O9283" s="256"/>
    </row>
    <row r="9284" spans="1:15">
      <c r="A9284" s="207"/>
      <c r="B9284" s="207"/>
      <c r="N9284" s="4"/>
      <c r="O9284" s="256"/>
    </row>
    <row r="9285" spans="1:15">
      <c r="A9285" s="207"/>
      <c r="B9285" s="207"/>
      <c r="N9285" s="4"/>
      <c r="O9285" s="256"/>
    </row>
    <row r="9286" spans="1:15">
      <c r="A9286" s="207"/>
      <c r="B9286" s="207"/>
      <c r="N9286" s="4"/>
      <c r="O9286" s="256"/>
    </row>
    <row r="9287" spans="1:15">
      <c r="A9287" s="207"/>
      <c r="B9287" s="207"/>
      <c r="N9287" s="4"/>
      <c r="O9287" s="256"/>
    </row>
    <row r="9288" spans="1:15">
      <c r="A9288" s="207"/>
      <c r="B9288" s="207"/>
      <c r="N9288" s="4"/>
      <c r="O9288" s="256"/>
    </row>
    <row r="9289" spans="1:15">
      <c r="A9289" s="207"/>
      <c r="B9289" s="207"/>
      <c r="N9289" s="4"/>
      <c r="O9289" s="256"/>
    </row>
    <row r="9290" spans="1:15">
      <c r="A9290" s="207"/>
      <c r="B9290" s="207"/>
      <c r="N9290" s="4"/>
      <c r="O9290" s="256"/>
    </row>
    <row r="9291" spans="1:15">
      <c r="A9291" s="207"/>
      <c r="B9291" s="207"/>
      <c r="N9291" s="4"/>
      <c r="O9291" s="256"/>
    </row>
    <row r="9292" spans="1:15">
      <c r="A9292" s="207"/>
      <c r="B9292" s="207"/>
      <c r="N9292" s="4"/>
      <c r="O9292" s="256"/>
    </row>
    <row r="9293" spans="1:15">
      <c r="A9293" s="207"/>
      <c r="B9293" s="207"/>
      <c r="N9293" s="4"/>
      <c r="O9293" s="256"/>
    </row>
    <row r="9294" spans="1:15">
      <c r="A9294" s="207"/>
      <c r="B9294" s="207"/>
      <c r="N9294" s="4"/>
      <c r="O9294" s="256"/>
    </row>
    <row r="9295" spans="1:15">
      <c r="A9295" s="207"/>
      <c r="B9295" s="207"/>
      <c r="N9295" s="4"/>
      <c r="O9295" s="256"/>
    </row>
    <row r="9296" spans="1:15">
      <c r="A9296" s="207"/>
      <c r="B9296" s="207"/>
      <c r="N9296" s="4"/>
      <c r="O9296" s="256"/>
    </row>
    <row r="9297" spans="1:15">
      <c r="A9297" s="207"/>
      <c r="B9297" s="207"/>
      <c r="N9297" s="4"/>
      <c r="O9297" s="256"/>
    </row>
    <row r="9298" spans="1:15">
      <c r="A9298" s="207"/>
      <c r="B9298" s="207"/>
      <c r="N9298" s="4"/>
      <c r="O9298" s="256"/>
    </row>
    <row r="9299" spans="1:15">
      <c r="A9299" s="207"/>
      <c r="B9299" s="207"/>
      <c r="N9299" s="4"/>
      <c r="O9299" s="256"/>
    </row>
    <row r="9300" spans="1:15">
      <c r="A9300" s="207"/>
      <c r="B9300" s="207"/>
      <c r="N9300" s="4"/>
      <c r="O9300" s="256"/>
    </row>
    <row r="9301" spans="1:15">
      <c r="A9301" s="207"/>
      <c r="B9301" s="207"/>
      <c r="N9301" s="4"/>
      <c r="O9301" s="256"/>
    </row>
    <row r="9302" spans="1:15">
      <c r="A9302" s="207"/>
      <c r="B9302" s="207"/>
      <c r="N9302" s="4"/>
      <c r="O9302" s="256"/>
    </row>
    <row r="9303" spans="1:15">
      <c r="A9303" s="207"/>
      <c r="B9303" s="207"/>
      <c r="N9303" s="4"/>
      <c r="O9303" s="256"/>
    </row>
    <row r="9304" spans="1:15">
      <c r="A9304" s="207"/>
      <c r="B9304" s="207"/>
      <c r="N9304" s="4"/>
      <c r="O9304" s="256"/>
    </row>
    <row r="9305" spans="1:15">
      <c r="A9305" s="207"/>
      <c r="B9305" s="207"/>
      <c r="N9305" s="4"/>
      <c r="O9305" s="256"/>
    </row>
    <row r="9306" spans="1:15">
      <c r="A9306" s="207"/>
      <c r="B9306" s="207"/>
      <c r="N9306" s="4"/>
      <c r="O9306" s="256"/>
    </row>
    <row r="9307" spans="1:15">
      <c r="A9307" s="207"/>
      <c r="B9307" s="207"/>
      <c r="N9307" s="4"/>
      <c r="O9307" s="256"/>
    </row>
    <row r="9308" spans="1:15">
      <c r="A9308" s="207"/>
      <c r="B9308" s="207"/>
      <c r="N9308" s="4"/>
      <c r="O9308" s="256"/>
    </row>
    <row r="9309" spans="1:15">
      <c r="A9309" s="207"/>
      <c r="B9309" s="207"/>
      <c r="N9309" s="4"/>
      <c r="O9309" s="256"/>
    </row>
    <row r="9310" spans="1:15">
      <c r="A9310" s="207"/>
      <c r="B9310" s="207"/>
      <c r="N9310" s="4"/>
      <c r="O9310" s="256"/>
    </row>
    <row r="9311" spans="1:15">
      <c r="A9311" s="207"/>
      <c r="B9311" s="207"/>
      <c r="N9311" s="4"/>
      <c r="O9311" s="256"/>
    </row>
    <row r="9312" spans="1:15">
      <c r="A9312" s="207"/>
      <c r="B9312" s="207"/>
      <c r="N9312" s="4"/>
      <c r="O9312" s="256"/>
    </row>
    <row r="9313" spans="1:15">
      <c r="A9313" s="207"/>
      <c r="B9313" s="207"/>
      <c r="N9313" s="4"/>
      <c r="O9313" s="256"/>
    </row>
    <row r="9314" spans="1:15">
      <c r="A9314" s="207"/>
      <c r="B9314" s="207"/>
      <c r="N9314" s="4"/>
      <c r="O9314" s="256"/>
    </row>
    <row r="9315" spans="1:15">
      <c r="A9315" s="207"/>
      <c r="B9315" s="207"/>
      <c r="N9315" s="4"/>
      <c r="O9315" s="256"/>
    </row>
    <row r="9316" spans="1:15">
      <c r="A9316" s="207"/>
      <c r="B9316" s="207"/>
      <c r="N9316" s="4"/>
      <c r="O9316" s="256"/>
    </row>
    <row r="9317" spans="1:15">
      <c r="A9317" s="207"/>
      <c r="B9317" s="207"/>
      <c r="N9317" s="4"/>
      <c r="O9317" s="256"/>
    </row>
    <row r="9318" spans="1:15">
      <c r="A9318" s="207"/>
      <c r="B9318" s="207"/>
      <c r="N9318" s="4"/>
      <c r="O9318" s="256"/>
    </row>
    <row r="9319" spans="1:15">
      <c r="A9319" s="207"/>
      <c r="B9319" s="207"/>
      <c r="N9319" s="4"/>
      <c r="O9319" s="256"/>
    </row>
    <row r="9320" spans="1:15">
      <c r="A9320" s="207"/>
      <c r="B9320" s="207"/>
      <c r="N9320" s="4"/>
      <c r="O9320" s="256"/>
    </row>
    <row r="9321" spans="1:15">
      <c r="A9321" s="207"/>
      <c r="B9321" s="207"/>
      <c r="N9321" s="4"/>
      <c r="O9321" s="256"/>
    </row>
    <row r="9322" spans="1:15">
      <c r="A9322" s="207"/>
      <c r="B9322" s="207"/>
      <c r="N9322" s="4"/>
      <c r="O9322" s="256"/>
    </row>
    <row r="9323" spans="1:15">
      <c r="A9323" s="207"/>
      <c r="B9323" s="207"/>
      <c r="N9323" s="4"/>
      <c r="O9323" s="256"/>
    </row>
    <row r="9324" spans="1:15">
      <c r="A9324" s="207"/>
      <c r="B9324" s="207"/>
      <c r="N9324" s="4"/>
      <c r="O9324" s="256"/>
    </row>
    <row r="9325" spans="1:15">
      <c r="A9325" s="207"/>
      <c r="B9325" s="207"/>
      <c r="N9325" s="4"/>
      <c r="O9325" s="256"/>
    </row>
    <row r="9326" spans="1:15">
      <c r="A9326" s="207"/>
      <c r="B9326" s="207"/>
      <c r="N9326" s="4"/>
      <c r="O9326" s="256"/>
    </row>
    <row r="9327" spans="1:15">
      <c r="A9327" s="207"/>
      <c r="B9327" s="207"/>
      <c r="N9327" s="4"/>
      <c r="O9327" s="256"/>
    </row>
    <row r="9328" spans="1:15">
      <c r="A9328" s="207"/>
      <c r="B9328" s="207"/>
      <c r="N9328" s="4"/>
      <c r="O9328" s="256"/>
    </row>
    <row r="9329" spans="1:15">
      <c r="A9329" s="207"/>
      <c r="B9329" s="207"/>
      <c r="N9329" s="4"/>
      <c r="O9329" s="256"/>
    </row>
    <row r="9330" spans="1:15">
      <c r="A9330" s="207"/>
      <c r="B9330" s="207"/>
      <c r="N9330" s="4"/>
      <c r="O9330" s="256"/>
    </row>
    <row r="9331" spans="1:15">
      <c r="A9331" s="207"/>
      <c r="B9331" s="207"/>
      <c r="N9331" s="4"/>
      <c r="O9331" s="256"/>
    </row>
    <row r="9332" spans="1:15">
      <c r="A9332" s="207"/>
      <c r="B9332" s="207"/>
      <c r="N9332" s="4"/>
      <c r="O9332" s="256"/>
    </row>
    <row r="9333" spans="1:15">
      <c r="A9333" s="207"/>
      <c r="B9333" s="207"/>
      <c r="N9333" s="4"/>
      <c r="O9333" s="256"/>
    </row>
    <row r="9334" spans="1:15">
      <c r="A9334" s="207"/>
      <c r="B9334" s="207"/>
      <c r="N9334" s="4"/>
      <c r="O9334" s="256"/>
    </row>
    <row r="9335" spans="1:15">
      <c r="A9335" s="207"/>
      <c r="B9335" s="207"/>
      <c r="N9335" s="4"/>
      <c r="O9335" s="256"/>
    </row>
    <row r="9336" spans="1:15">
      <c r="A9336" s="207"/>
      <c r="B9336" s="207"/>
      <c r="N9336" s="4"/>
      <c r="O9336" s="256"/>
    </row>
    <row r="9337" spans="1:15">
      <c r="A9337" s="207"/>
      <c r="B9337" s="207"/>
      <c r="N9337" s="4"/>
      <c r="O9337" s="256"/>
    </row>
    <row r="9338" spans="1:15">
      <c r="A9338" s="207"/>
      <c r="B9338" s="207"/>
      <c r="N9338" s="4"/>
      <c r="O9338" s="256"/>
    </row>
    <row r="9339" spans="1:15">
      <c r="A9339" s="207"/>
      <c r="B9339" s="207"/>
      <c r="N9339" s="4"/>
      <c r="O9339" s="256"/>
    </row>
    <row r="9340" spans="1:15">
      <c r="A9340" s="207"/>
      <c r="B9340" s="207"/>
      <c r="N9340" s="4"/>
      <c r="O9340" s="256"/>
    </row>
    <row r="9341" spans="1:15">
      <c r="A9341" s="207"/>
      <c r="B9341" s="207"/>
      <c r="N9341" s="4"/>
      <c r="O9341" s="256"/>
    </row>
    <row r="9342" spans="1:15">
      <c r="A9342" s="207"/>
      <c r="B9342" s="207"/>
      <c r="N9342" s="4"/>
      <c r="O9342" s="256"/>
    </row>
    <row r="9343" spans="1:15">
      <c r="A9343" s="207"/>
      <c r="B9343" s="207"/>
      <c r="N9343" s="4"/>
      <c r="O9343" s="256"/>
    </row>
    <row r="9344" spans="1:15">
      <c r="A9344" s="207"/>
      <c r="B9344" s="207"/>
      <c r="N9344" s="4"/>
      <c r="O9344" s="256"/>
    </row>
    <row r="9345" spans="1:15">
      <c r="A9345" s="207"/>
      <c r="B9345" s="207"/>
      <c r="N9345" s="4"/>
      <c r="O9345" s="256"/>
    </row>
    <row r="9346" spans="1:15">
      <c r="A9346" s="207"/>
      <c r="B9346" s="207"/>
      <c r="N9346" s="4"/>
      <c r="O9346" s="256"/>
    </row>
    <row r="9347" spans="1:15">
      <c r="A9347" s="207"/>
      <c r="B9347" s="207"/>
      <c r="N9347" s="4"/>
      <c r="O9347" s="256"/>
    </row>
    <row r="9348" spans="1:15">
      <c r="A9348" s="207"/>
      <c r="B9348" s="207"/>
      <c r="N9348" s="4"/>
      <c r="O9348" s="256"/>
    </row>
    <row r="9349" spans="1:15">
      <c r="A9349" s="207"/>
      <c r="B9349" s="207"/>
      <c r="N9349" s="4"/>
      <c r="O9349" s="256"/>
    </row>
    <row r="9350" spans="1:15">
      <c r="A9350" s="207"/>
      <c r="B9350" s="207"/>
      <c r="N9350" s="4"/>
      <c r="O9350" s="256"/>
    </row>
    <row r="9351" spans="1:15">
      <c r="A9351" s="207"/>
      <c r="B9351" s="207"/>
      <c r="N9351" s="4"/>
      <c r="O9351" s="256"/>
    </row>
    <row r="9352" spans="1:15">
      <c r="A9352" s="207"/>
      <c r="B9352" s="207"/>
      <c r="N9352" s="4"/>
      <c r="O9352" s="256"/>
    </row>
    <row r="9353" spans="1:15">
      <c r="A9353" s="207"/>
      <c r="B9353" s="207"/>
      <c r="N9353" s="4"/>
      <c r="O9353" s="256"/>
    </row>
    <row r="9354" spans="1:15">
      <c r="A9354" s="207"/>
      <c r="B9354" s="207"/>
      <c r="N9354" s="4"/>
      <c r="O9354" s="256"/>
    </row>
    <row r="9355" spans="1:15">
      <c r="A9355" s="207"/>
      <c r="B9355" s="207"/>
      <c r="N9355" s="4"/>
      <c r="O9355" s="256"/>
    </row>
    <row r="9356" spans="1:15">
      <c r="A9356" s="207"/>
      <c r="B9356" s="207"/>
      <c r="N9356" s="4"/>
      <c r="O9356" s="256"/>
    </row>
    <row r="9357" spans="1:15">
      <c r="A9357" s="207"/>
      <c r="B9357" s="207"/>
      <c r="N9357" s="4"/>
      <c r="O9357" s="256"/>
    </row>
    <row r="9358" spans="1:15">
      <c r="A9358" s="207"/>
      <c r="B9358" s="207"/>
      <c r="N9358" s="4"/>
      <c r="O9358" s="256"/>
    </row>
    <row r="9359" spans="1:15">
      <c r="A9359" s="207"/>
      <c r="B9359" s="207"/>
      <c r="N9359" s="4"/>
      <c r="O9359" s="256"/>
    </row>
    <row r="9360" spans="1:15">
      <c r="A9360" s="207"/>
      <c r="B9360" s="207"/>
      <c r="N9360" s="4"/>
      <c r="O9360" s="256"/>
    </row>
    <row r="9361" spans="1:15">
      <c r="A9361" s="207"/>
      <c r="B9361" s="207"/>
      <c r="N9361" s="4"/>
      <c r="O9361" s="256"/>
    </row>
    <row r="9362" spans="1:15">
      <c r="A9362" s="207"/>
      <c r="B9362" s="207"/>
      <c r="N9362" s="4"/>
      <c r="O9362" s="256"/>
    </row>
    <row r="9363" spans="1:15">
      <c r="A9363" s="207"/>
      <c r="B9363" s="207"/>
      <c r="N9363" s="4"/>
      <c r="O9363" s="256"/>
    </row>
    <row r="9364" spans="1:15">
      <c r="A9364" s="207"/>
      <c r="B9364" s="207"/>
      <c r="N9364" s="4"/>
      <c r="O9364" s="256"/>
    </row>
    <row r="9365" spans="1:15">
      <c r="A9365" s="207"/>
      <c r="B9365" s="207"/>
      <c r="N9365" s="4"/>
      <c r="O9365" s="256"/>
    </row>
    <row r="9366" spans="1:15">
      <c r="A9366" s="207"/>
      <c r="B9366" s="207"/>
      <c r="N9366" s="4"/>
      <c r="O9366" s="256"/>
    </row>
    <row r="9367" spans="1:15">
      <c r="A9367" s="207"/>
      <c r="B9367" s="207"/>
      <c r="N9367" s="4"/>
      <c r="O9367" s="256"/>
    </row>
    <row r="9368" spans="1:15">
      <c r="A9368" s="207"/>
      <c r="B9368" s="207"/>
      <c r="N9368" s="4"/>
      <c r="O9368" s="256"/>
    </row>
    <row r="9369" spans="1:15">
      <c r="A9369" s="207"/>
      <c r="B9369" s="207"/>
      <c r="N9369" s="4"/>
      <c r="O9369" s="256"/>
    </row>
    <row r="9370" spans="1:15">
      <c r="A9370" s="207"/>
      <c r="B9370" s="207"/>
      <c r="N9370" s="4"/>
      <c r="O9370" s="256"/>
    </row>
    <row r="9371" spans="1:15">
      <c r="A9371" s="207"/>
      <c r="B9371" s="207"/>
      <c r="N9371" s="4"/>
      <c r="O9371" s="256"/>
    </row>
    <row r="9372" spans="1:15">
      <c r="A9372" s="207"/>
      <c r="B9372" s="207"/>
      <c r="N9372" s="4"/>
      <c r="O9372" s="256"/>
    </row>
    <row r="9373" spans="1:15">
      <c r="A9373" s="207"/>
      <c r="B9373" s="207"/>
      <c r="N9373" s="4"/>
      <c r="O9373" s="256"/>
    </row>
    <row r="9374" spans="1:15">
      <c r="A9374" s="207"/>
      <c r="B9374" s="207"/>
      <c r="N9374" s="4"/>
      <c r="O9374" s="256"/>
    </row>
    <row r="9375" spans="1:15">
      <c r="A9375" s="207"/>
      <c r="B9375" s="207"/>
      <c r="N9375" s="4"/>
      <c r="O9375" s="256"/>
    </row>
    <row r="9376" spans="1:15">
      <c r="A9376" s="207"/>
      <c r="B9376" s="207"/>
      <c r="N9376" s="4"/>
      <c r="O9376" s="256"/>
    </row>
    <row r="9377" spans="1:15">
      <c r="A9377" s="207"/>
      <c r="B9377" s="207"/>
      <c r="N9377" s="4"/>
      <c r="O9377" s="256"/>
    </row>
    <row r="9378" spans="1:15">
      <c r="A9378" s="207"/>
      <c r="B9378" s="207"/>
      <c r="N9378" s="4"/>
      <c r="O9378" s="256"/>
    </row>
    <row r="9379" spans="1:15">
      <c r="A9379" s="207"/>
      <c r="B9379" s="207"/>
      <c r="N9379" s="4"/>
      <c r="O9379" s="256"/>
    </row>
    <row r="9380" spans="1:15">
      <c r="A9380" s="207"/>
      <c r="B9380" s="207"/>
      <c r="N9380" s="4"/>
      <c r="O9380" s="256"/>
    </row>
    <row r="9381" spans="1:15">
      <c r="A9381" s="207"/>
      <c r="B9381" s="207"/>
      <c r="N9381" s="4"/>
      <c r="O9381" s="256"/>
    </row>
    <row r="9382" spans="1:15">
      <c r="A9382" s="207"/>
      <c r="B9382" s="207"/>
      <c r="N9382" s="4"/>
      <c r="O9382" s="256"/>
    </row>
    <row r="9383" spans="1:15">
      <c r="A9383" s="207"/>
      <c r="B9383" s="207"/>
      <c r="N9383" s="4"/>
      <c r="O9383" s="256"/>
    </row>
    <row r="9384" spans="1:15">
      <c r="A9384" s="207"/>
      <c r="B9384" s="207"/>
      <c r="N9384" s="4"/>
      <c r="O9384" s="256"/>
    </row>
    <row r="9385" spans="1:15">
      <c r="A9385" s="207"/>
      <c r="B9385" s="207"/>
      <c r="N9385" s="4"/>
      <c r="O9385" s="256"/>
    </row>
    <row r="9386" spans="1:15">
      <c r="A9386" s="207"/>
      <c r="B9386" s="207"/>
      <c r="N9386" s="4"/>
      <c r="O9386" s="256"/>
    </row>
    <row r="9387" spans="1:15">
      <c r="A9387" s="207"/>
      <c r="B9387" s="207"/>
      <c r="N9387" s="4"/>
      <c r="O9387" s="256"/>
    </row>
    <row r="9388" spans="1:15">
      <c r="A9388" s="207"/>
      <c r="B9388" s="207"/>
      <c r="N9388" s="4"/>
      <c r="O9388" s="256"/>
    </row>
    <row r="9389" spans="1:15">
      <c r="A9389" s="207"/>
      <c r="B9389" s="207"/>
      <c r="N9389" s="4"/>
      <c r="O9389" s="256"/>
    </row>
    <row r="9390" spans="1:15">
      <c r="A9390" s="207"/>
      <c r="B9390" s="207"/>
      <c r="N9390" s="4"/>
      <c r="O9390" s="256"/>
    </row>
    <row r="9391" spans="1:15">
      <c r="A9391" s="207"/>
      <c r="B9391" s="207"/>
      <c r="N9391" s="4"/>
      <c r="O9391" s="256"/>
    </row>
    <row r="9392" spans="1:15">
      <c r="A9392" s="207"/>
      <c r="B9392" s="207"/>
      <c r="N9392" s="4"/>
      <c r="O9392" s="256"/>
    </row>
    <row r="9393" spans="1:15">
      <c r="A9393" s="207"/>
      <c r="B9393" s="207"/>
      <c r="N9393" s="4"/>
      <c r="O9393" s="256"/>
    </row>
    <row r="9394" spans="1:15">
      <c r="A9394" s="207"/>
      <c r="B9394" s="207"/>
      <c r="N9394" s="4"/>
      <c r="O9394" s="256"/>
    </row>
    <row r="9395" spans="1:15">
      <c r="A9395" s="207"/>
      <c r="B9395" s="207"/>
      <c r="N9395" s="4"/>
      <c r="O9395" s="256"/>
    </row>
    <row r="9396" spans="1:15">
      <c r="A9396" s="207"/>
      <c r="B9396" s="207"/>
      <c r="N9396" s="4"/>
      <c r="O9396" s="256"/>
    </row>
    <row r="9397" spans="1:15">
      <c r="A9397" s="207"/>
      <c r="B9397" s="207"/>
      <c r="N9397" s="4"/>
      <c r="O9397" s="256"/>
    </row>
    <row r="9398" spans="1:15">
      <c r="A9398" s="207"/>
      <c r="B9398" s="207"/>
      <c r="N9398" s="4"/>
      <c r="O9398" s="256"/>
    </row>
    <row r="9399" spans="1:15">
      <c r="A9399" s="207"/>
      <c r="B9399" s="207"/>
      <c r="N9399" s="4"/>
      <c r="O9399" s="256"/>
    </row>
    <row r="9400" spans="1:15">
      <c r="A9400" s="207"/>
      <c r="B9400" s="207"/>
      <c r="N9400" s="4"/>
      <c r="O9400" s="256"/>
    </row>
    <row r="9401" spans="1:15">
      <c r="A9401" s="207"/>
      <c r="B9401" s="207"/>
      <c r="N9401" s="4"/>
      <c r="O9401" s="256"/>
    </row>
    <row r="9402" spans="1:15">
      <c r="A9402" s="207"/>
      <c r="B9402" s="207"/>
      <c r="N9402" s="4"/>
      <c r="O9402" s="256"/>
    </row>
    <row r="9403" spans="1:15">
      <c r="A9403" s="207"/>
      <c r="B9403" s="207"/>
      <c r="N9403" s="4"/>
      <c r="O9403" s="256"/>
    </row>
    <row r="9404" spans="1:15">
      <c r="A9404" s="207"/>
      <c r="B9404" s="207"/>
      <c r="N9404" s="4"/>
      <c r="O9404" s="256"/>
    </row>
    <row r="9405" spans="1:15">
      <c r="A9405" s="207"/>
      <c r="B9405" s="207"/>
      <c r="N9405" s="4"/>
      <c r="O9405" s="256"/>
    </row>
    <row r="9406" spans="1:15">
      <c r="A9406" s="207"/>
      <c r="B9406" s="207"/>
      <c r="N9406" s="4"/>
      <c r="O9406" s="256"/>
    </row>
    <row r="9407" spans="1:15">
      <c r="A9407" s="207"/>
      <c r="B9407" s="207"/>
      <c r="N9407" s="4"/>
      <c r="O9407" s="256"/>
    </row>
    <row r="9408" spans="1:15">
      <c r="A9408" s="207"/>
      <c r="B9408" s="207"/>
      <c r="N9408" s="4"/>
      <c r="O9408" s="256"/>
    </row>
    <row r="9409" spans="1:15">
      <c r="A9409" s="207"/>
      <c r="B9409" s="207"/>
      <c r="N9409" s="4"/>
      <c r="O9409" s="256"/>
    </row>
    <row r="9410" spans="1:15">
      <c r="A9410" s="207"/>
      <c r="B9410" s="207"/>
      <c r="N9410" s="4"/>
      <c r="O9410" s="256"/>
    </row>
    <row r="9411" spans="1:15">
      <c r="A9411" s="207"/>
      <c r="B9411" s="207"/>
      <c r="N9411" s="4"/>
      <c r="O9411" s="256"/>
    </row>
    <row r="9412" spans="1:15">
      <c r="A9412" s="207"/>
      <c r="B9412" s="207"/>
      <c r="N9412" s="4"/>
      <c r="O9412" s="256"/>
    </row>
    <row r="9413" spans="1:15">
      <c r="A9413" s="207"/>
      <c r="B9413" s="207"/>
      <c r="N9413" s="4"/>
      <c r="O9413" s="256"/>
    </row>
    <row r="9414" spans="1:15">
      <c r="A9414" s="207"/>
      <c r="B9414" s="207"/>
      <c r="N9414" s="4"/>
      <c r="O9414" s="256"/>
    </row>
    <row r="9415" spans="1:15">
      <c r="A9415" s="207"/>
      <c r="B9415" s="207"/>
      <c r="N9415" s="4"/>
      <c r="O9415" s="256"/>
    </row>
    <row r="9416" spans="1:15">
      <c r="A9416" s="207"/>
      <c r="B9416" s="207"/>
      <c r="N9416" s="4"/>
      <c r="O9416" s="256"/>
    </row>
    <row r="9417" spans="1:15">
      <c r="A9417" s="207"/>
      <c r="B9417" s="207"/>
      <c r="N9417" s="4"/>
      <c r="O9417" s="256"/>
    </row>
    <row r="9418" spans="1:15">
      <c r="A9418" s="207"/>
      <c r="B9418" s="207"/>
      <c r="N9418" s="4"/>
      <c r="O9418" s="256"/>
    </row>
    <row r="9419" spans="1:15">
      <c r="A9419" s="207"/>
      <c r="B9419" s="207"/>
      <c r="N9419" s="4"/>
      <c r="O9419" s="256"/>
    </row>
    <row r="9420" spans="1:15">
      <c r="A9420" s="207"/>
      <c r="B9420" s="207"/>
      <c r="N9420" s="4"/>
      <c r="O9420" s="256"/>
    </row>
    <row r="9421" spans="1:15">
      <c r="A9421" s="207"/>
      <c r="B9421" s="207"/>
      <c r="N9421" s="4"/>
      <c r="O9421" s="256"/>
    </row>
    <row r="9422" spans="1:15">
      <c r="A9422" s="207"/>
      <c r="B9422" s="207"/>
      <c r="N9422" s="4"/>
      <c r="O9422" s="256"/>
    </row>
    <row r="9423" spans="1:15">
      <c r="A9423" s="207"/>
      <c r="B9423" s="207"/>
      <c r="N9423" s="4"/>
      <c r="O9423" s="256"/>
    </row>
    <row r="9424" spans="1:15">
      <c r="A9424" s="207"/>
      <c r="B9424" s="207"/>
      <c r="N9424" s="4"/>
      <c r="O9424" s="256"/>
    </row>
    <row r="9425" spans="1:15">
      <c r="A9425" s="207"/>
      <c r="B9425" s="207"/>
      <c r="N9425" s="4"/>
      <c r="O9425" s="256"/>
    </row>
    <row r="9426" spans="1:15">
      <c r="A9426" s="207"/>
      <c r="B9426" s="207"/>
      <c r="N9426" s="4"/>
      <c r="O9426" s="256"/>
    </row>
    <row r="9427" spans="1:15">
      <c r="A9427" s="207"/>
      <c r="B9427" s="207"/>
      <c r="N9427" s="4"/>
      <c r="O9427" s="256"/>
    </row>
    <row r="9428" spans="1:15">
      <c r="A9428" s="207"/>
      <c r="B9428" s="207"/>
      <c r="N9428" s="4"/>
      <c r="O9428" s="256"/>
    </row>
    <row r="9429" spans="1:15">
      <c r="A9429" s="207"/>
      <c r="B9429" s="207"/>
      <c r="N9429" s="4"/>
      <c r="O9429" s="256"/>
    </row>
    <row r="9430" spans="1:15">
      <c r="A9430" s="207"/>
      <c r="B9430" s="207"/>
      <c r="N9430" s="4"/>
      <c r="O9430" s="256"/>
    </row>
    <row r="9431" spans="1:15">
      <c r="A9431" s="207"/>
      <c r="B9431" s="207"/>
      <c r="N9431" s="4"/>
      <c r="O9431" s="256"/>
    </row>
    <row r="9432" spans="1:15">
      <c r="A9432" s="207"/>
      <c r="B9432" s="207"/>
      <c r="N9432" s="4"/>
      <c r="O9432" s="256"/>
    </row>
    <row r="9433" spans="1:15">
      <c r="A9433" s="207"/>
      <c r="B9433" s="207"/>
      <c r="N9433" s="4"/>
      <c r="O9433" s="256"/>
    </row>
    <row r="9434" spans="1:15">
      <c r="A9434" s="207"/>
      <c r="B9434" s="207"/>
      <c r="N9434" s="4"/>
      <c r="O9434" s="256"/>
    </row>
    <row r="9435" spans="1:15">
      <c r="A9435" s="207"/>
      <c r="B9435" s="207"/>
      <c r="N9435" s="4"/>
      <c r="O9435" s="256"/>
    </row>
    <row r="9436" spans="1:15">
      <c r="A9436" s="207"/>
      <c r="B9436" s="207"/>
      <c r="N9436" s="4"/>
      <c r="O9436" s="256"/>
    </row>
    <row r="9437" spans="1:15">
      <c r="A9437" s="207"/>
      <c r="B9437" s="207"/>
      <c r="N9437" s="4"/>
      <c r="O9437" s="256"/>
    </row>
    <row r="9438" spans="1:15">
      <c r="A9438" s="207"/>
      <c r="B9438" s="207"/>
      <c r="N9438" s="4"/>
      <c r="O9438" s="256"/>
    </row>
    <row r="9439" spans="1:15">
      <c r="A9439" s="207"/>
      <c r="B9439" s="207"/>
      <c r="N9439" s="4"/>
      <c r="O9439" s="256"/>
    </row>
    <row r="9440" spans="1:15">
      <c r="A9440" s="207"/>
      <c r="B9440" s="207"/>
      <c r="N9440" s="4"/>
      <c r="O9440" s="256"/>
    </row>
    <row r="9441" spans="1:15">
      <c r="A9441" s="207"/>
      <c r="B9441" s="207"/>
      <c r="N9441" s="4"/>
      <c r="O9441" s="256"/>
    </row>
    <row r="9442" spans="1:15">
      <c r="A9442" s="207"/>
      <c r="B9442" s="207"/>
      <c r="N9442" s="4"/>
      <c r="O9442" s="256"/>
    </row>
    <row r="9443" spans="1:15">
      <c r="A9443" s="207"/>
      <c r="B9443" s="207"/>
      <c r="N9443" s="4"/>
      <c r="O9443" s="256"/>
    </row>
    <row r="9444" spans="1:15">
      <c r="A9444" s="207"/>
      <c r="B9444" s="207"/>
      <c r="N9444" s="4"/>
      <c r="O9444" s="256"/>
    </row>
    <row r="9445" spans="1:15">
      <c r="A9445" s="207"/>
      <c r="B9445" s="207"/>
      <c r="N9445" s="4"/>
      <c r="O9445" s="256"/>
    </row>
    <row r="9446" spans="1:15">
      <c r="A9446" s="207"/>
      <c r="B9446" s="207"/>
      <c r="N9446" s="4"/>
      <c r="O9446" s="256"/>
    </row>
    <row r="9447" spans="1:15">
      <c r="A9447" s="207"/>
      <c r="B9447" s="207"/>
      <c r="N9447" s="4"/>
      <c r="O9447" s="256"/>
    </row>
    <row r="9448" spans="1:15">
      <c r="A9448" s="207"/>
      <c r="B9448" s="207"/>
      <c r="N9448" s="4"/>
      <c r="O9448" s="256"/>
    </row>
    <row r="9449" spans="1:15">
      <c r="A9449" s="207"/>
      <c r="B9449" s="207"/>
      <c r="N9449" s="4"/>
      <c r="O9449" s="256"/>
    </row>
    <row r="9450" spans="1:15">
      <c r="A9450" s="207"/>
      <c r="B9450" s="207"/>
      <c r="N9450" s="4"/>
      <c r="O9450" s="256"/>
    </row>
    <row r="9451" spans="1:15">
      <c r="A9451" s="207"/>
      <c r="B9451" s="207"/>
      <c r="N9451" s="4"/>
      <c r="O9451" s="256"/>
    </row>
    <row r="9452" spans="1:15">
      <c r="A9452" s="207"/>
      <c r="B9452" s="207"/>
      <c r="N9452" s="4"/>
      <c r="O9452" s="256"/>
    </row>
    <row r="9453" spans="1:15">
      <c r="A9453" s="207"/>
      <c r="B9453" s="207"/>
      <c r="N9453" s="4"/>
      <c r="O9453" s="256"/>
    </row>
    <row r="9454" spans="1:15">
      <c r="A9454" s="207"/>
      <c r="B9454" s="207"/>
      <c r="N9454" s="4"/>
      <c r="O9454" s="256"/>
    </row>
    <row r="9455" spans="1:15">
      <c r="A9455" s="207"/>
      <c r="B9455" s="207"/>
      <c r="N9455" s="4"/>
      <c r="O9455" s="256"/>
    </row>
    <row r="9456" spans="1:15">
      <c r="A9456" s="207"/>
      <c r="B9456" s="207"/>
      <c r="N9456" s="4"/>
      <c r="O9456" s="256"/>
    </row>
    <row r="9457" spans="1:15">
      <c r="A9457" s="207"/>
      <c r="B9457" s="207"/>
      <c r="N9457" s="4"/>
      <c r="O9457" s="256"/>
    </row>
    <row r="9458" spans="1:15">
      <c r="A9458" s="207"/>
      <c r="B9458" s="207"/>
      <c r="N9458" s="4"/>
      <c r="O9458" s="256"/>
    </row>
    <row r="9459" spans="1:15">
      <c r="A9459" s="207"/>
      <c r="B9459" s="207"/>
      <c r="N9459" s="4"/>
      <c r="O9459" s="256"/>
    </row>
    <row r="9460" spans="1:15">
      <c r="A9460" s="207"/>
      <c r="B9460" s="207"/>
      <c r="N9460" s="4"/>
      <c r="O9460" s="256"/>
    </row>
    <row r="9461" spans="1:15">
      <c r="A9461" s="207"/>
      <c r="B9461" s="207"/>
      <c r="N9461" s="4"/>
      <c r="O9461" s="256"/>
    </row>
    <row r="9462" spans="1:15">
      <c r="A9462" s="207"/>
      <c r="B9462" s="207"/>
      <c r="N9462" s="4"/>
      <c r="O9462" s="256"/>
    </row>
    <row r="9463" spans="1:15">
      <c r="A9463" s="207"/>
      <c r="B9463" s="207"/>
      <c r="N9463" s="4"/>
      <c r="O9463" s="256"/>
    </row>
    <row r="9464" spans="1:15">
      <c r="A9464" s="207"/>
      <c r="B9464" s="207"/>
      <c r="N9464" s="4"/>
      <c r="O9464" s="256"/>
    </row>
    <row r="9465" spans="1:15">
      <c r="A9465" s="207"/>
      <c r="B9465" s="207"/>
      <c r="N9465" s="4"/>
      <c r="O9465" s="256"/>
    </row>
    <row r="9466" spans="1:15">
      <c r="A9466" s="207"/>
      <c r="B9466" s="207"/>
      <c r="N9466" s="4"/>
      <c r="O9466" s="256"/>
    </row>
    <row r="9467" spans="1:15">
      <c r="A9467" s="207"/>
      <c r="B9467" s="207"/>
      <c r="N9467" s="4"/>
      <c r="O9467" s="256"/>
    </row>
    <row r="9468" spans="1:15">
      <c r="A9468" s="207"/>
      <c r="B9468" s="207"/>
      <c r="N9468" s="4"/>
      <c r="O9468" s="256"/>
    </row>
    <row r="9469" spans="1:15">
      <c r="A9469" s="207"/>
      <c r="B9469" s="207"/>
      <c r="N9469" s="4"/>
      <c r="O9469" s="256"/>
    </row>
    <row r="9470" spans="1:15">
      <c r="A9470" s="207"/>
      <c r="B9470" s="207"/>
      <c r="N9470" s="4"/>
      <c r="O9470" s="256"/>
    </row>
    <row r="9471" spans="1:15">
      <c r="A9471" s="207"/>
      <c r="B9471" s="207"/>
      <c r="N9471" s="4"/>
      <c r="O9471" s="256"/>
    </row>
    <row r="9472" spans="1:15">
      <c r="A9472" s="207"/>
      <c r="B9472" s="207"/>
      <c r="N9472" s="4"/>
      <c r="O9472" s="256"/>
    </row>
    <row r="9473" spans="1:15">
      <c r="A9473" s="207"/>
      <c r="B9473" s="207"/>
      <c r="N9473" s="4"/>
      <c r="O9473" s="256"/>
    </row>
    <row r="9474" spans="1:15">
      <c r="A9474" s="207"/>
      <c r="B9474" s="207"/>
      <c r="N9474" s="4"/>
      <c r="O9474" s="256"/>
    </row>
    <row r="9475" spans="1:15">
      <c r="A9475" s="207"/>
      <c r="B9475" s="207"/>
      <c r="N9475" s="4"/>
      <c r="O9475" s="256"/>
    </row>
    <row r="9476" spans="1:15">
      <c r="A9476" s="207"/>
      <c r="B9476" s="207"/>
      <c r="N9476" s="4"/>
      <c r="O9476" s="256"/>
    </row>
    <row r="9477" spans="1:15">
      <c r="A9477" s="207"/>
      <c r="B9477" s="207"/>
      <c r="N9477" s="4"/>
      <c r="O9477" s="256"/>
    </row>
    <row r="9478" spans="1:15">
      <c r="A9478" s="207"/>
      <c r="B9478" s="207"/>
      <c r="N9478" s="4"/>
      <c r="O9478" s="256"/>
    </row>
    <row r="9479" spans="1:15">
      <c r="A9479" s="207"/>
      <c r="B9479" s="207"/>
      <c r="N9479" s="4"/>
      <c r="O9479" s="256"/>
    </row>
    <row r="9480" spans="1:15">
      <c r="A9480" s="207"/>
      <c r="B9480" s="207"/>
      <c r="N9480" s="4"/>
      <c r="O9480" s="256"/>
    </row>
    <row r="9481" spans="1:15">
      <c r="A9481" s="207"/>
      <c r="B9481" s="207"/>
      <c r="N9481" s="4"/>
      <c r="O9481" s="256"/>
    </row>
    <row r="9482" spans="1:15">
      <c r="A9482" s="207"/>
      <c r="B9482" s="207"/>
      <c r="N9482" s="4"/>
      <c r="O9482" s="256"/>
    </row>
    <row r="9483" spans="1:15">
      <c r="A9483" s="207"/>
      <c r="B9483" s="207"/>
      <c r="N9483" s="4"/>
      <c r="O9483" s="256"/>
    </row>
    <row r="9484" spans="1:15">
      <c r="A9484" s="207"/>
      <c r="B9484" s="207"/>
      <c r="N9484" s="4"/>
      <c r="O9484" s="256"/>
    </row>
    <row r="9485" spans="1:15">
      <c r="A9485" s="207"/>
      <c r="B9485" s="207"/>
      <c r="N9485" s="4"/>
      <c r="O9485" s="256"/>
    </row>
    <row r="9486" spans="1:15">
      <c r="A9486" s="207"/>
      <c r="B9486" s="207"/>
      <c r="N9486" s="4"/>
      <c r="O9486" s="256"/>
    </row>
    <row r="9487" spans="1:15">
      <c r="A9487" s="207"/>
      <c r="B9487" s="207"/>
      <c r="N9487" s="4"/>
      <c r="O9487" s="256"/>
    </row>
    <row r="9488" spans="1:15">
      <c r="A9488" s="207"/>
      <c r="B9488" s="207"/>
      <c r="N9488" s="4"/>
      <c r="O9488" s="256"/>
    </row>
    <row r="9489" spans="1:15">
      <c r="A9489" s="207"/>
      <c r="B9489" s="207"/>
      <c r="N9489" s="4"/>
      <c r="O9489" s="256"/>
    </row>
    <row r="9490" spans="1:15">
      <c r="A9490" s="207"/>
      <c r="B9490" s="207"/>
      <c r="N9490" s="4"/>
      <c r="O9490" s="256"/>
    </row>
    <row r="9491" spans="1:15">
      <c r="A9491" s="207"/>
      <c r="B9491" s="207"/>
      <c r="N9491" s="4"/>
      <c r="O9491" s="256"/>
    </row>
    <row r="9492" spans="1:15">
      <c r="A9492" s="207"/>
      <c r="B9492" s="207"/>
      <c r="N9492" s="4"/>
      <c r="O9492" s="256"/>
    </row>
    <row r="9493" spans="1:15">
      <c r="A9493" s="207"/>
      <c r="B9493" s="207"/>
      <c r="N9493" s="4"/>
      <c r="O9493" s="256"/>
    </row>
    <row r="9494" spans="1:15">
      <c r="A9494" s="207"/>
      <c r="B9494" s="207"/>
      <c r="N9494" s="4"/>
      <c r="O9494" s="256"/>
    </row>
    <row r="9495" spans="1:15">
      <c r="A9495" s="207"/>
      <c r="B9495" s="207"/>
      <c r="N9495" s="4"/>
      <c r="O9495" s="256"/>
    </row>
    <row r="9496" spans="1:15">
      <c r="A9496" s="207"/>
      <c r="B9496" s="207"/>
      <c r="N9496" s="4"/>
      <c r="O9496" s="256"/>
    </row>
    <row r="9497" spans="1:15">
      <c r="A9497" s="207"/>
      <c r="B9497" s="207"/>
      <c r="N9497" s="4"/>
      <c r="O9497" s="256"/>
    </row>
    <row r="9498" spans="1:15">
      <c r="A9498" s="207"/>
      <c r="B9498" s="207"/>
      <c r="N9498" s="4"/>
      <c r="O9498" s="256"/>
    </row>
    <row r="9499" spans="1:15">
      <c r="A9499" s="207"/>
      <c r="B9499" s="207"/>
      <c r="N9499" s="4"/>
      <c r="O9499" s="256"/>
    </row>
    <row r="9500" spans="1:15">
      <c r="A9500" s="207"/>
      <c r="B9500" s="207"/>
      <c r="N9500" s="4"/>
      <c r="O9500" s="256"/>
    </row>
    <row r="9501" spans="1:15">
      <c r="A9501" s="207"/>
      <c r="B9501" s="207"/>
      <c r="N9501" s="4"/>
      <c r="O9501" s="256"/>
    </row>
    <row r="9502" spans="1:15">
      <c r="A9502" s="207"/>
      <c r="B9502" s="207"/>
      <c r="N9502" s="4"/>
      <c r="O9502" s="256"/>
    </row>
    <row r="9503" spans="1:15">
      <c r="A9503" s="207"/>
      <c r="B9503" s="207"/>
      <c r="N9503" s="4"/>
      <c r="O9503" s="256"/>
    </row>
    <row r="9504" spans="1:15">
      <c r="A9504" s="207"/>
      <c r="B9504" s="207"/>
      <c r="N9504" s="4"/>
      <c r="O9504" s="256"/>
    </row>
    <row r="9505" spans="1:15">
      <c r="A9505" s="207"/>
      <c r="B9505" s="207"/>
      <c r="N9505" s="4"/>
      <c r="O9505" s="256"/>
    </row>
    <row r="9506" spans="1:15">
      <c r="A9506" s="207"/>
      <c r="B9506" s="207"/>
      <c r="N9506" s="4"/>
      <c r="O9506" s="256"/>
    </row>
    <row r="9507" spans="1:15">
      <c r="A9507" s="207"/>
      <c r="B9507" s="207"/>
      <c r="N9507" s="4"/>
      <c r="O9507" s="256"/>
    </row>
    <row r="9508" spans="1:15">
      <c r="A9508" s="207"/>
      <c r="B9508" s="207"/>
      <c r="N9508" s="4"/>
      <c r="O9508" s="256"/>
    </row>
    <row r="9509" spans="1:15">
      <c r="A9509" s="207"/>
      <c r="B9509" s="207"/>
      <c r="N9509" s="4"/>
      <c r="O9509" s="256"/>
    </row>
    <row r="9510" spans="1:15">
      <c r="A9510" s="207"/>
      <c r="B9510" s="207"/>
      <c r="N9510" s="4"/>
      <c r="O9510" s="256"/>
    </row>
    <row r="9511" spans="1:15">
      <c r="A9511" s="207"/>
      <c r="B9511" s="207"/>
      <c r="N9511" s="4"/>
      <c r="O9511" s="256"/>
    </row>
    <row r="9512" spans="1:15">
      <c r="A9512" s="207"/>
      <c r="B9512" s="207"/>
      <c r="N9512" s="4"/>
      <c r="O9512" s="256"/>
    </row>
    <row r="9513" spans="1:15">
      <c r="A9513" s="207"/>
      <c r="B9513" s="207"/>
      <c r="N9513" s="4"/>
      <c r="O9513" s="256"/>
    </row>
    <row r="9514" spans="1:15">
      <c r="A9514" s="207"/>
      <c r="B9514" s="207"/>
      <c r="N9514" s="4"/>
      <c r="O9514" s="256"/>
    </row>
    <row r="9515" spans="1:15">
      <c r="A9515" s="207"/>
      <c r="B9515" s="207"/>
      <c r="N9515" s="4"/>
      <c r="O9515" s="256"/>
    </row>
    <row r="9516" spans="1:15">
      <c r="A9516" s="207"/>
      <c r="B9516" s="207"/>
      <c r="N9516" s="4"/>
      <c r="O9516" s="256"/>
    </row>
    <row r="9517" spans="1:15">
      <c r="A9517" s="207"/>
      <c r="B9517" s="207"/>
      <c r="N9517" s="4"/>
      <c r="O9517" s="256"/>
    </row>
    <row r="9518" spans="1:15">
      <c r="A9518" s="207"/>
      <c r="B9518" s="207"/>
      <c r="N9518" s="4"/>
      <c r="O9518" s="256"/>
    </row>
    <row r="9519" spans="1:15">
      <c r="A9519" s="207"/>
      <c r="B9519" s="207"/>
      <c r="N9519" s="4"/>
      <c r="O9519" s="256"/>
    </row>
    <row r="9520" spans="1:15">
      <c r="A9520" s="207"/>
      <c r="B9520" s="207"/>
      <c r="N9520" s="4"/>
      <c r="O9520" s="256"/>
    </row>
    <row r="9521" spans="1:15">
      <c r="A9521" s="207"/>
      <c r="B9521" s="207"/>
      <c r="N9521" s="4"/>
      <c r="O9521" s="256"/>
    </row>
    <row r="9522" spans="1:15">
      <c r="A9522" s="207"/>
      <c r="B9522" s="207"/>
      <c r="N9522" s="4"/>
      <c r="O9522" s="256"/>
    </row>
    <row r="9523" spans="1:15">
      <c r="A9523" s="207"/>
      <c r="B9523" s="207"/>
      <c r="N9523" s="4"/>
      <c r="O9523" s="256"/>
    </row>
    <row r="9524" spans="1:15">
      <c r="A9524" s="207"/>
      <c r="B9524" s="207"/>
      <c r="N9524" s="4"/>
      <c r="O9524" s="256"/>
    </row>
    <row r="9525" spans="1:15">
      <c r="A9525" s="207"/>
      <c r="B9525" s="207"/>
      <c r="N9525" s="4"/>
      <c r="O9525" s="256"/>
    </row>
    <row r="9526" spans="1:15">
      <c r="A9526" s="207"/>
      <c r="B9526" s="207"/>
      <c r="N9526" s="4"/>
      <c r="O9526" s="256"/>
    </row>
    <row r="9527" spans="1:15">
      <c r="A9527" s="207"/>
      <c r="B9527" s="207"/>
      <c r="N9527" s="4"/>
      <c r="O9527" s="256"/>
    </row>
    <row r="9528" spans="1:15">
      <c r="A9528" s="207"/>
      <c r="B9528" s="207"/>
      <c r="N9528" s="4"/>
      <c r="O9528" s="256"/>
    </row>
    <row r="9529" spans="1:15">
      <c r="A9529" s="207"/>
      <c r="B9529" s="207"/>
      <c r="N9529" s="4"/>
      <c r="O9529" s="256"/>
    </row>
    <row r="9530" spans="1:15">
      <c r="A9530" s="207"/>
      <c r="B9530" s="207"/>
      <c r="N9530" s="4"/>
      <c r="O9530" s="256"/>
    </row>
    <row r="9531" spans="1:15">
      <c r="A9531" s="207"/>
      <c r="B9531" s="207"/>
      <c r="N9531" s="4"/>
      <c r="O9531" s="256"/>
    </row>
    <row r="9532" spans="1:15">
      <c r="A9532" s="207"/>
      <c r="B9532" s="207"/>
      <c r="N9532" s="4"/>
      <c r="O9532" s="256"/>
    </row>
    <row r="9533" spans="1:15">
      <c r="A9533" s="207"/>
      <c r="B9533" s="207"/>
      <c r="N9533" s="4"/>
      <c r="O9533" s="256"/>
    </row>
    <row r="9534" spans="1:15">
      <c r="A9534" s="207"/>
      <c r="B9534" s="207"/>
      <c r="N9534" s="4"/>
      <c r="O9534" s="256"/>
    </row>
    <row r="9535" spans="1:15">
      <c r="A9535" s="207"/>
      <c r="B9535" s="207"/>
      <c r="N9535" s="4"/>
      <c r="O9535" s="256"/>
    </row>
    <row r="9536" spans="1:15">
      <c r="A9536" s="207"/>
      <c r="B9536" s="207"/>
      <c r="N9536" s="4"/>
      <c r="O9536" s="256"/>
    </row>
    <row r="9537" spans="1:15">
      <c r="A9537" s="207"/>
      <c r="B9537" s="207"/>
      <c r="N9537" s="4"/>
      <c r="O9537" s="256"/>
    </row>
    <row r="9538" spans="1:15">
      <c r="A9538" s="207"/>
      <c r="B9538" s="207"/>
      <c r="N9538" s="4"/>
      <c r="O9538" s="256"/>
    </row>
    <row r="9539" spans="1:15">
      <c r="A9539" s="207"/>
      <c r="B9539" s="207"/>
      <c r="N9539" s="4"/>
      <c r="O9539" s="256"/>
    </row>
    <row r="9540" spans="1:15">
      <c r="A9540" s="207"/>
      <c r="B9540" s="207"/>
      <c r="N9540" s="4"/>
      <c r="O9540" s="256"/>
    </row>
    <row r="9541" spans="1:15">
      <c r="A9541" s="207"/>
      <c r="B9541" s="207"/>
      <c r="N9541" s="4"/>
      <c r="O9541" s="256"/>
    </row>
    <row r="9542" spans="1:15">
      <c r="A9542" s="207"/>
      <c r="B9542" s="207"/>
      <c r="N9542" s="4"/>
      <c r="O9542" s="256"/>
    </row>
    <row r="9543" spans="1:15">
      <c r="A9543" s="207"/>
      <c r="B9543" s="207"/>
      <c r="N9543" s="4"/>
      <c r="O9543" s="256"/>
    </row>
    <row r="9544" spans="1:15">
      <c r="A9544" s="207"/>
      <c r="B9544" s="207"/>
      <c r="N9544" s="4"/>
      <c r="O9544" s="256"/>
    </row>
    <row r="9545" spans="1:15">
      <c r="A9545" s="207"/>
      <c r="B9545" s="207"/>
      <c r="N9545" s="4"/>
      <c r="O9545" s="256"/>
    </row>
    <row r="9546" spans="1:15">
      <c r="A9546" s="207"/>
      <c r="B9546" s="207"/>
      <c r="N9546" s="4"/>
      <c r="O9546" s="256"/>
    </row>
    <row r="9547" spans="1:15">
      <c r="A9547" s="207"/>
      <c r="B9547" s="207"/>
      <c r="N9547" s="4"/>
      <c r="O9547" s="256"/>
    </row>
    <row r="9548" spans="1:15">
      <c r="A9548" s="207"/>
      <c r="B9548" s="207"/>
      <c r="N9548" s="4"/>
      <c r="O9548" s="256"/>
    </row>
    <row r="9549" spans="1:15">
      <c r="A9549" s="207"/>
      <c r="B9549" s="207"/>
      <c r="N9549" s="4"/>
      <c r="O9549" s="256"/>
    </row>
    <row r="9550" spans="1:15">
      <c r="A9550" s="207"/>
      <c r="B9550" s="207"/>
      <c r="N9550" s="4"/>
      <c r="O9550" s="256"/>
    </row>
    <row r="9551" spans="1:15">
      <c r="A9551" s="207"/>
      <c r="B9551" s="207"/>
      <c r="N9551" s="4"/>
      <c r="O9551" s="256"/>
    </row>
    <row r="9552" spans="1:15">
      <c r="A9552" s="207"/>
      <c r="B9552" s="207"/>
      <c r="N9552" s="4"/>
      <c r="O9552" s="256"/>
    </row>
    <row r="9553" spans="1:15">
      <c r="A9553" s="207"/>
      <c r="B9553" s="207"/>
      <c r="N9553" s="4"/>
      <c r="O9553" s="256"/>
    </row>
    <row r="9554" spans="1:15">
      <c r="A9554" s="207"/>
      <c r="B9554" s="207"/>
      <c r="N9554" s="4"/>
      <c r="O9554" s="256"/>
    </row>
    <row r="9555" spans="1:15">
      <c r="A9555" s="207"/>
      <c r="B9555" s="207"/>
      <c r="N9555" s="4"/>
      <c r="O9555" s="256"/>
    </row>
    <row r="9556" spans="1:15">
      <c r="A9556" s="207"/>
      <c r="B9556" s="207"/>
      <c r="N9556" s="4"/>
      <c r="O9556" s="256"/>
    </row>
    <row r="9557" spans="1:15">
      <c r="A9557" s="207"/>
      <c r="B9557" s="207"/>
      <c r="N9557" s="4"/>
      <c r="O9557" s="256"/>
    </row>
    <row r="9558" spans="1:15">
      <c r="A9558" s="207"/>
      <c r="B9558" s="207"/>
      <c r="N9558" s="4"/>
      <c r="O9558" s="256"/>
    </row>
    <row r="9559" spans="1:15">
      <c r="A9559" s="207"/>
      <c r="B9559" s="207"/>
      <c r="N9559" s="4"/>
      <c r="O9559" s="256"/>
    </row>
    <row r="9560" spans="1:15">
      <c r="A9560" s="207"/>
      <c r="B9560" s="207"/>
      <c r="N9560" s="4"/>
      <c r="O9560" s="256"/>
    </row>
    <row r="9561" spans="1:15">
      <c r="A9561" s="207"/>
      <c r="B9561" s="207"/>
      <c r="N9561" s="4"/>
      <c r="O9561" s="256"/>
    </row>
    <row r="9562" spans="1:15">
      <c r="A9562" s="207"/>
      <c r="B9562" s="207"/>
      <c r="N9562" s="4"/>
      <c r="O9562" s="256"/>
    </row>
    <row r="9563" spans="1:15">
      <c r="A9563" s="207"/>
      <c r="B9563" s="207"/>
      <c r="N9563" s="4"/>
      <c r="O9563" s="256"/>
    </row>
    <row r="9564" spans="1:15">
      <c r="A9564" s="207"/>
      <c r="B9564" s="207"/>
      <c r="N9564" s="4"/>
      <c r="O9564" s="256"/>
    </row>
    <row r="9565" spans="1:15">
      <c r="A9565" s="207"/>
      <c r="B9565" s="207"/>
      <c r="N9565" s="4"/>
      <c r="O9565" s="256"/>
    </row>
    <row r="9566" spans="1:15">
      <c r="A9566" s="207"/>
      <c r="B9566" s="207"/>
      <c r="N9566" s="4"/>
      <c r="O9566" s="256"/>
    </row>
    <row r="9567" spans="1:15">
      <c r="A9567" s="207"/>
      <c r="B9567" s="207"/>
      <c r="N9567" s="4"/>
      <c r="O9567" s="256"/>
    </row>
    <row r="9568" spans="1:15">
      <c r="A9568" s="207"/>
      <c r="B9568" s="207"/>
      <c r="N9568" s="4"/>
      <c r="O9568" s="256"/>
    </row>
    <row r="9569" spans="1:15">
      <c r="A9569" s="207"/>
      <c r="B9569" s="207"/>
      <c r="N9569" s="4"/>
      <c r="O9569" s="256"/>
    </row>
    <row r="9570" spans="1:15">
      <c r="A9570" s="207"/>
      <c r="B9570" s="207"/>
      <c r="N9570" s="4"/>
      <c r="O9570" s="256"/>
    </row>
    <row r="9571" spans="1:15">
      <c r="A9571" s="207"/>
      <c r="B9571" s="207"/>
      <c r="N9571" s="4"/>
      <c r="O9571" s="256"/>
    </row>
    <row r="9572" spans="1:15">
      <c r="A9572" s="207"/>
      <c r="B9572" s="207"/>
      <c r="N9572" s="4"/>
      <c r="O9572" s="256"/>
    </row>
    <row r="9573" spans="1:15">
      <c r="A9573" s="207"/>
      <c r="B9573" s="207"/>
      <c r="N9573" s="4"/>
      <c r="O9573" s="256"/>
    </row>
    <row r="9574" spans="1:15">
      <c r="A9574" s="207"/>
      <c r="B9574" s="207"/>
      <c r="N9574" s="4"/>
      <c r="O9574" s="256"/>
    </row>
    <row r="9575" spans="1:15">
      <c r="A9575" s="207"/>
      <c r="B9575" s="207"/>
      <c r="N9575" s="4"/>
      <c r="O9575" s="256"/>
    </row>
    <row r="9576" spans="1:15">
      <c r="A9576" s="207"/>
      <c r="B9576" s="207"/>
      <c r="N9576" s="4"/>
      <c r="O9576" s="256"/>
    </row>
    <row r="9577" spans="1:15">
      <c r="A9577" s="207"/>
      <c r="B9577" s="207"/>
      <c r="N9577" s="4"/>
      <c r="O9577" s="256"/>
    </row>
    <row r="9578" spans="1:15">
      <c r="A9578" s="207"/>
      <c r="B9578" s="207"/>
      <c r="N9578" s="4"/>
      <c r="O9578" s="256"/>
    </row>
    <row r="9579" spans="1:15">
      <c r="A9579" s="207"/>
      <c r="B9579" s="207"/>
      <c r="N9579" s="4"/>
      <c r="O9579" s="256"/>
    </row>
    <row r="9580" spans="1:15">
      <c r="A9580" s="207"/>
      <c r="B9580" s="207"/>
      <c r="N9580" s="4"/>
      <c r="O9580" s="256"/>
    </row>
    <row r="9581" spans="1:15">
      <c r="A9581" s="207"/>
      <c r="B9581" s="207"/>
      <c r="N9581" s="4"/>
      <c r="O9581" s="256"/>
    </row>
    <row r="9582" spans="1:15">
      <c r="A9582" s="207"/>
      <c r="B9582" s="207"/>
      <c r="N9582" s="4"/>
      <c r="O9582" s="256"/>
    </row>
    <row r="9583" spans="1:15">
      <c r="A9583" s="207"/>
      <c r="B9583" s="207"/>
      <c r="N9583" s="4"/>
      <c r="O9583" s="256"/>
    </row>
    <row r="9584" spans="1:15">
      <c r="A9584" s="207"/>
      <c r="B9584" s="207"/>
      <c r="N9584" s="4"/>
      <c r="O9584" s="256"/>
    </row>
    <row r="9585" spans="1:15">
      <c r="A9585" s="207"/>
      <c r="B9585" s="207"/>
      <c r="N9585" s="4"/>
      <c r="O9585" s="256"/>
    </row>
    <row r="9586" spans="1:15">
      <c r="A9586" s="207"/>
      <c r="B9586" s="207"/>
      <c r="N9586" s="4"/>
      <c r="O9586" s="256"/>
    </row>
    <row r="9587" spans="1:15">
      <c r="A9587" s="207"/>
      <c r="B9587" s="207"/>
      <c r="N9587" s="4"/>
      <c r="O9587" s="256"/>
    </row>
    <row r="9588" spans="1:15">
      <c r="A9588" s="207"/>
      <c r="B9588" s="207"/>
      <c r="N9588" s="4"/>
      <c r="O9588" s="256"/>
    </row>
    <row r="9589" spans="1:15">
      <c r="A9589" s="207"/>
      <c r="B9589" s="207"/>
      <c r="N9589" s="4"/>
      <c r="O9589" s="256"/>
    </row>
    <row r="9590" spans="1:15">
      <c r="A9590" s="207"/>
      <c r="B9590" s="207"/>
      <c r="N9590" s="4"/>
      <c r="O9590" s="256"/>
    </row>
    <row r="9591" spans="1:15">
      <c r="A9591" s="207"/>
      <c r="B9591" s="207"/>
      <c r="N9591" s="4"/>
      <c r="O9591" s="256"/>
    </row>
    <row r="9592" spans="1:15">
      <c r="A9592" s="207"/>
      <c r="B9592" s="207"/>
      <c r="N9592" s="4"/>
      <c r="O9592" s="256"/>
    </row>
    <row r="9593" spans="1:15">
      <c r="A9593" s="207"/>
      <c r="B9593" s="207"/>
      <c r="N9593" s="4"/>
      <c r="O9593" s="256"/>
    </row>
    <row r="9594" spans="1:15">
      <c r="A9594" s="207"/>
      <c r="B9594" s="207"/>
      <c r="N9594" s="4"/>
      <c r="O9594" s="256"/>
    </row>
    <row r="9595" spans="1:15">
      <c r="A9595" s="207"/>
      <c r="B9595" s="207"/>
      <c r="N9595" s="4"/>
      <c r="O9595" s="256"/>
    </row>
    <row r="9596" spans="1:15">
      <c r="A9596" s="207"/>
      <c r="B9596" s="207"/>
      <c r="N9596" s="4"/>
      <c r="O9596" s="256"/>
    </row>
    <row r="9597" spans="1:15">
      <c r="A9597" s="207"/>
      <c r="B9597" s="207"/>
      <c r="N9597" s="4"/>
      <c r="O9597" s="256"/>
    </row>
    <row r="9598" spans="1:15">
      <c r="A9598" s="207"/>
      <c r="B9598" s="207"/>
      <c r="N9598" s="4"/>
      <c r="O9598" s="256"/>
    </row>
    <row r="9599" spans="1:15">
      <c r="A9599" s="207"/>
      <c r="B9599" s="207"/>
      <c r="N9599" s="4"/>
      <c r="O9599" s="256"/>
    </row>
    <row r="9600" spans="1:15">
      <c r="A9600" s="207"/>
      <c r="B9600" s="207"/>
      <c r="N9600" s="4"/>
      <c r="O9600" s="256"/>
    </row>
    <row r="9601" spans="1:15">
      <c r="A9601" s="207"/>
      <c r="B9601" s="207"/>
      <c r="N9601" s="4"/>
      <c r="O9601" s="256"/>
    </row>
    <row r="9602" spans="1:15">
      <c r="A9602" s="207"/>
      <c r="B9602" s="207"/>
      <c r="N9602" s="4"/>
      <c r="O9602" s="256"/>
    </row>
    <row r="9603" spans="1:15">
      <c r="A9603" s="207"/>
      <c r="B9603" s="207"/>
      <c r="N9603" s="4"/>
      <c r="O9603" s="256"/>
    </row>
    <row r="9604" spans="1:15">
      <c r="A9604" s="207"/>
      <c r="B9604" s="207"/>
      <c r="N9604" s="4"/>
      <c r="O9604" s="256"/>
    </row>
    <row r="9605" spans="1:15">
      <c r="A9605" s="207"/>
      <c r="B9605" s="207"/>
      <c r="N9605" s="4"/>
      <c r="O9605" s="256"/>
    </row>
    <row r="9606" spans="1:15">
      <c r="A9606" s="207"/>
      <c r="B9606" s="207"/>
      <c r="N9606" s="4"/>
      <c r="O9606" s="256"/>
    </row>
    <row r="9607" spans="1:15">
      <c r="A9607" s="207"/>
      <c r="B9607" s="207"/>
      <c r="N9607" s="4"/>
      <c r="O9607" s="256"/>
    </row>
    <row r="9608" spans="1:15">
      <c r="A9608" s="207"/>
      <c r="B9608" s="207"/>
      <c r="N9608" s="4"/>
      <c r="O9608" s="256"/>
    </row>
    <row r="9609" spans="1:15">
      <c r="A9609" s="207"/>
      <c r="B9609" s="207"/>
      <c r="N9609" s="4"/>
      <c r="O9609" s="256"/>
    </row>
    <row r="9610" spans="1:15">
      <c r="A9610" s="207"/>
      <c r="B9610" s="207"/>
      <c r="N9610" s="4"/>
      <c r="O9610" s="256"/>
    </row>
    <row r="9611" spans="1:15">
      <c r="A9611" s="207"/>
      <c r="B9611" s="207"/>
      <c r="N9611" s="4"/>
      <c r="O9611" s="256"/>
    </row>
    <row r="9612" spans="1:15">
      <c r="A9612" s="207"/>
      <c r="B9612" s="207"/>
      <c r="N9612" s="4"/>
      <c r="O9612" s="256"/>
    </row>
    <row r="9613" spans="1:15">
      <c r="A9613" s="207"/>
      <c r="B9613" s="207"/>
      <c r="N9613" s="4"/>
      <c r="O9613" s="256"/>
    </row>
    <row r="9614" spans="1:15">
      <c r="A9614" s="207"/>
      <c r="B9614" s="207"/>
      <c r="N9614" s="4"/>
      <c r="O9614" s="256"/>
    </row>
    <row r="9615" spans="1:15">
      <c r="A9615" s="207"/>
      <c r="B9615" s="207"/>
      <c r="N9615" s="4"/>
      <c r="O9615" s="256"/>
    </row>
    <row r="9616" spans="1:15">
      <c r="A9616" s="207"/>
      <c r="B9616" s="207"/>
      <c r="N9616" s="4"/>
      <c r="O9616" s="256"/>
    </row>
    <row r="9617" spans="1:15">
      <c r="A9617" s="207"/>
      <c r="B9617" s="207"/>
      <c r="N9617" s="4"/>
      <c r="O9617" s="256"/>
    </row>
    <row r="9618" spans="1:15">
      <c r="A9618" s="207"/>
      <c r="B9618" s="207"/>
      <c r="N9618" s="4"/>
      <c r="O9618" s="256"/>
    </row>
    <row r="9619" spans="1:15">
      <c r="A9619" s="207"/>
      <c r="B9619" s="207"/>
      <c r="N9619" s="4"/>
      <c r="O9619" s="256"/>
    </row>
    <row r="9620" spans="1:15">
      <c r="A9620" s="207"/>
      <c r="B9620" s="207"/>
      <c r="N9620" s="4"/>
      <c r="O9620" s="256"/>
    </row>
    <row r="9621" spans="1:15">
      <c r="A9621" s="207"/>
      <c r="B9621" s="207"/>
      <c r="N9621" s="4"/>
      <c r="O9621" s="256"/>
    </row>
    <row r="9622" spans="1:15">
      <c r="A9622" s="207"/>
      <c r="B9622" s="207"/>
      <c r="N9622" s="4"/>
      <c r="O9622" s="256"/>
    </row>
    <row r="9623" spans="1:15">
      <c r="A9623" s="207"/>
      <c r="B9623" s="207"/>
      <c r="N9623" s="4"/>
      <c r="O9623" s="256"/>
    </row>
    <row r="9624" spans="1:15">
      <c r="A9624" s="207"/>
      <c r="B9624" s="207"/>
      <c r="N9624" s="4"/>
      <c r="O9624" s="256"/>
    </row>
    <row r="9625" spans="1:15">
      <c r="A9625" s="207"/>
      <c r="B9625" s="207"/>
      <c r="N9625" s="4"/>
      <c r="O9625" s="256"/>
    </row>
    <row r="9626" spans="1:15">
      <c r="A9626" s="207"/>
      <c r="B9626" s="207"/>
      <c r="N9626" s="4"/>
      <c r="O9626" s="256"/>
    </row>
    <row r="9627" spans="1:15">
      <c r="A9627" s="207"/>
      <c r="B9627" s="207"/>
      <c r="N9627" s="4"/>
      <c r="O9627" s="256"/>
    </row>
    <row r="9628" spans="1:15">
      <c r="A9628" s="207"/>
      <c r="B9628" s="207"/>
      <c r="N9628" s="4"/>
      <c r="O9628" s="256"/>
    </row>
    <row r="9629" spans="1:15">
      <c r="A9629" s="207"/>
      <c r="B9629" s="207"/>
      <c r="N9629" s="4"/>
      <c r="O9629" s="256"/>
    </row>
    <row r="9630" spans="1:15">
      <c r="A9630" s="207"/>
      <c r="B9630" s="207"/>
      <c r="N9630" s="4"/>
      <c r="O9630" s="256"/>
    </row>
    <row r="9631" spans="1:15">
      <c r="A9631" s="207"/>
      <c r="B9631" s="207"/>
      <c r="N9631" s="4"/>
      <c r="O9631" s="256"/>
    </row>
    <row r="9632" spans="1:15">
      <c r="A9632" s="207"/>
      <c r="B9632" s="207"/>
      <c r="N9632" s="4"/>
      <c r="O9632" s="256"/>
    </row>
    <row r="9633" spans="1:15">
      <c r="A9633" s="207"/>
      <c r="B9633" s="207"/>
      <c r="N9633" s="4"/>
      <c r="O9633" s="256"/>
    </row>
    <row r="9634" spans="1:15">
      <c r="A9634" s="207"/>
      <c r="B9634" s="207"/>
      <c r="N9634" s="4"/>
      <c r="O9634" s="256"/>
    </row>
    <row r="9635" spans="1:15">
      <c r="A9635" s="207"/>
      <c r="B9635" s="207"/>
      <c r="N9635" s="4"/>
      <c r="O9635" s="256"/>
    </row>
    <row r="9636" spans="1:15">
      <c r="A9636" s="207"/>
      <c r="B9636" s="207"/>
      <c r="N9636" s="4"/>
      <c r="O9636" s="256"/>
    </row>
    <row r="9637" spans="1:15">
      <c r="A9637" s="207"/>
      <c r="B9637" s="207"/>
      <c r="N9637" s="4"/>
      <c r="O9637" s="256"/>
    </row>
    <row r="9638" spans="1:15">
      <c r="A9638" s="207"/>
      <c r="B9638" s="207"/>
      <c r="N9638" s="4"/>
      <c r="O9638" s="256"/>
    </row>
    <row r="9639" spans="1:15">
      <c r="A9639" s="207"/>
      <c r="B9639" s="207"/>
      <c r="N9639" s="4"/>
      <c r="O9639" s="256"/>
    </row>
    <row r="9640" spans="1:15">
      <c r="A9640" s="207"/>
      <c r="B9640" s="207"/>
      <c r="N9640" s="4"/>
      <c r="O9640" s="256"/>
    </row>
    <row r="9641" spans="1:15">
      <c r="A9641" s="207"/>
      <c r="B9641" s="207"/>
      <c r="N9641" s="4"/>
      <c r="O9641" s="256"/>
    </row>
    <row r="9642" spans="1:15">
      <c r="A9642" s="207"/>
      <c r="B9642" s="207"/>
      <c r="N9642" s="4"/>
      <c r="O9642" s="256"/>
    </row>
    <row r="9643" spans="1:15">
      <c r="A9643" s="207"/>
      <c r="B9643" s="207"/>
      <c r="N9643" s="4"/>
      <c r="O9643" s="256"/>
    </row>
    <row r="9644" spans="1:15">
      <c r="A9644" s="207"/>
      <c r="B9644" s="207"/>
      <c r="N9644" s="4"/>
      <c r="O9644" s="256"/>
    </row>
    <row r="9645" spans="1:15">
      <c r="A9645" s="207"/>
      <c r="B9645" s="207"/>
      <c r="N9645" s="4"/>
      <c r="O9645" s="256"/>
    </row>
    <row r="9646" spans="1:15">
      <c r="A9646" s="207"/>
      <c r="B9646" s="207"/>
      <c r="N9646" s="4"/>
      <c r="O9646" s="256"/>
    </row>
    <row r="9647" spans="1:15">
      <c r="A9647" s="207"/>
      <c r="B9647" s="207"/>
      <c r="N9647" s="4"/>
      <c r="O9647" s="256"/>
    </row>
    <row r="9648" spans="1:15">
      <c r="A9648" s="207"/>
      <c r="B9648" s="207"/>
      <c r="N9648" s="4"/>
      <c r="O9648" s="256"/>
    </row>
    <row r="9649" spans="1:15">
      <c r="A9649" s="207"/>
      <c r="B9649" s="207"/>
      <c r="N9649" s="4"/>
      <c r="O9649" s="256"/>
    </row>
    <row r="9650" spans="1:15">
      <c r="A9650" s="207"/>
      <c r="B9650" s="207"/>
      <c r="N9650" s="4"/>
      <c r="O9650" s="256"/>
    </row>
    <row r="9651" spans="1:15">
      <c r="A9651" s="207"/>
      <c r="B9651" s="207"/>
      <c r="N9651" s="4"/>
      <c r="O9651" s="256"/>
    </row>
    <row r="9652" spans="1:15">
      <c r="A9652" s="207"/>
      <c r="B9652" s="207"/>
      <c r="N9652" s="4"/>
      <c r="O9652" s="256"/>
    </row>
    <row r="9653" spans="1:15">
      <c r="A9653" s="207"/>
      <c r="B9653" s="207"/>
      <c r="N9653" s="4"/>
      <c r="O9653" s="256"/>
    </row>
    <row r="9654" spans="1:15">
      <c r="A9654" s="207"/>
      <c r="B9654" s="207"/>
      <c r="N9654" s="4"/>
      <c r="O9654" s="256"/>
    </row>
    <row r="9655" spans="1:15">
      <c r="A9655" s="207"/>
      <c r="B9655" s="207"/>
      <c r="N9655" s="4"/>
      <c r="O9655" s="256"/>
    </row>
    <row r="9656" spans="1:15">
      <c r="A9656" s="207"/>
      <c r="B9656" s="207"/>
      <c r="N9656" s="4"/>
      <c r="O9656" s="256"/>
    </row>
    <row r="9657" spans="1:15">
      <c r="A9657" s="207"/>
      <c r="B9657" s="207"/>
      <c r="N9657" s="4"/>
      <c r="O9657" s="256"/>
    </row>
    <row r="9658" spans="1:15">
      <c r="A9658" s="207"/>
      <c r="B9658" s="207"/>
      <c r="N9658" s="4"/>
      <c r="O9658" s="256"/>
    </row>
    <row r="9659" spans="1:15">
      <c r="A9659" s="207"/>
      <c r="B9659" s="207"/>
      <c r="N9659" s="4"/>
      <c r="O9659" s="256"/>
    </row>
    <row r="9660" spans="1:15">
      <c r="A9660" s="207"/>
      <c r="B9660" s="207"/>
      <c r="N9660" s="4"/>
      <c r="O9660" s="256"/>
    </row>
    <row r="9661" spans="1:15">
      <c r="A9661" s="207"/>
      <c r="B9661" s="207"/>
      <c r="N9661" s="4"/>
      <c r="O9661" s="256"/>
    </row>
    <row r="9662" spans="1:15">
      <c r="A9662" s="207"/>
      <c r="B9662" s="207"/>
      <c r="N9662" s="4"/>
      <c r="O9662" s="256"/>
    </row>
    <row r="9663" spans="1:15">
      <c r="A9663" s="207"/>
      <c r="B9663" s="207"/>
      <c r="N9663" s="4"/>
      <c r="O9663" s="256"/>
    </row>
    <row r="9664" spans="1:15">
      <c r="A9664" s="207"/>
      <c r="B9664" s="207"/>
      <c r="N9664" s="4"/>
      <c r="O9664" s="256"/>
    </row>
    <row r="9665" spans="1:15">
      <c r="A9665" s="207"/>
      <c r="B9665" s="207"/>
      <c r="N9665" s="4"/>
      <c r="O9665" s="256"/>
    </row>
    <row r="9666" spans="1:15">
      <c r="A9666" s="207"/>
      <c r="B9666" s="207"/>
      <c r="N9666" s="4"/>
      <c r="O9666" s="256"/>
    </row>
    <row r="9667" spans="1:15">
      <c r="A9667" s="207"/>
      <c r="B9667" s="207"/>
      <c r="N9667" s="4"/>
      <c r="O9667" s="256"/>
    </row>
    <row r="9668" spans="1:15">
      <c r="A9668" s="207"/>
      <c r="B9668" s="207"/>
      <c r="N9668" s="4"/>
      <c r="O9668" s="256"/>
    </row>
    <row r="9669" spans="1:15">
      <c r="A9669" s="207"/>
      <c r="B9669" s="207"/>
      <c r="N9669" s="4"/>
      <c r="O9669" s="256"/>
    </row>
    <row r="9670" spans="1:15">
      <c r="A9670" s="207"/>
      <c r="B9670" s="207"/>
      <c r="N9670" s="4"/>
      <c r="O9670" s="256"/>
    </row>
    <row r="9671" spans="1:15">
      <c r="A9671" s="207"/>
      <c r="B9671" s="207"/>
      <c r="N9671" s="4"/>
      <c r="O9671" s="256"/>
    </row>
    <row r="9672" spans="1:15">
      <c r="A9672" s="207"/>
      <c r="B9672" s="207"/>
      <c r="N9672" s="4"/>
      <c r="O9672" s="256"/>
    </row>
    <row r="9673" spans="1:15">
      <c r="A9673" s="207"/>
      <c r="B9673" s="207"/>
      <c r="N9673" s="4"/>
      <c r="O9673" s="256"/>
    </row>
    <row r="9674" spans="1:15">
      <c r="A9674" s="207"/>
      <c r="B9674" s="207"/>
      <c r="N9674" s="4"/>
      <c r="O9674" s="256"/>
    </row>
    <row r="9675" spans="1:15">
      <c r="N9675" s="4"/>
      <c r="O9675" s="4"/>
    </row>
    <row r="9676" spans="1:15">
      <c r="N9676" s="4"/>
      <c r="O9676" s="4"/>
    </row>
    <row r="9677" spans="1:15">
      <c r="N9677" s="4"/>
      <c r="O9677" s="4"/>
    </row>
    <row r="9678" spans="1:15">
      <c r="N9678" s="4"/>
      <c r="O9678" s="4"/>
    </row>
    <row r="9679" spans="1:15">
      <c r="N9679" s="4"/>
      <c r="O9679" s="4"/>
    </row>
    <row r="9680" spans="1:15">
      <c r="N9680" s="4"/>
      <c r="O9680" s="4"/>
    </row>
    <row r="9681" spans="14:15">
      <c r="N9681" s="4"/>
      <c r="O9681" s="4"/>
    </row>
    <row r="9682" spans="14:15">
      <c r="N9682" s="4"/>
      <c r="O9682" s="4"/>
    </row>
    <row r="9683" spans="14:15">
      <c r="N9683" s="4"/>
      <c r="O9683" s="4"/>
    </row>
    <row r="9684" spans="14:15">
      <c r="N9684" s="4"/>
      <c r="O9684" s="4"/>
    </row>
    <row r="9685" spans="14:15">
      <c r="N9685" s="4"/>
      <c r="O9685" s="4"/>
    </row>
    <row r="9686" spans="14:15">
      <c r="N9686" s="4"/>
      <c r="O9686" s="4"/>
    </row>
    <row r="9687" spans="14:15">
      <c r="N9687" s="4"/>
      <c r="O9687" s="4"/>
    </row>
    <row r="9688" spans="14:15">
      <c r="N9688" s="4"/>
      <c r="O9688" s="4"/>
    </row>
    <row r="9689" spans="14:15">
      <c r="N9689" s="4"/>
      <c r="O9689" s="4"/>
    </row>
    <row r="9690" spans="14:15">
      <c r="N9690" s="4"/>
      <c r="O9690" s="4"/>
    </row>
    <row r="9691" spans="14:15">
      <c r="N9691" s="4"/>
      <c r="O9691" s="4"/>
    </row>
    <row r="9692" spans="14:15">
      <c r="N9692" s="4"/>
      <c r="O9692" s="4"/>
    </row>
    <row r="9693" spans="14:15">
      <c r="N9693" s="4"/>
      <c r="O9693" s="4"/>
    </row>
    <row r="9694" spans="14:15">
      <c r="N9694" s="4"/>
      <c r="O9694" s="4"/>
    </row>
    <row r="9695" spans="14:15">
      <c r="N9695" s="4"/>
      <c r="O9695" s="4"/>
    </row>
    <row r="9696" spans="14:15">
      <c r="N9696" s="4"/>
      <c r="O9696" s="4"/>
    </row>
    <row r="9697" spans="14:15">
      <c r="N9697" s="4"/>
      <c r="O9697" s="4"/>
    </row>
    <row r="9698" spans="14:15">
      <c r="N9698" s="4"/>
      <c r="O9698" s="4"/>
    </row>
    <row r="9699" spans="14:15">
      <c r="N9699" s="4"/>
      <c r="O9699" s="4"/>
    </row>
    <row r="9700" spans="14:15">
      <c r="N9700" s="4"/>
      <c r="O9700" s="4"/>
    </row>
    <row r="9701" spans="14:15">
      <c r="N9701" s="4"/>
      <c r="O9701" s="4"/>
    </row>
    <row r="9702" spans="14:15">
      <c r="N9702" s="4"/>
      <c r="O9702" s="4"/>
    </row>
    <row r="9703" spans="14:15">
      <c r="N9703" s="4"/>
      <c r="O9703" s="4"/>
    </row>
    <row r="9704" spans="14:15">
      <c r="N9704" s="4"/>
      <c r="O9704" s="4"/>
    </row>
    <row r="9705" spans="14:15">
      <c r="N9705" s="4"/>
      <c r="O9705" s="4"/>
    </row>
    <row r="9706" spans="14:15">
      <c r="N9706" s="4"/>
      <c r="O9706" s="4"/>
    </row>
    <row r="9707" spans="14:15">
      <c r="N9707" s="4"/>
      <c r="O9707" s="4"/>
    </row>
    <row r="9708" spans="14:15">
      <c r="N9708" s="4"/>
      <c r="O9708" s="4"/>
    </row>
    <row r="9709" spans="14:15">
      <c r="N9709" s="4"/>
      <c r="O9709" s="4"/>
    </row>
    <row r="9710" spans="14:15">
      <c r="N9710" s="4"/>
      <c r="O9710" s="4"/>
    </row>
    <row r="9711" spans="14:15">
      <c r="N9711" s="4"/>
      <c r="O9711" s="4"/>
    </row>
    <row r="9712" spans="14:15">
      <c r="N9712" s="4"/>
      <c r="O9712" s="4"/>
    </row>
    <row r="9713" spans="14:15">
      <c r="N9713" s="4"/>
      <c r="O9713" s="4"/>
    </row>
    <row r="9714" spans="14:15">
      <c r="N9714" s="4"/>
      <c r="O9714" s="4"/>
    </row>
    <row r="9715" spans="14:15">
      <c r="N9715" s="4"/>
      <c r="O9715" s="4"/>
    </row>
    <row r="9716" spans="14:15">
      <c r="N9716" s="4"/>
      <c r="O9716" s="4"/>
    </row>
    <row r="9717" spans="14:15">
      <c r="N9717" s="4"/>
      <c r="O9717" s="4"/>
    </row>
    <row r="9718" spans="14:15">
      <c r="N9718" s="4"/>
      <c r="O9718" s="4"/>
    </row>
    <row r="9719" spans="14:15">
      <c r="N9719" s="4"/>
      <c r="O9719" s="4"/>
    </row>
    <row r="9720" spans="14:15">
      <c r="N9720" s="4"/>
      <c r="O9720" s="4"/>
    </row>
    <row r="9721" spans="14:15">
      <c r="N9721" s="4"/>
      <c r="O9721" s="4"/>
    </row>
    <row r="9722" spans="14:15">
      <c r="N9722" s="4"/>
      <c r="O9722" s="4"/>
    </row>
    <row r="9723" spans="14:15">
      <c r="N9723" s="4"/>
      <c r="O9723" s="4"/>
    </row>
    <row r="9724" spans="14:15">
      <c r="N9724" s="4"/>
      <c r="O9724" s="4"/>
    </row>
    <row r="9725" spans="14:15">
      <c r="N9725" s="4"/>
      <c r="O9725" s="4"/>
    </row>
    <row r="9726" spans="14:15">
      <c r="N9726" s="4"/>
      <c r="O9726" s="4"/>
    </row>
    <row r="9727" spans="14:15">
      <c r="N9727" s="4"/>
      <c r="O9727" s="4"/>
    </row>
    <row r="9728" spans="14:15">
      <c r="N9728" s="4"/>
      <c r="O9728" s="4"/>
    </row>
    <row r="9729" spans="14:15">
      <c r="N9729" s="4"/>
      <c r="O9729" s="4"/>
    </row>
    <row r="9730" spans="14:15">
      <c r="N9730" s="4"/>
      <c r="O9730" s="4"/>
    </row>
    <row r="9731" spans="14:15">
      <c r="N9731" s="4"/>
      <c r="O9731" s="4"/>
    </row>
    <row r="9732" spans="14:15">
      <c r="N9732" s="4"/>
      <c r="O9732" s="4"/>
    </row>
    <row r="9733" spans="14:15">
      <c r="N9733" s="4"/>
      <c r="O9733" s="4"/>
    </row>
    <row r="9734" spans="14:15">
      <c r="N9734" s="4"/>
      <c r="O9734" s="4"/>
    </row>
    <row r="9735" spans="14:15">
      <c r="N9735" s="4"/>
      <c r="O9735" s="4"/>
    </row>
    <row r="9736" spans="14:15">
      <c r="N9736" s="4"/>
      <c r="O9736" s="4"/>
    </row>
    <row r="9737" spans="14:15">
      <c r="N9737" s="4"/>
      <c r="O9737" s="4"/>
    </row>
    <row r="9738" spans="14:15">
      <c r="N9738" s="4"/>
      <c r="O9738" s="4"/>
    </row>
    <row r="9739" spans="14:15">
      <c r="N9739" s="4"/>
      <c r="O9739" s="4"/>
    </row>
    <row r="9740" spans="14:15">
      <c r="N9740" s="4"/>
      <c r="O9740" s="4"/>
    </row>
    <row r="9741" spans="14:15">
      <c r="N9741" s="4"/>
      <c r="O9741" s="4"/>
    </row>
    <row r="9742" spans="14:15">
      <c r="N9742" s="4"/>
      <c r="O9742" s="4"/>
    </row>
    <row r="9743" spans="14:15">
      <c r="N9743" s="4"/>
      <c r="O9743" s="4"/>
    </row>
    <row r="9744" spans="14:15">
      <c r="N9744" s="4"/>
      <c r="O9744" s="4"/>
    </row>
    <row r="9745" spans="14:15">
      <c r="N9745" s="4"/>
      <c r="O9745" s="4"/>
    </row>
    <row r="9746" spans="14:15">
      <c r="N9746" s="4"/>
      <c r="O9746" s="4"/>
    </row>
    <row r="9747" spans="14:15">
      <c r="N9747" s="4"/>
      <c r="O9747" s="4"/>
    </row>
    <row r="9748" spans="14:15">
      <c r="N9748" s="4"/>
      <c r="O9748" s="4"/>
    </row>
    <row r="9749" spans="14:15">
      <c r="N9749" s="4"/>
      <c r="O9749" s="4"/>
    </row>
    <row r="9750" spans="14:15">
      <c r="N9750" s="4"/>
      <c r="O9750" s="4"/>
    </row>
    <row r="9751" spans="14:15">
      <c r="N9751" s="4"/>
      <c r="O9751" s="4"/>
    </row>
    <row r="9752" spans="14:15">
      <c r="N9752" s="4"/>
      <c r="O9752" s="4"/>
    </row>
    <row r="9753" spans="14:15">
      <c r="N9753" s="4"/>
      <c r="O9753" s="4"/>
    </row>
    <row r="9754" spans="14:15">
      <c r="N9754" s="4"/>
      <c r="O9754" s="4"/>
    </row>
    <row r="9755" spans="14:15">
      <c r="N9755" s="4"/>
      <c r="O9755" s="4"/>
    </row>
    <row r="9756" spans="14:15">
      <c r="N9756" s="4"/>
      <c r="O9756" s="4"/>
    </row>
    <row r="9757" spans="14:15">
      <c r="N9757" s="4"/>
      <c r="O9757" s="4"/>
    </row>
    <row r="9758" spans="14:15">
      <c r="N9758" s="4"/>
      <c r="O9758" s="4"/>
    </row>
    <row r="9759" spans="14:15">
      <c r="N9759" s="4"/>
      <c r="O9759" s="4"/>
    </row>
    <row r="9760" spans="14:15">
      <c r="N9760" s="4"/>
      <c r="O9760" s="4"/>
    </row>
    <row r="9761" spans="14:15">
      <c r="N9761" s="4"/>
      <c r="O9761" s="4"/>
    </row>
    <row r="9762" spans="14:15">
      <c r="N9762" s="4"/>
      <c r="O9762" s="4"/>
    </row>
    <row r="9763" spans="14:15">
      <c r="N9763" s="4"/>
      <c r="O9763" s="4"/>
    </row>
    <row r="9764" spans="14:15">
      <c r="N9764" s="4"/>
      <c r="O9764" s="4"/>
    </row>
    <row r="9765" spans="14:15">
      <c r="N9765" s="4"/>
      <c r="O9765" s="4"/>
    </row>
    <row r="9766" spans="14:15">
      <c r="N9766" s="4"/>
      <c r="O9766" s="4"/>
    </row>
    <row r="9767" spans="14:15">
      <c r="N9767" s="4"/>
      <c r="O9767" s="4"/>
    </row>
    <row r="9768" spans="14:15">
      <c r="N9768" s="4"/>
      <c r="O9768" s="4"/>
    </row>
    <row r="9769" spans="14:15">
      <c r="N9769" s="4"/>
      <c r="O9769" s="4"/>
    </row>
    <row r="9770" spans="14:15">
      <c r="N9770" s="4"/>
      <c r="O9770" s="4"/>
    </row>
    <row r="9771" spans="14:15">
      <c r="N9771" s="4"/>
      <c r="O9771" s="4"/>
    </row>
    <row r="9772" spans="14:15">
      <c r="N9772" s="4"/>
      <c r="O9772" s="4"/>
    </row>
    <row r="9773" spans="14:15">
      <c r="N9773" s="4"/>
      <c r="O9773" s="4"/>
    </row>
    <row r="9774" spans="14:15">
      <c r="N9774" s="4"/>
      <c r="O9774" s="4"/>
    </row>
    <row r="9775" spans="14:15">
      <c r="N9775" s="4"/>
      <c r="O9775" s="4"/>
    </row>
    <row r="9776" spans="14:15">
      <c r="N9776" s="4"/>
      <c r="O9776" s="4"/>
    </row>
    <row r="9777" spans="14:15">
      <c r="N9777" s="4"/>
      <c r="O9777" s="4"/>
    </row>
    <row r="9778" spans="14:15">
      <c r="N9778" s="4"/>
      <c r="O9778" s="4"/>
    </row>
    <row r="9779" spans="14:15">
      <c r="N9779" s="4"/>
      <c r="O9779" s="4"/>
    </row>
    <row r="9780" spans="14:15">
      <c r="N9780" s="4"/>
      <c r="O9780" s="4"/>
    </row>
    <row r="9781" spans="14:15">
      <c r="N9781" s="4"/>
      <c r="O9781" s="4"/>
    </row>
    <row r="9782" spans="14:15">
      <c r="N9782" s="4"/>
      <c r="O9782" s="4"/>
    </row>
    <row r="9783" spans="14:15">
      <c r="N9783" s="4"/>
      <c r="O9783" s="4"/>
    </row>
    <row r="9784" spans="14:15">
      <c r="N9784" s="4"/>
      <c r="O9784" s="4"/>
    </row>
    <row r="9785" spans="14:15">
      <c r="N9785" s="4"/>
      <c r="O9785" s="4"/>
    </row>
    <row r="9786" spans="14:15">
      <c r="N9786" s="4"/>
      <c r="O9786" s="4"/>
    </row>
    <row r="9787" spans="14:15">
      <c r="N9787" s="4"/>
      <c r="O9787" s="4"/>
    </row>
    <row r="9788" spans="14:15">
      <c r="N9788" s="4"/>
      <c r="O9788" s="4"/>
    </row>
    <row r="9789" spans="14:15">
      <c r="N9789" s="4"/>
      <c r="O9789" s="4"/>
    </row>
    <row r="9790" spans="14:15">
      <c r="N9790" s="4"/>
      <c r="O9790" s="4"/>
    </row>
    <row r="9791" spans="14:15">
      <c r="N9791" s="4"/>
      <c r="O9791" s="4"/>
    </row>
    <row r="9792" spans="14:15">
      <c r="N9792" s="4"/>
      <c r="O9792" s="4"/>
    </row>
    <row r="9793" spans="14:15">
      <c r="N9793" s="4"/>
      <c r="O9793" s="4"/>
    </row>
    <row r="9794" spans="14:15">
      <c r="N9794" s="4"/>
      <c r="O9794" s="4"/>
    </row>
    <row r="9795" spans="14:15">
      <c r="N9795" s="4"/>
      <c r="O9795" s="4"/>
    </row>
    <row r="9796" spans="14:15">
      <c r="N9796" s="4"/>
      <c r="O9796" s="4"/>
    </row>
    <row r="9797" spans="14:15">
      <c r="N9797" s="4"/>
      <c r="O9797" s="4"/>
    </row>
    <row r="9798" spans="14:15">
      <c r="N9798" s="4"/>
      <c r="O9798" s="4"/>
    </row>
    <row r="9799" spans="14:15">
      <c r="N9799" s="4"/>
      <c r="O9799" s="4"/>
    </row>
    <row r="9800" spans="14:15">
      <c r="N9800" s="4"/>
      <c r="O9800" s="4"/>
    </row>
    <row r="9801" spans="14:15">
      <c r="N9801" s="4"/>
      <c r="O9801" s="4"/>
    </row>
    <row r="9802" spans="14:15">
      <c r="N9802" s="4"/>
      <c r="O9802" s="4"/>
    </row>
    <row r="9803" spans="14:15">
      <c r="N9803" s="4"/>
      <c r="O9803" s="4"/>
    </row>
    <row r="9804" spans="14:15">
      <c r="N9804" s="4"/>
      <c r="O9804" s="4"/>
    </row>
    <row r="9805" spans="14:15">
      <c r="N9805" s="4"/>
      <c r="O9805" s="4"/>
    </row>
    <row r="9806" spans="14:15">
      <c r="N9806" s="4"/>
      <c r="O9806" s="4"/>
    </row>
    <row r="9807" spans="14:15">
      <c r="N9807" s="4"/>
      <c r="O9807" s="4"/>
    </row>
    <row r="9808" spans="14:15">
      <c r="N9808" s="4"/>
      <c r="O9808" s="4"/>
    </row>
    <row r="9809" spans="14:15">
      <c r="N9809" s="4"/>
      <c r="O9809" s="4"/>
    </row>
    <row r="9810" spans="14:15">
      <c r="N9810" s="4"/>
      <c r="O9810" s="4"/>
    </row>
    <row r="9811" spans="14:15">
      <c r="N9811" s="4"/>
      <c r="O9811" s="4"/>
    </row>
    <row r="9812" spans="14:15">
      <c r="N9812" s="4"/>
      <c r="O9812" s="4"/>
    </row>
    <row r="9813" spans="14:15">
      <c r="N9813" s="4"/>
      <c r="O9813" s="4"/>
    </row>
    <row r="9814" spans="14:15">
      <c r="N9814" s="4"/>
      <c r="O9814" s="4"/>
    </row>
    <row r="9815" spans="14:15">
      <c r="N9815" s="4"/>
      <c r="O9815" s="4"/>
    </row>
    <row r="9816" spans="14:15">
      <c r="N9816" s="4"/>
      <c r="O9816" s="4"/>
    </row>
    <row r="9817" spans="14:15">
      <c r="N9817" s="4"/>
      <c r="O9817" s="4"/>
    </row>
    <row r="9818" spans="14:15">
      <c r="N9818" s="4"/>
      <c r="O9818" s="4"/>
    </row>
    <row r="9819" spans="14:15">
      <c r="N9819" s="4"/>
      <c r="O9819" s="4"/>
    </row>
    <row r="9820" spans="14:15">
      <c r="N9820" s="4"/>
      <c r="O9820" s="4"/>
    </row>
    <row r="9821" spans="14:15">
      <c r="N9821" s="4"/>
      <c r="O9821" s="4"/>
    </row>
    <row r="9822" spans="14:15">
      <c r="N9822" s="4"/>
      <c r="O9822" s="4"/>
    </row>
    <row r="9823" spans="14:15">
      <c r="N9823" s="4"/>
      <c r="O9823" s="4"/>
    </row>
    <row r="9824" spans="14:15">
      <c r="N9824" s="4"/>
      <c r="O9824" s="4"/>
    </row>
    <row r="9825" spans="14:15">
      <c r="N9825" s="4"/>
      <c r="O9825" s="4"/>
    </row>
    <row r="9826" spans="14:15">
      <c r="N9826" s="4"/>
      <c r="O9826" s="4"/>
    </row>
    <row r="9827" spans="14:15">
      <c r="N9827" s="4"/>
      <c r="O9827" s="4"/>
    </row>
    <row r="9828" spans="14:15">
      <c r="N9828" s="4"/>
      <c r="O9828" s="4"/>
    </row>
    <row r="9829" spans="14:15">
      <c r="N9829" s="4"/>
      <c r="O9829" s="4"/>
    </row>
    <row r="9830" spans="14:15">
      <c r="N9830" s="4"/>
      <c r="O9830" s="4"/>
    </row>
    <row r="9831" spans="14:15">
      <c r="N9831" s="4"/>
      <c r="O9831" s="4"/>
    </row>
    <row r="9832" spans="14:15">
      <c r="N9832" s="4"/>
      <c r="O9832" s="4"/>
    </row>
    <row r="9833" spans="14:15">
      <c r="N9833" s="4"/>
      <c r="O9833" s="4"/>
    </row>
    <row r="9834" spans="14:15">
      <c r="N9834" s="4"/>
      <c r="O9834" s="4"/>
    </row>
    <row r="9835" spans="14:15">
      <c r="N9835" s="4"/>
      <c r="O9835" s="4"/>
    </row>
    <row r="9836" spans="14:15">
      <c r="N9836" s="4"/>
      <c r="O9836" s="4"/>
    </row>
    <row r="9837" spans="14:15">
      <c r="N9837" s="4"/>
      <c r="O9837" s="4"/>
    </row>
    <row r="9838" spans="14:15">
      <c r="N9838" s="4"/>
      <c r="O9838" s="4"/>
    </row>
    <row r="9839" spans="14:15">
      <c r="N9839" s="4"/>
      <c r="O9839" s="4"/>
    </row>
    <row r="9840" spans="14:15">
      <c r="N9840" s="4"/>
      <c r="O9840" s="4"/>
    </row>
    <row r="9841" spans="14:15">
      <c r="N9841" s="4"/>
      <c r="O9841" s="4"/>
    </row>
    <row r="9842" spans="14:15">
      <c r="N9842" s="4"/>
      <c r="O9842" s="4"/>
    </row>
    <row r="9843" spans="14:15">
      <c r="N9843" s="4"/>
      <c r="O9843" s="4"/>
    </row>
    <row r="9844" spans="14:15">
      <c r="N9844" s="4"/>
      <c r="O9844" s="4"/>
    </row>
    <row r="9845" spans="14:15">
      <c r="N9845" s="4"/>
      <c r="O9845" s="4"/>
    </row>
    <row r="9846" spans="14:15">
      <c r="N9846" s="4"/>
      <c r="O9846" s="4"/>
    </row>
    <row r="9847" spans="14:15">
      <c r="N9847" s="4"/>
      <c r="O9847" s="4"/>
    </row>
    <row r="9848" spans="14:15">
      <c r="N9848" s="4"/>
      <c r="O9848" s="4"/>
    </row>
    <row r="9849" spans="14:15">
      <c r="N9849" s="4"/>
      <c r="O9849" s="4"/>
    </row>
    <row r="9850" spans="14:15">
      <c r="N9850" s="4"/>
      <c r="O9850" s="4"/>
    </row>
    <row r="9851" spans="14:15">
      <c r="N9851" s="4"/>
      <c r="O9851" s="4"/>
    </row>
    <row r="9852" spans="14:15">
      <c r="N9852" s="4"/>
      <c r="O9852" s="4"/>
    </row>
    <row r="9853" spans="14:15">
      <c r="N9853" s="4"/>
      <c r="O9853" s="4"/>
    </row>
    <row r="9854" spans="14:15">
      <c r="N9854" s="4"/>
      <c r="O9854" s="4"/>
    </row>
    <row r="9855" spans="14:15">
      <c r="N9855" s="4"/>
      <c r="O9855" s="4"/>
    </row>
    <row r="9856" spans="14:15">
      <c r="N9856" s="4"/>
      <c r="O9856" s="4"/>
    </row>
    <row r="9857" spans="14:15">
      <c r="N9857" s="4"/>
      <c r="O9857" s="4"/>
    </row>
    <row r="9858" spans="14:15">
      <c r="N9858" s="4"/>
      <c r="O9858" s="4"/>
    </row>
    <row r="9859" spans="14:15">
      <c r="N9859" s="4"/>
      <c r="O9859" s="4"/>
    </row>
    <row r="9860" spans="14:15">
      <c r="N9860" s="4"/>
      <c r="O9860" s="4"/>
    </row>
    <row r="9861" spans="14:15">
      <c r="N9861" s="4"/>
      <c r="O9861" s="4"/>
    </row>
    <row r="9862" spans="14:15">
      <c r="N9862" s="4"/>
      <c r="O9862" s="4"/>
    </row>
    <row r="9863" spans="14:15">
      <c r="N9863" s="4"/>
      <c r="O9863" s="4"/>
    </row>
    <row r="9864" spans="14:15">
      <c r="N9864" s="4"/>
      <c r="O9864" s="4"/>
    </row>
    <row r="9865" spans="14:15">
      <c r="N9865" s="4"/>
      <c r="O9865" s="4"/>
    </row>
    <row r="9866" spans="14:15">
      <c r="N9866" s="4"/>
      <c r="O9866" s="4"/>
    </row>
    <row r="9867" spans="14:15">
      <c r="N9867" s="4"/>
      <c r="O9867" s="4"/>
    </row>
    <row r="9868" spans="14:15">
      <c r="N9868" s="4"/>
      <c r="O9868" s="4"/>
    </row>
    <row r="9869" spans="14:15">
      <c r="N9869" s="4"/>
      <c r="O9869" s="4"/>
    </row>
    <row r="9870" spans="14:15">
      <c r="N9870" s="4"/>
      <c r="O9870" s="4"/>
    </row>
    <row r="9871" spans="14:15">
      <c r="N9871" s="4"/>
      <c r="O9871" s="4"/>
    </row>
    <row r="9872" spans="14:15">
      <c r="N9872" s="4"/>
      <c r="O9872" s="4"/>
    </row>
    <row r="9873" spans="14:15">
      <c r="N9873" s="4"/>
      <c r="O9873" s="4"/>
    </row>
    <row r="9874" spans="14:15">
      <c r="N9874" s="4"/>
      <c r="O9874" s="4"/>
    </row>
    <row r="9875" spans="14:15">
      <c r="N9875" s="4"/>
      <c r="O9875" s="4"/>
    </row>
    <row r="9876" spans="14:15">
      <c r="N9876" s="4"/>
      <c r="O9876" s="4"/>
    </row>
    <row r="9877" spans="14:15">
      <c r="N9877" s="4"/>
      <c r="O9877" s="4"/>
    </row>
    <row r="9878" spans="14:15">
      <c r="N9878" s="4"/>
      <c r="O9878" s="4"/>
    </row>
    <row r="9879" spans="14:15">
      <c r="N9879" s="4"/>
      <c r="O9879" s="4"/>
    </row>
    <row r="9880" spans="14:15">
      <c r="N9880" s="4"/>
      <c r="O9880" s="4"/>
    </row>
    <row r="9881" spans="14:15">
      <c r="N9881" s="4"/>
      <c r="O9881" s="4"/>
    </row>
    <row r="9882" spans="14:15">
      <c r="N9882" s="4"/>
      <c r="O9882" s="4"/>
    </row>
    <row r="9883" spans="14:15">
      <c r="N9883" s="4"/>
      <c r="O9883" s="4"/>
    </row>
    <row r="9884" spans="14:15">
      <c r="N9884" s="4"/>
      <c r="O9884" s="4"/>
    </row>
    <row r="9885" spans="14:15">
      <c r="N9885" s="4"/>
      <c r="O9885" s="4"/>
    </row>
    <row r="9886" spans="14:15">
      <c r="N9886" s="4"/>
      <c r="O9886" s="4"/>
    </row>
    <row r="9887" spans="14:15">
      <c r="N9887" s="4"/>
      <c r="O9887" s="4"/>
    </row>
    <row r="9888" spans="14:15">
      <c r="N9888" s="4"/>
      <c r="O9888" s="4"/>
    </row>
    <row r="9889" spans="14:15">
      <c r="N9889" s="4"/>
      <c r="O9889" s="4"/>
    </row>
    <row r="9890" spans="14:15">
      <c r="N9890" s="4"/>
      <c r="O9890" s="4"/>
    </row>
    <row r="9891" spans="14:15">
      <c r="N9891" s="4"/>
      <c r="O9891" s="4"/>
    </row>
    <row r="9892" spans="14:15">
      <c r="N9892" s="4"/>
      <c r="O9892" s="4"/>
    </row>
    <row r="9893" spans="14:15">
      <c r="N9893" s="4"/>
      <c r="O9893" s="4"/>
    </row>
    <row r="9894" spans="14:15">
      <c r="N9894" s="4"/>
      <c r="O9894" s="4"/>
    </row>
    <row r="9895" spans="14:15">
      <c r="N9895" s="4"/>
      <c r="O9895" s="4"/>
    </row>
    <row r="9896" spans="14:15">
      <c r="N9896" s="4"/>
      <c r="O9896" s="4"/>
    </row>
    <row r="9897" spans="14:15">
      <c r="N9897" s="4"/>
      <c r="O9897" s="4"/>
    </row>
    <row r="9898" spans="14:15">
      <c r="N9898" s="4"/>
      <c r="O9898" s="4"/>
    </row>
    <row r="9899" spans="14:15">
      <c r="N9899" s="4"/>
      <c r="O9899" s="4"/>
    </row>
    <row r="9900" spans="14:15">
      <c r="N9900" s="4"/>
      <c r="O9900" s="4"/>
    </row>
    <row r="9901" spans="14:15">
      <c r="N9901" s="4"/>
      <c r="O9901" s="4"/>
    </row>
    <row r="9902" spans="14:15">
      <c r="N9902" s="4"/>
      <c r="O9902" s="4"/>
    </row>
    <row r="9903" spans="14:15">
      <c r="N9903" s="4"/>
      <c r="O9903" s="4"/>
    </row>
    <row r="9904" spans="14:15">
      <c r="N9904" s="4"/>
      <c r="O9904" s="4"/>
    </row>
    <row r="9905" spans="14:15">
      <c r="N9905" s="4"/>
      <c r="O9905" s="4"/>
    </row>
    <row r="9906" spans="14:15">
      <c r="N9906" s="4"/>
      <c r="O9906" s="4"/>
    </row>
    <row r="9907" spans="14:15">
      <c r="N9907" s="4"/>
      <c r="O9907" s="4"/>
    </row>
    <row r="9908" spans="14:15">
      <c r="N9908" s="4"/>
      <c r="O9908" s="4"/>
    </row>
    <row r="9909" spans="14:15">
      <c r="N9909" s="4"/>
      <c r="O9909" s="4"/>
    </row>
    <row r="9910" spans="14:15">
      <c r="N9910" s="4"/>
      <c r="O9910" s="4"/>
    </row>
    <row r="9911" spans="14:15">
      <c r="N9911" s="4"/>
      <c r="O9911" s="4"/>
    </row>
    <row r="9912" spans="14:15">
      <c r="N9912" s="4"/>
      <c r="O9912" s="4"/>
    </row>
    <row r="9913" spans="14:15">
      <c r="N9913" s="4"/>
      <c r="O9913" s="4"/>
    </row>
    <row r="9914" spans="14:15">
      <c r="N9914" s="4"/>
      <c r="O9914" s="4"/>
    </row>
    <row r="9915" spans="14:15">
      <c r="N9915" s="4"/>
      <c r="O9915" s="4"/>
    </row>
    <row r="9916" spans="14:15">
      <c r="N9916" s="4"/>
      <c r="O9916" s="4"/>
    </row>
    <row r="9917" spans="14:15">
      <c r="N9917" s="4"/>
      <c r="O9917" s="4"/>
    </row>
    <row r="9918" spans="14:15">
      <c r="N9918" s="4"/>
      <c r="O9918" s="4"/>
    </row>
    <row r="9919" spans="14:15">
      <c r="N9919" s="4"/>
      <c r="O9919" s="4"/>
    </row>
    <row r="9920" spans="14:15">
      <c r="N9920" s="4"/>
      <c r="O9920" s="4"/>
    </row>
    <row r="9921" spans="14:15">
      <c r="N9921" s="4"/>
      <c r="O9921" s="4"/>
    </row>
    <row r="9922" spans="14:15">
      <c r="N9922" s="4"/>
      <c r="O9922" s="4"/>
    </row>
    <row r="9923" spans="14:15">
      <c r="N9923" s="4"/>
      <c r="O9923" s="4"/>
    </row>
    <row r="9924" spans="14:15">
      <c r="N9924" s="4"/>
      <c r="O9924" s="4"/>
    </row>
    <row r="9925" spans="14:15">
      <c r="N9925" s="4"/>
      <c r="O9925" s="4"/>
    </row>
    <row r="9926" spans="14:15">
      <c r="N9926" s="4"/>
      <c r="O9926" s="4"/>
    </row>
    <row r="9927" spans="14:15">
      <c r="N9927" s="4"/>
      <c r="O9927" s="4"/>
    </row>
    <row r="9928" spans="14:15">
      <c r="N9928" s="4"/>
      <c r="O9928" s="4"/>
    </row>
    <row r="9929" spans="14:15">
      <c r="N9929" s="4"/>
      <c r="O9929" s="4"/>
    </row>
    <row r="9930" spans="14:15">
      <c r="N9930" s="4"/>
      <c r="O9930" s="4"/>
    </row>
    <row r="9931" spans="14:15">
      <c r="N9931" s="4"/>
      <c r="O9931" s="4"/>
    </row>
    <row r="9932" spans="14:15">
      <c r="N9932" s="4"/>
      <c r="O9932" s="4"/>
    </row>
    <row r="9933" spans="14:15">
      <c r="N9933" s="4"/>
      <c r="O9933" s="4"/>
    </row>
    <row r="9934" spans="14:15">
      <c r="N9934" s="4"/>
      <c r="O9934" s="4"/>
    </row>
    <row r="9935" spans="14:15">
      <c r="N9935" s="4"/>
      <c r="O9935" s="4"/>
    </row>
    <row r="9936" spans="14:15">
      <c r="N9936" s="4"/>
      <c r="O9936" s="4"/>
    </row>
    <row r="9937" spans="14:15">
      <c r="N9937" s="4"/>
      <c r="O9937" s="4"/>
    </row>
    <row r="9938" spans="14:15">
      <c r="N9938" s="4"/>
      <c r="O9938" s="4"/>
    </row>
    <row r="9939" spans="14:15">
      <c r="N9939" s="4"/>
      <c r="O9939" s="4"/>
    </row>
    <row r="9940" spans="14:15">
      <c r="N9940" s="4"/>
      <c r="O9940" s="4"/>
    </row>
    <row r="9941" spans="14:15">
      <c r="N9941" s="4"/>
      <c r="O9941" s="4"/>
    </row>
    <row r="9942" spans="14:15">
      <c r="N9942" s="4"/>
      <c r="O9942" s="4"/>
    </row>
    <row r="9943" spans="14:15">
      <c r="N9943" s="4"/>
      <c r="O9943" s="4"/>
    </row>
    <row r="9944" spans="14:15">
      <c r="N9944" s="4"/>
      <c r="O9944" s="4"/>
    </row>
    <row r="9945" spans="14:15">
      <c r="N9945" s="4"/>
      <c r="O9945" s="4"/>
    </row>
    <row r="9946" spans="14:15">
      <c r="N9946" s="4"/>
      <c r="O9946" s="4"/>
    </row>
    <row r="9947" spans="14:15">
      <c r="N9947" s="4"/>
      <c r="O9947" s="4"/>
    </row>
    <row r="9948" spans="14:15">
      <c r="N9948" s="4"/>
      <c r="O9948" s="4"/>
    </row>
    <row r="9949" spans="14:15">
      <c r="N9949" s="4"/>
      <c r="O9949" s="4"/>
    </row>
    <row r="9950" spans="14:15">
      <c r="N9950" s="4"/>
      <c r="O9950" s="4"/>
    </row>
    <row r="9951" spans="14:15">
      <c r="N9951" s="4"/>
      <c r="O9951" s="4"/>
    </row>
    <row r="9952" spans="14:15">
      <c r="N9952" s="4"/>
      <c r="O9952" s="4"/>
    </row>
    <row r="9953" spans="14:15">
      <c r="N9953" s="4"/>
      <c r="O9953" s="4"/>
    </row>
    <row r="9954" spans="14:15">
      <c r="N9954" s="4"/>
      <c r="O9954" s="4"/>
    </row>
    <row r="9955" spans="14:15">
      <c r="N9955" s="4"/>
      <c r="O9955" s="4"/>
    </row>
    <row r="9956" spans="14:15">
      <c r="N9956" s="4"/>
      <c r="O9956" s="4"/>
    </row>
    <row r="9957" spans="14:15">
      <c r="N9957" s="4"/>
      <c r="O9957" s="4"/>
    </row>
    <row r="9958" spans="14:15">
      <c r="N9958" s="4"/>
      <c r="O9958" s="4"/>
    </row>
    <row r="9959" spans="14:15">
      <c r="N9959" s="4"/>
      <c r="O9959" s="4"/>
    </row>
    <row r="9960" spans="14:15">
      <c r="N9960" s="4"/>
      <c r="O9960" s="4"/>
    </row>
    <row r="9961" spans="14:15">
      <c r="N9961" s="4"/>
      <c r="O9961" s="4"/>
    </row>
    <row r="9962" spans="14:15">
      <c r="N9962" s="4"/>
      <c r="O9962" s="4"/>
    </row>
    <row r="9963" spans="14:15">
      <c r="N9963" s="4"/>
      <c r="O9963" s="4"/>
    </row>
    <row r="9964" spans="14:15">
      <c r="N9964" s="4"/>
      <c r="O9964" s="4"/>
    </row>
    <row r="9965" spans="14:15">
      <c r="N9965" s="4"/>
      <c r="O9965" s="4"/>
    </row>
    <row r="9966" spans="14:15">
      <c r="N9966" s="4"/>
      <c r="O9966" s="4"/>
    </row>
    <row r="9967" spans="14:15">
      <c r="N9967" s="4"/>
      <c r="O9967" s="4"/>
    </row>
    <row r="9968" spans="14:15">
      <c r="N9968" s="4"/>
      <c r="O9968" s="4"/>
    </row>
    <row r="9969" spans="14:15">
      <c r="N9969" s="4"/>
      <c r="O9969" s="4"/>
    </row>
    <row r="9970" spans="14:15">
      <c r="N9970" s="4"/>
      <c r="O9970" s="4"/>
    </row>
    <row r="9971" spans="14:15">
      <c r="N9971" s="4"/>
      <c r="O9971" s="4"/>
    </row>
    <row r="9972" spans="14:15">
      <c r="N9972" s="4"/>
      <c r="O9972" s="4"/>
    </row>
    <row r="9973" spans="14:15">
      <c r="N9973" s="4"/>
      <c r="O9973" s="4"/>
    </row>
    <row r="9974" spans="14:15">
      <c r="N9974" s="4"/>
      <c r="O9974" s="4"/>
    </row>
    <row r="9975" spans="14:15">
      <c r="N9975" s="4"/>
      <c r="O9975" s="4"/>
    </row>
    <row r="9976" spans="14:15">
      <c r="N9976" s="4"/>
      <c r="O9976" s="4"/>
    </row>
    <row r="9977" spans="14:15">
      <c r="N9977" s="4"/>
      <c r="O9977" s="4"/>
    </row>
    <row r="9978" spans="14:15">
      <c r="N9978" s="4"/>
      <c r="O9978" s="4"/>
    </row>
    <row r="9979" spans="14:15">
      <c r="N9979" s="4"/>
      <c r="O9979" s="4"/>
    </row>
    <row r="9980" spans="14:15">
      <c r="N9980" s="4"/>
      <c r="O9980" s="4"/>
    </row>
    <row r="9981" spans="14:15">
      <c r="N9981" s="4"/>
      <c r="O9981" s="4"/>
    </row>
    <row r="9982" spans="14:15">
      <c r="N9982" s="4"/>
      <c r="O9982" s="4"/>
    </row>
    <row r="9983" spans="14:15">
      <c r="N9983" s="4"/>
      <c r="O9983" s="4"/>
    </row>
    <row r="9984" spans="14:15">
      <c r="N9984" s="4"/>
      <c r="O9984" s="4"/>
    </row>
    <row r="9985" spans="14:15">
      <c r="N9985" s="4"/>
      <c r="O9985" s="4"/>
    </row>
    <row r="9986" spans="14:15">
      <c r="N9986" s="4"/>
      <c r="O9986" s="4"/>
    </row>
    <row r="9987" spans="14:15">
      <c r="N9987" s="4"/>
      <c r="O9987" s="4"/>
    </row>
    <row r="9988" spans="14:15">
      <c r="N9988" s="4"/>
      <c r="O9988" s="4"/>
    </row>
    <row r="9989" spans="14:15">
      <c r="N9989" s="4"/>
      <c r="O9989" s="4"/>
    </row>
    <row r="9990" spans="14:15">
      <c r="N9990" s="4"/>
      <c r="O9990" s="4"/>
    </row>
    <row r="9991" spans="14:15">
      <c r="N9991" s="4"/>
      <c r="O9991" s="4"/>
    </row>
    <row r="9992" spans="14:15">
      <c r="N9992" s="4"/>
      <c r="O9992" s="4"/>
    </row>
    <row r="9993" spans="14:15">
      <c r="N9993" s="4"/>
      <c r="O9993" s="4"/>
    </row>
    <row r="9994" spans="14:15">
      <c r="N9994" s="4"/>
      <c r="O9994" s="4"/>
    </row>
    <row r="9995" spans="14:15">
      <c r="N9995" s="4"/>
      <c r="O9995" s="4"/>
    </row>
    <row r="9996" spans="14:15">
      <c r="N9996" s="4"/>
      <c r="O9996" s="4"/>
    </row>
    <row r="9997" spans="14:15">
      <c r="N9997" s="4"/>
      <c r="O9997" s="4"/>
    </row>
    <row r="9998" spans="14:15">
      <c r="N9998" s="4"/>
      <c r="O9998" s="4"/>
    </row>
    <row r="9999" spans="14:15">
      <c r="N9999" s="4"/>
      <c r="O9999" s="4"/>
    </row>
    <row r="10000" spans="14:15">
      <c r="N10000" s="4"/>
      <c r="O10000" s="4"/>
    </row>
    <row r="10001" spans="14:15">
      <c r="N10001" s="4"/>
      <c r="O10001" s="4"/>
    </row>
    <row r="10002" spans="14:15">
      <c r="N10002" s="4"/>
      <c r="O10002" s="4"/>
    </row>
    <row r="10003" spans="14:15">
      <c r="N10003" s="4"/>
      <c r="O10003" s="4"/>
    </row>
    <row r="10004" spans="14:15">
      <c r="N10004" s="4"/>
      <c r="O10004" s="4"/>
    </row>
    <row r="10005" spans="14:15">
      <c r="N10005" s="4"/>
      <c r="O10005" s="4"/>
    </row>
    <row r="10006" spans="14:15">
      <c r="N10006" s="4"/>
      <c r="O10006" s="4"/>
    </row>
    <row r="10007" spans="14:15">
      <c r="N10007" s="4"/>
      <c r="O10007" s="4"/>
    </row>
    <row r="10008" spans="14:15">
      <c r="N10008" s="4"/>
      <c r="O10008" s="4"/>
    </row>
    <row r="10009" spans="14:15">
      <c r="N10009" s="4"/>
      <c r="O10009" s="4"/>
    </row>
    <row r="10010" spans="14:15">
      <c r="N10010" s="4"/>
      <c r="O10010" s="4"/>
    </row>
    <row r="10011" spans="14:15">
      <c r="N10011" s="4"/>
      <c r="O10011" s="4"/>
    </row>
    <row r="10012" spans="14:15">
      <c r="N10012" s="4"/>
      <c r="O10012" s="4"/>
    </row>
    <row r="10013" spans="14:15">
      <c r="N10013" s="4"/>
      <c r="O10013" s="4"/>
    </row>
    <row r="10014" spans="14:15">
      <c r="N10014" s="4"/>
      <c r="O10014" s="4"/>
    </row>
    <row r="10015" spans="14:15">
      <c r="N10015" s="4"/>
      <c r="O10015" s="4"/>
    </row>
    <row r="10016" spans="14:15">
      <c r="N10016" s="4"/>
      <c r="O10016" s="4"/>
    </row>
    <row r="10017" spans="14:15">
      <c r="N10017" s="4"/>
      <c r="O10017" s="4"/>
    </row>
    <row r="10018" spans="14:15">
      <c r="N10018" s="4"/>
      <c r="O10018" s="4"/>
    </row>
    <row r="10019" spans="14:15">
      <c r="N10019" s="4"/>
      <c r="O10019" s="4"/>
    </row>
    <row r="10020" spans="14:15">
      <c r="N10020" s="4"/>
      <c r="O10020" s="4"/>
    </row>
    <row r="10021" spans="14:15">
      <c r="N10021" s="4"/>
      <c r="O10021" s="4"/>
    </row>
    <row r="10022" spans="14:15">
      <c r="N10022" s="4"/>
      <c r="O10022" s="4"/>
    </row>
    <row r="10023" spans="14:15">
      <c r="N10023" s="4"/>
      <c r="O10023" s="4"/>
    </row>
    <row r="10024" spans="14:15">
      <c r="N10024" s="4"/>
      <c r="O10024" s="4"/>
    </row>
    <row r="10025" spans="14:15">
      <c r="N10025" s="4"/>
      <c r="O10025" s="4"/>
    </row>
    <row r="10026" spans="14:15">
      <c r="N10026" s="4"/>
      <c r="O10026" s="4"/>
    </row>
    <row r="10027" spans="14:15">
      <c r="N10027" s="4"/>
      <c r="O10027" s="4"/>
    </row>
    <row r="10028" spans="14:15">
      <c r="N10028" s="4"/>
      <c r="O10028" s="4"/>
    </row>
    <row r="10029" spans="14:15">
      <c r="N10029" s="4"/>
      <c r="O10029" s="4"/>
    </row>
    <row r="10030" spans="14:15">
      <c r="N10030" s="4"/>
      <c r="O10030" s="4"/>
    </row>
    <row r="10031" spans="14:15">
      <c r="N10031" s="4"/>
      <c r="O10031" s="4"/>
    </row>
    <row r="10032" spans="14:15">
      <c r="N10032" s="4"/>
      <c r="O10032" s="4"/>
    </row>
    <row r="10033" spans="14:15">
      <c r="N10033" s="4"/>
      <c r="O10033" s="4"/>
    </row>
    <row r="10034" spans="14:15">
      <c r="N10034" s="4"/>
      <c r="O10034" s="4"/>
    </row>
    <row r="10035" spans="14:15">
      <c r="N10035" s="4"/>
      <c r="O10035" s="4"/>
    </row>
    <row r="10036" spans="14:15">
      <c r="N10036" s="4"/>
      <c r="O10036" s="4"/>
    </row>
    <row r="10037" spans="14:15">
      <c r="N10037" s="4"/>
      <c r="O10037" s="4"/>
    </row>
    <row r="10038" spans="14:15">
      <c r="N10038" s="4"/>
      <c r="O10038" s="4"/>
    </row>
    <row r="10039" spans="14:15">
      <c r="N10039" s="4"/>
      <c r="O10039" s="4"/>
    </row>
    <row r="10040" spans="14:15">
      <c r="N10040" s="4"/>
      <c r="O10040" s="4"/>
    </row>
    <row r="10041" spans="14:15">
      <c r="N10041" s="4"/>
      <c r="O10041" s="4"/>
    </row>
    <row r="10042" spans="14:15">
      <c r="N10042" s="4"/>
      <c r="O10042" s="4"/>
    </row>
    <row r="10043" spans="14:15">
      <c r="N10043" s="4"/>
      <c r="O10043" s="4"/>
    </row>
    <row r="10044" spans="14:15">
      <c r="N10044" s="4"/>
      <c r="O10044" s="4"/>
    </row>
    <row r="10045" spans="14:15">
      <c r="N10045" s="4"/>
      <c r="O10045" s="4"/>
    </row>
    <row r="10046" spans="14:15">
      <c r="N10046" s="4"/>
      <c r="O10046" s="4"/>
    </row>
    <row r="10047" spans="14:15">
      <c r="N10047" s="4"/>
      <c r="O10047" s="4"/>
    </row>
    <row r="10048" spans="14:15">
      <c r="N10048" s="4"/>
      <c r="O10048" s="4"/>
    </row>
    <row r="10049" spans="14:15">
      <c r="N10049" s="4"/>
      <c r="O10049" s="4"/>
    </row>
    <row r="10050" spans="14:15">
      <c r="N10050" s="4"/>
      <c r="O10050" s="4"/>
    </row>
    <row r="10051" spans="14:15">
      <c r="N10051" s="4"/>
      <c r="O10051" s="4"/>
    </row>
    <row r="10052" spans="14:15">
      <c r="N10052" s="4"/>
      <c r="O10052" s="4"/>
    </row>
    <row r="10053" spans="14:15">
      <c r="N10053" s="4"/>
      <c r="O10053" s="4"/>
    </row>
    <row r="10054" spans="14:15">
      <c r="N10054" s="4"/>
      <c r="O10054" s="4"/>
    </row>
    <row r="10055" spans="14:15">
      <c r="N10055" s="4"/>
      <c r="O10055" s="4"/>
    </row>
    <row r="10056" spans="14:15">
      <c r="N10056" s="4"/>
      <c r="O10056" s="4"/>
    </row>
    <row r="10057" spans="14:15">
      <c r="N10057" s="4"/>
      <c r="O10057" s="4"/>
    </row>
    <row r="10058" spans="14:15">
      <c r="N10058" s="4"/>
      <c r="O10058" s="4"/>
    </row>
    <row r="10059" spans="14:15">
      <c r="N10059" s="4"/>
      <c r="O10059" s="4"/>
    </row>
    <row r="10060" spans="14:15">
      <c r="N10060" s="4"/>
      <c r="O10060" s="4"/>
    </row>
    <row r="10061" spans="14:15">
      <c r="N10061" s="4"/>
      <c r="O10061" s="4"/>
    </row>
    <row r="10062" spans="14:15">
      <c r="N10062" s="4"/>
      <c r="O10062" s="4"/>
    </row>
    <row r="10063" spans="14:15">
      <c r="N10063" s="4"/>
      <c r="O10063" s="4"/>
    </row>
    <row r="10064" spans="14:15">
      <c r="N10064" s="4"/>
      <c r="O10064" s="4"/>
    </row>
    <row r="10065" spans="14:15">
      <c r="N10065" s="4"/>
      <c r="O10065" s="4"/>
    </row>
    <row r="10066" spans="14:15">
      <c r="N10066" s="4"/>
      <c r="O10066" s="4"/>
    </row>
    <row r="10067" spans="14:15">
      <c r="N10067" s="4"/>
      <c r="O10067" s="4"/>
    </row>
    <row r="10068" spans="14:15">
      <c r="N10068" s="4"/>
      <c r="O10068" s="4"/>
    </row>
    <row r="10069" spans="14:15">
      <c r="N10069" s="4"/>
      <c r="O10069" s="4"/>
    </row>
    <row r="10070" spans="14:15">
      <c r="N10070" s="4"/>
      <c r="O10070" s="4"/>
    </row>
    <row r="10071" spans="14:15">
      <c r="N10071" s="4"/>
      <c r="O10071" s="4"/>
    </row>
    <row r="10072" spans="14:15">
      <c r="N10072" s="4"/>
      <c r="O10072" s="4"/>
    </row>
    <row r="10073" spans="14:15">
      <c r="N10073" s="4"/>
      <c r="O10073" s="4"/>
    </row>
    <row r="10074" spans="14:15">
      <c r="N10074" s="4"/>
      <c r="O10074" s="4"/>
    </row>
    <row r="10075" spans="14:15">
      <c r="N10075" s="4"/>
      <c r="O10075" s="4"/>
    </row>
    <row r="10076" spans="14:15">
      <c r="N10076" s="4"/>
      <c r="O10076" s="4"/>
    </row>
    <row r="10077" spans="14:15">
      <c r="N10077" s="4"/>
      <c r="O10077" s="4"/>
    </row>
    <row r="10078" spans="14:15">
      <c r="N10078" s="4"/>
      <c r="O10078" s="4"/>
    </row>
    <row r="10079" spans="14:15">
      <c r="N10079" s="4"/>
      <c r="O10079" s="4"/>
    </row>
    <row r="10080" spans="14:15">
      <c r="N10080" s="4"/>
      <c r="O10080" s="4"/>
    </row>
    <row r="10081" spans="14:15">
      <c r="N10081" s="4"/>
      <c r="O10081" s="4"/>
    </row>
    <row r="10082" spans="14:15">
      <c r="N10082" s="4"/>
      <c r="O10082" s="4"/>
    </row>
    <row r="10083" spans="14:15">
      <c r="N10083" s="4"/>
      <c r="O10083" s="4"/>
    </row>
    <row r="10084" spans="14:15">
      <c r="N10084" s="4"/>
      <c r="O10084" s="4"/>
    </row>
    <row r="10085" spans="14:15">
      <c r="N10085" s="4"/>
      <c r="O10085" s="4"/>
    </row>
    <row r="10086" spans="14:15">
      <c r="N10086" s="4"/>
      <c r="O10086" s="4"/>
    </row>
    <row r="10087" spans="14:15">
      <c r="N10087" s="4"/>
      <c r="O10087" s="4"/>
    </row>
    <row r="10088" spans="14:15">
      <c r="N10088" s="4"/>
      <c r="O10088" s="4"/>
    </row>
    <row r="10089" spans="14:15">
      <c r="N10089" s="4"/>
      <c r="O10089" s="4"/>
    </row>
    <row r="10090" spans="14:15">
      <c r="N10090" s="4"/>
      <c r="O10090" s="4"/>
    </row>
    <row r="10091" spans="14:15">
      <c r="N10091" s="4"/>
      <c r="O10091" s="4"/>
    </row>
    <row r="10092" spans="14:15">
      <c r="N10092" s="4"/>
      <c r="O10092" s="4"/>
    </row>
    <row r="10093" spans="14:15">
      <c r="N10093" s="4"/>
      <c r="O10093" s="4"/>
    </row>
    <row r="10094" spans="14:15">
      <c r="N10094" s="4"/>
      <c r="O10094" s="4"/>
    </row>
    <row r="10095" spans="14:15">
      <c r="N10095" s="4"/>
      <c r="O10095" s="4"/>
    </row>
    <row r="10096" spans="14:15">
      <c r="N10096" s="4"/>
      <c r="O10096" s="4"/>
    </row>
    <row r="10097" spans="14:15">
      <c r="N10097" s="4"/>
      <c r="O10097" s="4"/>
    </row>
    <row r="10098" spans="14:15">
      <c r="N10098" s="4"/>
      <c r="O10098" s="4"/>
    </row>
    <row r="10099" spans="14:15">
      <c r="N10099" s="4"/>
      <c r="O10099" s="4"/>
    </row>
    <row r="10100" spans="14:15">
      <c r="N10100" s="4"/>
      <c r="O10100" s="4"/>
    </row>
    <row r="10101" spans="14:15">
      <c r="N10101" s="4"/>
      <c r="O10101" s="4"/>
    </row>
    <row r="10102" spans="14:15">
      <c r="N10102" s="4"/>
      <c r="O10102" s="4"/>
    </row>
    <row r="10103" spans="14:15">
      <c r="N10103" s="4"/>
      <c r="O10103" s="4"/>
    </row>
    <row r="10104" spans="14:15">
      <c r="N10104" s="4"/>
      <c r="O10104" s="4"/>
    </row>
    <row r="10105" spans="14:15">
      <c r="N10105" s="4"/>
      <c r="O10105" s="4"/>
    </row>
    <row r="10106" spans="14:15">
      <c r="N10106" s="4"/>
      <c r="O10106" s="4"/>
    </row>
    <row r="10107" spans="14:15">
      <c r="N10107" s="4"/>
      <c r="O10107" s="4"/>
    </row>
    <row r="10108" spans="14:15">
      <c r="N10108" s="4"/>
      <c r="O10108" s="4"/>
    </row>
    <row r="10109" spans="14:15">
      <c r="N10109" s="4"/>
      <c r="O10109" s="4"/>
    </row>
    <row r="10110" spans="14:15">
      <c r="N10110" s="4"/>
      <c r="O10110" s="4"/>
    </row>
    <row r="10111" spans="14:15">
      <c r="N10111" s="4"/>
      <c r="O10111" s="4"/>
    </row>
    <row r="10112" spans="14:15">
      <c r="N10112" s="4"/>
      <c r="O10112" s="4"/>
    </row>
    <row r="10113" spans="14:15">
      <c r="N10113" s="4"/>
      <c r="O10113" s="4"/>
    </row>
    <row r="10114" spans="14:15">
      <c r="N10114" s="4"/>
      <c r="O10114" s="4"/>
    </row>
    <row r="10115" spans="14:15">
      <c r="N10115" s="4"/>
      <c r="O10115" s="4"/>
    </row>
    <row r="10116" spans="14:15">
      <c r="N10116" s="4"/>
      <c r="O10116" s="4"/>
    </row>
    <row r="10117" spans="14:15">
      <c r="N10117" s="4"/>
      <c r="O10117" s="4"/>
    </row>
    <row r="10118" spans="14:15">
      <c r="N10118" s="4"/>
      <c r="O10118" s="4"/>
    </row>
    <row r="10119" spans="14:15">
      <c r="N10119" s="4"/>
      <c r="O10119" s="4"/>
    </row>
    <row r="10120" spans="14:15">
      <c r="N10120" s="4"/>
      <c r="O10120" s="4"/>
    </row>
    <row r="10121" spans="14:15">
      <c r="N10121" s="4"/>
      <c r="O10121" s="4"/>
    </row>
    <row r="10122" spans="14:15">
      <c r="N10122" s="4"/>
      <c r="O10122" s="4"/>
    </row>
    <row r="10123" spans="14:15">
      <c r="N10123" s="4"/>
      <c r="O10123" s="4"/>
    </row>
    <row r="10124" spans="14:15">
      <c r="N10124" s="4"/>
      <c r="O10124" s="4"/>
    </row>
    <row r="10125" spans="14:15">
      <c r="N10125" s="4"/>
      <c r="O10125" s="4"/>
    </row>
    <row r="10126" spans="14:15">
      <c r="N10126" s="4"/>
      <c r="O10126" s="4"/>
    </row>
    <row r="10127" spans="14:15">
      <c r="N10127" s="4"/>
      <c r="O10127" s="4"/>
    </row>
    <row r="10128" spans="14:15">
      <c r="N10128" s="4"/>
      <c r="O10128" s="4"/>
    </row>
    <row r="10129" spans="14:15">
      <c r="N10129" s="4"/>
      <c r="O10129" s="4"/>
    </row>
    <row r="10130" spans="14:15">
      <c r="N10130" s="4"/>
      <c r="O10130" s="4"/>
    </row>
    <row r="10131" spans="14:15">
      <c r="N10131" s="4"/>
      <c r="O10131" s="4"/>
    </row>
    <row r="10132" spans="14:15">
      <c r="N10132" s="4"/>
      <c r="O10132" s="4"/>
    </row>
    <row r="10133" spans="14:15">
      <c r="N10133" s="4"/>
      <c r="O10133" s="4"/>
    </row>
    <row r="10134" spans="14:15">
      <c r="N10134" s="4"/>
      <c r="O10134" s="4"/>
    </row>
    <row r="10135" spans="14:15">
      <c r="N10135" s="4"/>
      <c r="O10135" s="4"/>
    </row>
    <row r="10136" spans="14:15">
      <c r="N10136" s="4"/>
      <c r="O10136" s="4"/>
    </row>
    <row r="10137" spans="14:15">
      <c r="N10137" s="4"/>
      <c r="O10137" s="4"/>
    </row>
    <row r="10138" spans="14:15">
      <c r="N10138" s="4"/>
      <c r="O10138" s="4"/>
    </row>
    <row r="10139" spans="14:15">
      <c r="N10139" s="4"/>
      <c r="O10139" s="4"/>
    </row>
    <row r="10140" spans="14:15">
      <c r="N10140" s="4"/>
      <c r="O10140" s="4"/>
    </row>
    <row r="10141" spans="14:15">
      <c r="N10141" s="4"/>
      <c r="O10141" s="4"/>
    </row>
    <row r="10142" spans="14:15">
      <c r="N10142" s="4"/>
      <c r="O10142" s="4"/>
    </row>
    <row r="10143" spans="14:15">
      <c r="N10143" s="4"/>
      <c r="O10143" s="4"/>
    </row>
    <row r="10144" spans="14:15">
      <c r="N10144" s="4"/>
      <c r="O10144" s="4"/>
    </row>
    <row r="10145" spans="14:15">
      <c r="N10145" s="4"/>
      <c r="O10145" s="4"/>
    </row>
    <row r="10146" spans="14:15">
      <c r="N10146" s="4"/>
      <c r="O10146" s="4"/>
    </row>
    <row r="10147" spans="14:15">
      <c r="N10147" s="4"/>
      <c r="O10147" s="4"/>
    </row>
    <row r="10148" spans="14:15">
      <c r="N10148" s="4"/>
      <c r="O10148" s="4"/>
    </row>
    <row r="10149" spans="14:15">
      <c r="N10149" s="4"/>
      <c r="O10149" s="4"/>
    </row>
    <row r="10150" spans="14:15">
      <c r="N10150" s="4"/>
      <c r="O10150" s="4"/>
    </row>
    <row r="10151" spans="14:15">
      <c r="N10151" s="4"/>
      <c r="O10151" s="4"/>
    </row>
    <row r="10152" spans="14:15">
      <c r="N10152" s="4"/>
      <c r="O10152" s="4"/>
    </row>
    <row r="10153" spans="14:15">
      <c r="N10153" s="4"/>
      <c r="O10153" s="4"/>
    </row>
    <row r="10154" spans="14:15">
      <c r="N10154" s="4"/>
      <c r="O10154" s="4"/>
    </row>
    <row r="10155" spans="14:15">
      <c r="N10155" s="4"/>
      <c r="O10155" s="4"/>
    </row>
    <row r="10156" spans="14:15">
      <c r="N10156" s="4"/>
      <c r="O10156" s="4"/>
    </row>
    <row r="10157" spans="14:15">
      <c r="N10157" s="4"/>
      <c r="O10157" s="4"/>
    </row>
    <row r="10158" spans="14:15">
      <c r="N10158" s="4"/>
      <c r="O10158" s="4"/>
    </row>
    <row r="10159" spans="14:15">
      <c r="N10159" s="4"/>
      <c r="O10159" s="4"/>
    </row>
    <row r="10160" spans="14:15">
      <c r="N10160" s="4"/>
      <c r="O10160" s="4"/>
    </row>
    <row r="10161" spans="14:15">
      <c r="N10161" s="4"/>
      <c r="O10161" s="4"/>
    </row>
    <row r="10162" spans="14:15">
      <c r="N10162" s="4"/>
      <c r="O10162" s="4"/>
    </row>
    <row r="10163" spans="14:15">
      <c r="N10163" s="4"/>
      <c r="O10163" s="4"/>
    </row>
    <row r="10164" spans="14:15">
      <c r="N10164" s="4"/>
      <c r="O10164" s="4"/>
    </row>
    <row r="10165" spans="14:15">
      <c r="N10165" s="4"/>
      <c r="O10165" s="4"/>
    </row>
    <row r="10166" spans="14:15">
      <c r="N10166" s="4"/>
      <c r="O10166" s="4"/>
    </row>
    <row r="10167" spans="14:15">
      <c r="N10167" s="4"/>
      <c r="O10167" s="4"/>
    </row>
    <row r="10168" spans="14:15">
      <c r="N10168" s="4"/>
      <c r="O10168" s="4"/>
    </row>
    <row r="10169" spans="14:15">
      <c r="N10169" s="4"/>
      <c r="O10169" s="4"/>
    </row>
    <row r="10170" spans="14:15">
      <c r="N10170" s="4"/>
      <c r="O10170" s="4"/>
    </row>
    <row r="10171" spans="14:15">
      <c r="N10171" s="4"/>
      <c r="O10171" s="4"/>
    </row>
    <row r="10172" spans="14:15">
      <c r="N10172" s="4"/>
      <c r="O10172" s="4"/>
    </row>
    <row r="10173" spans="14:15">
      <c r="N10173" s="4"/>
      <c r="O10173" s="4"/>
    </row>
    <row r="10174" spans="14:15">
      <c r="N10174" s="4"/>
      <c r="O10174" s="4"/>
    </row>
    <row r="10175" spans="14:15">
      <c r="N10175" s="4"/>
      <c r="O10175" s="4"/>
    </row>
    <row r="10176" spans="14:15">
      <c r="N10176" s="4"/>
      <c r="O10176" s="4"/>
    </row>
    <row r="10177" spans="14:15">
      <c r="N10177" s="4"/>
      <c r="O10177" s="4"/>
    </row>
    <row r="10178" spans="14:15">
      <c r="N10178" s="4"/>
      <c r="O10178" s="4"/>
    </row>
    <row r="10179" spans="14:15">
      <c r="N10179" s="4"/>
      <c r="O10179" s="4"/>
    </row>
    <row r="10180" spans="14:15">
      <c r="N10180" s="4"/>
      <c r="O10180" s="4"/>
    </row>
    <row r="10181" spans="14:15">
      <c r="N10181" s="4"/>
      <c r="O10181" s="4"/>
    </row>
    <row r="10182" spans="14:15">
      <c r="N10182" s="4"/>
      <c r="O10182" s="4"/>
    </row>
    <row r="10183" spans="14:15">
      <c r="N10183" s="4"/>
      <c r="O10183" s="4"/>
    </row>
    <row r="10184" spans="14:15">
      <c r="N10184" s="4"/>
      <c r="O10184" s="4"/>
    </row>
    <row r="10185" spans="14:15">
      <c r="N10185" s="4"/>
      <c r="O10185" s="4"/>
    </row>
    <row r="10186" spans="14:15">
      <c r="N10186" s="4"/>
      <c r="O10186" s="4"/>
    </row>
    <row r="10187" spans="14:15">
      <c r="N10187" s="4"/>
      <c r="O10187" s="4"/>
    </row>
    <row r="10188" spans="14:15">
      <c r="N10188" s="4"/>
      <c r="O10188" s="4"/>
    </row>
    <row r="10189" spans="14:15">
      <c r="N10189" s="4"/>
      <c r="O10189" s="4"/>
    </row>
    <row r="10190" spans="14:15">
      <c r="N10190" s="4"/>
      <c r="O10190" s="4"/>
    </row>
    <row r="10191" spans="14:15">
      <c r="N10191" s="4"/>
      <c r="O10191" s="4"/>
    </row>
    <row r="10192" spans="14:15">
      <c r="N10192" s="4"/>
      <c r="O10192" s="4"/>
    </row>
    <row r="10193" spans="14:15">
      <c r="N10193" s="4"/>
      <c r="O10193" s="4"/>
    </row>
    <row r="10194" spans="14:15">
      <c r="N10194" s="4"/>
      <c r="O10194" s="4"/>
    </row>
    <row r="10195" spans="14:15">
      <c r="N10195" s="4"/>
      <c r="O10195" s="4"/>
    </row>
    <row r="10196" spans="14:15">
      <c r="N10196" s="4"/>
      <c r="O10196" s="4"/>
    </row>
    <row r="10197" spans="14:15">
      <c r="N10197" s="4"/>
      <c r="O10197" s="4"/>
    </row>
    <row r="10198" spans="14:15">
      <c r="N10198" s="4"/>
      <c r="O10198" s="4"/>
    </row>
    <row r="10199" spans="14:15">
      <c r="N10199" s="4"/>
      <c r="O10199" s="4"/>
    </row>
    <row r="10200" spans="14:15">
      <c r="N10200" s="4"/>
      <c r="O10200" s="4"/>
    </row>
    <row r="10201" spans="14:15">
      <c r="N10201" s="4"/>
      <c r="O10201" s="4"/>
    </row>
    <row r="10202" spans="14:15">
      <c r="N10202" s="4"/>
      <c r="O10202" s="4"/>
    </row>
    <row r="10203" spans="14:15">
      <c r="N10203" s="4"/>
      <c r="O10203" s="4"/>
    </row>
    <row r="10204" spans="14:15">
      <c r="N10204" s="4"/>
      <c r="O10204" s="4"/>
    </row>
    <row r="10205" spans="14:15">
      <c r="N10205" s="4"/>
      <c r="O10205" s="4"/>
    </row>
    <row r="10206" spans="14:15">
      <c r="N10206" s="4"/>
      <c r="O10206" s="4"/>
    </row>
    <row r="10207" spans="14:15">
      <c r="N10207" s="4"/>
      <c r="O10207" s="4"/>
    </row>
    <row r="10208" spans="14:15">
      <c r="N10208" s="4"/>
      <c r="O10208" s="4"/>
    </row>
    <row r="10209" spans="14:15">
      <c r="N10209" s="4"/>
      <c r="O10209" s="4"/>
    </row>
    <row r="10210" spans="14:15">
      <c r="N10210" s="4"/>
      <c r="O10210" s="4"/>
    </row>
    <row r="10211" spans="14:15">
      <c r="N10211" s="4"/>
      <c r="O10211" s="4"/>
    </row>
    <row r="10212" spans="14:15">
      <c r="N10212" s="4"/>
      <c r="O10212" s="4"/>
    </row>
    <row r="10213" spans="14:15">
      <c r="N10213" s="4"/>
      <c r="O10213" s="4"/>
    </row>
    <row r="10214" spans="14:15">
      <c r="N10214" s="4"/>
      <c r="O10214" s="4"/>
    </row>
    <row r="10215" spans="14:15">
      <c r="N10215" s="4"/>
      <c r="O10215" s="4"/>
    </row>
    <row r="10216" spans="14:15">
      <c r="N10216" s="4"/>
      <c r="O10216" s="4"/>
    </row>
    <row r="10217" spans="14:15">
      <c r="N10217" s="4"/>
      <c r="O10217" s="4"/>
    </row>
    <row r="10218" spans="14:15">
      <c r="N10218" s="4"/>
      <c r="O10218" s="4"/>
    </row>
    <row r="10219" spans="14:15">
      <c r="N10219" s="4"/>
      <c r="O10219" s="4"/>
    </row>
    <row r="10220" spans="14:15">
      <c r="N10220" s="4"/>
      <c r="O10220" s="4"/>
    </row>
    <row r="10221" spans="14:15">
      <c r="N10221" s="4"/>
      <c r="O10221" s="4"/>
    </row>
    <row r="10222" spans="14:15">
      <c r="N10222" s="4"/>
      <c r="O10222" s="4"/>
    </row>
    <row r="10223" spans="14:15">
      <c r="N10223" s="4"/>
      <c r="O10223" s="4"/>
    </row>
    <row r="10224" spans="14:15">
      <c r="N10224" s="4"/>
      <c r="O10224" s="4"/>
    </row>
    <row r="10225" spans="14:15">
      <c r="N10225" s="4"/>
      <c r="O10225" s="4"/>
    </row>
    <row r="10226" spans="14:15">
      <c r="N10226" s="4"/>
      <c r="O10226" s="4"/>
    </row>
    <row r="10227" spans="14:15">
      <c r="N10227" s="4"/>
      <c r="O10227" s="4"/>
    </row>
    <row r="10228" spans="14:15">
      <c r="N10228" s="4"/>
      <c r="O10228" s="4"/>
    </row>
    <row r="10229" spans="14:15">
      <c r="N10229" s="4"/>
      <c r="O10229" s="4"/>
    </row>
    <row r="10230" spans="14:15">
      <c r="N10230" s="4"/>
      <c r="O10230" s="4"/>
    </row>
    <row r="10231" spans="14:15">
      <c r="N10231" s="4"/>
      <c r="O10231" s="4"/>
    </row>
    <row r="10232" spans="14:15">
      <c r="N10232" s="4"/>
      <c r="O10232" s="4"/>
    </row>
    <row r="10233" spans="14:15">
      <c r="N10233" s="4"/>
      <c r="O10233" s="4"/>
    </row>
    <row r="10234" spans="14:15">
      <c r="N10234" s="4"/>
      <c r="O10234" s="4"/>
    </row>
    <row r="10235" spans="14:15">
      <c r="N10235" s="4"/>
      <c r="O10235" s="4"/>
    </row>
    <row r="10236" spans="14:15">
      <c r="N10236" s="4"/>
      <c r="O10236" s="4"/>
    </row>
    <row r="10237" spans="14:15">
      <c r="N10237" s="4"/>
      <c r="O10237" s="4"/>
    </row>
    <row r="10238" spans="14:15">
      <c r="N10238" s="4"/>
      <c r="O10238" s="4"/>
    </row>
    <row r="10239" spans="14:15">
      <c r="N10239" s="4"/>
      <c r="O10239" s="4"/>
    </row>
    <row r="10240" spans="14:15">
      <c r="N10240" s="4"/>
      <c r="O10240" s="4"/>
    </row>
    <row r="10241" spans="14:15">
      <c r="N10241" s="4"/>
      <c r="O10241" s="4"/>
    </row>
    <row r="10242" spans="14:15">
      <c r="N10242" s="4"/>
      <c r="O10242" s="4"/>
    </row>
    <row r="10243" spans="14:15">
      <c r="N10243" s="4"/>
      <c r="O10243" s="4"/>
    </row>
    <row r="10244" spans="14:15">
      <c r="N10244" s="4"/>
      <c r="O10244" s="4"/>
    </row>
    <row r="10245" spans="14:15">
      <c r="N10245" s="4"/>
      <c r="O10245" s="4"/>
    </row>
    <row r="10246" spans="14:15">
      <c r="N10246" s="4"/>
      <c r="O10246" s="4"/>
    </row>
    <row r="10247" spans="14:15">
      <c r="N10247" s="4"/>
      <c r="O10247" s="4"/>
    </row>
    <row r="10248" spans="14:15">
      <c r="N10248" s="4"/>
      <c r="O10248" s="4"/>
    </row>
    <row r="10249" spans="14:15">
      <c r="N10249" s="4"/>
      <c r="O10249" s="4"/>
    </row>
    <row r="10250" spans="14:15">
      <c r="N10250" s="4"/>
      <c r="O10250" s="4"/>
    </row>
    <row r="10251" spans="14:15">
      <c r="N10251" s="4"/>
      <c r="O10251" s="4"/>
    </row>
    <row r="10252" spans="14:15">
      <c r="N10252" s="4"/>
      <c r="O10252" s="4"/>
    </row>
    <row r="10253" spans="14:15">
      <c r="N10253" s="4"/>
      <c r="O10253" s="4"/>
    </row>
    <row r="10254" spans="14:15">
      <c r="N10254" s="4"/>
      <c r="O10254" s="4"/>
    </row>
    <row r="10255" spans="14:15">
      <c r="N10255" s="4"/>
      <c r="O10255" s="4"/>
    </row>
    <row r="10256" spans="14:15">
      <c r="N10256" s="4"/>
      <c r="O10256" s="4"/>
    </row>
    <row r="10257" spans="14:15">
      <c r="N10257" s="4"/>
      <c r="O10257" s="4"/>
    </row>
    <row r="10258" spans="14:15">
      <c r="N10258" s="4"/>
      <c r="O10258" s="4"/>
    </row>
    <row r="10259" spans="14:15">
      <c r="N10259" s="4"/>
      <c r="O10259" s="4"/>
    </row>
    <row r="10260" spans="14:15">
      <c r="N10260" s="4"/>
      <c r="O10260" s="4"/>
    </row>
    <row r="10261" spans="14:15">
      <c r="N10261" s="4"/>
      <c r="O10261" s="4"/>
    </row>
    <row r="10262" spans="14:15">
      <c r="N10262" s="4"/>
      <c r="O10262" s="4"/>
    </row>
    <row r="10263" spans="14:15">
      <c r="N10263" s="4"/>
      <c r="O10263" s="4"/>
    </row>
    <row r="10264" spans="14:15">
      <c r="N10264" s="4"/>
      <c r="O10264" s="4"/>
    </row>
    <row r="10265" spans="14:15">
      <c r="N10265" s="4"/>
      <c r="O10265" s="4"/>
    </row>
    <row r="10266" spans="14:15">
      <c r="N10266" s="4"/>
      <c r="O10266" s="4"/>
    </row>
    <row r="10267" spans="14:15">
      <c r="N10267" s="4"/>
      <c r="O10267" s="4"/>
    </row>
    <row r="10268" spans="14:15">
      <c r="N10268" s="4"/>
      <c r="O10268" s="4"/>
    </row>
    <row r="10269" spans="14:15">
      <c r="N10269" s="4"/>
      <c r="O10269" s="4"/>
    </row>
    <row r="10270" spans="14:15">
      <c r="N10270" s="4"/>
      <c r="O10270" s="4"/>
    </row>
    <row r="10271" spans="14:15">
      <c r="N10271" s="4"/>
      <c r="O10271" s="4"/>
    </row>
    <row r="10272" spans="14:15">
      <c r="N10272" s="4"/>
      <c r="O10272" s="4"/>
    </row>
    <row r="10273" spans="14:15">
      <c r="N10273" s="4"/>
      <c r="O10273" s="4"/>
    </row>
    <row r="10274" spans="14:15">
      <c r="N10274" s="4"/>
      <c r="O10274" s="4"/>
    </row>
    <row r="10275" spans="14:15">
      <c r="N10275" s="4"/>
      <c r="O10275" s="4"/>
    </row>
    <row r="10276" spans="14:15">
      <c r="N10276" s="4"/>
      <c r="O10276" s="4"/>
    </row>
    <row r="10277" spans="14:15">
      <c r="N10277" s="4"/>
      <c r="O10277" s="4"/>
    </row>
    <row r="10278" spans="14:15">
      <c r="N10278" s="4"/>
      <c r="O10278" s="4"/>
    </row>
    <row r="10279" spans="14:15">
      <c r="N10279" s="4"/>
      <c r="O10279" s="4"/>
    </row>
    <row r="10280" spans="14:15">
      <c r="N10280" s="4"/>
      <c r="O10280" s="4"/>
    </row>
    <row r="10281" spans="14:15">
      <c r="N10281" s="4"/>
      <c r="O10281" s="4"/>
    </row>
    <row r="10282" spans="14:15">
      <c r="N10282" s="4"/>
      <c r="O10282" s="4"/>
    </row>
    <row r="10283" spans="14:15">
      <c r="N10283" s="4"/>
      <c r="O10283" s="4"/>
    </row>
    <row r="10284" spans="14:15">
      <c r="N10284" s="4"/>
      <c r="O10284" s="4"/>
    </row>
    <row r="10285" spans="14:15">
      <c r="N10285" s="4"/>
      <c r="O10285" s="4"/>
    </row>
    <row r="10286" spans="14:15">
      <c r="N10286" s="4"/>
      <c r="O10286" s="4"/>
    </row>
    <row r="10287" spans="14:15">
      <c r="N10287" s="4"/>
      <c r="O10287" s="4"/>
    </row>
    <row r="10288" spans="14:15">
      <c r="N10288" s="4"/>
      <c r="O10288" s="4"/>
    </row>
    <row r="10289" spans="14:15">
      <c r="N10289" s="4"/>
      <c r="O10289" s="4"/>
    </row>
    <row r="10290" spans="14:15">
      <c r="N10290" s="4"/>
      <c r="O10290" s="4"/>
    </row>
    <row r="10291" spans="14:15">
      <c r="N10291" s="4"/>
      <c r="O10291" s="4"/>
    </row>
    <row r="10292" spans="14:15">
      <c r="N10292" s="4"/>
      <c r="O10292" s="4"/>
    </row>
    <row r="10293" spans="14:15">
      <c r="N10293" s="4"/>
      <c r="O10293" s="4"/>
    </row>
    <row r="10294" spans="14:15">
      <c r="N10294" s="4"/>
      <c r="O10294" s="4"/>
    </row>
    <row r="10295" spans="14:15">
      <c r="N10295" s="4"/>
      <c r="O10295" s="4"/>
    </row>
    <row r="10296" spans="14:15">
      <c r="N10296" s="4"/>
      <c r="O10296" s="4"/>
    </row>
    <row r="10297" spans="14:15">
      <c r="N10297" s="4"/>
      <c r="O10297" s="4"/>
    </row>
    <row r="10298" spans="14:15">
      <c r="N10298" s="4"/>
      <c r="O10298" s="4"/>
    </row>
    <row r="10299" spans="14:15">
      <c r="N10299" s="4"/>
      <c r="O10299" s="4"/>
    </row>
    <row r="10300" spans="14:15">
      <c r="N10300" s="4"/>
      <c r="O10300" s="4"/>
    </row>
    <row r="10301" spans="14:15">
      <c r="N10301" s="4"/>
      <c r="O10301" s="4"/>
    </row>
    <row r="10302" spans="14:15">
      <c r="N10302" s="4"/>
      <c r="O10302" s="4"/>
    </row>
    <row r="10303" spans="14:15">
      <c r="N10303" s="4"/>
      <c r="O10303" s="4"/>
    </row>
    <row r="10304" spans="14:15">
      <c r="N10304" s="4"/>
      <c r="O10304" s="4"/>
    </row>
    <row r="10305" spans="14:15">
      <c r="N10305" s="4"/>
      <c r="O10305" s="4"/>
    </row>
    <row r="10306" spans="14:15">
      <c r="N10306" s="4"/>
      <c r="O10306" s="4"/>
    </row>
    <row r="10307" spans="14:15">
      <c r="N10307" s="4"/>
      <c r="O10307" s="4"/>
    </row>
    <row r="10308" spans="14:15">
      <c r="N10308" s="4"/>
      <c r="O10308" s="4"/>
    </row>
    <row r="10309" spans="14:15">
      <c r="N10309" s="4"/>
      <c r="O10309" s="4"/>
    </row>
    <row r="10310" spans="14:15">
      <c r="N10310" s="4"/>
      <c r="O10310" s="4"/>
    </row>
    <row r="10311" spans="14:15">
      <c r="N10311" s="4"/>
      <c r="O10311" s="4"/>
    </row>
    <row r="10312" spans="14:15">
      <c r="N10312" s="4"/>
      <c r="O10312" s="4"/>
    </row>
    <row r="10313" spans="14:15">
      <c r="N10313" s="4"/>
      <c r="O10313" s="4"/>
    </row>
    <row r="10314" spans="14:15">
      <c r="N10314" s="4"/>
      <c r="O10314" s="4"/>
    </row>
    <row r="10315" spans="14:15">
      <c r="N10315" s="4"/>
      <c r="O10315" s="4"/>
    </row>
    <row r="10316" spans="14:15">
      <c r="N10316" s="4"/>
      <c r="O10316" s="4"/>
    </row>
    <row r="10317" spans="14:15">
      <c r="N10317" s="4"/>
      <c r="O10317" s="4"/>
    </row>
    <row r="10318" spans="14:15">
      <c r="N10318" s="4"/>
      <c r="O10318" s="4"/>
    </row>
    <row r="10319" spans="14:15">
      <c r="N10319" s="4"/>
      <c r="O10319" s="4"/>
    </row>
    <row r="10320" spans="14:15">
      <c r="N10320" s="4"/>
      <c r="O10320" s="4"/>
    </row>
    <row r="10321" spans="14:15">
      <c r="N10321" s="4"/>
      <c r="O10321" s="4"/>
    </row>
    <row r="10322" spans="14:15">
      <c r="N10322" s="4"/>
      <c r="O10322" s="4"/>
    </row>
    <row r="10323" spans="14:15">
      <c r="N10323" s="4"/>
      <c r="O10323" s="4"/>
    </row>
    <row r="10324" spans="14:15">
      <c r="N10324" s="4"/>
      <c r="O10324" s="4"/>
    </row>
    <row r="10325" spans="14:15">
      <c r="N10325" s="4"/>
      <c r="O10325" s="4"/>
    </row>
    <row r="10326" spans="14:15">
      <c r="N10326" s="4"/>
      <c r="O10326" s="4"/>
    </row>
    <row r="10327" spans="14:15">
      <c r="N10327" s="4"/>
      <c r="O10327" s="4"/>
    </row>
    <row r="10328" spans="14:15">
      <c r="N10328" s="4"/>
      <c r="O10328" s="4"/>
    </row>
    <row r="10329" spans="14:15">
      <c r="N10329" s="4"/>
      <c r="O10329" s="4"/>
    </row>
    <row r="10330" spans="14:15">
      <c r="N10330" s="4"/>
      <c r="O10330" s="4"/>
    </row>
    <row r="10331" spans="14:15">
      <c r="N10331" s="4"/>
      <c r="O10331" s="4"/>
    </row>
    <row r="10332" spans="14:15">
      <c r="N10332" s="4"/>
      <c r="O10332" s="4"/>
    </row>
    <row r="10333" spans="14:15">
      <c r="N10333" s="4"/>
      <c r="O10333" s="4"/>
    </row>
    <row r="10334" spans="14:15">
      <c r="N10334" s="4"/>
      <c r="O10334" s="4"/>
    </row>
    <row r="10335" spans="14:15">
      <c r="N10335" s="4"/>
      <c r="O10335" s="4"/>
    </row>
    <row r="10336" spans="14:15">
      <c r="N10336" s="4"/>
      <c r="O10336" s="4"/>
    </row>
    <row r="10337" spans="14:15">
      <c r="N10337" s="4"/>
      <c r="O10337" s="4"/>
    </row>
    <row r="10338" spans="14:15">
      <c r="N10338" s="4"/>
      <c r="O10338" s="4"/>
    </row>
    <row r="10339" spans="14:15">
      <c r="N10339" s="4"/>
      <c r="O10339" s="4"/>
    </row>
    <row r="10340" spans="14:15">
      <c r="N10340" s="4"/>
      <c r="O10340" s="4"/>
    </row>
    <row r="10341" spans="14:15">
      <c r="N10341" s="4"/>
      <c r="O10341" s="4"/>
    </row>
    <row r="10342" spans="14:15">
      <c r="N10342" s="4"/>
      <c r="O10342" s="4"/>
    </row>
    <row r="10343" spans="14:15">
      <c r="N10343" s="4"/>
      <c r="O10343" s="4"/>
    </row>
    <row r="10344" spans="14:15">
      <c r="N10344" s="4"/>
      <c r="O10344" s="4"/>
    </row>
    <row r="10345" spans="14:15">
      <c r="N10345" s="4"/>
      <c r="O10345" s="4"/>
    </row>
    <row r="10346" spans="14:15">
      <c r="N10346" s="4"/>
      <c r="O10346" s="4"/>
    </row>
    <row r="10347" spans="14:15">
      <c r="N10347" s="4"/>
      <c r="O10347" s="4"/>
    </row>
    <row r="10348" spans="14:15">
      <c r="N10348" s="4"/>
      <c r="O10348" s="4"/>
    </row>
    <row r="10349" spans="14:15">
      <c r="N10349" s="4"/>
      <c r="O10349" s="4"/>
    </row>
    <row r="10350" spans="14:15">
      <c r="N10350" s="4"/>
      <c r="O10350" s="4"/>
    </row>
    <row r="10351" spans="14:15">
      <c r="N10351" s="4"/>
      <c r="O10351" s="4"/>
    </row>
    <row r="10352" spans="14:15">
      <c r="N10352" s="4"/>
      <c r="O10352" s="4"/>
    </row>
    <row r="10353" spans="14:15">
      <c r="N10353" s="4"/>
      <c r="O10353" s="4"/>
    </row>
    <row r="10354" spans="14:15">
      <c r="N10354" s="4"/>
      <c r="O10354" s="4"/>
    </row>
    <row r="10355" spans="14:15">
      <c r="N10355" s="4"/>
      <c r="O10355" s="4"/>
    </row>
    <row r="10356" spans="14:15">
      <c r="N10356" s="4"/>
      <c r="O10356" s="4"/>
    </row>
    <row r="10357" spans="14:15">
      <c r="N10357" s="4"/>
      <c r="O10357" s="4"/>
    </row>
    <row r="10358" spans="14:15">
      <c r="N10358" s="4"/>
      <c r="O10358" s="4"/>
    </row>
    <row r="10359" spans="14:15">
      <c r="N10359" s="4"/>
      <c r="O10359" s="4"/>
    </row>
    <row r="10360" spans="14:15">
      <c r="N10360" s="4"/>
      <c r="O10360" s="4"/>
    </row>
    <row r="10361" spans="14:15">
      <c r="N10361" s="4"/>
      <c r="O10361" s="4"/>
    </row>
    <row r="10362" spans="14:15">
      <c r="N10362" s="4"/>
      <c r="O10362" s="4"/>
    </row>
    <row r="10363" spans="14:15">
      <c r="N10363" s="4"/>
      <c r="O10363" s="4"/>
    </row>
    <row r="10364" spans="14:15">
      <c r="N10364" s="4"/>
      <c r="O10364" s="4"/>
    </row>
    <row r="10365" spans="14:15">
      <c r="N10365" s="4"/>
      <c r="O10365" s="4"/>
    </row>
    <row r="10366" spans="14:15">
      <c r="N10366" s="4"/>
      <c r="O10366" s="4"/>
    </row>
    <row r="10367" spans="14:15">
      <c r="N10367" s="4"/>
      <c r="O10367" s="4"/>
    </row>
    <row r="10368" spans="14:15">
      <c r="N10368" s="4"/>
      <c r="O10368" s="4"/>
    </row>
    <row r="10369" spans="14:15">
      <c r="N10369" s="4"/>
      <c r="O10369" s="4"/>
    </row>
    <row r="10370" spans="14:15">
      <c r="N10370" s="4"/>
      <c r="O10370" s="4"/>
    </row>
    <row r="10371" spans="14:15">
      <c r="N10371" s="4"/>
      <c r="O10371" s="4"/>
    </row>
    <row r="10372" spans="14:15">
      <c r="N10372" s="4"/>
      <c r="O10372" s="4"/>
    </row>
    <row r="10373" spans="14:15">
      <c r="N10373" s="4"/>
      <c r="O10373" s="4"/>
    </row>
    <row r="10374" spans="14:15">
      <c r="N10374" s="4"/>
      <c r="O10374" s="4"/>
    </row>
    <row r="10375" spans="14:15">
      <c r="N10375" s="4"/>
      <c r="O10375" s="4"/>
    </row>
    <row r="10376" spans="14:15">
      <c r="N10376" s="4"/>
      <c r="O10376" s="4"/>
    </row>
    <row r="10377" spans="14:15">
      <c r="N10377" s="4"/>
      <c r="O10377" s="4"/>
    </row>
    <row r="10378" spans="14:15">
      <c r="N10378" s="4"/>
      <c r="O10378" s="4"/>
    </row>
    <row r="10379" spans="14:15">
      <c r="N10379" s="4"/>
      <c r="O10379" s="4"/>
    </row>
    <row r="10380" spans="14:15">
      <c r="N10380" s="4"/>
      <c r="O10380" s="4"/>
    </row>
    <row r="10381" spans="14:15">
      <c r="N10381" s="4"/>
      <c r="O10381" s="4"/>
    </row>
    <row r="10382" spans="14:15">
      <c r="N10382" s="4"/>
      <c r="O10382" s="4"/>
    </row>
    <row r="10383" spans="14:15">
      <c r="N10383" s="4"/>
      <c r="O10383" s="4"/>
    </row>
    <row r="10384" spans="14:15">
      <c r="N10384" s="4"/>
      <c r="O10384" s="4"/>
    </row>
    <row r="10385" spans="14:15">
      <c r="N10385" s="4"/>
      <c r="O10385" s="4"/>
    </row>
    <row r="10386" spans="14:15">
      <c r="N10386" s="4"/>
      <c r="O10386" s="4"/>
    </row>
    <row r="10387" spans="14:15">
      <c r="N10387" s="4"/>
      <c r="O10387" s="4"/>
    </row>
    <row r="10388" spans="14:15">
      <c r="N10388" s="4"/>
      <c r="O10388" s="4"/>
    </row>
    <row r="10389" spans="14:15">
      <c r="N10389" s="4"/>
      <c r="O10389" s="4"/>
    </row>
    <row r="10390" spans="14:15">
      <c r="N10390" s="4"/>
      <c r="O10390" s="4"/>
    </row>
    <row r="10391" spans="14:15">
      <c r="N10391" s="4"/>
      <c r="O10391" s="4"/>
    </row>
    <row r="10392" spans="14:15">
      <c r="N10392" s="4"/>
      <c r="O10392" s="4"/>
    </row>
    <row r="10393" spans="14:15">
      <c r="N10393" s="4"/>
      <c r="O10393" s="4"/>
    </row>
    <row r="10394" spans="14:15">
      <c r="N10394" s="4"/>
      <c r="O10394" s="4"/>
    </row>
    <row r="10395" spans="14:15">
      <c r="N10395" s="4"/>
      <c r="O10395" s="4"/>
    </row>
    <row r="10396" spans="14:15">
      <c r="N10396" s="4"/>
      <c r="O10396" s="4"/>
    </row>
    <row r="10397" spans="14:15">
      <c r="N10397" s="4"/>
      <c r="O10397" s="4"/>
    </row>
    <row r="10398" spans="14:15">
      <c r="N10398" s="4"/>
      <c r="O10398" s="4"/>
    </row>
    <row r="10399" spans="14:15">
      <c r="N10399" s="4"/>
      <c r="O10399" s="4"/>
    </row>
    <row r="10400" spans="14:15">
      <c r="N10400" s="4"/>
      <c r="O10400" s="4"/>
    </row>
    <row r="10401" spans="14:15">
      <c r="N10401" s="4"/>
      <c r="O10401" s="4"/>
    </row>
    <row r="10402" spans="14:15">
      <c r="N10402" s="4"/>
      <c r="O10402" s="4"/>
    </row>
    <row r="10403" spans="14:15">
      <c r="N10403" s="4"/>
      <c r="O10403" s="4"/>
    </row>
    <row r="10404" spans="14:15">
      <c r="N10404" s="4"/>
      <c r="O10404" s="4"/>
    </row>
    <row r="10405" spans="14:15">
      <c r="N10405" s="4"/>
      <c r="O10405" s="4"/>
    </row>
    <row r="10406" spans="14:15">
      <c r="N10406" s="4"/>
      <c r="O10406" s="4"/>
    </row>
    <row r="10407" spans="14:15">
      <c r="N10407" s="4"/>
      <c r="O10407" s="4"/>
    </row>
    <row r="10408" spans="14:15">
      <c r="N10408" s="4"/>
      <c r="O10408" s="4"/>
    </row>
    <row r="10409" spans="14:15">
      <c r="N10409" s="4"/>
      <c r="O10409" s="4"/>
    </row>
    <row r="10410" spans="14:15">
      <c r="N10410" s="4"/>
      <c r="O10410" s="4"/>
    </row>
    <row r="10411" spans="14:15">
      <c r="N10411" s="4"/>
      <c r="O10411" s="4"/>
    </row>
    <row r="10412" spans="14:15">
      <c r="N10412" s="4"/>
      <c r="O10412" s="4"/>
    </row>
    <row r="10413" spans="14:15">
      <c r="N10413" s="4"/>
      <c r="O10413" s="4"/>
    </row>
    <row r="10414" spans="14:15">
      <c r="N10414" s="4"/>
      <c r="O10414" s="4"/>
    </row>
    <row r="10415" spans="14:15">
      <c r="N10415" s="4"/>
      <c r="O10415" s="4"/>
    </row>
    <row r="10416" spans="14:15">
      <c r="N10416" s="4"/>
      <c r="O10416" s="4"/>
    </row>
    <row r="10417" spans="14:15">
      <c r="N10417" s="4"/>
      <c r="O10417" s="4"/>
    </row>
    <row r="10418" spans="14:15">
      <c r="N10418" s="4"/>
      <c r="O10418" s="4"/>
    </row>
    <row r="10419" spans="14:15">
      <c r="N10419" s="4"/>
      <c r="O10419" s="4"/>
    </row>
    <row r="10420" spans="14:15">
      <c r="N10420" s="4"/>
      <c r="O10420" s="4"/>
    </row>
    <row r="10421" spans="14:15">
      <c r="N10421" s="4"/>
      <c r="O10421" s="4"/>
    </row>
    <row r="10422" spans="14:15">
      <c r="N10422" s="4"/>
      <c r="O10422" s="4"/>
    </row>
    <row r="10423" spans="14:15">
      <c r="N10423" s="4"/>
      <c r="O10423" s="4"/>
    </row>
    <row r="10424" spans="14:15">
      <c r="N10424" s="4"/>
      <c r="O10424" s="4"/>
    </row>
    <row r="10425" spans="14:15">
      <c r="N10425" s="4"/>
      <c r="O10425" s="4"/>
    </row>
    <row r="10426" spans="14:15">
      <c r="N10426" s="4"/>
      <c r="O10426" s="4"/>
    </row>
    <row r="10427" spans="14:15">
      <c r="N10427" s="4"/>
      <c r="O10427" s="4"/>
    </row>
    <row r="10428" spans="14:15">
      <c r="N10428" s="4"/>
      <c r="O10428" s="4"/>
    </row>
    <row r="10429" spans="14:15">
      <c r="N10429" s="4"/>
      <c r="O10429" s="4"/>
    </row>
    <row r="10430" spans="14:15">
      <c r="N10430" s="4"/>
      <c r="O10430" s="4"/>
    </row>
    <row r="10431" spans="14:15">
      <c r="N10431" s="4"/>
      <c r="O10431" s="4"/>
    </row>
    <row r="10432" spans="14:15">
      <c r="N10432" s="4"/>
      <c r="O10432" s="4"/>
    </row>
    <row r="10433" spans="14:15">
      <c r="N10433" s="4"/>
      <c r="O10433" s="4"/>
    </row>
    <row r="10434" spans="14:15">
      <c r="N10434" s="4"/>
      <c r="O10434" s="4"/>
    </row>
    <row r="10435" spans="14:15">
      <c r="N10435" s="4"/>
      <c r="O10435" s="4"/>
    </row>
    <row r="10436" spans="14:15">
      <c r="N10436" s="4"/>
      <c r="O10436" s="4"/>
    </row>
    <row r="10437" spans="14:15">
      <c r="N10437" s="4"/>
      <c r="O10437" s="4"/>
    </row>
    <row r="10438" spans="14:15">
      <c r="N10438" s="4"/>
      <c r="O10438" s="4"/>
    </row>
    <row r="10439" spans="14:15">
      <c r="N10439" s="4"/>
      <c r="O10439" s="4"/>
    </row>
    <row r="10440" spans="14:15">
      <c r="N10440" s="4"/>
      <c r="O10440" s="4"/>
    </row>
    <row r="10441" spans="14:15">
      <c r="N10441" s="4"/>
      <c r="O10441" s="4"/>
    </row>
    <row r="10442" spans="14:15">
      <c r="N10442" s="4"/>
      <c r="O10442" s="4"/>
    </row>
    <row r="10443" spans="14:15">
      <c r="N10443" s="4"/>
      <c r="O10443" s="4"/>
    </row>
    <row r="10444" spans="14:15">
      <c r="N10444" s="4"/>
      <c r="O10444" s="4"/>
    </row>
    <row r="10445" spans="14:15">
      <c r="N10445" s="4"/>
      <c r="O10445" s="4"/>
    </row>
    <row r="10446" spans="14:15">
      <c r="N10446" s="4"/>
      <c r="O10446" s="4"/>
    </row>
    <row r="10447" spans="14:15">
      <c r="N10447" s="4"/>
      <c r="O10447" s="4"/>
    </row>
    <row r="10448" spans="14:15">
      <c r="N10448" s="4"/>
      <c r="O10448" s="4"/>
    </row>
    <row r="10449" spans="14:15">
      <c r="N10449" s="4"/>
      <c r="O10449" s="4"/>
    </row>
    <row r="10450" spans="14:15">
      <c r="N10450" s="4"/>
      <c r="O10450" s="4"/>
    </row>
    <row r="10451" spans="14:15">
      <c r="N10451" s="4"/>
      <c r="O10451" s="4"/>
    </row>
    <row r="10452" spans="14:15">
      <c r="N10452" s="4"/>
      <c r="O10452" s="4"/>
    </row>
    <row r="10453" spans="14:15">
      <c r="N10453" s="4"/>
      <c r="O10453" s="4"/>
    </row>
    <row r="10454" spans="14:15">
      <c r="N10454" s="4"/>
      <c r="O10454" s="4"/>
    </row>
    <row r="10455" spans="14:15">
      <c r="N10455" s="4"/>
      <c r="O10455" s="4"/>
    </row>
    <row r="10456" spans="14:15">
      <c r="N10456" s="4"/>
      <c r="O10456" s="4"/>
    </row>
    <row r="10457" spans="14:15">
      <c r="N10457" s="4"/>
      <c r="O10457" s="4"/>
    </row>
    <row r="10458" spans="14:15">
      <c r="N10458" s="4"/>
      <c r="O10458" s="4"/>
    </row>
    <row r="10459" spans="14:15">
      <c r="N10459" s="4"/>
      <c r="O10459" s="4"/>
    </row>
    <row r="10460" spans="14:15">
      <c r="N10460" s="4"/>
      <c r="O10460" s="4"/>
    </row>
    <row r="10461" spans="14:15">
      <c r="N10461" s="4"/>
      <c r="O10461" s="4"/>
    </row>
    <row r="10462" spans="14:15">
      <c r="N10462" s="4"/>
      <c r="O10462" s="4"/>
    </row>
    <row r="10463" spans="14:15">
      <c r="N10463" s="4"/>
      <c r="O10463" s="4"/>
    </row>
    <row r="10464" spans="14:15">
      <c r="N10464" s="4"/>
      <c r="O10464" s="4"/>
    </row>
    <row r="10465" spans="14:15">
      <c r="N10465" s="4"/>
      <c r="O10465" s="4"/>
    </row>
    <row r="10466" spans="14:15">
      <c r="N10466" s="4"/>
      <c r="O10466" s="4"/>
    </row>
    <row r="10467" spans="14:15">
      <c r="N10467" s="4"/>
      <c r="O10467" s="4"/>
    </row>
    <row r="10468" spans="14:15">
      <c r="N10468" s="4"/>
      <c r="O10468" s="4"/>
    </row>
    <row r="10469" spans="14:15">
      <c r="N10469" s="4"/>
      <c r="O10469" s="4"/>
    </row>
    <row r="10470" spans="14:15">
      <c r="N10470" s="4"/>
      <c r="O10470" s="4"/>
    </row>
    <row r="10471" spans="14:15">
      <c r="N10471" s="4"/>
      <c r="O10471" s="4"/>
    </row>
    <row r="10472" spans="14:15">
      <c r="N10472" s="4"/>
      <c r="O10472" s="4"/>
    </row>
    <row r="10473" spans="14:15">
      <c r="N10473" s="4"/>
      <c r="O10473" s="4"/>
    </row>
    <row r="10474" spans="14:15">
      <c r="N10474" s="4"/>
      <c r="O10474" s="4"/>
    </row>
    <row r="10475" spans="14:15">
      <c r="N10475" s="4"/>
      <c r="O10475" s="4"/>
    </row>
    <row r="10476" spans="14:15">
      <c r="N10476" s="4"/>
      <c r="O10476" s="4"/>
    </row>
    <row r="10477" spans="14:15">
      <c r="N10477" s="4"/>
      <c r="O10477" s="4"/>
    </row>
    <row r="10478" spans="14:15">
      <c r="N10478" s="4"/>
      <c r="O10478" s="4"/>
    </row>
    <row r="10479" spans="14:15">
      <c r="N10479" s="4"/>
      <c r="O10479" s="4"/>
    </row>
    <row r="10480" spans="14:15">
      <c r="N10480" s="4"/>
      <c r="O10480" s="4"/>
    </row>
    <row r="10481" spans="14:15">
      <c r="N10481" s="4"/>
      <c r="O10481" s="4"/>
    </row>
    <row r="10482" spans="14:15">
      <c r="N10482" s="4"/>
      <c r="O10482" s="4"/>
    </row>
    <row r="10483" spans="14:15">
      <c r="N10483" s="4"/>
      <c r="O10483" s="4"/>
    </row>
    <row r="10484" spans="14:15">
      <c r="N10484" s="4"/>
      <c r="O10484" s="4"/>
    </row>
    <row r="10485" spans="14:15">
      <c r="N10485" s="4"/>
      <c r="O10485" s="4"/>
    </row>
    <row r="10486" spans="14:15">
      <c r="N10486" s="4"/>
      <c r="O10486" s="4"/>
    </row>
    <row r="10487" spans="14:15">
      <c r="N10487" s="4"/>
      <c r="O10487" s="4"/>
    </row>
    <row r="10488" spans="14:15">
      <c r="N10488" s="4"/>
      <c r="O10488" s="4"/>
    </row>
    <row r="10489" spans="14:15">
      <c r="N10489" s="4"/>
      <c r="O10489" s="4"/>
    </row>
    <row r="10490" spans="14:15">
      <c r="N10490" s="4"/>
      <c r="O10490" s="4"/>
    </row>
    <row r="10491" spans="14:15">
      <c r="N10491" s="4"/>
      <c r="O10491" s="4"/>
    </row>
    <row r="10492" spans="14:15">
      <c r="N10492" s="4"/>
      <c r="O10492" s="4"/>
    </row>
    <row r="10493" spans="14:15">
      <c r="N10493" s="4"/>
      <c r="O10493" s="4"/>
    </row>
    <row r="10494" spans="14:15">
      <c r="N10494" s="4"/>
      <c r="O10494" s="4"/>
    </row>
    <row r="10495" spans="14:15">
      <c r="N10495" s="4"/>
      <c r="O10495" s="4"/>
    </row>
    <row r="10496" spans="14:15">
      <c r="N10496" s="4"/>
      <c r="O10496" s="4"/>
    </row>
    <row r="10497" spans="14:15">
      <c r="N10497" s="4"/>
      <c r="O10497" s="4"/>
    </row>
    <row r="10498" spans="14:15">
      <c r="N10498" s="4"/>
      <c r="O10498" s="4"/>
    </row>
    <row r="10499" spans="14:15">
      <c r="N10499" s="4"/>
      <c r="O10499" s="4"/>
    </row>
    <row r="10500" spans="14:15">
      <c r="N10500" s="4"/>
      <c r="O10500" s="4"/>
    </row>
    <row r="10501" spans="14:15">
      <c r="N10501" s="4"/>
      <c r="O10501" s="4"/>
    </row>
    <row r="10502" spans="14:15">
      <c r="N10502" s="4"/>
      <c r="O10502" s="4"/>
    </row>
    <row r="10503" spans="14:15">
      <c r="N10503" s="4"/>
      <c r="O10503" s="4"/>
    </row>
    <row r="10504" spans="14:15">
      <c r="N10504" s="4"/>
      <c r="O10504" s="4"/>
    </row>
    <row r="10505" spans="14:15">
      <c r="N10505" s="4"/>
      <c r="O10505" s="4"/>
    </row>
    <row r="10506" spans="14:15">
      <c r="N10506" s="4"/>
      <c r="O10506" s="4"/>
    </row>
    <row r="10507" spans="14:15">
      <c r="N10507" s="4"/>
      <c r="O10507" s="4"/>
    </row>
    <row r="10508" spans="14:15">
      <c r="N10508" s="4"/>
      <c r="O10508" s="4"/>
    </row>
    <row r="10509" spans="14:15">
      <c r="N10509" s="4"/>
      <c r="O10509" s="4"/>
    </row>
    <row r="10510" spans="14:15">
      <c r="N10510" s="4"/>
      <c r="O10510" s="4"/>
    </row>
    <row r="10511" spans="14:15">
      <c r="N10511" s="4"/>
      <c r="O10511" s="4"/>
    </row>
    <row r="10512" spans="14:15">
      <c r="N10512" s="4"/>
      <c r="O10512" s="4"/>
    </row>
    <row r="10513" spans="14:15">
      <c r="N10513" s="4"/>
      <c r="O10513" s="4"/>
    </row>
    <row r="10514" spans="14:15">
      <c r="N10514" s="4"/>
      <c r="O10514" s="4"/>
    </row>
    <row r="10515" spans="14:15">
      <c r="N10515" s="4"/>
      <c r="O10515" s="4"/>
    </row>
    <row r="10516" spans="14:15">
      <c r="N10516" s="4"/>
      <c r="O10516" s="4"/>
    </row>
    <row r="10517" spans="14:15">
      <c r="N10517" s="4"/>
      <c r="O10517" s="4"/>
    </row>
    <row r="10518" spans="14:15">
      <c r="N10518" s="4"/>
      <c r="O10518" s="4"/>
    </row>
    <row r="10519" spans="14:15">
      <c r="N10519" s="4"/>
      <c r="O10519" s="4"/>
    </row>
    <row r="10520" spans="14:15">
      <c r="N10520" s="4"/>
      <c r="O10520" s="4"/>
    </row>
    <row r="10521" spans="14:15">
      <c r="N10521" s="4"/>
      <c r="O10521" s="4"/>
    </row>
    <row r="10522" spans="14:15">
      <c r="N10522" s="4"/>
      <c r="O10522" s="4"/>
    </row>
    <row r="10523" spans="14:15">
      <c r="N10523" s="4"/>
      <c r="O10523" s="4"/>
    </row>
    <row r="10524" spans="14:15">
      <c r="N10524" s="4"/>
      <c r="O10524" s="4"/>
    </row>
    <row r="10525" spans="14:15">
      <c r="N10525" s="4"/>
      <c r="O10525" s="4"/>
    </row>
    <row r="10526" spans="14:15">
      <c r="N10526" s="4"/>
      <c r="O10526" s="4"/>
    </row>
    <row r="10527" spans="14:15">
      <c r="N10527" s="4"/>
      <c r="O10527" s="4"/>
    </row>
    <row r="10528" spans="14:15">
      <c r="N10528" s="4"/>
      <c r="O10528" s="4"/>
    </row>
    <row r="10529" spans="14:15">
      <c r="N10529" s="4"/>
      <c r="O10529" s="4"/>
    </row>
    <row r="10530" spans="14:15">
      <c r="N10530" s="4"/>
      <c r="O10530" s="4"/>
    </row>
    <row r="10531" spans="14:15">
      <c r="N10531" s="4"/>
      <c r="O10531" s="4"/>
    </row>
    <row r="10532" spans="14:15">
      <c r="N10532" s="4"/>
      <c r="O10532" s="4"/>
    </row>
    <row r="10533" spans="14:15">
      <c r="N10533" s="4"/>
      <c r="O10533" s="4"/>
    </row>
    <row r="10534" spans="14:15">
      <c r="N10534" s="4"/>
      <c r="O10534" s="4"/>
    </row>
    <row r="10535" spans="14:15">
      <c r="N10535" s="4"/>
      <c r="O10535" s="4"/>
    </row>
    <row r="10536" spans="14:15">
      <c r="N10536" s="4"/>
      <c r="O10536" s="4"/>
    </row>
    <row r="10537" spans="14:15">
      <c r="N10537" s="4"/>
      <c r="O10537" s="4"/>
    </row>
    <row r="10538" spans="14:15">
      <c r="N10538" s="4"/>
      <c r="O10538" s="4"/>
    </row>
    <row r="10539" spans="14:15">
      <c r="N10539" s="4"/>
      <c r="O10539" s="4"/>
    </row>
    <row r="10540" spans="14:15">
      <c r="N10540" s="4"/>
      <c r="O10540" s="4"/>
    </row>
    <row r="10541" spans="14:15">
      <c r="N10541" s="4"/>
      <c r="O10541" s="4"/>
    </row>
    <row r="10542" spans="14:15">
      <c r="N10542" s="4"/>
      <c r="O10542" s="4"/>
    </row>
    <row r="10543" spans="14:15">
      <c r="N10543" s="4"/>
      <c r="O10543" s="4"/>
    </row>
    <row r="10544" spans="14:15">
      <c r="N10544" s="4"/>
      <c r="O10544" s="4"/>
    </row>
    <row r="10545" spans="14:15">
      <c r="N10545" s="4"/>
      <c r="O10545" s="4"/>
    </row>
    <row r="10546" spans="14:15">
      <c r="N10546" s="4"/>
      <c r="O10546" s="4"/>
    </row>
    <row r="10547" spans="14:15">
      <c r="N10547" s="4"/>
      <c r="O10547" s="4"/>
    </row>
    <row r="10548" spans="14:15">
      <c r="N10548" s="4"/>
      <c r="O10548" s="4"/>
    </row>
    <row r="10549" spans="14:15">
      <c r="N10549" s="4"/>
      <c r="O10549" s="4"/>
    </row>
    <row r="10550" spans="14:15">
      <c r="N10550" s="4"/>
      <c r="O10550" s="4"/>
    </row>
    <row r="10551" spans="14:15">
      <c r="N10551" s="4"/>
      <c r="O10551" s="4"/>
    </row>
    <row r="10552" spans="14:15">
      <c r="N10552" s="4"/>
      <c r="O10552" s="4"/>
    </row>
    <row r="10553" spans="14:15">
      <c r="N10553" s="4"/>
      <c r="O10553" s="4"/>
    </row>
    <row r="10554" spans="14:15">
      <c r="N10554" s="4"/>
      <c r="O10554" s="4"/>
    </row>
    <row r="10555" spans="14:15">
      <c r="N10555" s="4"/>
      <c r="O10555" s="4"/>
    </row>
    <row r="10556" spans="14:15">
      <c r="N10556" s="4"/>
      <c r="O10556" s="4"/>
    </row>
    <row r="10557" spans="14:15">
      <c r="N10557" s="4"/>
      <c r="O10557" s="4"/>
    </row>
    <row r="10558" spans="14:15">
      <c r="N10558" s="4"/>
      <c r="O10558" s="4"/>
    </row>
    <row r="10559" spans="14:15">
      <c r="N10559" s="4"/>
      <c r="O10559" s="4"/>
    </row>
    <row r="10560" spans="14:15">
      <c r="N10560" s="4"/>
      <c r="O10560" s="4"/>
    </row>
    <row r="10561" spans="14:15">
      <c r="N10561" s="4"/>
      <c r="O10561" s="4"/>
    </row>
    <row r="10562" spans="14:15">
      <c r="N10562" s="4"/>
      <c r="O10562" s="4"/>
    </row>
    <row r="10563" spans="14:15">
      <c r="N10563" s="4"/>
      <c r="O10563" s="4"/>
    </row>
    <row r="10564" spans="14:15">
      <c r="N10564" s="4"/>
      <c r="O10564" s="4"/>
    </row>
    <row r="10565" spans="14:15">
      <c r="N10565" s="4"/>
      <c r="O10565" s="4"/>
    </row>
    <row r="10566" spans="14:15">
      <c r="N10566" s="4"/>
      <c r="O10566" s="4"/>
    </row>
    <row r="10567" spans="14:15">
      <c r="N10567" s="4"/>
      <c r="O10567" s="4"/>
    </row>
    <row r="10568" spans="14:15">
      <c r="N10568" s="4"/>
      <c r="O10568" s="4"/>
    </row>
    <row r="10569" spans="14:15">
      <c r="N10569" s="4"/>
      <c r="O10569" s="4"/>
    </row>
    <row r="10570" spans="14:15">
      <c r="N10570" s="4"/>
      <c r="O10570" s="4"/>
    </row>
    <row r="10571" spans="14:15">
      <c r="N10571" s="4"/>
      <c r="O10571" s="4"/>
    </row>
    <row r="10572" spans="14:15">
      <c r="N10572" s="4"/>
      <c r="O10572" s="4"/>
    </row>
    <row r="10573" spans="14:15">
      <c r="N10573" s="4"/>
      <c r="O10573" s="4"/>
    </row>
    <row r="10574" spans="14:15">
      <c r="N10574" s="4"/>
      <c r="O10574" s="4"/>
    </row>
    <row r="10575" spans="14:15">
      <c r="N10575" s="4"/>
      <c r="O10575" s="4"/>
    </row>
    <row r="10576" spans="14:15">
      <c r="N10576" s="4"/>
      <c r="O10576" s="4"/>
    </row>
    <row r="10577" spans="14:15">
      <c r="N10577" s="4"/>
      <c r="O10577" s="4"/>
    </row>
    <row r="10578" spans="14:15">
      <c r="N10578" s="4"/>
      <c r="O10578" s="4"/>
    </row>
    <row r="10579" spans="14:15">
      <c r="N10579" s="4"/>
      <c r="O10579" s="4"/>
    </row>
    <row r="10580" spans="14:15">
      <c r="N10580" s="4"/>
      <c r="O10580" s="4"/>
    </row>
    <row r="10581" spans="14:15">
      <c r="N10581" s="4"/>
      <c r="O10581" s="4"/>
    </row>
    <row r="10582" spans="14:15">
      <c r="N10582" s="4"/>
      <c r="O10582" s="4"/>
    </row>
    <row r="10583" spans="14:15">
      <c r="N10583" s="4"/>
      <c r="O10583" s="4"/>
    </row>
    <row r="10584" spans="14:15">
      <c r="N10584" s="4"/>
      <c r="O10584" s="4"/>
    </row>
    <row r="10585" spans="14:15">
      <c r="N10585" s="4"/>
      <c r="O10585" s="4"/>
    </row>
    <row r="10586" spans="14:15">
      <c r="N10586" s="4"/>
      <c r="O10586" s="4"/>
    </row>
    <row r="10587" spans="14:15">
      <c r="N10587" s="4"/>
      <c r="O10587" s="4"/>
    </row>
    <row r="10588" spans="14:15">
      <c r="N10588" s="4"/>
      <c r="O10588" s="4"/>
    </row>
    <row r="10589" spans="14:15">
      <c r="N10589" s="4"/>
      <c r="O10589" s="4"/>
    </row>
    <row r="10590" spans="14:15">
      <c r="N10590" s="4"/>
      <c r="O10590" s="4"/>
    </row>
    <row r="10591" spans="14:15">
      <c r="N10591" s="4"/>
      <c r="O10591" s="4"/>
    </row>
    <row r="10592" spans="14:15">
      <c r="N10592" s="4"/>
      <c r="O10592" s="4"/>
    </row>
    <row r="10593" spans="14:15">
      <c r="N10593" s="4"/>
      <c r="O10593" s="4"/>
    </row>
    <row r="10594" spans="14:15">
      <c r="N10594" s="4"/>
      <c r="O10594" s="4"/>
    </row>
    <row r="10595" spans="14:15">
      <c r="N10595" s="4"/>
      <c r="O10595" s="4"/>
    </row>
    <row r="10596" spans="14:15">
      <c r="N10596" s="4"/>
      <c r="O10596" s="4"/>
    </row>
    <row r="10597" spans="14:15">
      <c r="N10597" s="4"/>
      <c r="O10597" s="4"/>
    </row>
    <row r="10598" spans="14:15">
      <c r="N10598" s="4"/>
      <c r="O10598" s="4"/>
    </row>
    <row r="10599" spans="14:15">
      <c r="N10599" s="4"/>
      <c r="O10599" s="4"/>
    </row>
    <row r="10600" spans="14:15">
      <c r="N10600" s="4"/>
      <c r="O10600" s="4"/>
    </row>
    <row r="10601" spans="14:15">
      <c r="N10601" s="4"/>
      <c r="O10601" s="4"/>
    </row>
    <row r="10602" spans="14:15">
      <c r="N10602" s="4"/>
      <c r="O10602" s="4"/>
    </row>
    <row r="10603" spans="14:15">
      <c r="N10603" s="4"/>
      <c r="O10603" s="4"/>
    </row>
    <row r="10604" spans="14:15">
      <c r="N10604" s="4"/>
      <c r="O10604" s="4"/>
    </row>
    <row r="10605" spans="14:15">
      <c r="N10605" s="4"/>
      <c r="O10605" s="4"/>
    </row>
    <row r="10606" spans="14:15">
      <c r="N10606" s="4"/>
      <c r="O10606" s="4"/>
    </row>
    <row r="10607" spans="14:15">
      <c r="N10607" s="4"/>
      <c r="O10607" s="4"/>
    </row>
    <row r="10608" spans="14:15">
      <c r="N10608" s="4"/>
      <c r="O10608" s="4"/>
    </row>
    <row r="10609" spans="14:15">
      <c r="N10609" s="4"/>
      <c r="O10609" s="4"/>
    </row>
    <row r="10610" spans="14:15">
      <c r="N10610" s="4"/>
      <c r="O10610" s="4"/>
    </row>
    <row r="10611" spans="14:15">
      <c r="N10611" s="4"/>
      <c r="O10611" s="4"/>
    </row>
    <row r="10612" spans="14:15">
      <c r="N10612" s="4"/>
      <c r="O10612" s="4"/>
    </row>
    <row r="10613" spans="14:15">
      <c r="N10613" s="4"/>
      <c r="O10613" s="4"/>
    </row>
    <row r="10614" spans="14:15">
      <c r="N10614" s="4"/>
      <c r="O10614" s="4"/>
    </row>
    <row r="10615" spans="14:15">
      <c r="N10615" s="4"/>
      <c r="O10615" s="4"/>
    </row>
    <row r="10616" spans="14:15">
      <c r="N10616" s="4"/>
      <c r="O10616" s="4"/>
    </row>
    <row r="10617" spans="14:15">
      <c r="N10617" s="4"/>
      <c r="O10617" s="4"/>
    </row>
    <row r="10618" spans="14:15">
      <c r="N10618" s="4"/>
      <c r="O10618" s="4"/>
    </row>
    <row r="10619" spans="14:15">
      <c r="N10619" s="4"/>
      <c r="O10619" s="4"/>
    </row>
    <row r="10620" spans="14:15">
      <c r="N10620" s="4"/>
      <c r="O10620" s="4"/>
    </row>
    <row r="10621" spans="14:15">
      <c r="N10621" s="4"/>
      <c r="O10621" s="4"/>
    </row>
    <row r="10622" spans="14:15">
      <c r="N10622" s="4"/>
      <c r="O10622" s="4"/>
    </row>
    <row r="10623" spans="14:15">
      <c r="N10623" s="4"/>
      <c r="O10623" s="4"/>
    </row>
    <row r="10624" spans="14:15">
      <c r="N10624" s="4"/>
      <c r="O10624" s="4"/>
    </row>
    <row r="10625" spans="14:15">
      <c r="N10625" s="4"/>
      <c r="O10625" s="4"/>
    </row>
    <row r="10626" spans="14:15">
      <c r="N10626" s="4"/>
      <c r="O10626" s="4"/>
    </row>
    <row r="10627" spans="14:15">
      <c r="N10627" s="4"/>
      <c r="O10627" s="4"/>
    </row>
    <row r="10628" spans="14:15">
      <c r="N10628" s="4"/>
      <c r="O10628" s="4"/>
    </row>
    <row r="10629" spans="14:15">
      <c r="N10629" s="4"/>
      <c r="O10629" s="4"/>
    </row>
    <row r="10630" spans="14:15">
      <c r="N10630" s="4"/>
      <c r="O10630" s="4"/>
    </row>
    <row r="10631" spans="14:15">
      <c r="N10631" s="4"/>
      <c r="O10631" s="4"/>
    </row>
    <row r="10632" spans="14:15">
      <c r="N10632" s="4"/>
      <c r="O10632" s="4"/>
    </row>
    <row r="10633" spans="14:15">
      <c r="N10633" s="4"/>
      <c r="O10633" s="4"/>
    </row>
    <row r="10634" spans="14:15">
      <c r="N10634" s="4"/>
      <c r="O10634" s="4"/>
    </row>
    <row r="10635" spans="14:15">
      <c r="N10635" s="4"/>
      <c r="O10635" s="4"/>
    </row>
    <row r="10636" spans="14:15">
      <c r="N10636" s="4"/>
      <c r="O10636" s="4"/>
    </row>
    <row r="10637" spans="14:15">
      <c r="N10637" s="4"/>
      <c r="O10637" s="4"/>
    </row>
    <row r="10638" spans="14:15">
      <c r="N10638" s="4"/>
      <c r="O10638" s="4"/>
    </row>
    <row r="10639" spans="14:15">
      <c r="N10639" s="4"/>
      <c r="O10639" s="4"/>
    </row>
    <row r="10640" spans="14:15">
      <c r="N10640" s="4"/>
      <c r="O10640" s="4"/>
    </row>
    <row r="10641" spans="14:15">
      <c r="N10641" s="4"/>
      <c r="O10641" s="4"/>
    </row>
    <row r="10642" spans="14:15">
      <c r="N10642" s="4"/>
      <c r="O10642" s="4"/>
    </row>
    <row r="10643" spans="14:15">
      <c r="N10643" s="4"/>
      <c r="O10643" s="4"/>
    </row>
    <row r="10644" spans="14:15">
      <c r="N10644" s="4"/>
      <c r="O10644" s="4"/>
    </row>
    <row r="10645" spans="14:15">
      <c r="N10645" s="4"/>
      <c r="O10645" s="4"/>
    </row>
    <row r="10646" spans="14:15">
      <c r="N10646" s="4"/>
      <c r="O10646" s="4"/>
    </row>
    <row r="10647" spans="14:15">
      <c r="N10647" s="4"/>
      <c r="O10647" s="4"/>
    </row>
    <row r="10648" spans="14:15">
      <c r="N10648" s="4"/>
      <c r="O10648" s="4"/>
    </row>
    <row r="10649" spans="14:15">
      <c r="N10649" s="4"/>
      <c r="O10649" s="4"/>
    </row>
    <row r="10650" spans="14:15">
      <c r="N10650" s="4"/>
      <c r="O10650" s="4"/>
    </row>
    <row r="10651" spans="14:15">
      <c r="N10651" s="4"/>
      <c r="O10651" s="4"/>
    </row>
    <row r="10652" spans="14:15">
      <c r="N10652" s="4"/>
      <c r="O10652" s="4"/>
    </row>
    <row r="10653" spans="14:15">
      <c r="N10653" s="4"/>
      <c r="O10653" s="4"/>
    </row>
    <row r="10654" spans="14:15">
      <c r="N10654" s="4"/>
      <c r="O10654" s="4"/>
    </row>
    <row r="10655" spans="14:15">
      <c r="N10655" s="4"/>
      <c r="O10655" s="4"/>
    </row>
    <row r="10656" spans="14:15">
      <c r="N10656" s="4"/>
      <c r="O10656" s="4"/>
    </row>
    <row r="10657" spans="14:15">
      <c r="N10657" s="4"/>
      <c r="O10657" s="4"/>
    </row>
    <row r="10658" spans="14:15">
      <c r="N10658" s="4"/>
      <c r="O10658" s="4"/>
    </row>
    <row r="10659" spans="14:15">
      <c r="N10659" s="4"/>
      <c r="O10659" s="4"/>
    </row>
    <row r="10660" spans="14:15">
      <c r="N10660" s="4"/>
      <c r="O10660" s="4"/>
    </row>
    <row r="10661" spans="14:15">
      <c r="N10661" s="4"/>
      <c r="O10661" s="4"/>
    </row>
    <row r="10662" spans="14:15">
      <c r="N10662" s="4"/>
      <c r="O10662" s="4"/>
    </row>
    <row r="10663" spans="14:15">
      <c r="N10663" s="4"/>
      <c r="O10663" s="4"/>
    </row>
    <row r="10664" spans="14:15">
      <c r="N10664" s="4"/>
      <c r="O10664" s="4"/>
    </row>
    <row r="10665" spans="14:15">
      <c r="N10665" s="4"/>
      <c r="O10665" s="4"/>
    </row>
    <row r="10666" spans="14:15">
      <c r="N10666" s="4"/>
      <c r="O10666" s="4"/>
    </row>
    <row r="10667" spans="14:15">
      <c r="N10667" s="4"/>
      <c r="O10667" s="4"/>
    </row>
    <row r="10668" spans="14:15">
      <c r="N10668" s="4"/>
      <c r="O10668" s="4"/>
    </row>
    <row r="10669" spans="14:15">
      <c r="N10669" s="4"/>
      <c r="O10669" s="4"/>
    </row>
    <row r="10670" spans="14:15">
      <c r="N10670" s="4"/>
      <c r="O10670" s="4"/>
    </row>
    <row r="10671" spans="14:15">
      <c r="N10671" s="4"/>
      <c r="O10671" s="4"/>
    </row>
    <row r="10672" spans="14:15">
      <c r="N10672" s="4"/>
      <c r="O10672" s="4"/>
    </row>
    <row r="10673" spans="14:15">
      <c r="N10673" s="4"/>
      <c r="O10673" s="4"/>
    </row>
    <row r="10674" spans="14:15">
      <c r="N10674" s="4"/>
      <c r="O10674" s="4"/>
    </row>
    <row r="10675" spans="14:15">
      <c r="N10675" s="4"/>
      <c r="O10675" s="4"/>
    </row>
    <row r="10676" spans="14:15">
      <c r="N10676" s="4"/>
      <c r="O10676" s="4"/>
    </row>
    <row r="10677" spans="14:15">
      <c r="N10677" s="4"/>
      <c r="O10677" s="4"/>
    </row>
    <row r="10678" spans="14:15">
      <c r="N10678" s="4"/>
      <c r="O10678" s="4"/>
    </row>
    <row r="10679" spans="14:15">
      <c r="N10679" s="4"/>
      <c r="O10679" s="4"/>
    </row>
    <row r="10680" spans="14:15">
      <c r="N10680" s="4"/>
      <c r="O10680" s="4"/>
    </row>
    <row r="10681" spans="14:15">
      <c r="N10681" s="4"/>
      <c r="O10681" s="4"/>
    </row>
    <row r="10682" spans="14:15">
      <c r="N10682" s="4"/>
      <c r="O10682" s="4"/>
    </row>
    <row r="10683" spans="14:15">
      <c r="N10683" s="4"/>
      <c r="O10683" s="4"/>
    </row>
    <row r="10684" spans="14:15">
      <c r="N10684" s="4"/>
      <c r="O10684" s="4"/>
    </row>
    <row r="10685" spans="14:15">
      <c r="N10685" s="4"/>
      <c r="O10685" s="4"/>
    </row>
    <row r="10686" spans="14:15">
      <c r="N10686" s="4"/>
      <c r="O10686" s="4"/>
    </row>
    <row r="10687" spans="14:15">
      <c r="N10687" s="4"/>
      <c r="O10687" s="4"/>
    </row>
    <row r="10688" spans="14:15">
      <c r="N10688" s="4"/>
      <c r="O10688" s="4"/>
    </row>
    <row r="10689" spans="14:15">
      <c r="N10689" s="4"/>
      <c r="O10689" s="4"/>
    </row>
    <row r="10690" spans="14:15">
      <c r="N10690" s="4"/>
      <c r="O10690" s="4"/>
    </row>
    <row r="10691" spans="14:15">
      <c r="N10691" s="4"/>
      <c r="O10691" s="4"/>
    </row>
    <row r="10692" spans="14:15">
      <c r="N10692" s="4"/>
      <c r="O10692" s="4"/>
    </row>
    <row r="10693" spans="14:15">
      <c r="N10693" s="4"/>
      <c r="O10693" s="4"/>
    </row>
    <row r="10694" spans="14:15">
      <c r="N10694" s="4"/>
      <c r="O10694" s="4"/>
    </row>
    <row r="10695" spans="14:15">
      <c r="N10695" s="4"/>
      <c r="O10695" s="4"/>
    </row>
    <row r="10696" spans="14:15">
      <c r="N10696" s="4"/>
      <c r="O10696" s="4"/>
    </row>
    <row r="10697" spans="14:15">
      <c r="N10697" s="4"/>
      <c r="O10697" s="4"/>
    </row>
    <row r="10698" spans="14:15">
      <c r="N10698" s="4"/>
      <c r="O10698" s="4"/>
    </row>
    <row r="10699" spans="14:15">
      <c r="N10699" s="4"/>
      <c r="O10699" s="4"/>
    </row>
    <row r="10700" spans="14:15">
      <c r="N10700" s="4"/>
      <c r="O10700" s="4"/>
    </row>
    <row r="10701" spans="14:15">
      <c r="N10701" s="4"/>
      <c r="O10701" s="4"/>
    </row>
    <row r="10702" spans="14:15">
      <c r="N10702" s="4"/>
      <c r="O10702" s="4"/>
    </row>
    <row r="10703" spans="14:15">
      <c r="N10703" s="4"/>
      <c r="O10703" s="4"/>
    </row>
    <row r="10704" spans="14:15">
      <c r="N10704" s="4"/>
      <c r="O10704" s="4"/>
    </row>
    <row r="10705" spans="14:15">
      <c r="N10705" s="4"/>
      <c r="O10705" s="4"/>
    </row>
    <row r="10706" spans="14:15">
      <c r="N10706" s="4"/>
      <c r="O10706" s="4"/>
    </row>
    <row r="10707" spans="14:15">
      <c r="N10707" s="4"/>
      <c r="O10707" s="4"/>
    </row>
    <row r="10708" spans="14:15">
      <c r="N10708" s="4"/>
      <c r="O10708" s="4"/>
    </row>
    <row r="10709" spans="14:15">
      <c r="N10709" s="4"/>
      <c r="O10709" s="4"/>
    </row>
    <row r="10710" spans="14:15">
      <c r="N10710" s="4"/>
      <c r="O10710" s="4"/>
    </row>
    <row r="10711" spans="14:15">
      <c r="N10711" s="4"/>
      <c r="O10711" s="4"/>
    </row>
    <row r="10712" spans="14:15">
      <c r="N10712" s="4"/>
      <c r="O10712" s="4"/>
    </row>
    <row r="10713" spans="14:15">
      <c r="N10713" s="4"/>
      <c r="O10713" s="4"/>
    </row>
    <row r="10714" spans="14:15">
      <c r="N10714" s="4"/>
      <c r="O10714" s="4"/>
    </row>
    <row r="10715" spans="14:15">
      <c r="N10715" s="4"/>
      <c r="O10715" s="4"/>
    </row>
    <row r="10716" spans="14:15">
      <c r="N10716" s="4"/>
      <c r="O10716" s="4"/>
    </row>
    <row r="10717" spans="14:15">
      <c r="N10717" s="4"/>
      <c r="O10717" s="4"/>
    </row>
    <row r="10718" spans="14:15">
      <c r="N10718" s="4"/>
      <c r="O10718" s="4"/>
    </row>
    <row r="10719" spans="14:15">
      <c r="N10719" s="4"/>
      <c r="O10719" s="4"/>
    </row>
    <row r="10720" spans="14:15">
      <c r="N10720" s="4"/>
      <c r="O10720" s="4"/>
    </row>
    <row r="10721" spans="14:15">
      <c r="N10721" s="4"/>
      <c r="O10721" s="4"/>
    </row>
    <row r="10722" spans="14:15">
      <c r="N10722" s="4"/>
      <c r="O10722" s="4"/>
    </row>
    <row r="10723" spans="14:15">
      <c r="N10723" s="4"/>
      <c r="O10723" s="4"/>
    </row>
    <row r="10724" spans="14:15">
      <c r="N10724" s="4"/>
      <c r="O10724" s="4"/>
    </row>
    <row r="10725" spans="14:15">
      <c r="N10725" s="4"/>
      <c r="O10725" s="4"/>
    </row>
    <row r="10726" spans="14:15">
      <c r="N10726" s="4"/>
      <c r="O10726" s="4"/>
    </row>
    <row r="10727" spans="14:15">
      <c r="N10727" s="4"/>
      <c r="O10727" s="4"/>
    </row>
    <row r="10728" spans="14:15">
      <c r="N10728" s="4"/>
      <c r="O10728" s="4"/>
    </row>
    <row r="10729" spans="14:15">
      <c r="N10729" s="4"/>
      <c r="O10729" s="4"/>
    </row>
    <row r="10730" spans="14:15">
      <c r="N10730" s="4"/>
      <c r="O10730" s="4"/>
    </row>
    <row r="10731" spans="14:15">
      <c r="N10731" s="4"/>
      <c r="O10731" s="4"/>
    </row>
    <row r="10732" spans="14:15">
      <c r="N10732" s="4"/>
      <c r="O10732" s="4"/>
    </row>
    <row r="10733" spans="14:15">
      <c r="N10733" s="4"/>
      <c r="O10733" s="4"/>
    </row>
    <row r="10734" spans="14:15">
      <c r="N10734" s="4"/>
      <c r="O10734" s="4"/>
    </row>
    <row r="10735" spans="14:15">
      <c r="N10735" s="4"/>
      <c r="O10735" s="4"/>
    </row>
    <row r="10736" spans="14:15">
      <c r="N10736" s="4"/>
      <c r="O10736" s="4"/>
    </row>
    <row r="10737" spans="14:15">
      <c r="N10737" s="4"/>
      <c r="O10737" s="4"/>
    </row>
    <row r="10738" spans="14:15">
      <c r="N10738" s="4"/>
      <c r="O10738" s="4"/>
    </row>
    <row r="10739" spans="14:15">
      <c r="N10739" s="4"/>
      <c r="O10739" s="4"/>
    </row>
    <row r="10740" spans="14:15">
      <c r="N10740" s="4"/>
      <c r="O10740" s="4"/>
    </row>
    <row r="10741" spans="14:15">
      <c r="N10741" s="4"/>
      <c r="O10741" s="4"/>
    </row>
    <row r="10742" spans="14:15">
      <c r="N10742" s="4"/>
      <c r="O10742" s="4"/>
    </row>
    <row r="10743" spans="14:15">
      <c r="N10743" s="4"/>
      <c r="O10743" s="4"/>
    </row>
    <row r="10744" spans="14:15">
      <c r="N10744" s="4"/>
      <c r="O10744" s="4"/>
    </row>
    <row r="10745" spans="14:15">
      <c r="N10745" s="4"/>
      <c r="O10745" s="4"/>
    </row>
    <row r="10746" spans="14:15">
      <c r="N10746" s="4"/>
      <c r="O10746" s="4"/>
    </row>
    <row r="10747" spans="14:15">
      <c r="N10747" s="4"/>
      <c r="O10747" s="4"/>
    </row>
    <row r="10748" spans="14:15">
      <c r="N10748" s="4"/>
      <c r="O10748" s="4"/>
    </row>
    <row r="10749" spans="14:15">
      <c r="N10749" s="4"/>
      <c r="O10749" s="4"/>
    </row>
    <row r="10750" spans="14:15">
      <c r="N10750" s="4"/>
      <c r="O10750" s="4"/>
    </row>
    <row r="10751" spans="14:15">
      <c r="N10751" s="4"/>
      <c r="O10751" s="4"/>
    </row>
    <row r="10752" spans="14:15">
      <c r="N10752" s="4"/>
      <c r="O10752" s="4"/>
    </row>
    <row r="10753" spans="14:15">
      <c r="N10753" s="4"/>
      <c r="O10753" s="4"/>
    </row>
    <row r="10754" spans="14:15">
      <c r="N10754" s="4"/>
      <c r="O10754" s="4"/>
    </row>
    <row r="10755" spans="14:15">
      <c r="N10755" s="4"/>
      <c r="O10755" s="4"/>
    </row>
    <row r="10756" spans="14:15">
      <c r="N10756" s="4"/>
      <c r="O10756" s="4"/>
    </row>
    <row r="10757" spans="14:15">
      <c r="N10757" s="4"/>
      <c r="O10757" s="4"/>
    </row>
    <row r="10758" spans="14:15">
      <c r="N10758" s="4"/>
      <c r="O10758" s="4"/>
    </row>
    <row r="10759" spans="14:15">
      <c r="N10759" s="4"/>
      <c r="O10759" s="4"/>
    </row>
    <row r="10760" spans="14:15">
      <c r="N10760" s="4"/>
      <c r="O10760" s="4"/>
    </row>
    <row r="10761" spans="14:15">
      <c r="N10761" s="4"/>
      <c r="O10761" s="4"/>
    </row>
    <row r="10762" spans="14:15">
      <c r="N10762" s="4"/>
      <c r="O10762" s="4"/>
    </row>
    <row r="10763" spans="14:15">
      <c r="N10763" s="4"/>
      <c r="O10763" s="4"/>
    </row>
    <row r="10764" spans="14:15">
      <c r="N10764" s="4"/>
      <c r="O10764" s="4"/>
    </row>
    <row r="10765" spans="14:15">
      <c r="N10765" s="4"/>
      <c r="O10765" s="4"/>
    </row>
    <row r="10766" spans="14:15">
      <c r="N10766" s="4"/>
      <c r="O10766" s="4"/>
    </row>
    <row r="10767" spans="14:15">
      <c r="N10767" s="4"/>
      <c r="O10767" s="4"/>
    </row>
    <row r="10768" spans="14:15">
      <c r="N10768" s="4"/>
      <c r="O10768" s="4"/>
    </row>
    <row r="10769" spans="14:15">
      <c r="N10769" s="4"/>
      <c r="O10769" s="4"/>
    </row>
    <row r="10770" spans="14:15">
      <c r="N10770" s="4"/>
      <c r="O10770" s="4"/>
    </row>
    <row r="10771" spans="14:15">
      <c r="N10771" s="4"/>
      <c r="O10771" s="4"/>
    </row>
    <row r="10772" spans="14:15">
      <c r="N10772" s="4"/>
      <c r="O10772" s="4"/>
    </row>
    <row r="10773" spans="14:15">
      <c r="N10773" s="4"/>
      <c r="O10773" s="4"/>
    </row>
    <row r="10774" spans="14:15">
      <c r="N10774" s="4"/>
      <c r="O10774" s="4"/>
    </row>
    <row r="10775" spans="14:15">
      <c r="N10775" s="4"/>
      <c r="O10775" s="4"/>
    </row>
    <row r="10776" spans="14:15">
      <c r="N10776" s="4"/>
      <c r="O10776" s="4"/>
    </row>
    <row r="10777" spans="14:15">
      <c r="N10777" s="4"/>
      <c r="O10777" s="4"/>
    </row>
    <row r="10778" spans="14:15">
      <c r="N10778" s="4"/>
      <c r="O10778" s="4"/>
    </row>
    <row r="10779" spans="14:15">
      <c r="N10779" s="4"/>
      <c r="O10779" s="4"/>
    </row>
    <row r="10780" spans="14:15">
      <c r="N10780" s="4"/>
      <c r="O10780" s="4"/>
    </row>
    <row r="10781" spans="14:15">
      <c r="N10781" s="4"/>
      <c r="O10781" s="4"/>
    </row>
    <row r="10782" spans="14:15">
      <c r="N10782" s="4"/>
      <c r="O10782" s="4"/>
    </row>
    <row r="10783" spans="14:15">
      <c r="N10783" s="4"/>
      <c r="O10783" s="4"/>
    </row>
    <row r="10784" spans="14:15">
      <c r="N10784" s="4"/>
      <c r="O10784" s="4"/>
    </row>
    <row r="10785" spans="14:15">
      <c r="N10785" s="4"/>
      <c r="O10785" s="4"/>
    </row>
    <row r="10786" spans="14:15">
      <c r="N10786" s="4"/>
      <c r="O10786" s="4"/>
    </row>
    <row r="10787" spans="14:15">
      <c r="N10787" s="4"/>
      <c r="O10787" s="4"/>
    </row>
    <row r="10788" spans="14:15">
      <c r="N10788" s="4"/>
      <c r="O10788" s="4"/>
    </row>
    <row r="10789" spans="14:15">
      <c r="N10789" s="4"/>
      <c r="O10789" s="4"/>
    </row>
    <row r="10790" spans="14:15">
      <c r="N10790" s="4"/>
      <c r="O10790" s="4"/>
    </row>
    <row r="10791" spans="14:15">
      <c r="N10791" s="4"/>
      <c r="O10791" s="4"/>
    </row>
    <row r="10792" spans="14:15">
      <c r="N10792" s="4"/>
      <c r="O10792" s="4"/>
    </row>
    <row r="10793" spans="14:15">
      <c r="N10793" s="4"/>
      <c r="O10793" s="4"/>
    </row>
    <row r="10794" spans="14:15">
      <c r="N10794" s="4"/>
      <c r="O10794" s="4"/>
    </row>
    <row r="10795" spans="14:15">
      <c r="N10795" s="4"/>
      <c r="O10795" s="4"/>
    </row>
    <row r="10796" spans="14:15">
      <c r="N10796" s="4"/>
      <c r="O10796" s="4"/>
    </row>
    <row r="10797" spans="14:15">
      <c r="N10797" s="4"/>
      <c r="O10797" s="4"/>
    </row>
    <row r="10798" spans="14:15">
      <c r="N10798" s="4"/>
      <c r="O10798" s="4"/>
    </row>
    <row r="10799" spans="14:15">
      <c r="N10799" s="4"/>
      <c r="O10799" s="4"/>
    </row>
    <row r="10800" spans="14:15">
      <c r="N10800" s="4"/>
      <c r="O10800" s="4"/>
    </row>
    <row r="10801" spans="14:15">
      <c r="N10801" s="4"/>
      <c r="O10801" s="4"/>
    </row>
    <row r="10802" spans="14:15">
      <c r="N10802" s="4"/>
      <c r="O10802" s="4"/>
    </row>
    <row r="10803" spans="14:15">
      <c r="N10803" s="4"/>
      <c r="O10803" s="4"/>
    </row>
    <row r="10804" spans="14:15">
      <c r="N10804" s="4"/>
      <c r="O10804" s="4"/>
    </row>
    <row r="10805" spans="14:15">
      <c r="N10805" s="4"/>
      <c r="O10805" s="4"/>
    </row>
    <row r="10806" spans="14:15">
      <c r="N10806" s="4"/>
      <c r="O10806" s="4"/>
    </row>
    <row r="10807" spans="14:15">
      <c r="N10807" s="4"/>
      <c r="O10807" s="4"/>
    </row>
    <row r="10808" spans="14:15">
      <c r="N10808" s="4"/>
      <c r="O10808" s="4"/>
    </row>
    <row r="10809" spans="14:15">
      <c r="N10809" s="4"/>
      <c r="O10809" s="4"/>
    </row>
    <row r="10810" spans="14:15">
      <c r="N10810" s="4"/>
      <c r="O10810" s="4"/>
    </row>
    <row r="10811" spans="14:15">
      <c r="N10811" s="4"/>
      <c r="O10811" s="4"/>
    </row>
    <row r="10812" spans="14:15">
      <c r="N10812" s="4"/>
      <c r="O10812" s="4"/>
    </row>
    <row r="10813" spans="14:15">
      <c r="N10813" s="4"/>
      <c r="O10813" s="4"/>
    </row>
    <row r="10814" spans="14:15">
      <c r="N10814" s="4"/>
      <c r="O10814" s="4"/>
    </row>
    <row r="10815" spans="14:15">
      <c r="N10815" s="4"/>
      <c r="O10815" s="4"/>
    </row>
    <row r="10816" spans="14:15">
      <c r="N10816" s="4"/>
      <c r="O10816" s="4"/>
    </row>
    <row r="10817" spans="14:15">
      <c r="N10817" s="4"/>
      <c r="O10817" s="4"/>
    </row>
    <row r="10818" spans="14:15">
      <c r="N10818" s="4"/>
      <c r="O10818" s="4"/>
    </row>
    <row r="10819" spans="14:15">
      <c r="N10819" s="4"/>
      <c r="O10819" s="4"/>
    </row>
    <row r="10820" spans="14:15">
      <c r="N10820" s="4"/>
      <c r="O10820" s="4"/>
    </row>
    <row r="10821" spans="14:15">
      <c r="N10821" s="4"/>
      <c r="O10821" s="4"/>
    </row>
    <row r="10822" spans="14:15">
      <c r="N10822" s="4"/>
      <c r="O10822" s="4"/>
    </row>
    <row r="10823" spans="14:15">
      <c r="N10823" s="4"/>
      <c r="O10823" s="4"/>
    </row>
    <row r="10824" spans="14:15">
      <c r="N10824" s="4"/>
      <c r="O10824" s="4"/>
    </row>
    <row r="10825" spans="14:15">
      <c r="N10825" s="4"/>
      <c r="O10825" s="4"/>
    </row>
    <row r="10826" spans="14:15">
      <c r="N10826" s="4"/>
      <c r="O10826" s="4"/>
    </row>
    <row r="10827" spans="14:15">
      <c r="N10827" s="4"/>
      <c r="O10827" s="4"/>
    </row>
    <row r="10828" spans="14:15">
      <c r="N10828" s="4"/>
      <c r="O10828" s="4"/>
    </row>
    <row r="10829" spans="14:15">
      <c r="N10829" s="4"/>
      <c r="O10829" s="4"/>
    </row>
    <row r="10830" spans="14:15">
      <c r="N10830" s="4"/>
      <c r="O10830" s="4"/>
    </row>
    <row r="10831" spans="14:15">
      <c r="N10831" s="4"/>
      <c r="O10831" s="4"/>
    </row>
    <row r="10832" spans="14:15">
      <c r="N10832" s="4"/>
      <c r="O10832" s="4"/>
    </row>
    <row r="10833" spans="14:15">
      <c r="N10833" s="4"/>
      <c r="O10833" s="4"/>
    </row>
    <row r="10834" spans="14:15">
      <c r="N10834" s="4"/>
      <c r="O10834" s="4"/>
    </row>
    <row r="10835" spans="14:15">
      <c r="N10835" s="4"/>
      <c r="O10835" s="4"/>
    </row>
    <row r="10836" spans="14:15">
      <c r="N10836" s="4"/>
      <c r="O10836" s="4"/>
    </row>
    <row r="10837" spans="14:15">
      <c r="N10837" s="4"/>
      <c r="O10837" s="4"/>
    </row>
    <row r="10838" spans="14:15">
      <c r="N10838" s="4"/>
      <c r="O10838" s="4"/>
    </row>
  </sheetData>
  <mergeCells count="9">
    <mergeCell ref="A1:H1"/>
    <mergeCell ref="BJ1:BM1"/>
    <mergeCell ref="BN1:BW1"/>
    <mergeCell ref="BA1:BI1"/>
    <mergeCell ref="I1:O1"/>
    <mergeCell ref="P1:V1"/>
    <mergeCell ref="W1:AC1"/>
    <mergeCell ref="AD1:AJ1"/>
    <mergeCell ref="AK1:AZ1"/>
  </mergeCells>
  <pageMargins left="0.25" right="0.25" top="1" bottom="1" header="0.5" footer="0.5"/>
  <pageSetup orientation="portrait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Y3068"/>
  <sheetViews>
    <sheetView topLeftCell="AH1" workbookViewId="0">
      <selection activeCell="AT3" sqref="AT3"/>
    </sheetView>
  </sheetViews>
  <sheetFormatPr defaultRowHeight="12.75"/>
  <cols>
    <col min="1" max="1" width="10.85546875" customWidth="1"/>
    <col min="2" max="2" width="9.5703125" bestFit="1" customWidth="1"/>
    <col min="11" max="11" width="9.85546875" customWidth="1"/>
    <col min="33" max="33" width="5.42578125" bestFit="1" customWidth="1"/>
    <col min="34" max="35" width="4.28515625" bestFit="1" customWidth="1"/>
    <col min="36" max="36" width="3.7109375" bestFit="1" customWidth="1"/>
    <col min="37" max="37" width="4.85546875" bestFit="1" customWidth="1"/>
    <col min="40" max="40" width="2" bestFit="1" customWidth="1"/>
    <col min="41" max="41" width="16.42578125" bestFit="1" customWidth="1"/>
    <col min="43" max="43" width="1.85546875" bestFit="1" customWidth="1"/>
    <col min="44" max="44" width="14.85546875" bestFit="1" customWidth="1"/>
    <col min="46" max="46" width="1.85546875" bestFit="1" customWidth="1"/>
    <col min="47" max="47" width="7.140625" bestFit="1" customWidth="1"/>
    <col min="49" max="49" width="2" bestFit="1" customWidth="1"/>
    <col min="50" max="50" width="18.42578125" bestFit="1" customWidth="1"/>
  </cols>
  <sheetData>
    <row r="1" spans="1:51">
      <c r="A1" s="222" t="s">
        <v>1268</v>
      </c>
      <c r="F1" s="234" t="s">
        <v>1264</v>
      </c>
      <c r="G1" s="234" t="s">
        <v>1267</v>
      </c>
    </row>
    <row r="2" spans="1:51">
      <c r="A2" s="228"/>
      <c r="B2" s="224" t="s">
        <v>36</v>
      </c>
      <c r="C2" s="224" t="s">
        <v>37</v>
      </c>
      <c r="D2" s="228"/>
      <c r="E2" s="228"/>
      <c r="F2" s="235" t="s">
        <v>1265</v>
      </c>
      <c r="G2" s="227">
        <f>AVERAGE(B13:M28)</f>
        <v>1.0433547305361941</v>
      </c>
      <c r="H2" s="228"/>
      <c r="I2" s="228"/>
      <c r="J2" s="228"/>
      <c r="K2" s="228"/>
      <c r="L2" s="228"/>
      <c r="M2" s="228"/>
      <c r="N2" s="228"/>
      <c r="O2" s="229"/>
      <c r="P2" s="229"/>
      <c r="AG2" s="229" t="s">
        <v>1272</v>
      </c>
      <c r="AH2" s="229" t="s">
        <v>1273</v>
      </c>
      <c r="AI2" s="229" t="s">
        <v>1274</v>
      </c>
      <c r="AJ2" s="229" t="s">
        <v>1275</v>
      </c>
      <c r="AK2" s="229" t="s">
        <v>1276</v>
      </c>
      <c r="AM2" s="138"/>
      <c r="AN2" s="138"/>
      <c r="AO2" s="138"/>
      <c r="AP2" s="138"/>
    </row>
    <row r="3" spans="1:51">
      <c r="A3" s="224" t="s">
        <v>24</v>
      </c>
      <c r="B3" s="230">
        <v>700</v>
      </c>
      <c r="C3" s="230">
        <v>2200</v>
      </c>
      <c r="D3" s="228"/>
      <c r="E3" s="228"/>
      <c r="F3" s="235" t="s">
        <v>1266</v>
      </c>
      <c r="G3" s="227">
        <f>AVERAGE(B7:M30)</f>
        <v>0.99999424952906102</v>
      </c>
      <c r="H3" s="228"/>
      <c r="I3" s="228"/>
      <c r="J3" s="228"/>
      <c r="K3" s="228"/>
      <c r="L3" s="228"/>
      <c r="M3" s="228"/>
      <c r="N3" s="228"/>
      <c r="O3" s="229"/>
      <c r="P3" s="229"/>
      <c r="AG3" s="229" t="s">
        <v>1277</v>
      </c>
      <c r="AH3" s="229" t="s">
        <v>1277</v>
      </c>
      <c r="AI3" s="229" t="s">
        <v>1277</v>
      </c>
      <c r="AJ3" s="229"/>
      <c r="AK3" s="229"/>
      <c r="AM3" s="138"/>
      <c r="AN3" s="301">
        <v>1</v>
      </c>
      <c r="AO3" s="384" t="s">
        <v>1278</v>
      </c>
      <c r="AP3" s="138"/>
      <c r="AQ3" s="355">
        <v>9</v>
      </c>
      <c r="AR3" s="356" t="s">
        <v>1259</v>
      </c>
      <c r="AT3" s="360">
        <v>2</v>
      </c>
      <c r="AU3" s="361" t="s">
        <v>1278</v>
      </c>
      <c r="AW3" s="355">
        <v>1</v>
      </c>
      <c r="AX3" s="364" t="s">
        <v>1278</v>
      </c>
      <c r="AY3" s="366"/>
    </row>
    <row r="4" spans="1:51">
      <c r="A4" s="231" t="s">
        <v>42</v>
      </c>
      <c r="B4" s="232"/>
      <c r="C4" s="232"/>
      <c r="D4" s="232"/>
      <c r="E4" s="232"/>
      <c r="F4" s="233"/>
      <c r="G4" s="233"/>
      <c r="H4" s="232"/>
      <c r="I4" s="232"/>
      <c r="J4" s="232"/>
      <c r="K4" s="232"/>
      <c r="L4" s="232"/>
      <c r="M4" s="232"/>
      <c r="N4" s="232"/>
      <c r="O4" s="229"/>
      <c r="P4" s="229"/>
      <c r="AF4" s="241">
        <v>36557</v>
      </c>
      <c r="AG4" s="229">
        <v>21</v>
      </c>
      <c r="AH4" s="229">
        <v>4</v>
      </c>
      <c r="AI4" s="229">
        <v>4</v>
      </c>
      <c r="AJ4" s="229">
        <v>0</v>
      </c>
      <c r="AK4" s="229">
        <v>29</v>
      </c>
      <c r="AM4" s="141"/>
      <c r="AN4" s="299">
        <v>1</v>
      </c>
      <c r="AO4" s="300" t="s">
        <v>1332</v>
      </c>
      <c r="AP4" s="141"/>
      <c r="AQ4" s="357">
        <v>1</v>
      </c>
      <c r="AR4" s="358" t="s">
        <v>1241</v>
      </c>
      <c r="AT4" s="362">
        <v>1</v>
      </c>
      <c r="AU4" s="363" t="s">
        <v>30</v>
      </c>
      <c r="AW4" s="365">
        <v>1</v>
      </c>
      <c r="AX4" s="357" t="s">
        <v>1338</v>
      </c>
      <c r="AY4" s="366"/>
    </row>
    <row r="5" spans="1:51">
      <c r="A5" s="225"/>
      <c r="B5" s="226">
        <v>1</v>
      </c>
      <c r="C5" s="226">
        <v>2</v>
      </c>
      <c r="D5" s="226">
        <v>3</v>
      </c>
      <c r="E5" s="226">
        <v>4</v>
      </c>
      <c r="F5" s="226">
        <v>5</v>
      </c>
      <c r="G5" s="226">
        <v>6</v>
      </c>
      <c r="H5" s="226">
        <v>7</v>
      </c>
      <c r="I5" s="226">
        <v>8</v>
      </c>
      <c r="J5" s="226">
        <v>9</v>
      </c>
      <c r="K5" s="226">
        <v>10</v>
      </c>
      <c r="L5" s="226">
        <v>11</v>
      </c>
      <c r="M5" s="226">
        <v>12</v>
      </c>
      <c r="N5" s="225"/>
      <c r="O5" s="229"/>
      <c r="P5" s="229"/>
      <c r="AF5" s="241">
        <v>36586</v>
      </c>
      <c r="AG5" s="229">
        <v>23</v>
      </c>
      <c r="AH5" s="229">
        <v>4</v>
      </c>
      <c r="AI5" s="229">
        <v>4</v>
      </c>
      <c r="AJ5" s="229">
        <v>0</v>
      </c>
      <c r="AK5" s="229">
        <v>31</v>
      </c>
      <c r="AM5" s="138"/>
      <c r="AN5" s="299">
        <v>2</v>
      </c>
      <c r="AO5" s="300" t="s">
        <v>1333</v>
      </c>
      <c r="AP5" s="138"/>
      <c r="AQ5" s="357">
        <v>2</v>
      </c>
      <c r="AR5" s="359" t="s">
        <v>1243</v>
      </c>
      <c r="AT5" s="362">
        <v>2</v>
      </c>
      <c r="AU5" s="363" t="s">
        <v>29</v>
      </c>
      <c r="AW5" s="365">
        <v>2</v>
      </c>
      <c r="AX5" s="367" t="s">
        <v>1339</v>
      </c>
      <c r="AY5" s="366"/>
    </row>
    <row r="6" spans="1:51">
      <c r="A6" s="224" t="s">
        <v>61</v>
      </c>
      <c r="B6" s="431" t="s">
        <v>1382</v>
      </c>
      <c r="C6" s="431"/>
      <c r="D6" s="431"/>
      <c r="E6" s="431"/>
      <c r="F6" s="431"/>
      <c r="G6" s="431"/>
      <c r="H6" s="431"/>
      <c r="I6" s="431"/>
      <c r="J6" s="431"/>
      <c r="K6" s="431"/>
      <c r="L6" s="431"/>
      <c r="M6" s="431"/>
      <c r="N6" s="224" t="s">
        <v>62</v>
      </c>
      <c r="O6" s="229"/>
      <c r="P6" s="229"/>
      <c r="AF6" s="241">
        <v>36617</v>
      </c>
      <c r="AG6" s="229">
        <v>20</v>
      </c>
      <c r="AH6" s="229">
        <v>5</v>
      </c>
      <c r="AI6" s="229">
        <v>5</v>
      </c>
      <c r="AJ6" s="229">
        <v>0</v>
      </c>
      <c r="AK6" s="229">
        <v>30</v>
      </c>
      <c r="AM6" s="138"/>
      <c r="AN6" s="299">
        <v>3</v>
      </c>
      <c r="AO6" s="300" t="s">
        <v>1334</v>
      </c>
      <c r="AP6" s="138"/>
      <c r="AQ6" s="357">
        <v>3</v>
      </c>
      <c r="AR6" s="358" t="s">
        <v>1239</v>
      </c>
      <c r="AT6" s="362">
        <v>3</v>
      </c>
      <c r="AU6" s="363" t="s">
        <v>31</v>
      </c>
    </row>
    <row r="7" spans="1:51">
      <c r="A7" s="228">
        <v>100</v>
      </c>
      <c r="B7" s="352">
        <f>'Power Curves'!AT21</f>
        <v>0.92009140360859498</v>
      </c>
      <c r="C7" s="352">
        <f>'Power Curves'!AU21</f>
        <v>0.92009140360859498</v>
      </c>
      <c r="D7" s="352">
        <f>'Power Curves'!AV21</f>
        <v>0.88009140360859495</v>
      </c>
      <c r="E7" s="352">
        <f>'Power Curves'!AW21</f>
        <v>0.93009140360859499</v>
      </c>
      <c r="F7" s="352">
        <f>'Power Curves'!AX21</f>
        <v>0.99487413888798193</v>
      </c>
      <c r="G7" s="352">
        <f>'Power Curves'!AY21</f>
        <v>1.1566015393724096</v>
      </c>
      <c r="H7" s="352">
        <f>'Power Curves'!AZ21</f>
        <v>1.1151212088270464</v>
      </c>
      <c r="I7" s="352">
        <f>'Power Curves'!BA21</f>
        <v>1.091611616602268</v>
      </c>
      <c r="J7" s="352">
        <f>'Power Curves'!BB21</f>
        <v>0.99664578191253639</v>
      </c>
      <c r="K7" s="352">
        <f>'Power Curves'!BC21</f>
        <v>0.94950000000000001</v>
      </c>
      <c r="L7" s="352">
        <f>'Power Curves'!BD21</f>
        <v>0.92949999999999999</v>
      </c>
      <c r="M7" s="352">
        <f>'Power Curves'!BE21</f>
        <v>0.92949999999999999</v>
      </c>
      <c r="N7" s="228" t="s">
        <v>67</v>
      </c>
      <c r="O7" s="229"/>
      <c r="P7" s="229"/>
      <c r="AF7" s="241">
        <v>36647</v>
      </c>
      <c r="AG7" s="229">
        <v>22</v>
      </c>
      <c r="AH7" s="229">
        <v>4</v>
      </c>
      <c r="AI7" s="229">
        <v>4</v>
      </c>
      <c r="AJ7" s="229">
        <v>1</v>
      </c>
      <c r="AK7" s="229">
        <v>31</v>
      </c>
      <c r="AM7" s="138"/>
      <c r="AN7" s="138"/>
      <c r="AO7" s="138"/>
      <c r="AP7" s="138"/>
      <c r="AQ7" s="357">
        <v>4</v>
      </c>
      <c r="AR7" s="358" t="s">
        <v>1242</v>
      </c>
      <c r="AT7" s="3"/>
      <c r="AU7" s="3"/>
      <c r="AV7" s="3"/>
    </row>
    <row r="8" spans="1:51">
      <c r="A8" s="228">
        <v>200</v>
      </c>
      <c r="B8" s="352">
        <f>'Power Curves'!AT22</f>
        <v>0.90216545967600503</v>
      </c>
      <c r="C8" s="352">
        <f>'Power Curves'!AU22</f>
        <v>0.90216545967600503</v>
      </c>
      <c r="D8" s="352">
        <f>'Power Curves'!AV22</f>
        <v>0.83216545967600497</v>
      </c>
      <c r="E8" s="352">
        <f>'Power Curves'!AW22</f>
        <v>0.88216545967600501</v>
      </c>
      <c r="F8" s="352">
        <f>'Power Curves'!AX22</f>
        <v>0.89614417708707417</v>
      </c>
      <c r="G8" s="352">
        <f>'Power Curves'!AY22</f>
        <v>0.95825932504440481</v>
      </c>
      <c r="H8" s="352">
        <f>'Power Curves'!AZ22</f>
        <v>1.0185889770627239</v>
      </c>
      <c r="I8" s="352">
        <f>'Power Curves'!BA22</f>
        <v>0.98541692633678146</v>
      </c>
      <c r="J8" s="352">
        <f>'Power Curves'!BB22</f>
        <v>0.87437503955445783</v>
      </c>
      <c r="K8" s="352">
        <f>'Power Curves'!BC22</f>
        <v>0.9012</v>
      </c>
      <c r="L8" s="352">
        <f>'Power Curves'!BD22</f>
        <v>0.88119999999999998</v>
      </c>
      <c r="M8" s="352">
        <f>'Power Curves'!BE22</f>
        <v>0.88119999999999998</v>
      </c>
      <c r="N8" s="228" t="s">
        <v>67</v>
      </c>
      <c r="O8" s="229"/>
      <c r="P8" s="229"/>
      <c r="AF8" s="241">
        <v>36678</v>
      </c>
      <c r="AG8" s="229">
        <v>22</v>
      </c>
      <c r="AH8" s="229">
        <v>4</v>
      </c>
      <c r="AI8" s="229">
        <v>4</v>
      </c>
      <c r="AJ8" s="229">
        <v>0</v>
      </c>
      <c r="AK8" s="229">
        <v>30</v>
      </c>
      <c r="AM8" s="138"/>
      <c r="AN8" s="301">
        <v>1</v>
      </c>
      <c r="AO8" s="384" t="s">
        <v>1278</v>
      </c>
      <c r="AP8" s="138"/>
      <c r="AQ8" s="357">
        <v>5</v>
      </c>
      <c r="AR8" s="358" t="s">
        <v>1244</v>
      </c>
      <c r="AT8" s="3"/>
    </row>
    <row r="9" spans="1:51">
      <c r="A9" s="228">
        <v>300</v>
      </c>
      <c r="B9" s="352">
        <f>'Power Curves'!AT23</f>
        <v>0.82669983553583493</v>
      </c>
      <c r="C9" s="352">
        <f>'Power Curves'!AU23</f>
        <v>0.82669983553583493</v>
      </c>
      <c r="D9" s="352">
        <f>'Power Curves'!AV23</f>
        <v>0.7966998355358349</v>
      </c>
      <c r="E9" s="352">
        <f>'Power Curves'!AW23</f>
        <v>0.84669983553583494</v>
      </c>
      <c r="F9" s="352">
        <f>'Power Curves'!AX23</f>
        <v>0.84808514806229396</v>
      </c>
      <c r="G9" s="352">
        <f>'Power Curves'!AY23</f>
        <v>0.80550621669626976</v>
      </c>
      <c r="H9" s="352">
        <f>'Power Curves'!AZ23</f>
        <v>0.97054027611696914</v>
      </c>
      <c r="I9" s="352">
        <f>'Power Curves'!BA23</f>
        <v>0.88495575221238931</v>
      </c>
      <c r="J9" s="352">
        <f>'Power Curves'!BB23</f>
        <v>0.81994810455034439</v>
      </c>
      <c r="K9" s="352">
        <f>'Power Curves'!BC23</f>
        <v>0.86570000000000003</v>
      </c>
      <c r="L9" s="352">
        <f>'Power Curves'!BD23</f>
        <v>0.84570000000000001</v>
      </c>
      <c r="M9" s="352">
        <f>'Power Curves'!BE23</f>
        <v>0.84570000000000001</v>
      </c>
      <c r="N9" s="228" t="s">
        <v>67</v>
      </c>
      <c r="O9" s="229"/>
      <c r="P9" s="229"/>
      <c r="AF9" s="241">
        <v>36708</v>
      </c>
      <c r="AG9" s="229">
        <v>20</v>
      </c>
      <c r="AH9" s="229">
        <v>5</v>
      </c>
      <c r="AI9" s="229">
        <v>5</v>
      </c>
      <c r="AJ9" s="229">
        <v>1</v>
      </c>
      <c r="AK9" s="229">
        <v>31</v>
      </c>
      <c r="AN9" s="302">
        <v>1</v>
      </c>
      <c r="AO9" s="383" t="s">
        <v>1398</v>
      </c>
      <c r="AQ9" s="357">
        <v>6</v>
      </c>
      <c r="AR9" s="358" t="s">
        <v>1240</v>
      </c>
      <c r="AT9" s="3"/>
    </row>
    <row r="10" spans="1:51">
      <c r="A10" s="228">
        <v>400</v>
      </c>
      <c r="B10" s="352">
        <f>'Power Curves'!AT24</f>
        <v>0.82620000000000005</v>
      </c>
      <c r="C10" s="352">
        <f>'Power Curves'!AU24</f>
        <v>0.82620000000000005</v>
      </c>
      <c r="D10" s="352">
        <f>'Power Curves'!AV24</f>
        <v>0.79719995084774298</v>
      </c>
      <c r="E10" s="352">
        <f>'Power Curves'!AW24</f>
        <v>0.84719995084774302</v>
      </c>
      <c r="F10" s="352">
        <f>'Power Curves'!AX24</f>
        <v>0.82222730092396068</v>
      </c>
      <c r="G10" s="352">
        <f>'Power Curves'!AY24</f>
        <v>0.74777975133214913</v>
      </c>
      <c r="H10" s="352">
        <f>'Power Curves'!AZ24</f>
        <v>0.87400804435264667</v>
      </c>
      <c r="I10" s="352">
        <f>'Power Curves'!BA24</f>
        <v>0.83260625701109281</v>
      </c>
      <c r="J10" s="352">
        <f>'Power Curves'!BB24</f>
        <v>0.83209923422568155</v>
      </c>
      <c r="K10" s="352">
        <f>'Power Curves'!BC24</f>
        <v>0.86619999999999997</v>
      </c>
      <c r="L10" s="352">
        <f>'Power Curves'!BD24</f>
        <v>0.84619999999999995</v>
      </c>
      <c r="M10" s="352">
        <f>'Power Curves'!BE24</f>
        <v>0.84619999999999995</v>
      </c>
      <c r="N10" s="228" t="s">
        <v>67</v>
      </c>
      <c r="O10" s="229"/>
      <c r="P10" s="229"/>
      <c r="AF10" s="241">
        <v>36739</v>
      </c>
      <c r="AG10" s="229">
        <v>23</v>
      </c>
      <c r="AH10" s="229">
        <v>4</v>
      </c>
      <c r="AI10" s="229">
        <v>4</v>
      </c>
      <c r="AJ10" s="229">
        <v>0</v>
      </c>
      <c r="AK10" s="229">
        <v>31</v>
      </c>
      <c r="AN10" s="302">
        <v>2</v>
      </c>
      <c r="AO10" s="383" t="s">
        <v>1397</v>
      </c>
      <c r="AQ10" s="357">
        <v>7</v>
      </c>
      <c r="AR10" s="359" t="s">
        <v>1245</v>
      </c>
      <c r="AT10" s="3"/>
    </row>
    <row r="11" spans="1:51">
      <c r="A11" s="228">
        <v>500</v>
      </c>
      <c r="B11" s="352">
        <f>'Power Curves'!AT25</f>
        <v>0.84650000000000003</v>
      </c>
      <c r="C11" s="352">
        <f>'Power Curves'!AU25</f>
        <v>0.84650000000000003</v>
      </c>
      <c r="D11" s="352">
        <f>'Power Curves'!AV25</f>
        <v>0.85749044781089889</v>
      </c>
      <c r="E11" s="352">
        <f>'Power Curves'!AW25</f>
        <v>0.90749044781089894</v>
      </c>
      <c r="F11" s="352">
        <f>'Power Curves'!AX25</f>
        <v>0.89013679845897664</v>
      </c>
      <c r="G11" s="352">
        <f>'Power Curves'!AY25</f>
        <v>0.81113084665482538</v>
      </c>
      <c r="H11" s="352">
        <f>'Power Curves'!AZ25</f>
        <v>0.8296553973257963</v>
      </c>
      <c r="I11" s="352">
        <f>'Power Curves'!BA25</f>
        <v>0.86426523744235273</v>
      </c>
      <c r="J11" s="352">
        <f>'Power Curves'!BB25</f>
        <v>0.89842415037022905</v>
      </c>
      <c r="K11" s="352">
        <f>'Power Curves'!BC25</f>
        <v>0.92649999999999999</v>
      </c>
      <c r="L11" s="352">
        <f>'Power Curves'!BD25</f>
        <v>0.90649999999999997</v>
      </c>
      <c r="M11" s="352">
        <f>'Power Curves'!BE25</f>
        <v>0.90649999999999997</v>
      </c>
      <c r="N11" s="228" t="s">
        <v>67</v>
      </c>
      <c r="O11" s="229"/>
      <c r="P11" s="229"/>
      <c r="AF11" s="241">
        <v>36770</v>
      </c>
      <c r="AG11" s="229">
        <v>20</v>
      </c>
      <c r="AH11" s="229">
        <v>5</v>
      </c>
      <c r="AI11" s="229">
        <v>4</v>
      </c>
      <c r="AJ11" s="229">
        <v>1</v>
      </c>
      <c r="AK11" s="229">
        <v>30</v>
      </c>
      <c r="AQ11" s="357">
        <v>8</v>
      </c>
      <c r="AR11" s="358" t="s">
        <v>1247</v>
      </c>
      <c r="AT11" s="3"/>
      <c r="AU11" s="3"/>
      <c r="AV11" s="3"/>
    </row>
    <row r="12" spans="1:51">
      <c r="A12" s="228">
        <v>600</v>
      </c>
      <c r="B12" s="352">
        <f>'Power Curves'!AT26</f>
        <v>0.90339999999999998</v>
      </c>
      <c r="C12" s="352">
        <f>'Power Curves'!AU26</f>
        <v>0.90339999999999998</v>
      </c>
      <c r="D12" s="352">
        <f>'Power Curves'!AV26</f>
        <v>0.99535202187631988</v>
      </c>
      <c r="E12" s="352">
        <f>'Power Curves'!AW26</f>
        <v>1.0453520218763199</v>
      </c>
      <c r="F12" s="352">
        <f>'Power Curves'!AX26</f>
        <v>1.079238630056482</v>
      </c>
      <c r="G12" s="352">
        <f>'Power Curves'!AY26</f>
        <v>0.98963883955002951</v>
      </c>
      <c r="H12" s="352">
        <f>'Power Curves'!AZ26</f>
        <v>0.91466463746059334</v>
      </c>
      <c r="I12" s="352">
        <f>'Power Curves'!BA26</f>
        <v>0.960239311978063</v>
      </c>
      <c r="J12" s="352">
        <f>'Power Curves'!BB26</f>
        <v>1.0396810328460215</v>
      </c>
      <c r="K12" s="352">
        <f>'Power Curves'!BC26</f>
        <v>1.0644</v>
      </c>
      <c r="L12" s="352">
        <f>'Power Curves'!BD26</f>
        <v>1.0444</v>
      </c>
      <c r="M12" s="352">
        <f>'Power Curves'!BE26</f>
        <v>1.0444</v>
      </c>
      <c r="N12" s="228" t="s">
        <v>67</v>
      </c>
      <c r="AF12" s="241">
        <v>36800</v>
      </c>
      <c r="AG12" s="229">
        <v>22</v>
      </c>
      <c r="AH12" s="229">
        <v>4</v>
      </c>
      <c r="AI12" s="229">
        <v>5</v>
      </c>
      <c r="AJ12" s="229">
        <v>0</v>
      </c>
      <c r="AK12" s="229">
        <v>31</v>
      </c>
      <c r="AQ12" s="357">
        <v>9</v>
      </c>
      <c r="AR12" s="359" t="s">
        <v>1246</v>
      </c>
      <c r="AT12" s="3"/>
      <c r="AU12" s="3"/>
      <c r="AV12" s="3"/>
    </row>
    <row r="13" spans="1:51">
      <c r="A13" s="228">
        <v>700</v>
      </c>
      <c r="B13" s="352">
        <f>'Power Curves'!AT27</f>
        <v>1.73</v>
      </c>
      <c r="C13" s="352">
        <f>'Power Curves'!AU27</f>
        <v>1.73</v>
      </c>
      <c r="D13" s="352">
        <f>'Power Curves'!AV27</f>
        <v>1.7959999999999998</v>
      </c>
      <c r="E13" s="352">
        <f>'Power Curves'!AW27</f>
        <v>1.4909756812084298</v>
      </c>
      <c r="F13" s="352">
        <f>'Power Curves'!AX27</f>
        <v>1.2913252146658396</v>
      </c>
      <c r="G13" s="352">
        <f>'Power Curves'!AY27</f>
        <v>1.134695085849615</v>
      </c>
      <c r="H13" s="352">
        <f>'Power Curves'!AZ27</f>
        <v>1.0157625828894443</v>
      </c>
      <c r="I13" s="352">
        <f>'Power Curves'!BA27</f>
        <v>1.1172877975819515</v>
      </c>
      <c r="J13" s="352">
        <f>'Power Curves'!BB27</f>
        <v>1.4138345674324397</v>
      </c>
      <c r="K13" s="352">
        <f>'Power Curves'!BC27</f>
        <v>1.3759999999999999</v>
      </c>
      <c r="L13" s="352">
        <f>'Power Curves'!BD27</f>
        <v>1.496</v>
      </c>
      <c r="M13" s="352">
        <f>'Power Curves'!BE27</f>
        <v>1.496</v>
      </c>
      <c r="N13" s="228" t="s">
        <v>59</v>
      </c>
      <c r="AF13" s="241">
        <v>36831</v>
      </c>
      <c r="AG13" s="229">
        <v>21</v>
      </c>
      <c r="AH13" s="229">
        <v>4</v>
      </c>
      <c r="AI13" s="229">
        <v>4</v>
      </c>
      <c r="AJ13" s="229">
        <v>1</v>
      </c>
      <c r="AK13" s="229">
        <v>30</v>
      </c>
      <c r="AT13" s="3"/>
      <c r="AU13" s="3"/>
      <c r="AV13" s="3"/>
    </row>
    <row r="14" spans="1:51">
      <c r="A14" s="228">
        <v>800</v>
      </c>
      <c r="B14" s="352">
        <f>'Power Curves'!AT28</f>
        <v>1.1458848137090256</v>
      </c>
      <c r="C14" s="352">
        <f>'Power Curves'!AU28</f>
        <v>1.1458848137090256</v>
      </c>
      <c r="D14" s="352">
        <f>'Power Curves'!AV28</f>
        <v>1.1358999999999999</v>
      </c>
      <c r="E14" s="352">
        <f>'Power Curves'!AW28</f>
        <v>1.1232726508202047</v>
      </c>
      <c r="F14" s="352">
        <f>'Power Curves'!AX28</f>
        <v>0.95286212503963064</v>
      </c>
      <c r="G14" s="352">
        <f>'Power Curves'!AY28</f>
        <v>0.65105901103049102</v>
      </c>
      <c r="H14" s="352">
        <f>'Power Curves'!AZ28</f>
        <v>0.58625176867694417</v>
      </c>
      <c r="I14" s="352">
        <f>'Power Curves'!BA28</f>
        <v>0.66493857390129607</v>
      </c>
      <c r="J14" s="352">
        <f>'Power Curves'!BB28</f>
        <v>0.77710435244355791</v>
      </c>
      <c r="K14" s="352">
        <f>'Power Curves'!BC28</f>
        <v>1.0615000000000001</v>
      </c>
      <c r="L14" s="352">
        <f>'Power Curves'!BD28</f>
        <v>1.0714999999999999</v>
      </c>
      <c r="M14" s="352">
        <f>'Power Curves'!BE28</f>
        <v>1.0874999999999999</v>
      </c>
      <c r="N14" s="228" t="s">
        <v>59</v>
      </c>
      <c r="AF14" s="241">
        <v>36861</v>
      </c>
      <c r="AG14" s="229">
        <v>20</v>
      </c>
      <c r="AH14" s="229">
        <v>5</v>
      </c>
      <c r="AI14" s="229">
        <v>5</v>
      </c>
      <c r="AJ14" s="229">
        <v>1</v>
      </c>
      <c r="AK14" s="229">
        <v>31</v>
      </c>
    </row>
    <row r="15" spans="1:51">
      <c r="A15" s="228">
        <v>900</v>
      </c>
      <c r="B15" s="352">
        <f>'Power Curves'!AT29</f>
        <v>1.1998117566192825</v>
      </c>
      <c r="C15" s="352">
        <f>'Power Curves'!AU29</f>
        <v>1.1998117566192825</v>
      </c>
      <c r="D15" s="352">
        <f>'Power Curves'!AV29</f>
        <v>1.1898</v>
      </c>
      <c r="E15" s="352">
        <f>'Power Curves'!AW29</f>
        <v>1.1413154461256174</v>
      </c>
      <c r="F15" s="352">
        <f>'Power Curves'!AX29</f>
        <v>1.0425355656238169</v>
      </c>
      <c r="G15" s="352">
        <f>'Power Curves'!AY29</f>
        <v>0.7656754603028143</v>
      </c>
      <c r="H15" s="352">
        <f>'Power Curves'!AZ29</f>
        <v>0.64707720807596325</v>
      </c>
      <c r="I15" s="352">
        <f>'Power Curves'!BA29</f>
        <v>0.72465065225651215</v>
      </c>
      <c r="J15" s="352">
        <f>'Power Curves'!BB29</f>
        <v>0.75981909069269282</v>
      </c>
      <c r="K15" s="352">
        <f>'Power Curves'!BC29</f>
        <v>1.1326000000000001</v>
      </c>
      <c r="L15" s="352">
        <f>'Power Curves'!BD29</f>
        <v>1.1426000000000001</v>
      </c>
      <c r="M15" s="352">
        <f>'Power Curves'!BE29</f>
        <v>1.1637999999999999</v>
      </c>
      <c r="N15" s="228" t="s">
        <v>59</v>
      </c>
      <c r="O15" s="229"/>
      <c r="P15" s="229"/>
      <c r="AF15" s="241">
        <v>36892</v>
      </c>
      <c r="AG15" s="229">
        <v>22</v>
      </c>
      <c r="AH15" s="229">
        <v>4</v>
      </c>
      <c r="AI15" s="229">
        <v>4</v>
      </c>
      <c r="AJ15" s="229">
        <v>1</v>
      </c>
      <c r="AK15" s="229">
        <v>31</v>
      </c>
    </row>
    <row r="16" spans="1:51">
      <c r="A16" s="228">
        <v>1000</v>
      </c>
      <c r="B16" s="352">
        <f>'Power Curves'!AT30</f>
        <v>1.1961600115620716</v>
      </c>
      <c r="C16" s="352">
        <f>'Power Curves'!AU30</f>
        <v>1.1961600115620716</v>
      </c>
      <c r="D16" s="352">
        <f>'Power Curves'!AV30</f>
        <v>1.1861999999999999</v>
      </c>
      <c r="E16" s="352">
        <f>'Power Curves'!AW30</f>
        <v>1.0937861200445436</v>
      </c>
      <c r="F16" s="352">
        <f>'Power Curves'!AX30</f>
        <v>1.0610266218026732</v>
      </c>
      <c r="G16" s="352">
        <f>'Power Curves'!AY30</f>
        <v>0.85640229836849369</v>
      </c>
      <c r="H16" s="352">
        <f>'Power Curves'!AZ30</f>
        <v>0.77472880286852364</v>
      </c>
      <c r="I16" s="352">
        <f>'Power Curves'!BA30</f>
        <v>0.92931988010301025</v>
      </c>
      <c r="J16" s="352">
        <f>'Power Curves'!BB30</f>
        <v>0.94849211726145832</v>
      </c>
      <c r="K16" s="352">
        <f>'Power Curves'!BC30</f>
        <v>1.1291</v>
      </c>
      <c r="L16" s="352">
        <f>'Power Curves'!BD30</f>
        <v>1.1352</v>
      </c>
      <c r="M16" s="352">
        <f>'Power Curves'!BE30</f>
        <v>1.1578999999999999</v>
      </c>
      <c r="N16" s="228" t="s">
        <v>59</v>
      </c>
      <c r="O16" s="229"/>
      <c r="P16" s="229"/>
      <c r="AF16" s="241">
        <v>36923</v>
      </c>
      <c r="AG16" s="229">
        <v>20</v>
      </c>
      <c r="AH16" s="229">
        <v>4</v>
      </c>
      <c r="AI16" s="229">
        <v>4</v>
      </c>
      <c r="AJ16" s="229">
        <v>0</v>
      </c>
      <c r="AK16" s="229">
        <v>28</v>
      </c>
    </row>
    <row r="17" spans="1:37">
      <c r="A17" s="228">
        <v>1100</v>
      </c>
      <c r="B17" s="352">
        <f>'Power Curves'!AT31</f>
        <v>1.1752854504703492</v>
      </c>
      <c r="C17" s="352">
        <f>'Power Curves'!AU31</f>
        <v>1.1752854504703492</v>
      </c>
      <c r="D17" s="352">
        <f>'Power Curves'!AV31</f>
        <v>1.1653</v>
      </c>
      <c r="E17" s="352">
        <f>'Power Curves'!AW31</f>
        <v>1.1163355903593366</v>
      </c>
      <c r="F17" s="352">
        <f>'Power Curves'!AX31</f>
        <v>1.1254998619307197</v>
      </c>
      <c r="G17" s="352">
        <f>'Power Curves'!AY31</f>
        <v>0.98511093402675809</v>
      </c>
      <c r="H17" s="352">
        <f>'Power Curves'!AZ31</f>
        <v>0.88155973155887868</v>
      </c>
      <c r="I17" s="352">
        <f>'Power Curves'!BA31</f>
        <v>1.0488791320133406</v>
      </c>
      <c r="J17" s="352">
        <f>'Power Curves'!BB31</f>
        <v>1.012945635654515</v>
      </c>
      <c r="K17" s="352">
        <f>'Power Curves'!BC31</f>
        <v>1.1227</v>
      </c>
      <c r="L17" s="352">
        <f>'Power Curves'!BD31</f>
        <v>1.1133</v>
      </c>
      <c r="M17" s="352">
        <f>'Power Curves'!BE31</f>
        <v>1.1327</v>
      </c>
      <c r="N17" s="228" t="s">
        <v>59</v>
      </c>
      <c r="O17" s="229"/>
      <c r="P17" s="229"/>
      <c r="AF17" s="241">
        <v>36951</v>
      </c>
      <c r="AG17" s="229">
        <v>22</v>
      </c>
      <c r="AH17" s="229">
        <v>5</v>
      </c>
      <c r="AI17" s="229">
        <v>4</v>
      </c>
      <c r="AJ17" s="229">
        <v>0</v>
      </c>
      <c r="AK17" s="229">
        <v>31</v>
      </c>
    </row>
    <row r="18" spans="1:37">
      <c r="A18" s="228">
        <v>1200</v>
      </c>
      <c r="B18" s="352">
        <f>'Power Curves'!AT32</f>
        <v>0.88039999999999996</v>
      </c>
      <c r="C18" s="352">
        <f>'Power Curves'!AU32</f>
        <v>0.88039999999999996</v>
      </c>
      <c r="D18" s="352">
        <f>'Power Curves'!AV32</f>
        <v>0.89039999999999997</v>
      </c>
      <c r="E18" s="352">
        <f>'Power Curves'!AW32</f>
        <v>1.1185245467924647</v>
      </c>
      <c r="F18" s="352">
        <f>'Power Curves'!AX32</f>
        <v>1.1169907033351396</v>
      </c>
      <c r="G18" s="352">
        <f>'Power Curves'!AY32</f>
        <v>1.0624166422010652</v>
      </c>
      <c r="H18" s="352">
        <f>'Power Curves'!AZ32</f>
        <v>1.0539439364924221</v>
      </c>
      <c r="I18" s="352">
        <f>'Power Curves'!BA32</f>
        <v>1.0933254527800058</v>
      </c>
      <c r="J18" s="352">
        <f>'Power Curves'!BB32</f>
        <v>1.0793034625455484</v>
      </c>
      <c r="K18" s="352">
        <f>'Power Curves'!BC32</f>
        <v>0.94740000000000002</v>
      </c>
      <c r="L18" s="352">
        <f>'Power Curves'!BD32</f>
        <v>0.93740000000000001</v>
      </c>
      <c r="M18" s="352">
        <f>'Power Curves'!BE32</f>
        <v>0.9204</v>
      </c>
      <c r="N18" s="228" t="s">
        <v>59</v>
      </c>
      <c r="O18" s="229"/>
      <c r="P18" s="229"/>
      <c r="AF18" s="241">
        <v>36982</v>
      </c>
      <c r="AG18" s="229">
        <v>21</v>
      </c>
      <c r="AH18" s="229">
        <v>4</v>
      </c>
      <c r="AI18" s="229">
        <v>5</v>
      </c>
      <c r="AJ18" s="229">
        <v>0</v>
      </c>
      <c r="AK18" s="229">
        <v>30</v>
      </c>
    </row>
    <row r="19" spans="1:37">
      <c r="A19" s="228">
        <v>1300</v>
      </c>
      <c r="B19" s="352">
        <f>'Power Curves'!AT33</f>
        <v>0.8548</v>
      </c>
      <c r="C19" s="352">
        <f>'Power Curves'!AU33</f>
        <v>0.8548</v>
      </c>
      <c r="D19" s="352">
        <f>'Power Curves'!AV33</f>
        <v>0.86480000000000001</v>
      </c>
      <c r="E19" s="352">
        <f>'Power Curves'!AW33</f>
        <v>1.0164322625621052</v>
      </c>
      <c r="F19" s="352">
        <f>'Power Curves'!AX33</f>
        <v>1.0525174632070931</v>
      </c>
      <c r="G19" s="352">
        <f>'Power Curves'!AY33</f>
        <v>1.1040221448643206</v>
      </c>
      <c r="H19" s="352">
        <f>'Power Curves'!AZ33</f>
        <v>1.1615931446365755</v>
      </c>
      <c r="I19" s="352">
        <f>'Power Curves'!BA33</f>
        <v>1.0846793599864903</v>
      </c>
      <c r="J19" s="352">
        <f>'Power Curves'!BB33</f>
        <v>1.0205628696464217</v>
      </c>
      <c r="K19" s="352">
        <f>'Power Curves'!BC33</f>
        <v>0.88990000000000002</v>
      </c>
      <c r="L19" s="352">
        <f>'Power Curves'!BD33</f>
        <v>0.88290000000000002</v>
      </c>
      <c r="M19" s="352">
        <f>'Power Curves'!BE33</f>
        <v>0.87490000000000001</v>
      </c>
      <c r="N19" s="228" t="s">
        <v>59</v>
      </c>
      <c r="O19" s="229"/>
      <c r="P19" s="229"/>
      <c r="AF19" s="241">
        <v>37012</v>
      </c>
      <c r="AG19" s="229">
        <v>22</v>
      </c>
      <c r="AH19" s="229">
        <v>4</v>
      </c>
      <c r="AI19" s="229">
        <v>4</v>
      </c>
      <c r="AJ19" s="229">
        <v>1</v>
      </c>
      <c r="AK19" s="229">
        <v>31</v>
      </c>
    </row>
    <row r="20" spans="1:37">
      <c r="A20" s="228">
        <v>1400</v>
      </c>
      <c r="B20" s="352">
        <f>'Power Curves'!AT34</f>
        <v>0.82720000000000005</v>
      </c>
      <c r="C20" s="352">
        <f>'Power Curves'!AU34</f>
        <v>0.82720000000000005</v>
      </c>
      <c r="D20" s="352">
        <f>'Power Curves'!AV34</f>
        <v>0.83720000000000006</v>
      </c>
      <c r="E20" s="352">
        <f>'Power Curves'!AW34</f>
        <v>1.0175267407786688</v>
      </c>
      <c r="F20" s="352">
        <f>'Power Curves'!AX34</f>
        <v>1.0575902308313812</v>
      </c>
      <c r="G20" s="352">
        <f>'Power Curves'!AY34</f>
        <v>1.2209201862181771</v>
      </c>
      <c r="H20" s="352">
        <f>'Power Curves'!AZ34</f>
        <v>1.2006887185402797</v>
      </c>
      <c r="I20" s="352">
        <f>'Power Curves'!BA34</f>
        <v>1.1907290919069531</v>
      </c>
      <c r="J20" s="352">
        <f>'Power Curves'!BB34</f>
        <v>1.1047918993646206</v>
      </c>
      <c r="K20" s="352">
        <f>'Power Curves'!BC34</f>
        <v>0.86519999999999997</v>
      </c>
      <c r="L20" s="352">
        <f>'Power Curves'!BD34</f>
        <v>0.85919999999999996</v>
      </c>
      <c r="M20" s="352">
        <f>'Power Curves'!BE34</f>
        <v>0.83720000000000006</v>
      </c>
      <c r="N20" s="228" t="s">
        <v>59</v>
      </c>
      <c r="O20" s="229"/>
      <c r="P20" s="229"/>
      <c r="AF20" s="241">
        <v>37043</v>
      </c>
      <c r="AG20" s="229">
        <v>21</v>
      </c>
      <c r="AH20" s="229">
        <v>5</v>
      </c>
      <c r="AI20" s="229">
        <v>4</v>
      </c>
      <c r="AJ20" s="229">
        <v>0</v>
      </c>
      <c r="AK20" s="229">
        <v>30</v>
      </c>
    </row>
    <row r="21" spans="1:37">
      <c r="A21" s="228">
        <v>1500</v>
      </c>
      <c r="B21" s="352">
        <f>'Power Curves'!AT35</f>
        <v>0.78510000000000002</v>
      </c>
      <c r="C21" s="352">
        <f>'Power Curves'!AU35</f>
        <v>0.78510000000000002</v>
      </c>
      <c r="D21" s="352">
        <f>'Power Curves'!AV35</f>
        <v>0.79510000000000003</v>
      </c>
      <c r="E21" s="352">
        <f>'Power Curves'!AW35</f>
        <v>0.95436890957577869</v>
      </c>
      <c r="F21" s="352">
        <f>'Power Curves'!AX35</f>
        <v>1.0258445237632567</v>
      </c>
      <c r="G21" s="352">
        <f>'Power Curves'!AY35</f>
        <v>1.2303149771421382</v>
      </c>
      <c r="H21" s="352">
        <f>'Power Curves'!AZ35</f>
        <v>1.2506946851612968</v>
      </c>
      <c r="I21" s="352">
        <f>'Power Curves'!BA35</f>
        <v>1.26057331025457</v>
      </c>
      <c r="J21" s="352">
        <f>'Power Curves'!BB35</f>
        <v>1.087360152344681</v>
      </c>
      <c r="K21" s="352">
        <f>'Power Curves'!BC35</f>
        <v>0.84509999999999996</v>
      </c>
      <c r="L21" s="352">
        <f>'Power Curves'!BD35</f>
        <v>0.83909999999999996</v>
      </c>
      <c r="M21" s="352">
        <f>'Power Curves'!BE35</f>
        <v>0.79510000000000003</v>
      </c>
      <c r="N21" s="228" t="s">
        <v>59</v>
      </c>
      <c r="O21" s="229"/>
      <c r="P21" s="229"/>
      <c r="AF21" s="241">
        <v>37073</v>
      </c>
      <c r="AG21" s="229">
        <v>21</v>
      </c>
      <c r="AH21" s="229">
        <v>4</v>
      </c>
      <c r="AI21" s="229">
        <v>5</v>
      </c>
      <c r="AJ21" s="229">
        <v>1</v>
      </c>
      <c r="AK21" s="229">
        <v>31</v>
      </c>
    </row>
    <row r="22" spans="1:37">
      <c r="A22" s="228">
        <v>1600</v>
      </c>
      <c r="B22" s="352">
        <f>'Power Curves'!AT36</f>
        <v>0.76929999999999998</v>
      </c>
      <c r="C22" s="352">
        <f>'Power Curves'!AU36</f>
        <v>0.76929999999999998</v>
      </c>
      <c r="D22" s="352">
        <f>'Power Curves'!AV36</f>
        <v>0.77929999999999999</v>
      </c>
      <c r="E22" s="352">
        <f>'Power Curves'!AW36</f>
        <v>0.89196755596374933</v>
      </c>
      <c r="F22" s="352">
        <f>'Power Curves'!AX36</f>
        <v>0.98591693343015174</v>
      </c>
      <c r="G22" s="352">
        <f>'Power Curves'!AY36</f>
        <v>1.2323281466258438</v>
      </c>
      <c r="H22" s="352">
        <f>'Power Curves'!AZ36</f>
        <v>1.3273401940004199</v>
      </c>
      <c r="I22" s="352">
        <f>'Power Curves'!BA36</f>
        <v>1.2430109342677418</v>
      </c>
      <c r="J22" s="352">
        <f>'Power Curves'!BB36</f>
        <v>1.0533755699192509</v>
      </c>
      <c r="K22" s="352">
        <f>'Power Curves'!BC36</f>
        <v>0.83930000000000005</v>
      </c>
      <c r="L22" s="352">
        <f>'Power Curves'!BD36</f>
        <v>0.82530000000000003</v>
      </c>
      <c r="M22" s="352">
        <f>'Power Curves'!BE36</f>
        <v>0.78129999999999999</v>
      </c>
      <c r="N22" s="228" t="s">
        <v>59</v>
      </c>
      <c r="O22" s="229"/>
      <c r="P22" s="229"/>
      <c r="AF22" s="241">
        <v>37104</v>
      </c>
      <c r="AG22" s="229">
        <v>23</v>
      </c>
      <c r="AH22" s="229">
        <v>4</v>
      </c>
      <c r="AI22" s="229">
        <v>4</v>
      </c>
      <c r="AJ22" s="229">
        <v>0</v>
      </c>
      <c r="AK22" s="229">
        <v>31</v>
      </c>
    </row>
    <row r="23" spans="1:37">
      <c r="A23" s="228">
        <v>1700</v>
      </c>
      <c r="B23" s="352">
        <f>'Power Curves'!AT37</f>
        <v>0.83960000000000001</v>
      </c>
      <c r="C23" s="352">
        <f>'Power Curves'!AU37</f>
        <v>0.83960000000000001</v>
      </c>
      <c r="D23" s="352">
        <f>'Power Curves'!AV37</f>
        <v>0.84960000000000002</v>
      </c>
      <c r="E23" s="352">
        <f>'Power Curves'!AW37</f>
        <v>0.87001361056090987</v>
      </c>
      <c r="F23" s="352">
        <f>'Power Curves'!AX37</f>
        <v>0.9993352219847198</v>
      </c>
      <c r="G23" s="352">
        <f>'Power Curves'!AY37</f>
        <v>1.2523256301639896</v>
      </c>
      <c r="H23" s="352">
        <f>'Power Curves'!AZ37</f>
        <v>1.3538888162792144</v>
      </c>
      <c r="I23" s="352">
        <f>'Power Curves'!BA37</f>
        <v>1.2150462278887151</v>
      </c>
      <c r="J23" s="352">
        <f>'Power Curves'!BB37</f>
        <v>1.1345284089868721</v>
      </c>
      <c r="K23" s="352">
        <f>'Power Curves'!BC37</f>
        <v>0.88959999999999995</v>
      </c>
      <c r="L23" s="352">
        <f>'Power Curves'!BD37</f>
        <v>0.88660000000000005</v>
      </c>
      <c r="M23" s="352">
        <f>'Power Curves'!BE37</f>
        <v>0.87960000000000005</v>
      </c>
      <c r="N23" s="228" t="s">
        <v>59</v>
      </c>
      <c r="O23" s="229"/>
      <c r="P23" s="229"/>
      <c r="AF23" s="241">
        <v>37135</v>
      </c>
      <c r="AG23" s="229">
        <v>19</v>
      </c>
      <c r="AH23" s="229">
        <v>5</v>
      </c>
      <c r="AI23" s="229">
        <v>5</v>
      </c>
      <c r="AJ23" s="229">
        <v>1</v>
      </c>
      <c r="AK23" s="229">
        <v>30</v>
      </c>
    </row>
    <row r="24" spans="1:37">
      <c r="A24" s="228">
        <v>1800</v>
      </c>
      <c r="B24" s="352">
        <f>'Power Curves'!AT38</f>
        <v>1.1682669241080017</v>
      </c>
      <c r="C24" s="352">
        <f>'Power Curves'!AU38</f>
        <v>1.1682669241080017</v>
      </c>
      <c r="D24" s="352">
        <f>'Power Curves'!AV38</f>
        <v>1.1583000000000001</v>
      </c>
      <c r="E24" s="352">
        <f>'Power Curves'!AW38</f>
        <v>0.8586986372337867</v>
      </c>
      <c r="F24" s="352">
        <f>'Power Curves'!AX38</f>
        <v>0.96038945764341233</v>
      </c>
      <c r="G24" s="352">
        <f>'Power Curves'!AY38</f>
        <v>1.2151491003648869</v>
      </c>
      <c r="H24" s="352">
        <f>'Power Curves'!AZ38</f>
        <v>1.3203393586734773</v>
      </c>
      <c r="I24" s="352">
        <f>'Power Curves'!BA38</f>
        <v>1.125207919956094</v>
      </c>
      <c r="J24" s="352">
        <f>'Power Curves'!BB38</f>
        <v>1.1066962078625975</v>
      </c>
      <c r="K24" s="352">
        <f>'Power Curves'!BC38</f>
        <v>1.2000999999999999</v>
      </c>
      <c r="L24" s="352">
        <f>'Power Curves'!BD38</f>
        <v>1.2171000000000001</v>
      </c>
      <c r="M24" s="352">
        <f>'Power Curves'!BE38</f>
        <v>1.2396592528631896</v>
      </c>
      <c r="N24" s="228" t="s">
        <v>59</v>
      </c>
      <c r="O24" s="229"/>
      <c r="P24" s="229"/>
      <c r="AF24" s="241">
        <v>37165</v>
      </c>
      <c r="AG24" s="229">
        <v>23</v>
      </c>
      <c r="AH24" s="229">
        <v>4</v>
      </c>
      <c r="AI24" s="229">
        <v>4</v>
      </c>
      <c r="AJ24" s="229">
        <v>0</v>
      </c>
      <c r="AK24" s="229">
        <v>31</v>
      </c>
    </row>
    <row r="25" spans="1:37">
      <c r="A25" s="228">
        <v>1900</v>
      </c>
      <c r="B25" s="352">
        <f>'Power Curves'!AT39</f>
        <v>1.2818992289435116</v>
      </c>
      <c r="C25" s="352">
        <f>'Power Curves'!AU39</f>
        <v>1.2818992289435116</v>
      </c>
      <c r="D25" s="352">
        <f>'Power Curves'!AV39</f>
        <v>1.2719</v>
      </c>
      <c r="E25" s="352">
        <f>'Power Curves'!AW39</f>
        <v>0.85409539061706241</v>
      </c>
      <c r="F25" s="352">
        <f>'Power Curves'!AX39</f>
        <v>0.832097528048518</v>
      </c>
      <c r="G25" s="352">
        <f>'Power Curves'!AY39</f>
        <v>1.0375875519020257</v>
      </c>
      <c r="H25" s="352">
        <f>'Power Curves'!AZ39</f>
        <v>1.1027679439023967</v>
      </c>
      <c r="I25" s="352">
        <f>'Power Curves'!BA39</f>
        <v>0.91716131211212903</v>
      </c>
      <c r="J25" s="352">
        <f>'Power Curves'!BB39</f>
        <v>0.90645084503689632</v>
      </c>
      <c r="K25" s="352">
        <f>'Power Curves'!BC39</f>
        <v>1.2095</v>
      </c>
      <c r="L25" s="352">
        <f>'Power Curves'!BD39</f>
        <v>1.2269000000000001</v>
      </c>
      <c r="M25" s="352">
        <f>'Power Curves'!BE39</f>
        <v>1.2314000000000001</v>
      </c>
      <c r="N25" s="228" t="s">
        <v>59</v>
      </c>
      <c r="O25" s="229"/>
      <c r="P25" s="229"/>
      <c r="AF25" s="241">
        <v>37196</v>
      </c>
      <c r="AG25" s="229">
        <v>21</v>
      </c>
      <c r="AH25" s="229">
        <v>4</v>
      </c>
      <c r="AI25" s="229">
        <v>4</v>
      </c>
      <c r="AJ25" s="229">
        <v>1</v>
      </c>
      <c r="AK25" s="229">
        <v>30</v>
      </c>
    </row>
    <row r="26" spans="1:37">
      <c r="A26" s="228">
        <v>2000</v>
      </c>
      <c r="B26" s="352">
        <f>'Power Curves'!AT40</f>
        <v>1.2270000000000001</v>
      </c>
      <c r="C26" s="352">
        <f>'Power Curves'!AU40</f>
        <v>1.2270000000000001</v>
      </c>
      <c r="D26" s="352">
        <f>'Power Curves'!AV40</f>
        <v>1.2170000000000001</v>
      </c>
      <c r="E26" s="352">
        <f>'Power Curves'!AW40</f>
        <v>0.93680897230708571</v>
      </c>
      <c r="F26" s="352">
        <f>'Power Curves'!AX40</f>
        <v>0.82997023839962336</v>
      </c>
      <c r="G26" s="352">
        <f>'Power Curves'!AY40</f>
        <v>0.82969424988466234</v>
      </c>
      <c r="H26" s="352">
        <f>'Power Curves'!AZ40</f>
        <v>0.81600645531569072</v>
      </c>
      <c r="I26" s="352">
        <f>'Power Curves'!BA40</f>
        <v>0.83502343057373252</v>
      </c>
      <c r="J26" s="352">
        <f>'Power Curves'!BB40</f>
        <v>1.184626371010566</v>
      </c>
      <c r="K26" s="352">
        <f>'Power Curves'!BC40</f>
        <v>1.1567000000000001</v>
      </c>
      <c r="L26" s="352">
        <f>'Power Curves'!BD40</f>
        <v>1.1767000000000001</v>
      </c>
      <c r="M26" s="352">
        <f>'Power Curves'!BE40</f>
        <v>1.1889963083145296</v>
      </c>
      <c r="N26" s="228" t="s">
        <v>59</v>
      </c>
      <c r="O26" s="229"/>
      <c r="P26" s="229"/>
      <c r="AF26" s="241">
        <v>37226</v>
      </c>
      <c r="AG26" s="229">
        <v>20</v>
      </c>
      <c r="AH26" s="229">
        <v>5</v>
      </c>
      <c r="AI26" s="229">
        <v>5</v>
      </c>
      <c r="AJ26" s="229">
        <v>1</v>
      </c>
      <c r="AK26" s="229">
        <v>31</v>
      </c>
    </row>
    <row r="27" spans="1:37">
      <c r="A27" s="228">
        <v>2100</v>
      </c>
      <c r="B27" s="352">
        <f>'Power Curves'!AT41</f>
        <v>1.1550523732727651</v>
      </c>
      <c r="C27" s="352">
        <f>'Power Curves'!AU41</f>
        <v>1.1550523732727651</v>
      </c>
      <c r="D27" s="352">
        <f>'Power Curves'!AV41</f>
        <v>1.1451</v>
      </c>
      <c r="E27" s="352">
        <f>'Power Curves'!AW41</f>
        <v>1.1543365178491491</v>
      </c>
      <c r="F27" s="352">
        <f>'Power Curves'!AX41</f>
        <v>1.0876995612465097</v>
      </c>
      <c r="G27" s="352">
        <f>'Power Curves'!AY41</f>
        <v>0.90163150610241982</v>
      </c>
      <c r="H27" s="352">
        <f>'Power Curves'!AZ41</f>
        <v>0.90256223753970599</v>
      </c>
      <c r="I27" s="352">
        <f>'Power Curves'!BA41</f>
        <v>1.0506353696120232</v>
      </c>
      <c r="J27" s="352">
        <f>'Power Curves'!BB41</f>
        <v>1.1944408840385996</v>
      </c>
      <c r="K27" s="352">
        <f>'Power Curves'!BC41</f>
        <v>1.0689</v>
      </c>
      <c r="L27" s="352">
        <f>'Power Curves'!BD41</f>
        <v>1.0889</v>
      </c>
      <c r="M27" s="352">
        <f>'Power Curves'!BE41</f>
        <v>1.1550523732727651</v>
      </c>
      <c r="N27" s="228" t="s">
        <v>59</v>
      </c>
      <c r="O27" s="229"/>
      <c r="P27" s="229"/>
      <c r="AF27" s="241">
        <v>37257</v>
      </c>
      <c r="AG27" s="229">
        <v>22</v>
      </c>
      <c r="AH27" s="229">
        <v>4</v>
      </c>
      <c r="AI27" s="229">
        <v>4</v>
      </c>
      <c r="AJ27" s="229">
        <v>1</v>
      </c>
      <c r="AK27" s="229">
        <v>31</v>
      </c>
    </row>
    <row r="28" spans="1:37">
      <c r="A28" s="228">
        <v>2200</v>
      </c>
      <c r="B28" s="352">
        <f>'Power Curves'!AT42</f>
        <v>0.82150000000000001</v>
      </c>
      <c r="C28" s="352">
        <f>'Power Curves'!AU42</f>
        <v>0.82150000000000001</v>
      </c>
      <c r="D28" s="352">
        <f>'Power Curves'!AV42</f>
        <v>0.83150000000000002</v>
      </c>
      <c r="E28" s="352">
        <f>'Power Curves'!AW42</f>
        <v>0.98358182079729883</v>
      </c>
      <c r="F28" s="352">
        <f>'Power Curves'!AX42</f>
        <v>1.0374627979995292</v>
      </c>
      <c r="G28" s="352">
        <f>'Power Curves'!AY42</f>
        <v>0.91867634106446339</v>
      </c>
      <c r="H28" s="352">
        <f>'Power Curves'!AZ42</f>
        <v>0.95638684161178289</v>
      </c>
      <c r="I28" s="352">
        <f>'Power Curves'!BA42</f>
        <v>0.89338455692996166</v>
      </c>
      <c r="J28" s="352">
        <f>'Power Curves'!BB42</f>
        <v>0.90908757988024858</v>
      </c>
      <c r="K28" s="352">
        <f>'Power Curves'!BC42</f>
        <v>0.88670000000000004</v>
      </c>
      <c r="L28" s="352">
        <f>'Power Curves'!BD42</f>
        <v>0.86619999999999997</v>
      </c>
      <c r="M28" s="352">
        <f>'Power Curves'!BE42</f>
        <v>0.85150000000000003</v>
      </c>
      <c r="N28" s="228" t="s">
        <v>59</v>
      </c>
      <c r="O28" s="229"/>
      <c r="P28" s="229"/>
      <c r="AF28" s="241">
        <v>37288</v>
      </c>
      <c r="AG28" s="229">
        <v>20</v>
      </c>
      <c r="AH28" s="229">
        <v>4</v>
      </c>
      <c r="AI28" s="229">
        <v>4</v>
      </c>
      <c r="AJ28" s="229">
        <v>0</v>
      </c>
      <c r="AK28" s="229">
        <v>28</v>
      </c>
    </row>
    <row r="29" spans="1:37">
      <c r="A29" s="228">
        <v>2300</v>
      </c>
      <c r="B29" s="352">
        <f>'Power Curves'!AT43</f>
        <v>0.67249999999999999</v>
      </c>
      <c r="C29" s="352">
        <f>'Power Curves'!AU43</f>
        <v>0.67249999999999999</v>
      </c>
      <c r="D29" s="352">
        <f>'Power Curves'!AV43</f>
        <v>0.6825</v>
      </c>
      <c r="E29" s="352">
        <f>'Power Curves'!AW43</f>
        <v>0.86893522761223685</v>
      </c>
      <c r="F29" s="352">
        <f>'Power Curves'!AX43</f>
        <v>0.83226116571381781</v>
      </c>
      <c r="G29" s="352">
        <f>'Power Curves'!AY43</f>
        <v>0.73668581973744907</v>
      </c>
      <c r="H29" s="352">
        <f>'Power Curves'!AZ43</f>
        <v>0.6641701566664201</v>
      </c>
      <c r="I29" s="352">
        <f>'Power Curves'!BA43</f>
        <v>0.72343479545742373</v>
      </c>
      <c r="J29" s="352">
        <f>'Power Curves'!BB43</f>
        <v>0.72041455331148319</v>
      </c>
      <c r="K29" s="352">
        <f>'Power Curves'!BC43</f>
        <v>0.75600000000000001</v>
      </c>
      <c r="L29" s="352">
        <f>'Power Curves'!BD43</f>
        <v>0.73050000000000004</v>
      </c>
      <c r="M29" s="352">
        <f>'Power Curves'!BE43</f>
        <v>0.70250000000000001</v>
      </c>
      <c r="N29" s="228" t="s">
        <v>67</v>
      </c>
      <c r="O29" s="229"/>
      <c r="P29" s="229"/>
      <c r="AF29" s="241">
        <v>37316</v>
      </c>
      <c r="AG29" s="229">
        <v>21</v>
      </c>
      <c r="AH29" s="229">
        <v>5</v>
      </c>
      <c r="AI29" s="229">
        <v>5</v>
      </c>
      <c r="AJ29" s="229">
        <v>0</v>
      </c>
      <c r="AK29" s="229">
        <v>31</v>
      </c>
    </row>
    <row r="30" spans="1:37">
      <c r="A30" s="228">
        <v>2400</v>
      </c>
      <c r="B30" s="352">
        <f>'Power Curves'!AT44</f>
        <v>1.0449999999999999</v>
      </c>
      <c r="C30" s="352">
        <f>'Power Curves'!AU44</f>
        <v>1.0449999999999999</v>
      </c>
      <c r="D30" s="352">
        <f>'Power Curves'!AV44</f>
        <v>1.0449999999999999</v>
      </c>
      <c r="E30" s="352">
        <f>'Power Curves'!AW44</f>
        <v>1.0496274949890501</v>
      </c>
      <c r="F30" s="352">
        <f>'Power Curves'!AX44</f>
        <v>1.1779685918573899</v>
      </c>
      <c r="G30" s="352">
        <f>'Power Curves'!AY44</f>
        <v>1.3963883955002958</v>
      </c>
      <c r="H30" s="352">
        <f>'Power Curves'!AZ44</f>
        <v>1.2616588759647784</v>
      </c>
      <c r="I30" s="352">
        <f>'Power Curves'!BA44</f>
        <v>1.2636171008350987</v>
      </c>
      <c r="J30" s="352">
        <f>'Power Curves'!BB44</f>
        <v>1.1249920891082836</v>
      </c>
      <c r="K30" s="352">
        <f>'Power Curves'!BC44</f>
        <v>1.0505</v>
      </c>
      <c r="L30" s="352">
        <f>'Power Curves'!BD44</f>
        <v>1.0505</v>
      </c>
      <c r="M30" s="352">
        <f>'Power Curves'!BE44</f>
        <v>1.0505</v>
      </c>
      <c r="N30" s="228" t="s">
        <v>67</v>
      </c>
      <c r="O30" s="229"/>
      <c r="P30" s="229"/>
      <c r="AF30" s="241">
        <v>37347</v>
      </c>
      <c r="AG30" s="229">
        <v>22</v>
      </c>
      <c r="AH30" s="229">
        <v>4</v>
      </c>
      <c r="AI30" s="229">
        <v>4</v>
      </c>
      <c r="AJ30" s="229">
        <v>0</v>
      </c>
      <c r="AK30" s="229">
        <v>30</v>
      </c>
    </row>
    <row r="31" spans="1:37">
      <c r="A31" s="229"/>
      <c r="B31" s="229"/>
      <c r="C31" s="229"/>
      <c r="D31" s="229"/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29"/>
      <c r="P31" s="229"/>
      <c r="AF31" s="241">
        <v>37377</v>
      </c>
      <c r="AG31" s="229">
        <v>22</v>
      </c>
      <c r="AH31" s="229">
        <v>4</v>
      </c>
      <c r="AI31" s="229">
        <v>4</v>
      </c>
      <c r="AJ31" s="229">
        <v>1</v>
      </c>
      <c r="AK31" s="229">
        <v>31</v>
      </c>
    </row>
    <row r="32" spans="1:37">
      <c r="A32" s="371" t="s">
        <v>1270</v>
      </c>
      <c r="B32" s="372">
        <f>AVERAGE(B19:B26)</f>
        <v>0.96914576913143913</v>
      </c>
      <c r="C32" s="372">
        <f>AVERAGE(C19:C26)</f>
        <v>0.96914576913143913</v>
      </c>
      <c r="D32" s="372">
        <f>AVERAGE(D19:D26)</f>
        <v>0.97165000000000012</v>
      </c>
      <c r="E32" s="372">
        <f>AVERAGE(E19:E26)</f>
        <v>0.92498900994989341</v>
      </c>
      <c r="F32" s="372">
        <f>AVERAGE(F20:F27)</f>
        <v>0.97235546191844646</v>
      </c>
      <c r="G32" s="372">
        <f>AVERAGE(G19:G26)</f>
        <v>1.1402927483957555</v>
      </c>
      <c r="H32" s="372">
        <f>AVERAGE(H19:H26)</f>
        <v>1.1916649145636689</v>
      </c>
      <c r="I32" s="372">
        <f>AVERAGE(I19:I26)</f>
        <v>1.1089289483683031</v>
      </c>
      <c r="J32" s="372">
        <f>AVERAGE(J20:J27)</f>
        <v>1.0965337923205105</v>
      </c>
      <c r="K32" s="372">
        <f>AVERAGE(K19:K26)</f>
        <v>0.98692500000000005</v>
      </c>
      <c r="L32" s="372">
        <f>AVERAGE(L19:L26)</f>
        <v>0.98922500000000002</v>
      </c>
      <c r="M32" s="372">
        <f>AVERAGE(M19:M26)</f>
        <v>0.97851944514721489</v>
      </c>
      <c r="N32" s="229"/>
      <c r="O32" s="373" t="s">
        <v>1391</v>
      </c>
      <c r="P32" s="229"/>
      <c r="AF32" s="241">
        <v>37408</v>
      </c>
      <c r="AG32" s="229">
        <v>20</v>
      </c>
      <c r="AH32" s="229">
        <v>5</v>
      </c>
      <c r="AI32" s="229">
        <v>5</v>
      </c>
      <c r="AJ32" s="229">
        <v>0</v>
      </c>
      <c r="AK32" s="229">
        <v>30</v>
      </c>
    </row>
    <row r="33" spans="1:37">
      <c r="A33" s="369" t="s">
        <v>1392</v>
      </c>
      <c r="B33" s="370"/>
      <c r="C33" s="370"/>
      <c r="D33" s="370"/>
      <c r="E33" s="370"/>
      <c r="F33" s="370"/>
      <c r="G33" s="370"/>
      <c r="H33" s="370"/>
      <c r="I33" s="370"/>
      <c r="J33" s="370"/>
      <c r="AF33" s="241">
        <v>37438</v>
      </c>
      <c r="AG33" s="229">
        <v>22</v>
      </c>
      <c r="AH33" s="229">
        <v>4</v>
      </c>
      <c r="AI33" s="229">
        <v>4</v>
      </c>
      <c r="AJ33" s="229">
        <v>1</v>
      </c>
      <c r="AK33" s="229">
        <v>31</v>
      </c>
    </row>
    <row r="34" spans="1:37">
      <c r="A34" s="223" t="s">
        <v>1388</v>
      </c>
      <c r="E34" s="261"/>
      <c r="F34" s="88"/>
      <c r="G34" s="129"/>
      <c r="L34" s="429" t="s">
        <v>1381</v>
      </c>
      <c r="M34" s="430"/>
      <c r="N34" s="430"/>
      <c r="O34" s="430"/>
      <c r="P34" s="430"/>
      <c r="AF34" s="241">
        <v>37469</v>
      </c>
      <c r="AG34" s="229">
        <v>22</v>
      </c>
      <c r="AH34" s="229">
        <v>5</v>
      </c>
      <c r="AI34" s="229">
        <v>4</v>
      </c>
      <c r="AJ34" s="229">
        <v>0</v>
      </c>
      <c r="AK34" s="229">
        <v>31</v>
      </c>
    </row>
    <row r="35" spans="1:37">
      <c r="B35" s="245" t="s">
        <v>1402</v>
      </c>
      <c r="C35" s="240"/>
      <c r="D35" s="242" t="s">
        <v>1284</v>
      </c>
      <c r="E35" s="245" t="s">
        <v>1403</v>
      </c>
      <c r="F35" s="243" t="s">
        <v>1285</v>
      </c>
      <c r="G35" s="245" t="s">
        <v>1404</v>
      </c>
      <c r="H35" s="243" t="s">
        <v>1286</v>
      </c>
      <c r="I35" s="244" t="s">
        <v>1291</v>
      </c>
      <c r="J35" s="244" t="s">
        <v>16</v>
      </c>
      <c r="L35" s="348" t="s">
        <v>1378</v>
      </c>
      <c r="M35" s="348" t="s">
        <v>1379</v>
      </c>
      <c r="N35" s="348" t="s">
        <v>1380</v>
      </c>
      <c r="O35" s="348" t="s">
        <v>1291</v>
      </c>
      <c r="P35" s="348" t="s">
        <v>16</v>
      </c>
      <c r="AF35" s="241">
        <v>37500</v>
      </c>
      <c r="AG35" s="229">
        <v>20</v>
      </c>
      <c r="AH35" s="229">
        <v>4</v>
      </c>
      <c r="AI35" s="229">
        <v>5</v>
      </c>
      <c r="AJ35" s="229">
        <v>1</v>
      </c>
      <c r="AK35" s="229">
        <v>30</v>
      </c>
    </row>
    <row r="36" spans="1:37">
      <c r="A36" s="234" t="s">
        <v>1251</v>
      </c>
      <c r="B36" s="245" t="s">
        <v>1269</v>
      </c>
      <c r="C36" s="244" t="s">
        <v>1260</v>
      </c>
      <c r="D36" s="242" t="s">
        <v>1271</v>
      </c>
      <c r="E36" s="245" t="s">
        <v>1269</v>
      </c>
      <c r="F36" s="242" t="s">
        <v>1271</v>
      </c>
      <c r="G36" s="245" t="s">
        <v>1269</v>
      </c>
      <c r="H36" s="242" t="s">
        <v>1271</v>
      </c>
      <c r="I36" s="244" t="s">
        <v>1355</v>
      </c>
      <c r="J36" s="244" t="s">
        <v>1356</v>
      </c>
      <c r="L36" s="348" t="s">
        <v>1271</v>
      </c>
      <c r="M36" s="348" t="s">
        <v>1271</v>
      </c>
      <c r="N36" s="348" t="s">
        <v>1271</v>
      </c>
      <c r="O36" s="348" t="s">
        <v>1355</v>
      </c>
      <c r="P36" s="348" t="s">
        <v>1356</v>
      </c>
      <c r="AF36" s="241">
        <v>37530</v>
      </c>
      <c r="AG36" s="229">
        <v>23</v>
      </c>
      <c r="AH36" s="229">
        <v>4</v>
      </c>
      <c r="AI36" s="229">
        <v>4</v>
      </c>
      <c r="AJ36" s="229">
        <v>0</v>
      </c>
      <c r="AK36" s="229">
        <v>31</v>
      </c>
    </row>
    <row r="37" spans="1:37">
      <c r="A37" s="208">
        <f>Calculations!A4</f>
        <v>36892</v>
      </c>
      <c r="B37" s="237">
        <f t="shared" ref="B37:B48" si="0">IF(A37="N/A"," ",L37)</f>
        <v>37.5</v>
      </c>
      <c r="C37" s="239">
        <f t="shared" ref="C37:C42" si="1">IF(A37="N/A"," ",(IF(AND(MONTH(A37)&gt;=6,MONTH(A37)&lt;=8,OR($K$37="REGION 2",$K$37="REGION 2A",$K$37="REGION 2B",$K$37="REGION 3",$K$37="REGION 3A",$K$37="REGION 3B",$K$37="REGION 4",$K$37="REGION 4B",$K$37="REGION 4C",$K$37="REGION 5",$K$37="REGION 5A")),((0.059228/(B37/100))-(0.4980013/(SQRT(B37/100)))+2.137988),HLOOKUP(MONTH(A37),ScalarTable,28))))</f>
        <v>0.96914576913143913</v>
      </c>
      <c r="D37" s="238">
        <f>IF(A37="N/A"," ",C37*B37)</f>
        <v>36.342966342428966</v>
      </c>
      <c r="E37" s="237">
        <f t="shared" ref="E37:E48" si="2">IF(A37="N/A"," ",M37)</f>
        <v>28.748748779296875</v>
      </c>
      <c r="F37" s="238">
        <f>IF(A37="N/A"," ",E37*C37)</f>
        <v>27.86172824727819</v>
      </c>
      <c r="G37" s="237">
        <f t="shared" ref="G37:G48" si="3">IF(A37="N/A"," ",N37)</f>
        <v>27.252500534057617</v>
      </c>
      <c r="H37" s="238">
        <f>IF(A37="N/A"," ",G37*C37)</f>
        <v>26.411645590834226</v>
      </c>
      <c r="I37" s="238">
        <f t="shared" ref="I37:I48" si="4">IF(A37="N/A"," ",O37)</f>
        <v>20.840000152587891</v>
      </c>
      <c r="J37" s="331">
        <f t="shared" ref="J37:J48" ca="1" si="5">IF(A37="N/A"," ",P37)</f>
        <v>4.4749999999999996</v>
      </c>
      <c r="K37" s="368" t="str">
        <f>PositionRegion</f>
        <v>REGION 1</v>
      </c>
      <c r="L37" s="349">
        <f>IF(A37="N/A"," ",VLOOKUP(A37,PeakPowerCurves,(IF('Pricing Inputs'!$AT$3=2,3,IF('Pricing Inputs'!$AT$3=1,2,4))),FALSE))</f>
        <v>37.5</v>
      </c>
      <c r="M37" s="349">
        <f>IF(A37="N/A"," ",VLOOKUP(A37,SatSunPeakPwr,(IF('Pricing Inputs'!$AT$3=2,3,IF('Pricing Inputs'!$AT$3=1,2,4))),FALSE))</f>
        <v>28.748748779296875</v>
      </c>
      <c r="N37" s="349">
        <f>IF(A37="N/A"," ",VLOOKUP(A37,SatSunPeakPwr,(IF('Pricing Inputs'!$AT$3=2,7,IF('Pricing Inputs'!$AT$3=1,6,8))),FALSE))</f>
        <v>27.252500534057617</v>
      </c>
      <c r="O37" s="350">
        <f>IF(A37="N/A"," ",(VLOOKUP(A37,OPPowerPrices,(IF('Pricing Inputs'!$AT$3=2,7,IF('Pricing Inputs'!$AT$3=1,6,8))),FALSE)))</f>
        <v>20.840000152587891</v>
      </c>
      <c r="P37" s="351">
        <f ca="1">IF(A37="N/A"," ",(VLOOKUP(A37,GasCurves,15,FALSE)))</f>
        <v>4.4749999999999996</v>
      </c>
      <c r="AF37" s="241">
        <v>37561</v>
      </c>
      <c r="AG37" s="229">
        <v>20</v>
      </c>
      <c r="AH37" s="229">
        <v>5</v>
      </c>
      <c r="AI37" s="229">
        <v>4</v>
      </c>
      <c r="AJ37" s="229">
        <v>1</v>
      </c>
      <c r="AK37" s="229">
        <v>30</v>
      </c>
    </row>
    <row r="38" spans="1:37">
      <c r="A38" s="208">
        <f>Calculations!A5</f>
        <v>36923</v>
      </c>
      <c r="B38" s="237">
        <f t="shared" si="0"/>
        <v>37.5</v>
      </c>
      <c r="C38" s="239">
        <f t="shared" si="1"/>
        <v>0.96914576913143913</v>
      </c>
      <c r="D38" s="238">
        <f t="shared" ref="D38:D101" si="6">IF(A38="N/A"," ",C38*B38)</f>
        <v>36.342966342428966</v>
      </c>
      <c r="E38" s="237">
        <f t="shared" si="2"/>
        <v>27.746250152587891</v>
      </c>
      <c r="F38" s="238">
        <f t="shared" ref="F38:F101" si="7">IF(A38="N/A"," ",E38*C38)</f>
        <v>26.890160944643103</v>
      </c>
      <c r="G38" s="237">
        <f t="shared" si="3"/>
        <v>25.247499465942383</v>
      </c>
      <c r="H38" s="238">
        <f t="shared" ref="H38:H101" si="8">IF(A38="N/A"," ",G38*C38)</f>
        <v>24.468507288566329</v>
      </c>
      <c r="I38" s="238">
        <f t="shared" si="4"/>
        <v>20.649997711181641</v>
      </c>
      <c r="J38" s="331">
        <f t="shared" ca="1" si="5"/>
        <v>4.335</v>
      </c>
      <c r="L38" s="349">
        <f>IF(A38="N/A"," ",VLOOKUP(A38,PeakPowerCurves,(IF('Pricing Inputs'!$AT$3=2,3,IF('Pricing Inputs'!$AT$3=1,2,4))),FALSE))</f>
        <v>37.5</v>
      </c>
      <c r="M38" s="349">
        <f>IF(A38="N/A"," ",VLOOKUP(A38,SatSunPeakPwr,(IF('Pricing Inputs'!$AT$3=2,3,IF('Pricing Inputs'!$AT$3=1,2,4))),FALSE))</f>
        <v>27.746250152587891</v>
      </c>
      <c r="N38" s="349">
        <f>IF(A38="N/A"," ",VLOOKUP(A38,SatSunPeakPwr,(IF('Pricing Inputs'!$AT$3=2,7,IF('Pricing Inputs'!$AT$3=1,6,8))),FALSE))</f>
        <v>25.247499465942383</v>
      </c>
      <c r="O38" s="350">
        <f>IF(A38="N/A"," ",(VLOOKUP(A38,OPPowerPrices,(IF('Pricing Inputs'!$AT$3=2,7,IF('Pricing Inputs'!$AT$3=1,6,8))),FALSE)))</f>
        <v>20.649997711181641</v>
      </c>
      <c r="P38" s="351">
        <f t="shared" ref="P38:P101" ca="1" si="9">IF(A38="N/A"," ",(VLOOKUP(A38,GasCurves,15,FALSE)))</f>
        <v>4.335</v>
      </c>
      <c r="AF38" s="241">
        <v>37591</v>
      </c>
      <c r="AG38" s="229">
        <v>21</v>
      </c>
      <c r="AH38" s="229">
        <v>4</v>
      </c>
      <c r="AI38" s="229">
        <v>5</v>
      </c>
      <c r="AJ38" s="229">
        <v>1</v>
      </c>
      <c r="AK38" s="229">
        <v>31</v>
      </c>
    </row>
    <row r="39" spans="1:37">
      <c r="A39" s="208">
        <f>Calculations!A6</f>
        <v>36951</v>
      </c>
      <c r="B39" s="237">
        <f t="shared" si="0"/>
        <v>33.75</v>
      </c>
      <c r="C39" s="239">
        <f t="shared" si="1"/>
        <v>0.97165000000000012</v>
      </c>
      <c r="D39" s="238">
        <f t="shared" si="6"/>
        <v>32.793187500000002</v>
      </c>
      <c r="E39" s="237">
        <f t="shared" si="2"/>
        <v>20.934749603271484</v>
      </c>
      <c r="F39" s="238">
        <f t="shared" si="7"/>
        <v>20.34124945201874</v>
      </c>
      <c r="G39" s="237">
        <f t="shared" si="3"/>
        <v>20.564498901367188</v>
      </c>
      <c r="H39" s="238">
        <f t="shared" si="8"/>
        <v>19.981495357513431</v>
      </c>
      <c r="I39" s="238">
        <f t="shared" si="4"/>
        <v>19.649999618530273</v>
      </c>
      <c r="J39" s="331">
        <f t="shared" ca="1" si="5"/>
        <v>3.7399999999999998</v>
      </c>
      <c r="L39" s="349">
        <f>IF(A39="N/A"," ",VLOOKUP(A39,PeakPowerCurves,(IF('Pricing Inputs'!$AT$3=2,3,IF('Pricing Inputs'!$AT$3=1,2,4))),FALSE))</f>
        <v>33.75</v>
      </c>
      <c r="M39" s="349">
        <f>IF(A39="N/A"," ",VLOOKUP(A39,SatSunPeakPwr,(IF('Pricing Inputs'!$AT$3=2,3,IF('Pricing Inputs'!$AT$3=1,2,4))),FALSE))</f>
        <v>20.934749603271484</v>
      </c>
      <c r="N39" s="349">
        <f>IF(A39="N/A"," ",VLOOKUP(A39,SatSunPeakPwr,(IF('Pricing Inputs'!$AT$3=2,7,IF('Pricing Inputs'!$AT$3=1,6,8))),FALSE))</f>
        <v>20.564498901367188</v>
      </c>
      <c r="O39" s="350">
        <f>IF(A39="N/A"," ",(VLOOKUP(A39,OPPowerPrices,(IF('Pricing Inputs'!$AT$3=2,7,IF('Pricing Inputs'!$AT$3=1,6,8))),FALSE)))</f>
        <v>19.649999618530273</v>
      </c>
      <c r="P39" s="351">
        <f t="shared" ca="1" si="9"/>
        <v>3.7399999999999998</v>
      </c>
      <c r="AF39" s="241">
        <v>37622</v>
      </c>
      <c r="AG39" s="229">
        <v>22</v>
      </c>
      <c r="AH39" s="229">
        <v>4</v>
      </c>
      <c r="AI39" s="229">
        <v>4</v>
      </c>
      <c r="AJ39" s="229">
        <v>1</v>
      </c>
      <c r="AK39" s="229">
        <v>31</v>
      </c>
    </row>
    <row r="40" spans="1:37">
      <c r="A40" s="208">
        <f>Calculations!A7</f>
        <v>36982</v>
      </c>
      <c r="B40" s="237">
        <f t="shared" si="0"/>
        <v>32.5</v>
      </c>
      <c r="C40" s="239">
        <f t="shared" si="1"/>
        <v>0.92498900994989341</v>
      </c>
      <c r="D40" s="238">
        <f t="shared" si="6"/>
        <v>30.062142823371538</v>
      </c>
      <c r="E40" s="237">
        <f t="shared" si="2"/>
        <v>21.617500305175781</v>
      </c>
      <c r="F40" s="238">
        <f t="shared" si="7"/>
        <v>19.995950204876063</v>
      </c>
      <c r="G40" s="237">
        <f t="shared" si="3"/>
        <v>20.334999084472656</v>
      </c>
      <c r="H40" s="238">
        <f t="shared" si="8"/>
        <v>18.809650670478351</v>
      </c>
      <c r="I40" s="238">
        <f t="shared" si="4"/>
        <v>19.649997711181641</v>
      </c>
      <c r="J40" s="331">
        <f t="shared" ca="1" si="5"/>
        <v>2.6363750000000001</v>
      </c>
      <c r="L40" s="349">
        <f>IF(A40="N/A"," ",VLOOKUP(A40,PeakPowerCurves,(IF('Pricing Inputs'!$AT$3=2,3,IF('Pricing Inputs'!$AT$3=1,2,4))),FALSE))</f>
        <v>32.5</v>
      </c>
      <c r="M40" s="349">
        <f>IF(A40="N/A"," ",VLOOKUP(A40,SatSunPeakPwr,(IF('Pricing Inputs'!$AT$3=2,3,IF('Pricing Inputs'!$AT$3=1,2,4))),FALSE))</f>
        <v>21.617500305175781</v>
      </c>
      <c r="N40" s="349">
        <f>IF(A40="N/A"," ",VLOOKUP(A40,SatSunPeakPwr,(IF('Pricing Inputs'!$AT$3=2,7,IF('Pricing Inputs'!$AT$3=1,6,8))),FALSE))</f>
        <v>20.334999084472656</v>
      </c>
      <c r="O40" s="350">
        <f>IF(A40="N/A"," ",(VLOOKUP(A40,OPPowerPrices,(IF('Pricing Inputs'!$AT$3=2,7,IF('Pricing Inputs'!$AT$3=1,6,8))),FALSE)))</f>
        <v>19.649997711181641</v>
      </c>
      <c r="P40" s="351">
        <f t="shared" ca="1" si="9"/>
        <v>2.6363750000000001</v>
      </c>
      <c r="AF40" s="241">
        <v>37653</v>
      </c>
      <c r="AG40" s="229">
        <v>20</v>
      </c>
      <c r="AH40" s="229">
        <v>4</v>
      </c>
      <c r="AI40" s="229">
        <v>4</v>
      </c>
      <c r="AJ40" s="229">
        <v>0</v>
      </c>
      <c r="AK40" s="229">
        <v>28</v>
      </c>
    </row>
    <row r="41" spans="1:37">
      <c r="A41" s="208">
        <f>Calculations!A8</f>
        <v>37012</v>
      </c>
      <c r="B41" s="237">
        <f t="shared" si="0"/>
        <v>34.5</v>
      </c>
      <c r="C41" s="239">
        <f t="shared" si="1"/>
        <v>0.97235546191844646</v>
      </c>
      <c r="D41" s="238">
        <f t="shared" si="6"/>
        <v>33.5462634361864</v>
      </c>
      <c r="E41" s="237">
        <f t="shared" si="2"/>
        <v>21.732500076293945</v>
      </c>
      <c r="F41" s="238">
        <f t="shared" si="7"/>
        <v>21.131715150327473</v>
      </c>
      <c r="G41" s="237">
        <f t="shared" si="3"/>
        <v>20.864999771118164</v>
      </c>
      <c r="H41" s="238">
        <f t="shared" si="8"/>
        <v>20.288196490373881</v>
      </c>
      <c r="I41" s="238">
        <f t="shared" si="4"/>
        <v>19.649997711181641</v>
      </c>
      <c r="J41" s="331">
        <f t="shared" ca="1" si="5"/>
        <v>2.596625</v>
      </c>
      <c r="L41" s="349">
        <f>IF(A41="N/A"," ",VLOOKUP(A41,PeakPowerCurves,(IF('Pricing Inputs'!$AT$3=2,3,IF('Pricing Inputs'!$AT$3=1,2,4))),FALSE))</f>
        <v>34.5</v>
      </c>
      <c r="M41" s="349">
        <f>IF(A41="N/A"," ",VLOOKUP(A41,SatSunPeakPwr,(IF('Pricing Inputs'!$AT$3=2,3,IF('Pricing Inputs'!$AT$3=1,2,4))),FALSE))</f>
        <v>21.732500076293945</v>
      </c>
      <c r="N41" s="349">
        <f>IF(A41="N/A"," ",VLOOKUP(A41,SatSunPeakPwr,(IF('Pricing Inputs'!$AT$3=2,7,IF('Pricing Inputs'!$AT$3=1,6,8))),FALSE))</f>
        <v>20.864999771118164</v>
      </c>
      <c r="O41" s="350">
        <f>IF(A41="N/A"," ",(VLOOKUP(A41,OPPowerPrices,(IF('Pricing Inputs'!$AT$3=2,7,IF('Pricing Inputs'!$AT$3=1,6,8))),FALSE)))</f>
        <v>19.649997711181641</v>
      </c>
      <c r="P41" s="351">
        <f t="shared" ca="1" si="9"/>
        <v>2.596625</v>
      </c>
      <c r="AF41" s="241">
        <v>37681</v>
      </c>
      <c r="AG41" s="229">
        <v>21</v>
      </c>
      <c r="AH41" s="229">
        <v>5</v>
      </c>
      <c r="AI41" s="229">
        <v>5</v>
      </c>
      <c r="AJ41" s="229">
        <v>0</v>
      </c>
      <c r="AK41" s="229">
        <v>31</v>
      </c>
    </row>
    <row r="42" spans="1:37">
      <c r="A42" s="208">
        <f>Calculations!A9</f>
        <v>37043</v>
      </c>
      <c r="B42" s="237">
        <f t="shared" si="0"/>
        <v>51</v>
      </c>
      <c r="C42" s="239">
        <f t="shared" si="1"/>
        <v>1.1402927483957555</v>
      </c>
      <c r="D42" s="238">
        <f t="shared" si="6"/>
        <v>58.154930168183526</v>
      </c>
      <c r="E42" s="237">
        <f t="shared" si="2"/>
        <v>26.308750152587891</v>
      </c>
      <c r="F42" s="238">
        <f t="shared" si="7"/>
        <v>29.999677018351697</v>
      </c>
      <c r="G42" s="237">
        <f t="shared" si="3"/>
        <v>19.792499542236328</v>
      </c>
      <c r="H42" s="238">
        <f t="shared" si="8"/>
        <v>22.569243700638395</v>
      </c>
      <c r="I42" s="238">
        <f t="shared" si="4"/>
        <v>19.654998779296875</v>
      </c>
      <c r="J42" s="331">
        <f t="shared" ca="1" si="5"/>
        <v>2.6025</v>
      </c>
      <c r="L42" s="349">
        <f>IF(A42="N/A"," ",VLOOKUP(A42,PeakPowerCurves,(IF('Pricing Inputs'!$AT$3=2,3,IF('Pricing Inputs'!$AT$3=1,2,4))),FALSE))</f>
        <v>51</v>
      </c>
      <c r="M42" s="349">
        <f>IF(A42="N/A"," ",VLOOKUP(A42,SatSunPeakPwr,(IF('Pricing Inputs'!$AT$3=2,3,IF('Pricing Inputs'!$AT$3=1,2,4))),FALSE))</f>
        <v>26.308750152587891</v>
      </c>
      <c r="N42" s="349">
        <f>IF(A42="N/A"," ",VLOOKUP(A42,SatSunPeakPwr,(IF('Pricing Inputs'!$AT$3=2,7,IF('Pricing Inputs'!$AT$3=1,6,8))),FALSE))</f>
        <v>19.792499542236328</v>
      </c>
      <c r="O42" s="350">
        <f>IF(A42="N/A"," ",(VLOOKUP(A42,OPPowerPrices,(IF('Pricing Inputs'!$AT$3=2,7,IF('Pricing Inputs'!$AT$3=1,6,8))),FALSE)))</f>
        <v>19.654998779296875</v>
      </c>
      <c r="P42" s="351">
        <f t="shared" ca="1" si="9"/>
        <v>2.6025</v>
      </c>
      <c r="AF42" s="241">
        <v>37712</v>
      </c>
      <c r="AG42" s="229">
        <v>22</v>
      </c>
      <c r="AH42" s="229">
        <v>4</v>
      </c>
      <c r="AI42" s="229">
        <v>4</v>
      </c>
      <c r="AJ42" s="229">
        <v>0</v>
      </c>
      <c r="AK42" s="229">
        <v>30</v>
      </c>
    </row>
    <row r="43" spans="1:37">
      <c r="A43" s="208">
        <f>Calculations!A10</f>
        <v>37073</v>
      </c>
      <c r="B43" s="237">
        <f t="shared" si="0"/>
        <v>75</v>
      </c>
      <c r="C43" s="239">
        <f t="shared" ref="C43:C106" si="10">IF(A43="N/A"," ",(IF(AND(MONTH(A43)&gt;=6,MONTH(A43)&lt;=8,OR($K$37="REGION 2",$K$37="REGION 2A",$K$37="REGION 2B",$K$37="REGION 3",$K$37="REGION 3A",$K$37="REGION 3B",$K$37="REGION 4",$K$37="REGION 4B",$K$37="REGION 4C",$K$37="REGION 5",$K$37="REGION 5A")),((0.059228/(B43/100))-(0.4980013/(SQRT(B43/100)))+2.137988),HLOOKUP(MONTH(A43),ScalarTable,28))))</f>
        <v>1.1916649145636689</v>
      </c>
      <c r="D43" s="238">
        <f t="shared" si="6"/>
        <v>89.374868592275163</v>
      </c>
      <c r="E43" s="237">
        <f t="shared" si="2"/>
        <v>40.761249542236328</v>
      </c>
      <c r="F43" s="238">
        <f t="shared" si="7"/>
        <v>48.573750953257438</v>
      </c>
      <c r="G43" s="237">
        <f t="shared" si="3"/>
        <v>30.247499465942383</v>
      </c>
      <c r="H43" s="238">
        <f t="shared" si="8"/>
        <v>36.044883866846845</v>
      </c>
      <c r="I43" s="238">
        <f t="shared" si="4"/>
        <v>24.149997711181641</v>
      </c>
      <c r="J43" s="331">
        <f t="shared" ca="1" si="5"/>
        <v>2.6124999999999998</v>
      </c>
      <c r="L43" s="349">
        <f>IF(A43="N/A"," ",VLOOKUP(A43,PeakPowerCurves,(IF('Pricing Inputs'!$AT$3=2,3,IF('Pricing Inputs'!$AT$3=1,2,4))),FALSE))</f>
        <v>75</v>
      </c>
      <c r="M43" s="349">
        <f>IF(A43="N/A"," ",VLOOKUP(A43,SatSunPeakPwr,(IF('Pricing Inputs'!$AT$3=2,3,IF('Pricing Inputs'!$AT$3=1,2,4))),FALSE))</f>
        <v>40.761249542236328</v>
      </c>
      <c r="N43" s="349">
        <f>IF(A43="N/A"," ",VLOOKUP(A43,SatSunPeakPwr,(IF('Pricing Inputs'!$AT$3=2,7,IF('Pricing Inputs'!$AT$3=1,6,8))),FALSE))</f>
        <v>30.247499465942383</v>
      </c>
      <c r="O43" s="350">
        <f>IF(A43="N/A"," ",(VLOOKUP(A43,OPPowerPrices,(IF('Pricing Inputs'!$AT$3=2,7,IF('Pricing Inputs'!$AT$3=1,6,8))),FALSE)))</f>
        <v>24.149997711181641</v>
      </c>
      <c r="P43" s="351">
        <f t="shared" ca="1" si="9"/>
        <v>2.6124999999999998</v>
      </c>
      <c r="AF43" s="241">
        <v>37742</v>
      </c>
      <c r="AG43" s="229">
        <v>21</v>
      </c>
      <c r="AH43" s="229">
        <v>5</v>
      </c>
      <c r="AI43" s="229">
        <v>4</v>
      </c>
      <c r="AJ43" s="229">
        <v>1</v>
      </c>
      <c r="AK43" s="229">
        <v>31</v>
      </c>
    </row>
    <row r="44" spans="1:37">
      <c r="A44" s="208">
        <f>Calculations!A11</f>
        <v>37104</v>
      </c>
      <c r="B44" s="237">
        <f t="shared" si="0"/>
        <v>70.5</v>
      </c>
      <c r="C44" s="239">
        <f t="shared" si="10"/>
        <v>1.1089289483683031</v>
      </c>
      <c r="D44" s="238">
        <f t="shared" si="6"/>
        <v>78.17949085996537</v>
      </c>
      <c r="E44" s="237">
        <f t="shared" si="2"/>
        <v>43.022499084472656</v>
      </c>
      <c r="F44" s="238">
        <f t="shared" si="7"/>
        <v>47.708894665920546</v>
      </c>
      <c r="G44" s="237">
        <f t="shared" si="3"/>
        <v>31.745000839233398</v>
      </c>
      <c r="H44" s="238">
        <f t="shared" si="8"/>
        <v>35.202950396601992</v>
      </c>
      <c r="I44" s="238">
        <f t="shared" si="4"/>
        <v>24.499998092651367</v>
      </c>
      <c r="J44" s="331">
        <f t="shared" ca="1" si="5"/>
        <v>2.6201250000000003</v>
      </c>
      <c r="L44" s="349">
        <f>IF(A44="N/A"," ",VLOOKUP(A44,PeakPowerCurves,(IF('Pricing Inputs'!$AT$3=2,3,IF('Pricing Inputs'!$AT$3=1,2,4))),FALSE))</f>
        <v>70.5</v>
      </c>
      <c r="M44" s="349">
        <f>IF(A44="N/A"," ",VLOOKUP(A44,SatSunPeakPwr,(IF('Pricing Inputs'!$AT$3=2,3,IF('Pricing Inputs'!$AT$3=1,2,4))),FALSE))</f>
        <v>43.022499084472656</v>
      </c>
      <c r="N44" s="349">
        <f>IF(A44="N/A"," ",VLOOKUP(A44,SatSunPeakPwr,(IF('Pricing Inputs'!$AT$3=2,7,IF('Pricing Inputs'!$AT$3=1,6,8))),FALSE))</f>
        <v>31.745000839233398</v>
      </c>
      <c r="O44" s="350">
        <f>IF(A44="N/A"," ",(VLOOKUP(A44,OPPowerPrices,(IF('Pricing Inputs'!$AT$3=2,7,IF('Pricing Inputs'!$AT$3=1,6,8))),FALSE)))</f>
        <v>24.499998092651367</v>
      </c>
      <c r="P44" s="351">
        <f t="shared" ca="1" si="9"/>
        <v>2.6201250000000003</v>
      </c>
      <c r="AF44" s="241">
        <v>37773</v>
      </c>
      <c r="AG44" s="229">
        <v>21</v>
      </c>
      <c r="AH44" s="229">
        <v>4</v>
      </c>
      <c r="AI44" s="229">
        <v>5</v>
      </c>
      <c r="AJ44" s="229">
        <v>0</v>
      </c>
      <c r="AK44" s="229">
        <v>30</v>
      </c>
    </row>
    <row r="45" spans="1:37">
      <c r="A45" s="208">
        <f>Calculations!A12</f>
        <v>37135</v>
      </c>
      <c r="B45" s="237">
        <f t="shared" si="0"/>
        <v>33.5</v>
      </c>
      <c r="C45" s="239">
        <f t="shared" si="10"/>
        <v>1.0965337923205105</v>
      </c>
      <c r="D45" s="238">
        <f t="shared" si="6"/>
        <v>36.7338820427371</v>
      </c>
      <c r="E45" s="237">
        <f t="shared" si="2"/>
        <v>23.004999160766602</v>
      </c>
      <c r="F45" s="238">
        <f t="shared" si="7"/>
        <v>25.225758972085565</v>
      </c>
      <c r="G45" s="237">
        <f t="shared" si="3"/>
        <v>23.5</v>
      </c>
      <c r="H45" s="238">
        <f t="shared" si="8"/>
        <v>25.768544119531995</v>
      </c>
      <c r="I45" s="238">
        <f t="shared" si="4"/>
        <v>19.999998092651367</v>
      </c>
      <c r="J45" s="331">
        <f t="shared" ca="1" si="5"/>
        <v>2.6256249999999999</v>
      </c>
      <c r="L45" s="349">
        <f>IF(A45="N/A"," ",VLOOKUP(A45,PeakPowerCurves,(IF('Pricing Inputs'!$AT$3=2,3,IF('Pricing Inputs'!$AT$3=1,2,4))),FALSE))</f>
        <v>33.5</v>
      </c>
      <c r="M45" s="349">
        <f>IF(A45="N/A"," ",VLOOKUP(A45,SatSunPeakPwr,(IF('Pricing Inputs'!$AT$3=2,3,IF('Pricing Inputs'!$AT$3=1,2,4))),FALSE))</f>
        <v>23.004999160766602</v>
      </c>
      <c r="N45" s="349">
        <f>IF(A45="N/A"," ",VLOOKUP(A45,SatSunPeakPwr,(IF('Pricing Inputs'!$AT$3=2,7,IF('Pricing Inputs'!$AT$3=1,6,8))),FALSE))</f>
        <v>23.5</v>
      </c>
      <c r="O45" s="350">
        <f>IF(A45="N/A"," ",(VLOOKUP(A45,OPPowerPrices,(IF('Pricing Inputs'!$AT$3=2,7,IF('Pricing Inputs'!$AT$3=1,6,8))),FALSE)))</f>
        <v>19.999998092651367</v>
      </c>
      <c r="P45" s="351">
        <f t="shared" ca="1" si="9"/>
        <v>2.6256249999999999</v>
      </c>
      <c r="AF45" s="241">
        <v>37803</v>
      </c>
      <c r="AG45" s="229">
        <v>22</v>
      </c>
      <c r="AH45" s="229">
        <v>4</v>
      </c>
      <c r="AI45" s="229">
        <v>4</v>
      </c>
      <c r="AJ45" s="229">
        <v>1</v>
      </c>
      <c r="AK45" s="229">
        <v>31</v>
      </c>
    </row>
    <row r="46" spans="1:37">
      <c r="A46" s="208">
        <f>Calculations!A13</f>
        <v>37165</v>
      </c>
      <c r="B46" s="237">
        <f t="shared" si="0"/>
        <v>31.25</v>
      </c>
      <c r="C46" s="239">
        <f t="shared" si="10"/>
        <v>0.98692500000000005</v>
      </c>
      <c r="D46" s="238">
        <f t="shared" si="6"/>
        <v>30.841406250000002</v>
      </c>
      <c r="E46" s="237">
        <f t="shared" si="2"/>
        <v>23.100500106811523</v>
      </c>
      <c r="F46" s="238">
        <f t="shared" si="7"/>
        <v>22.798461067914964</v>
      </c>
      <c r="G46" s="237">
        <f t="shared" si="3"/>
        <v>21.10099983215332</v>
      </c>
      <c r="H46" s="238">
        <f t="shared" si="8"/>
        <v>20.825104259347917</v>
      </c>
      <c r="I46" s="238">
        <f t="shared" si="4"/>
        <v>19.69999885559082</v>
      </c>
      <c r="J46" s="331">
        <f t="shared" ca="1" si="5"/>
        <v>2.6616249999999999</v>
      </c>
      <c r="L46" s="349">
        <f>IF(A46="N/A"," ",VLOOKUP(A46,PeakPowerCurves,(IF('Pricing Inputs'!$AT$3=2,3,IF('Pricing Inputs'!$AT$3=1,2,4))),FALSE))</f>
        <v>31.25</v>
      </c>
      <c r="M46" s="349">
        <f>IF(A46="N/A"," ",VLOOKUP(A46,SatSunPeakPwr,(IF('Pricing Inputs'!$AT$3=2,3,IF('Pricing Inputs'!$AT$3=1,2,4))),FALSE))</f>
        <v>23.100500106811523</v>
      </c>
      <c r="N46" s="349">
        <f>IF(A46="N/A"," ",VLOOKUP(A46,SatSunPeakPwr,(IF('Pricing Inputs'!$AT$3=2,7,IF('Pricing Inputs'!$AT$3=1,6,8))),FALSE))</f>
        <v>21.10099983215332</v>
      </c>
      <c r="O46" s="350">
        <f>IF(A46="N/A"," ",(VLOOKUP(A46,OPPowerPrices,(IF('Pricing Inputs'!$AT$3=2,7,IF('Pricing Inputs'!$AT$3=1,6,8))),FALSE)))</f>
        <v>19.69999885559082</v>
      </c>
      <c r="P46" s="351">
        <f t="shared" ca="1" si="9"/>
        <v>2.6616249999999999</v>
      </c>
      <c r="AF46" s="241">
        <v>37834</v>
      </c>
      <c r="AG46" s="229">
        <v>21</v>
      </c>
      <c r="AH46" s="229">
        <v>5</v>
      </c>
      <c r="AI46" s="229">
        <v>5</v>
      </c>
      <c r="AJ46" s="229">
        <v>0</v>
      </c>
      <c r="AK46" s="229">
        <v>31</v>
      </c>
    </row>
    <row r="47" spans="1:37">
      <c r="A47" s="208">
        <f>Calculations!A14</f>
        <v>37196</v>
      </c>
      <c r="B47" s="237">
        <f t="shared" si="0"/>
        <v>31.625</v>
      </c>
      <c r="C47" s="239">
        <f t="shared" si="10"/>
        <v>0.98922500000000002</v>
      </c>
      <c r="D47" s="238">
        <f t="shared" si="6"/>
        <v>31.284240624999999</v>
      </c>
      <c r="E47" s="237">
        <f t="shared" si="2"/>
        <v>24.104751586914063</v>
      </c>
      <c r="F47" s="238">
        <f t="shared" si="7"/>
        <v>23.845022888565065</v>
      </c>
      <c r="G47" s="237">
        <f t="shared" si="3"/>
        <v>22.104499816894531</v>
      </c>
      <c r="H47" s="238">
        <f t="shared" si="8"/>
        <v>21.866323831367492</v>
      </c>
      <c r="I47" s="238">
        <f t="shared" si="4"/>
        <v>19.624998092651367</v>
      </c>
      <c r="J47" s="331">
        <f t="shared" ca="1" si="5"/>
        <v>3.5440000000000005</v>
      </c>
      <c r="L47" s="349">
        <f>IF(A47="N/A"," ",VLOOKUP(A47,PeakPowerCurves,(IF('Pricing Inputs'!$AT$3=2,3,IF('Pricing Inputs'!$AT$3=1,2,4))),FALSE))</f>
        <v>31.625</v>
      </c>
      <c r="M47" s="349">
        <f>IF(A47="N/A"," ",VLOOKUP(A47,SatSunPeakPwr,(IF('Pricing Inputs'!$AT$3=2,3,IF('Pricing Inputs'!$AT$3=1,2,4))),FALSE))</f>
        <v>24.104751586914063</v>
      </c>
      <c r="N47" s="349">
        <f>IF(A47="N/A"," ",VLOOKUP(A47,SatSunPeakPwr,(IF('Pricing Inputs'!$AT$3=2,7,IF('Pricing Inputs'!$AT$3=1,6,8))),FALSE))</f>
        <v>22.104499816894531</v>
      </c>
      <c r="O47" s="350">
        <f>IF(A47="N/A"," ",(VLOOKUP(A47,OPPowerPrices,(IF('Pricing Inputs'!$AT$3=2,7,IF('Pricing Inputs'!$AT$3=1,6,8))),FALSE)))</f>
        <v>19.624998092651367</v>
      </c>
      <c r="P47" s="351">
        <f t="shared" ca="1" si="9"/>
        <v>3.5440000000000005</v>
      </c>
      <c r="AF47" s="241">
        <v>37865</v>
      </c>
      <c r="AG47" s="229">
        <v>21</v>
      </c>
      <c r="AH47" s="229">
        <v>4</v>
      </c>
      <c r="AI47" s="229">
        <v>4</v>
      </c>
      <c r="AJ47" s="229">
        <v>1</v>
      </c>
      <c r="AK47" s="229">
        <v>30</v>
      </c>
    </row>
    <row r="48" spans="1:37">
      <c r="A48" s="208">
        <f>Calculations!A15</f>
        <v>37226</v>
      </c>
      <c r="B48" s="237">
        <f t="shared" si="0"/>
        <v>31.5</v>
      </c>
      <c r="C48" s="239">
        <f t="shared" si="10"/>
        <v>0.97851944514721489</v>
      </c>
      <c r="D48" s="238">
        <f t="shared" si="6"/>
        <v>30.82336252213727</v>
      </c>
      <c r="E48" s="237">
        <f t="shared" si="2"/>
        <v>25.554998397827148</v>
      </c>
      <c r="F48" s="238">
        <f t="shared" si="7"/>
        <v>25.006062852979788</v>
      </c>
      <c r="G48" s="237">
        <f t="shared" si="3"/>
        <v>22.049999237060547</v>
      </c>
      <c r="H48" s="238">
        <f t="shared" si="8"/>
        <v>21.576353018944999</v>
      </c>
      <c r="I48" s="238">
        <f t="shared" si="4"/>
        <v>21.049999237060547</v>
      </c>
      <c r="J48" s="331">
        <f t="shared" ca="1" si="5"/>
        <v>4.024</v>
      </c>
      <c r="L48" s="349">
        <f>IF(A48="N/A"," ",VLOOKUP(A48,PeakPowerCurves,(IF('Pricing Inputs'!$AT$3=2,3,IF('Pricing Inputs'!$AT$3=1,2,4))),FALSE))</f>
        <v>31.5</v>
      </c>
      <c r="M48" s="349">
        <f>IF(A48="N/A"," ",VLOOKUP(A48,SatSunPeakPwr,(IF('Pricing Inputs'!$AT$3=2,3,IF('Pricing Inputs'!$AT$3=1,2,4))),FALSE))</f>
        <v>25.554998397827148</v>
      </c>
      <c r="N48" s="349">
        <f>IF(A48="N/A"," ",VLOOKUP(A48,SatSunPeakPwr,(IF('Pricing Inputs'!$AT$3=2,7,IF('Pricing Inputs'!$AT$3=1,6,8))),FALSE))</f>
        <v>22.049999237060547</v>
      </c>
      <c r="O48" s="350">
        <f>IF(A48="N/A"," ",(VLOOKUP(A48,OPPowerPrices,(IF('Pricing Inputs'!$AT$3=2,7,IF('Pricing Inputs'!$AT$3=1,6,8))),FALSE)))</f>
        <v>21.049999237060547</v>
      </c>
      <c r="P48" s="351">
        <f t="shared" ca="1" si="9"/>
        <v>4.024</v>
      </c>
      <c r="AF48" s="241">
        <v>37895</v>
      </c>
      <c r="AG48" s="229">
        <v>23</v>
      </c>
      <c r="AH48" s="229">
        <v>4</v>
      </c>
      <c r="AI48" s="229">
        <v>4</v>
      </c>
      <c r="AJ48" s="229">
        <v>0</v>
      </c>
      <c r="AK48" s="229">
        <v>31</v>
      </c>
    </row>
    <row r="49" spans="1:37">
      <c r="A49" s="208">
        <f>Calculations!A16</f>
        <v>37257</v>
      </c>
      <c r="B49" s="237">
        <f>IF(A49="N/A"," ",IF(ISERROR(L49),B37*Inputs!$F$19,L49))</f>
        <v>37</v>
      </c>
      <c r="C49" s="239">
        <f t="shared" si="10"/>
        <v>0.96914576913143913</v>
      </c>
      <c r="D49" s="238">
        <f t="shared" si="6"/>
        <v>35.858393457863251</v>
      </c>
      <c r="E49" s="237">
        <f>IF(A49="N/A"," ",IF(ISERROR(M49),E37*Inputs!$F$19,M49))</f>
        <v>28.648748397827148</v>
      </c>
      <c r="F49" s="238">
        <f t="shared" si="7"/>
        <v>27.764813300665278</v>
      </c>
      <c r="G49" s="237">
        <f>IF(A49="N/A"," ",IF(ISERROR(N49),G37*Inputs!$F$19,N49))</f>
        <v>27.152500152587891</v>
      </c>
      <c r="H49" s="238">
        <f t="shared" si="8"/>
        <v>26.31473064422131</v>
      </c>
      <c r="I49" s="238">
        <f>IF(A49="N/A"," ",IF(ISERROR(O49),I37*Inputs!$F$19,O49))</f>
        <v>20.790000915527344</v>
      </c>
      <c r="J49" s="331">
        <f ca="1">IF(A49="N/A"," ",IF(ISERROR(P49),J37*Inputs!$F$23,P49))</f>
        <v>4.4060000000000006</v>
      </c>
      <c r="L49" s="349">
        <f>IF(A49="N/A"," ",VLOOKUP(A49,PeakPowerCurves,(IF('Pricing Inputs'!$AT$3=2,3,IF('Pricing Inputs'!$AT$3=1,2,4))),FALSE))</f>
        <v>37</v>
      </c>
      <c r="M49" s="349">
        <f>IF(A49="N/A"," ",VLOOKUP(A49,SatSunPeakPwr,(IF('Pricing Inputs'!$AT$3=2,3,IF('Pricing Inputs'!$AT$3=1,2,4))),FALSE))</f>
        <v>28.648748397827148</v>
      </c>
      <c r="N49" s="349">
        <f>IF(A49="N/A"," ",VLOOKUP(A49,SatSunPeakPwr,(IF('Pricing Inputs'!$AT$3=2,7,IF('Pricing Inputs'!$AT$3=1,6,8))),FALSE))</f>
        <v>27.152500152587891</v>
      </c>
      <c r="O49" s="350">
        <f>IF(A49="N/A"," ",(VLOOKUP(A49,OPPowerPrices,(IF('Pricing Inputs'!$AT$3=2,7,IF('Pricing Inputs'!$AT$3=1,6,8))),FALSE)))</f>
        <v>20.790000915527344</v>
      </c>
      <c r="P49" s="351">
        <f t="shared" ca="1" si="9"/>
        <v>4.4060000000000006</v>
      </c>
      <c r="AF49" s="241">
        <v>37926</v>
      </c>
      <c r="AG49" s="229">
        <v>19</v>
      </c>
      <c r="AH49" s="229">
        <v>5</v>
      </c>
      <c r="AI49" s="229">
        <v>5</v>
      </c>
      <c r="AJ49" s="229">
        <v>1</v>
      </c>
      <c r="AK49" s="229">
        <v>30</v>
      </c>
    </row>
    <row r="50" spans="1:37">
      <c r="A50" s="208">
        <f>Calculations!A17</f>
        <v>37288</v>
      </c>
      <c r="B50" s="237">
        <f>IF(A50="N/A"," ",IF(ISERROR(L50),B38*Inputs!$F$19,L50))</f>
        <v>37</v>
      </c>
      <c r="C50" s="239">
        <f t="shared" si="10"/>
        <v>0.96914576913143913</v>
      </c>
      <c r="D50" s="238">
        <f t="shared" si="6"/>
        <v>35.858393457863251</v>
      </c>
      <c r="E50" s="237">
        <f>IF(A50="N/A"," ",IF(ISERROR(M50),E38*Inputs!$F$19,M50))</f>
        <v>27.646250152587889</v>
      </c>
      <c r="F50" s="238">
        <f t="shared" si="7"/>
        <v>26.793246367729957</v>
      </c>
      <c r="G50" s="237">
        <f>IF(A50="N/A"," ",IF(ISERROR(N50),G38*Inputs!$F$19,N50))</f>
        <v>25.147499465942381</v>
      </c>
      <c r="H50" s="238">
        <f t="shared" si="8"/>
        <v>24.371592711653182</v>
      </c>
      <c r="I50" s="238">
        <f>IF(A50="N/A"," ",IF(ISERROR(O50),I38*Inputs!$F$19,O50))</f>
        <v>20.59999771118164</v>
      </c>
      <c r="J50" s="331">
        <f ca="1">IF(A50="N/A"," ",IF(ISERROR(P50),J38*Inputs!$F$23,P50))</f>
        <v>4.24</v>
      </c>
      <c r="L50" s="349">
        <f>IF(A50="N/A"," ",VLOOKUP(A50,PeakPowerCurves,(IF('Pricing Inputs'!$AT$3=2,3,IF('Pricing Inputs'!$AT$3=1,2,4))),FALSE))</f>
        <v>37</v>
      </c>
      <c r="M50" s="349">
        <f>IF(A50="N/A"," ",VLOOKUP(A50,SatSunPeakPwr,(IF('Pricing Inputs'!$AT$3=2,3,IF('Pricing Inputs'!$AT$3=1,2,4))),FALSE))</f>
        <v>27.646250152587889</v>
      </c>
      <c r="N50" s="349">
        <f>IF(A50="N/A"," ",VLOOKUP(A50,SatSunPeakPwr,(IF('Pricing Inputs'!$AT$3=2,7,IF('Pricing Inputs'!$AT$3=1,6,8))),FALSE))</f>
        <v>25.147499465942381</v>
      </c>
      <c r="O50" s="350">
        <f>IF(A50="N/A"," ",(VLOOKUP(A50,OPPowerPrices,(IF('Pricing Inputs'!$AT$3=2,7,IF('Pricing Inputs'!$AT$3=1,6,8))),FALSE)))</f>
        <v>20.59999771118164</v>
      </c>
      <c r="P50" s="351">
        <f t="shared" ca="1" si="9"/>
        <v>4.24</v>
      </c>
      <c r="AF50" s="241">
        <v>37956</v>
      </c>
      <c r="AG50" s="229">
        <v>22</v>
      </c>
      <c r="AH50" s="229">
        <v>4</v>
      </c>
      <c r="AI50" s="229">
        <v>4</v>
      </c>
      <c r="AJ50" s="229">
        <v>1</v>
      </c>
      <c r="AK50" s="229">
        <v>31</v>
      </c>
    </row>
    <row r="51" spans="1:37">
      <c r="A51" s="208">
        <f>Calculations!A18</f>
        <v>37316</v>
      </c>
      <c r="B51" s="237">
        <f>IF(A51="N/A"," ",IF(ISERROR(L51),B39*Inputs!$F$19,L51))</f>
        <v>33.25</v>
      </c>
      <c r="C51" s="239">
        <f t="shared" si="10"/>
        <v>0.97165000000000012</v>
      </c>
      <c r="D51" s="238">
        <f t="shared" si="6"/>
        <v>32.307362500000004</v>
      </c>
      <c r="E51" s="237">
        <f>IF(A51="N/A"," ",IF(ISERROR(M51),E39*Inputs!$F$19,M51))</f>
        <v>20.834749603271483</v>
      </c>
      <c r="F51" s="238">
        <f t="shared" si="7"/>
        <v>20.24408445201874</v>
      </c>
      <c r="G51" s="237">
        <f>IF(A51="N/A"," ",IF(ISERROR(N51),G39*Inputs!$F$19,N51))</f>
        <v>20.464498901367186</v>
      </c>
      <c r="H51" s="238">
        <f t="shared" si="8"/>
        <v>19.884330357513427</v>
      </c>
      <c r="I51" s="238">
        <f>IF(A51="N/A"," ",IF(ISERROR(O51),I39*Inputs!$F$19,O51))</f>
        <v>19.599999618530273</v>
      </c>
      <c r="J51" s="331">
        <f ca="1">IF(A51="N/A"," ",IF(ISERROR(P51),J39*Inputs!$F$23,P51))</f>
        <v>3.5939999999999999</v>
      </c>
      <c r="L51" s="349">
        <f>IF(A51="N/A"," ",VLOOKUP(A51,PeakPowerCurves,(IF('Pricing Inputs'!$AT$3=2,3,IF('Pricing Inputs'!$AT$3=1,2,4))),FALSE))</f>
        <v>33.25</v>
      </c>
      <c r="M51" s="349">
        <f>IF(A51="N/A"," ",VLOOKUP(A51,SatSunPeakPwr,(IF('Pricing Inputs'!$AT$3=2,3,IF('Pricing Inputs'!$AT$3=1,2,4))),FALSE))</f>
        <v>20.834749603271483</v>
      </c>
      <c r="N51" s="349">
        <f>IF(A51="N/A"," ",VLOOKUP(A51,SatSunPeakPwr,(IF('Pricing Inputs'!$AT$3=2,7,IF('Pricing Inputs'!$AT$3=1,6,8))),FALSE))</f>
        <v>20.464498901367186</v>
      </c>
      <c r="O51" s="350">
        <f>IF(A51="N/A"," ",(VLOOKUP(A51,OPPowerPrices,(IF('Pricing Inputs'!$AT$3=2,7,IF('Pricing Inputs'!$AT$3=1,6,8))),FALSE)))</f>
        <v>19.599999618530273</v>
      </c>
      <c r="P51" s="351">
        <f t="shared" ca="1" si="9"/>
        <v>3.5939999999999999</v>
      </c>
      <c r="AF51" s="241">
        <v>37987</v>
      </c>
      <c r="AG51" s="229">
        <v>21</v>
      </c>
      <c r="AH51" s="229">
        <v>5</v>
      </c>
      <c r="AI51" s="229">
        <v>4</v>
      </c>
      <c r="AJ51" s="229">
        <v>1</v>
      </c>
      <c r="AK51" s="229">
        <v>31</v>
      </c>
    </row>
    <row r="52" spans="1:37">
      <c r="A52" s="208">
        <f>Calculations!A19</f>
        <v>37347</v>
      </c>
      <c r="B52" s="237">
        <f>IF(A52="N/A"," ",IF(ISERROR(L52),B40*Inputs!$F$19,L52))</f>
        <v>32</v>
      </c>
      <c r="C52" s="239">
        <f t="shared" si="10"/>
        <v>0.92498900994989341</v>
      </c>
      <c r="D52" s="238">
        <f t="shared" si="6"/>
        <v>29.599648318396589</v>
      </c>
      <c r="E52" s="237">
        <f>IF(A52="N/A"," ",IF(ISERROR(M52),E40*Inputs!$F$19,M52))</f>
        <v>21.51750030517578</v>
      </c>
      <c r="F52" s="238">
        <f t="shared" si="7"/>
        <v>19.903451303881074</v>
      </c>
      <c r="G52" s="237">
        <f>IF(A52="N/A"," ",IF(ISERROR(N52),G40*Inputs!$F$19,N52))</f>
        <v>20.234999084472655</v>
      </c>
      <c r="H52" s="238">
        <f t="shared" si="8"/>
        <v>18.717151769483362</v>
      </c>
      <c r="I52" s="238">
        <f>IF(A52="N/A"," ",IF(ISERROR(O52),I40*Inputs!$F$19,O52))</f>
        <v>19.59999771118164</v>
      </c>
      <c r="J52" s="331">
        <f ca="1">IF(A52="N/A"," ",IF(ISERROR(P52),J40*Inputs!$F$23,P52))</f>
        <v>2.5862499999999997</v>
      </c>
      <c r="L52" s="349">
        <f>IF(A52="N/A"," ",VLOOKUP(A52,PeakPowerCurves,(IF('Pricing Inputs'!$AT$3=2,3,IF('Pricing Inputs'!$AT$3=1,2,4))),FALSE))</f>
        <v>32</v>
      </c>
      <c r="M52" s="349">
        <f>IF(A52="N/A"," ",VLOOKUP(A52,SatSunPeakPwr,(IF('Pricing Inputs'!$AT$3=2,3,IF('Pricing Inputs'!$AT$3=1,2,4))),FALSE))</f>
        <v>21.51750030517578</v>
      </c>
      <c r="N52" s="349">
        <f>IF(A52="N/A"," ",VLOOKUP(A52,SatSunPeakPwr,(IF('Pricing Inputs'!$AT$3=2,7,IF('Pricing Inputs'!$AT$3=1,6,8))),FALSE))</f>
        <v>20.234999084472655</v>
      </c>
      <c r="O52" s="350">
        <f>IF(A52="N/A"," ",(VLOOKUP(A52,OPPowerPrices,(IF('Pricing Inputs'!$AT$3=2,7,IF('Pricing Inputs'!$AT$3=1,6,8))),FALSE)))</f>
        <v>19.59999771118164</v>
      </c>
      <c r="P52" s="351">
        <f t="shared" ca="1" si="9"/>
        <v>2.5862499999999997</v>
      </c>
      <c r="AF52" s="241">
        <v>38018</v>
      </c>
      <c r="AG52" s="229">
        <v>20</v>
      </c>
      <c r="AH52" s="229">
        <v>4</v>
      </c>
      <c r="AI52" s="229">
        <v>5</v>
      </c>
      <c r="AJ52" s="229">
        <v>0</v>
      </c>
      <c r="AK52" s="229">
        <v>29</v>
      </c>
    </row>
    <row r="53" spans="1:37">
      <c r="A53" s="208">
        <f>Calculations!A20</f>
        <v>37377</v>
      </c>
      <c r="B53" s="237">
        <f>IF(A53="N/A"," ",IF(ISERROR(L53),B41*Inputs!$F$19,L53))</f>
        <v>34</v>
      </c>
      <c r="C53" s="239">
        <f t="shared" si="10"/>
        <v>0.97235546191844646</v>
      </c>
      <c r="D53" s="238">
        <f t="shared" si="6"/>
        <v>33.060085705227181</v>
      </c>
      <c r="E53" s="237">
        <f>IF(A53="N/A"," ",IF(ISERROR(M53),E41*Inputs!$F$19,M53))</f>
        <v>21.632500076293944</v>
      </c>
      <c r="F53" s="238">
        <f t="shared" si="7"/>
        <v>21.034479604135626</v>
      </c>
      <c r="G53" s="237">
        <f>IF(A53="N/A"," ",IF(ISERROR(N53),G41*Inputs!$F$19,N53))</f>
        <v>20.764999771118163</v>
      </c>
      <c r="H53" s="238">
        <f t="shared" si="8"/>
        <v>20.190960944182034</v>
      </c>
      <c r="I53" s="238">
        <f>IF(A53="N/A"," ",IF(ISERROR(O53),I41*Inputs!$F$19,O53))</f>
        <v>19.59999771118164</v>
      </c>
      <c r="J53" s="331">
        <f ca="1">IF(A53="N/A"," ",IF(ISERROR(P53),J41*Inputs!$F$23,P53))</f>
        <v>2.5615000000000001</v>
      </c>
      <c r="L53" s="349">
        <f>IF(A53="N/A"," ",VLOOKUP(A53,PeakPowerCurves,(IF('Pricing Inputs'!$AT$3=2,3,IF('Pricing Inputs'!$AT$3=1,2,4))),FALSE))</f>
        <v>34</v>
      </c>
      <c r="M53" s="349">
        <f>IF(A53="N/A"," ",VLOOKUP(A53,SatSunPeakPwr,(IF('Pricing Inputs'!$AT$3=2,3,IF('Pricing Inputs'!$AT$3=1,2,4))),FALSE))</f>
        <v>21.632500076293944</v>
      </c>
      <c r="N53" s="349">
        <f>IF(A53="N/A"," ",VLOOKUP(A53,SatSunPeakPwr,(IF('Pricing Inputs'!$AT$3=2,7,IF('Pricing Inputs'!$AT$3=1,6,8))),FALSE))</f>
        <v>20.764999771118163</v>
      </c>
      <c r="O53" s="350">
        <f>IF(A53="N/A"," ",(VLOOKUP(A53,OPPowerPrices,(IF('Pricing Inputs'!$AT$3=2,7,IF('Pricing Inputs'!$AT$3=1,6,8))),FALSE)))</f>
        <v>19.59999771118164</v>
      </c>
      <c r="P53" s="351">
        <f t="shared" ca="1" si="9"/>
        <v>2.5615000000000001</v>
      </c>
      <c r="AF53" s="241">
        <v>38047</v>
      </c>
      <c r="AG53" s="229">
        <v>23</v>
      </c>
      <c r="AH53" s="229">
        <v>4</v>
      </c>
      <c r="AI53" s="229">
        <v>4</v>
      </c>
      <c r="AJ53" s="229">
        <v>0</v>
      </c>
      <c r="AK53" s="229">
        <v>31</v>
      </c>
    </row>
    <row r="54" spans="1:37">
      <c r="A54" s="208">
        <f>Calculations!A21</f>
        <v>37408</v>
      </c>
      <c r="B54" s="237">
        <f>IF(A54="N/A"," ",IF(ISERROR(L54),B42*Inputs!$F$19,L54))</f>
        <v>49.75</v>
      </c>
      <c r="C54" s="239">
        <f t="shared" si="10"/>
        <v>1.1402927483957555</v>
      </c>
      <c r="D54" s="238">
        <f t="shared" si="6"/>
        <v>56.729564232688837</v>
      </c>
      <c r="E54" s="237">
        <f>IF(A54="N/A"," ",IF(ISERROR(M54),E42*Inputs!$F$19,M54))</f>
        <v>26.058750152587891</v>
      </c>
      <c r="F54" s="238">
        <f t="shared" si="7"/>
        <v>29.714603831252756</v>
      </c>
      <c r="G54" s="237">
        <f>IF(A54="N/A"," ",IF(ISERROR(N54),G42*Inputs!$F$19,N54))</f>
        <v>19.542499542236328</v>
      </c>
      <c r="H54" s="238">
        <f t="shared" si="8"/>
        <v>22.284170513539454</v>
      </c>
      <c r="I54" s="238">
        <f>IF(A54="N/A"," ",IF(ISERROR(O54),I42*Inputs!$F$19,O54))</f>
        <v>19.554998779296874</v>
      </c>
      <c r="J54" s="331">
        <f ca="1">IF(A54="N/A"," ",IF(ISERROR(P54),J42*Inputs!$F$23,P54))</f>
        <v>2.5674999999999999</v>
      </c>
      <c r="L54" s="349">
        <f>IF(A54="N/A"," ",VLOOKUP(A54,PeakPowerCurves,(IF('Pricing Inputs'!$AT$3=2,3,IF('Pricing Inputs'!$AT$3=1,2,4))),FALSE))</f>
        <v>49.75</v>
      </c>
      <c r="M54" s="349">
        <f>IF(A54="N/A"," ",VLOOKUP(A54,SatSunPeakPwr,(IF('Pricing Inputs'!$AT$3=2,3,IF('Pricing Inputs'!$AT$3=1,2,4))),FALSE))</f>
        <v>26.058750152587891</v>
      </c>
      <c r="N54" s="349">
        <f>IF(A54="N/A"," ",VLOOKUP(A54,SatSunPeakPwr,(IF('Pricing Inputs'!$AT$3=2,7,IF('Pricing Inputs'!$AT$3=1,6,8))),FALSE))</f>
        <v>19.542499542236328</v>
      </c>
      <c r="O54" s="350">
        <f>IF(A54="N/A"," ",(VLOOKUP(A54,OPPowerPrices,(IF('Pricing Inputs'!$AT$3=2,7,IF('Pricing Inputs'!$AT$3=1,6,8))),FALSE)))</f>
        <v>19.554998779296874</v>
      </c>
      <c r="P54" s="351">
        <f t="shared" ca="1" si="9"/>
        <v>2.5674999999999999</v>
      </c>
      <c r="AF54" s="241">
        <v>38078</v>
      </c>
      <c r="AG54" s="229">
        <v>22</v>
      </c>
      <c r="AH54" s="229">
        <v>4</v>
      </c>
      <c r="AI54" s="229">
        <v>4</v>
      </c>
      <c r="AJ54" s="229">
        <v>0</v>
      </c>
      <c r="AK54" s="229">
        <v>30</v>
      </c>
    </row>
    <row r="55" spans="1:37">
      <c r="A55" s="208">
        <f>Calculations!A22</f>
        <v>37438</v>
      </c>
      <c r="B55" s="237">
        <f>IF(A55="N/A"," ",IF(ISERROR(L55),B43*Inputs!$F$19,L55))</f>
        <v>72.5</v>
      </c>
      <c r="C55" s="239">
        <f t="shared" si="10"/>
        <v>1.1916649145636689</v>
      </c>
      <c r="D55" s="238">
        <f t="shared" si="6"/>
        <v>86.395706305865986</v>
      </c>
      <c r="E55" s="237">
        <f>IF(A55="N/A"," ",IF(ISERROR(M55),E43*Inputs!$F$19,M55))</f>
        <v>39.761249542236328</v>
      </c>
      <c r="F55" s="238">
        <f t="shared" si="7"/>
        <v>47.382086038693771</v>
      </c>
      <c r="G55" s="237">
        <f>IF(A55="N/A"," ",IF(ISERROR(N55),G43*Inputs!$F$19,N55))</f>
        <v>29.247499465942383</v>
      </c>
      <c r="H55" s="238">
        <f t="shared" si="8"/>
        <v>34.853218952283179</v>
      </c>
      <c r="I55" s="238">
        <f>IF(A55="N/A"," ",IF(ISERROR(O55),I43*Inputs!$F$19,O55))</f>
        <v>24.049997711181639</v>
      </c>
      <c r="J55" s="331">
        <f ca="1">IF(A55="N/A"," ",IF(ISERROR(P55),J43*Inputs!$F$23,P55))</f>
        <v>2.578125</v>
      </c>
      <c r="L55" s="349">
        <f>IF(A55="N/A"," ",VLOOKUP(A55,PeakPowerCurves,(IF('Pricing Inputs'!$AT$3=2,3,IF('Pricing Inputs'!$AT$3=1,2,4))),FALSE))</f>
        <v>72.5</v>
      </c>
      <c r="M55" s="349">
        <f>IF(A55="N/A"," ",VLOOKUP(A55,SatSunPeakPwr,(IF('Pricing Inputs'!$AT$3=2,3,IF('Pricing Inputs'!$AT$3=1,2,4))),FALSE))</f>
        <v>39.761249542236328</v>
      </c>
      <c r="N55" s="349">
        <f>IF(A55="N/A"," ",VLOOKUP(A55,SatSunPeakPwr,(IF('Pricing Inputs'!$AT$3=2,7,IF('Pricing Inputs'!$AT$3=1,6,8))),FALSE))</f>
        <v>29.247499465942383</v>
      </c>
      <c r="O55" s="350">
        <f>IF(A55="N/A"," ",(VLOOKUP(A55,OPPowerPrices,(IF('Pricing Inputs'!$AT$3=2,7,IF('Pricing Inputs'!$AT$3=1,6,8))),FALSE)))</f>
        <v>24.049997711181639</v>
      </c>
      <c r="P55" s="351">
        <f t="shared" ca="1" si="9"/>
        <v>2.578125</v>
      </c>
      <c r="AF55" s="241">
        <v>38108</v>
      </c>
      <c r="AG55" s="229">
        <v>20</v>
      </c>
      <c r="AH55" s="229">
        <v>5</v>
      </c>
      <c r="AI55" s="229">
        <v>5</v>
      </c>
      <c r="AJ55" s="229">
        <v>1</v>
      </c>
      <c r="AK55" s="229">
        <v>31</v>
      </c>
    </row>
    <row r="56" spans="1:37">
      <c r="A56" s="208">
        <f>Calculations!A23</f>
        <v>37469</v>
      </c>
      <c r="B56" s="237">
        <f>IF(A56="N/A"," ",IF(ISERROR(L56),B44*Inputs!$F$19,L56))</f>
        <v>68</v>
      </c>
      <c r="C56" s="239">
        <f t="shared" si="10"/>
        <v>1.1089289483683031</v>
      </c>
      <c r="D56" s="238">
        <f t="shared" si="6"/>
        <v>75.407168489044608</v>
      </c>
      <c r="E56" s="237">
        <f>IF(A56="N/A"," ",IF(ISERROR(M56),E44*Inputs!$F$19,M56))</f>
        <v>42.022499084472656</v>
      </c>
      <c r="F56" s="238">
        <f t="shared" si="7"/>
        <v>46.599965717552244</v>
      </c>
      <c r="G56" s="237">
        <f>IF(A56="N/A"," ",IF(ISERROR(N56),G44*Inputs!$F$19,N56))</f>
        <v>30.745000839233398</v>
      </c>
      <c r="H56" s="238">
        <f t="shared" si="8"/>
        <v>34.09402144823369</v>
      </c>
      <c r="I56" s="238">
        <f>IF(A56="N/A"," ",IF(ISERROR(O56),I44*Inputs!$F$19,O56))</f>
        <v>24.399998092651366</v>
      </c>
      <c r="J56" s="331">
        <f ca="1">IF(A56="N/A"," ",IF(ISERROR(P56),J44*Inputs!$F$23,P56))</f>
        <v>2.5851250000000001</v>
      </c>
      <c r="L56" s="349">
        <f>IF(A56="N/A"," ",VLOOKUP(A56,PeakPowerCurves,(IF('Pricing Inputs'!$AT$3=2,3,IF('Pricing Inputs'!$AT$3=1,2,4))),FALSE))</f>
        <v>68</v>
      </c>
      <c r="M56" s="349">
        <f>IF(A56="N/A"," ",VLOOKUP(A56,SatSunPeakPwr,(IF('Pricing Inputs'!$AT$3=2,3,IF('Pricing Inputs'!$AT$3=1,2,4))),FALSE))</f>
        <v>42.022499084472656</v>
      </c>
      <c r="N56" s="349">
        <f>IF(A56="N/A"," ",VLOOKUP(A56,SatSunPeakPwr,(IF('Pricing Inputs'!$AT$3=2,7,IF('Pricing Inputs'!$AT$3=1,6,8))),FALSE))</f>
        <v>30.745000839233398</v>
      </c>
      <c r="O56" s="350">
        <f>IF(A56="N/A"," ",(VLOOKUP(A56,OPPowerPrices,(IF('Pricing Inputs'!$AT$3=2,7,IF('Pricing Inputs'!$AT$3=1,6,8))),FALSE)))</f>
        <v>24.399998092651366</v>
      </c>
      <c r="P56" s="351">
        <f t="shared" ca="1" si="9"/>
        <v>2.5851250000000001</v>
      </c>
      <c r="AF56" s="241">
        <v>38139</v>
      </c>
      <c r="AG56" s="229">
        <v>22</v>
      </c>
      <c r="AH56" s="229">
        <v>4</v>
      </c>
      <c r="AI56" s="229">
        <v>4</v>
      </c>
      <c r="AJ56" s="229">
        <v>0</v>
      </c>
      <c r="AK56" s="229">
        <v>30</v>
      </c>
    </row>
    <row r="57" spans="1:37">
      <c r="A57" s="208">
        <f>Calculations!A24</f>
        <v>37500</v>
      </c>
      <c r="B57" s="237">
        <f>IF(A57="N/A"," ",IF(ISERROR(L57),B45*Inputs!$F$19,L57))</f>
        <v>33</v>
      </c>
      <c r="C57" s="239">
        <f t="shared" si="10"/>
        <v>1.0965337923205105</v>
      </c>
      <c r="D57" s="238">
        <f t="shared" si="6"/>
        <v>36.185615146576851</v>
      </c>
      <c r="E57" s="237">
        <f>IF(A57="N/A"," ",IF(ISERROR(M57),E45*Inputs!$F$19,M57))</f>
        <v>22.9049991607666</v>
      </c>
      <c r="F57" s="238">
        <f t="shared" si="7"/>
        <v>25.116105592853511</v>
      </c>
      <c r="G57" s="237">
        <f>IF(A57="N/A"," ",IF(ISERROR(N57),G45*Inputs!$F$19,N57))</f>
        <v>23.4</v>
      </c>
      <c r="H57" s="238">
        <f t="shared" si="8"/>
        <v>25.658890740299945</v>
      </c>
      <c r="I57" s="238">
        <f>IF(A57="N/A"," ",IF(ISERROR(O57),I45*Inputs!$F$19,O57))</f>
        <v>19.949998092651366</v>
      </c>
      <c r="J57" s="331">
        <f ca="1">IF(A57="N/A"," ",IF(ISERROR(P57),J45*Inputs!$F$23,P57))</f>
        <v>2.5915000000000004</v>
      </c>
      <c r="L57" s="349">
        <f>IF(A57="N/A"," ",VLOOKUP(A57,PeakPowerCurves,(IF('Pricing Inputs'!$AT$3=2,3,IF('Pricing Inputs'!$AT$3=1,2,4))),FALSE))</f>
        <v>33</v>
      </c>
      <c r="M57" s="349">
        <f>IF(A57="N/A"," ",VLOOKUP(A57,SatSunPeakPwr,(IF('Pricing Inputs'!$AT$3=2,3,IF('Pricing Inputs'!$AT$3=1,2,4))),FALSE))</f>
        <v>22.9049991607666</v>
      </c>
      <c r="N57" s="349">
        <f>IF(A57="N/A"," ",VLOOKUP(A57,SatSunPeakPwr,(IF('Pricing Inputs'!$AT$3=2,7,IF('Pricing Inputs'!$AT$3=1,6,8))),FALSE))</f>
        <v>23.4</v>
      </c>
      <c r="O57" s="350">
        <f>IF(A57="N/A"," ",(VLOOKUP(A57,OPPowerPrices,(IF('Pricing Inputs'!$AT$3=2,7,IF('Pricing Inputs'!$AT$3=1,6,8))),FALSE)))</f>
        <v>19.949998092651366</v>
      </c>
      <c r="P57" s="351">
        <f t="shared" ca="1" si="9"/>
        <v>2.5915000000000004</v>
      </c>
      <c r="AF57" s="241">
        <v>38169</v>
      </c>
      <c r="AG57" s="229">
        <v>21</v>
      </c>
      <c r="AH57" s="229">
        <v>5</v>
      </c>
      <c r="AI57" s="229">
        <v>4</v>
      </c>
      <c r="AJ57" s="229">
        <v>1</v>
      </c>
      <c r="AK57" s="229">
        <v>31</v>
      </c>
    </row>
    <row r="58" spans="1:37">
      <c r="A58" s="208">
        <f>Calculations!A25</f>
        <v>37530</v>
      </c>
      <c r="B58" s="237">
        <f>IF(A58="N/A"," ",IF(ISERROR(L58),B46*Inputs!$F$19,L58))</f>
        <v>30.75</v>
      </c>
      <c r="C58" s="239">
        <f t="shared" si="10"/>
        <v>0.98692500000000005</v>
      </c>
      <c r="D58" s="238">
        <f t="shared" si="6"/>
        <v>30.347943750000002</v>
      </c>
      <c r="E58" s="237">
        <f>IF(A58="N/A"," ",IF(ISERROR(M58),E46*Inputs!$F$19,M58))</f>
        <v>23.000500106811522</v>
      </c>
      <c r="F58" s="238">
        <f t="shared" si="7"/>
        <v>22.699768567914962</v>
      </c>
      <c r="G58" s="237">
        <f>IF(A58="N/A"," ",IF(ISERROR(N58),G46*Inputs!$F$19,N58))</f>
        <v>21.000999832153319</v>
      </c>
      <c r="H58" s="238">
        <f t="shared" si="8"/>
        <v>20.726411759347915</v>
      </c>
      <c r="I58" s="238">
        <f>IF(A58="N/A"," ",IF(ISERROR(O58),I46*Inputs!$F$19,O58))</f>
        <v>19.64999885559082</v>
      </c>
      <c r="J58" s="331">
        <f ca="1">IF(A58="N/A"," ",IF(ISERROR(P58),J46*Inputs!$F$23,P58))</f>
        <v>2.6175000000000002</v>
      </c>
      <c r="L58" s="349">
        <f>IF(A58="N/A"," ",VLOOKUP(A58,PeakPowerCurves,(IF('Pricing Inputs'!$AT$3=2,3,IF('Pricing Inputs'!$AT$3=1,2,4))),FALSE))</f>
        <v>30.75</v>
      </c>
      <c r="M58" s="349">
        <f>IF(A58="N/A"," ",VLOOKUP(A58,SatSunPeakPwr,(IF('Pricing Inputs'!$AT$3=2,3,IF('Pricing Inputs'!$AT$3=1,2,4))),FALSE))</f>
        <v>23.000500106811522</v>
      </c>
      <c r="N58" s="349">
        <f>IF(A58="N/A"," ",VLOOKUP(A58,SatSunPeakPwr,(IF('Pricing Inputs'!$AT$3=2,7,IF('Pricing Inputs'!$AT$3=1,6,8))),FALSE))</f>
        <v>21.000999832153319</v>
      </c>
      <c r="O58" s="350">
        <f>IF(A58="N/A"," ",(VLOOKUP(A58,OPPowerPrices,(IF('Pricing Inputs'!$AT$3=2,7,IF('Pricing Inputs'!$AT$3=1,6,8))),FALSE)))</f>
        <v>19.64999885559082</v>
      </c>
      <c r="P58" s="351">
        <f t="shared" ca="1" si="9"/>
        <v>2.6175000000000002</v>
      </c>
      <c r="AF58" s="241">
        <v>38200</v>
      </c>
      <c r="AG58" s="229">
        <v>22</v>
      </c>
      <c r="AH58" s="229">
        <v>4</v>
      </c>
      <c r="AI58" s="229">
        <v>5</v>
      </c>
      <c r="AJ58" s="229">
        <v>0</v>
      </c>
      <c r="AK58" s="229">
        <v>31</v>
      </c>
    </row>
    <row r="59" spans="1:37">
      <c r="A59" s="208">
        <f>Calculations!A26</f>
        <v>37561</v>
      </c>
      <c r="B59" s="237">
        <f>IF(A59="N/A"," ",IF(ISERROR(L59),B47*Inputs!$F$19,L59))</f>
        <v>31.125</v>
      </c>
      <c r="C59" s="239">
        <f t="shared" si="10"/>
        <v>0.98922500000000002</v>
      </c>
      <c r="D59" s="238">
        <f t="shared" si="6"/>
        <v>30.789628125</v>
      </c>
      <c r="E59" s="237">
        <f>IF(A59="N/A"," ",IF(ISERROR(M59),E47*Inputs!$F$19,M59))</f>
        <v>24.004751586914061</v>
      </c>
      <c r="F59" s="238">
        <f t="shared" si="7"/>
        <v>23.746100388565061</v>
      </c>
      <c r="G59" s="237">
        <f>IF(A59="N/A"," ",IF(ISERROR(N59),G47*Inputs!$F$19,N59))</f>
        <v>22.00449981689453</v>
      </c>
      <c r="H59" s="238">
        <f t="shared" si="8"/>
        <v>21.767401331367491</v>
      </c>
      <c r="I59" s="238">
        <f>IF(A59="N/A"," ",IF(ISERROR(O59),I47*Inputs!$F$19,O59))</f>
        <v>19.574998092651366</v>
      </c>
      <c r="J59" s="331">
        <f ca="1">IF(A59="N/A"," ",IF(ISERROR(P59),J47*Inputs!$F$23,P59))</f>
        <v>3.5199999999999996</v>
      </c>
      <c r="L59" s="349">
        <f>IF(A59="N/A"," ",VLOOKUP(A59,PeakPowerCurves,(IF('Pricing Inputs'!$AT$3=2,3,IF('Pricing Inputs'!$AT$3=1,2,4))),FALSE))</f>
        <v>31.125</v>
      </c>
      <c r="M59" s="349">
        <f>IF(A59="N/A"," ",VLOOKUP(A59,SatSunPeakPwr,(IF('Pricing Inputs'!$AT$3=2,3,IF('Pricing Inputs'!$AT$3=1,2,4))),FALSE))</f>
        <v>24.004751586914061</v>
      </c>
      <c r="N59" s="349">
        <f>IF(A59="N/A"," ",VLOOKUP(A59,SatSunPeakPwr,(IF('Pricing Inputs'!$AT$3=2,7,IF('Pricing Inputs'!$AT$3=1,6,8))),FALSE))</f>
        <v>22.00449981689453</v>
      </c>
      <c r="O59" s="350">
        <f>IF(A59="N/A"," ",(VLOOKUP(A59,OPPowerPrices,(IF('Pricing Inputs'!$AT$3=2,7,IF('Pricing Inputs'!$AT$3=1,6,8))),FALSE)))</f>
        <v>19.574998092651366</v>
      </c>
      <c r="P59" s="351">
        <f t="shared" ca="1" si="9"/>
        <v>3.5199999999999996</v>
      </c>
      <c r="AF59" s="241">
        <v>38231</v>
      </c>
      <c r="AG59" s="229">
        <v>21</v>
      </c>
      <c r="AH59" s="229">
        <v>4</v>
      </c>
      <c r="AI59" s="229">
        <v>4</v>
      </c>
      <c r="AJ59" s="229">
        <v>1</v>
      </c>
      <c r="AK59" s="229">
        <v>30</v>
      </c>
    </row>
    <row r="60" spans="1:37">
      <c r="A60" s="208">
        <f>Calculations!A27</f>
        <v>37591</v>
      </c>
      <c r="B60" s="237">
        <f>IF(A60="N/A"," ",IF(ISERROR(L60),B48*Inputs!$F$19,L60))</f>
        <v>31</v>
      </c>
      <c r="C60" s="239">
        <f t="shared" si="10"/>
        <v>0.97851944514721489</v>
      </c>
      <c r="D60" s="238">
        <f t="shared" si="6"/>
        <v>30.334102799563663</v>
      </c>
      <c r="E60" s="237">
        <f>IF(A60="N/A"," ",IF(ISERROR(M60),E48*Inputs!$F$19,M60))</f>
        <v>25.454998397827147</v>
      </c>
      <c r="F60" s="238">
        <f t="shared" si="7"/>
        <v>24.908210908465065</v>
      </c>
      <c r="G60" s="237">
        <f>IF(A60="N/A"," ",IF(ISERROR(N60),G48*Inputs!$F$19,N60))</f>
        <v>21.949999237060545</v>
      </c>
      <c r="H60" s="238">
        <f t="shared" si="8"/>
        <v>21.478501074430277</v>
      </c>
      <c r="I60" s="238">
        <f>IF(A60="N/A"," ",IF(ISERROR(O60),I48*Inputs!$F$19,O60))</f>
        <v>20.999999237060546</v>
      </c>
      <c r="J60" s="331">
        <f ca="1">IF(A60="N/A"," ",IF(ISERROR(P60),J48*Inputs!$F$23,P60))</f>
        <v>3.944</v>
      </c>
      <c r="L60" s="349">
        <f>IF(A60="N/A"," ",VLOOKUP(A60,PeakPowerCurves,(IF('Pricing Inputs'!$AT$3=2,3,IF('Pricing Inputs'!$AT$3=1,2,4))),FALSE))</f>
        <v>31</v>
      </c>
      <c r="M60" s="349">
        <f>IF(A60="N/A"," ",VLOOKUP(A60,SatSunPeakPwr,(IF('Pricing Inputs'!$AT$3=2,3,IF('Pricing Inputs'!$AT$3=1,2,4))),FALSE))</f>
        <v>25.454998397827147</v>
      </c>
      <c r="N60" s="349">
        <f>IF(A60="N/A"," ",VLOOKUP(A60,SatSunPeakPwr,(IF('Pricing Inputs'!$AT$3=2,7,IF('Pricing Inputs'!$AT$3=1,6,8))),FALSE))</f>
        <v>21.949999237060545</v>
      </c>
      <c r="O60" s="350">
        <f>IF(A60="N/A"," ",(VLOOKUP(A60,OPPowerPrices,(IF('Pricing Inputs'!$AT$3=2,7,IF('Pricing Inputs'!$AT$3=1,6,8))),FALSE)))</f>
        <v>20.999999237060546</v>
      </c>
      <c r="P60" s="351">
        <f t="shared" ca="1" si="9"/>
        <v>3.944</v>
      </c>
      <c r="AF60" s="241">
        <v>38261</v>
      </c>
      <c r="AG60" s="229">
        <v>21</v>
      </c>
      <c r="AH60" s="229">
        <v>5</v>
      </c>
      <c r="AI60" s="229">
        <v>5</v>
      </c>
      <c r="AJ60" s="229">
        <v>0</v>
      </c>
      <c r="AK60" s="229">
        <v>31</v>
      </c>
    </row>
    <row r="61" spans="1:37">
      <c r="A61" s="208">
        <f>Calculations!A28</f>
        <v>37622</v>
      </c>
      <c r="B61" s="237">
        <f>IF(A61="N/A"," ",IF(ISERROR(L61),B49*Inputs!$F$19,L61))</f>
        <v>36.65</v>
      </c>
      <c r="C61" s="239">
        <f t="shared" si="10"/>
        <v>0.96914576913143913</v>
      </c>
      <c r="D61" s="238">
        <f t="shared" si="6"/>
        <v>35.51919243866724</v>
      </c>
      <c r="E61" s="237">
        <f>IF(A61="N/A"," ",IF(ISERROR(M61),E49*Inputs!$F$19,M61))</f>
        <v>28.648748397827148</v>
      </c>
      <c r="F61" s="238">
        <f t="shared" si="7"/>
        <v>27.764813300665278</v>
      </c>
      <c r="G61" s="237">
        <f>IF(A61="N/A"," ",IF(ISERROR(N61),G49*Inputs!$F$19,N61))</f>
        <v>27.152500152587891</v>
      </c>
      <c r="H61" s="238">
        <f t="shared" si="8"/>
        <v>26.31473064422131</v>
      </c>
      <c r="I61" s="238">
        <f>IF(A61="N/A"," ",IF(ISERROR(O61),I49*Inputs!$F$19,O61))</f>
        <v>20.790000915527344</v>
      </c>
      <c r="J61" s="331">
        <f ca="1">IF(A61="N/A"," ",IF(ISERROR(P61),J49*Inputs!$F$23,P61))</f>
        <v>4.4249999999999998</v>
      </c>
      <c r="L61" s="349">
        <f>IF(A61="N/A"," ",VLOOKUP(A61,PeakPowerCurves,(IF('Pricing Inputs'!$AT$3=2,3,IF('Pricing Inputs'!$AT$3=1,2,4))),FALSE))</f>
        <v>36.65</v>
      </c>
      <c r="M61" s="349">
        <f>IF(A61="N/A"," ",VLOOKUP(A61,SatSunPeakPwr,(IF('Pricing Inputs'!$AT$3=2,3,IF('Pricing Inputs'!$AT$3=1,2,4))),FALSE))</f>
        <v>28.648748397827148</v>
      </c>
      <c r="N61" s="349">
        <f>IF(A61="N/A"," ",VLOOKUP(A61,SatSunPeakPwr,(IF('Pricing Inputs'!$AT$3=2,7,IF('Pricing Inputs'!$AT$3=1,6,8))),FALSE))</f>
        <v>27.152500152587891</v>
      </c>
      <c r="O61" s="350">
        <f>IF(A61="N/A"," ",(VLOOKUP(A61,OPPowerPrices,(IF('Pricing Inputs'!$AT$3=2,7,IF('Pricing Inputs'!$AT$3=1,6,8))),FALSE)))</f>
        <v>20.790000915527344</v>
      </c>
      <c r="P61" s="351">
        <f t="shared" ca="1" si="9"/>
        <v>4.4249999999999998</v>
      </c>
      <c r="AF61" s="241">
        <v>38292</v>
      </c>
      <c r="AG61" s="229">
        <v>21</v>
      </c>
      <c r="AH61" s="229">
        <v>4</v>
      </c>
      <c r="AI61" s="229">
        <v>4</v>
      </c>
      <c r="AJ61" s="229">
        <v>1</v>
      </c>
      <c r="AK61" s="229">
        <v>30</v>
      </c>
    </row>
    <row r="62" spans="1:37">
      <c r="A62" s="208">
        <f>Calculations!A29</f>
        <v>37653</v>
      </c>
      <c r="B62" s="237">
        <f>IF(A62="N/A"," ",IF(ISERROR(L62),B50*Inputs!$F$19,L62))</f>
        <v>36.65</v>
      </c>
      <c r="C62" s="239">
        <f t="shared" si="10"/>
        <v>0.96914576913143913</v>
      </c>
      <c r="D62" s="238">
        <f t="shared" si="6"/>
        <v>35.51919243866724</v>
      </c>
      <c r="E62" s="237">
        <f>IF(A62="N/A"," ",IF(ISERROR(M62),E50*Inputs!$F$19,M62))</f>
        <v>27.646250152587889</v>
      </c>
      <c r="F62" s="238">
        <f t="shared" si="7"/>
        <v>26.793246367729957</v>
      </c>
      <c r="G62" s="237">
        <f>IF(A62="N/A"," ",IF(ISERROR(N62),G50*Inputs!$F$19,N62))</f>
        <v>25.147499465942381</v>
      </c>
      <c r="H62" s="238">
        <f t="shared" si="8"/>
        <v>24.371592711653182</v>
      </c>
      <c r="I62" s="238">
        <f>IF(A62="N/A"," ",IF(ISERROR(O62),I50*Inputs!$F$19,O62))</f>
        <v>20.59999771118164</v>
      </c>
      <c r="J62" s="331">
        <f ca="1">IF(A62="N/A"," ",IF(ISERROR(P62),J50*Inputs!$F$23,P62))</f>
        <v>4.2070000000000007</v>
      </c>
      <c r="L62" s="349">
        <f>IF(A62="N/A"," ",VLOOKUP(A62,PeakPowerCurves,(IF('Pricing Inputs'!$AT$3=2,3,IF('Pricing Inputs'!$AT$3=1,2,4))),FALSE))</f>
        <v>36.65</v>
      </c>
      <c r="M62" s="349">
        <f>IF(A62="N/A"," ",VLOOKUP(A62,SatSunPeakPwr,(IF('Pricing Inputs'!$AT$3=2,3,IF('Pricing Inputs'!$AT$3=1,2,4))),FALSE))</f>
        <v>27.646250152587889</v>
      </c>
      <c r="N62" s="349">
        <f>IF(A62="N/A"," ",VLOOKUP(A62,SatSunPeakPwr,(IF('Pricing Inputs'!$AT$3=2,7,IF('Pricing Inputs'!$AT$3=1,6,8))),FALSE))</f>
        <v>25.147499465942381</v>
      </c>
      <c r="O62" s="350">
        <f>IF(A62="N/A"," ",(VLOOKUP(A62,OPPowerPrices,(IF('Pricing Inputs'!$AT$3=2,7,IF('Pricing Inputs'!$AT$3=1,6,8))),FALSE)))</f>
        <v>20.59999771118164</v>
      </c>
      <c r="P62" s="351">
        <f t="shared" ca="1" si="9"/>
        <v>4.2070000000000007</v>
      </c>
      <c r="AF62" s="241">
        <v>38322</v>
      </c>
      <c r="AG62" s="229">
        <v>23</v>
      </c>
      <c r="AH62" s="229">
        <v>3</v>
      </c>
      <c r="AI62" s="229">
        <v>4</v>
      </c>
      <c r="AJ62" s="229">
        <v>1</v>
      </c>
      <c r="AK62" s="229">
        <v>31</v>
      </c>
    </row>
    <row r="63" spans="1:37">
      <c r="A63" s="208">
        <f>Calculations!A30</f>
        <v>37681</v>
      </c>
      <c r="B63" s="237">
        <f>IF(A63="N/A"," ",IF(ISERROR(L63),B51*Inputs!$F$19,L63))</f>
        <v>32.9</v>
      </c>
      <c r="C63" s="239">
        <f t="shared" si="10"/>
        <v>0.97165000000000012</v>
      </c>
      <c r="D63" s="238">
        <f t="shared" si="6"/>
        <v>31.967285000000004</v>
      </c>
      <c r="E63" s="237">
        <f>IF(A63="N/A"," ",IF(ISERROR(M63),E51*Inputs!$F$19,M63))</f>
        <v>20.834749603271483</v>
      </c>
      <c r="F63" s="238">
        <f t="shared" si="7"/>
        <v>20.24408445201874</v>
      </c>
      <c r="G63" s="237">
        <f>IF(A63="N/A"," ",IF(ISERROR(N63),G51*Inputs!$F$19,N63))</f>
        <v>20.464498901367186</v>
      </c>
      <c r="H63" s="238">
        <f t="shared" si="8"/>
        <v>19.884330357513427</v>
      </c>
      <c r="I63" s="238">
        <f>IF(A63="N/A"," ",IF(ISERROR(O63),I51*Inputs!$F$19,O63))</f>
        <v>19.599999618530273</v>
      </c>
      <c r="J63" s="331">
        <f ca="1">IF(A63="N/A"," ",IF(ISERROR(P63),J51*Inputs!$F$23,P63))</f>
        <v>3.5870000000000002</v>
      </c>
      <c r="L63" s="349">
        <f>IF(A63="N/A"," ",VLOOKUP(A63,PeakPowerCurves,(IF('Pricing Inputs'!$AT$3=2,3,IF('Pricing Inputs'!$AT$3=1,2,4))),FALSE))</f>
        <v>32.9</v>
      </c>
      <c r="M63" s="349">
        <f>IF(A63="N/A"," ",VLOOKUP(A63,SatSunPeakPwr,(IF('Pricing Inputs'!$AT$3=2,3,IF('Pricing Inputs'!$AT$3=1,2,4))),FALSE))</f>
        <v>20.834749603271483</v>
      </c>
      <c r="N63" s="349">
        <f>IF(A63="N/A"," ",VLOOKUP(A63,SatSunPeakPwr,(IF('Pricing Inputs'!$AT$3=2,7,IF('Pricing Inputs'!$AT$3=1,6,8))),FALSE))</f>
        <v>20.464498901367186</v>
      </c>
      <c r="O63" s="350">
        <f>IF(A63="N/A"," ",(VLOOKUP(A63,OPPowerPrices,(IF('Pricing Inputs'!$AT$3=2,7,IF('Pricing Inputs'!$AT$3=1,6,8))),FALSE)))</f>
        <v>19.599999618530273</v>
      </c>
      <c r="P63" s="351">
        <f t="shared" ca="1" si="9"/>
        <v>3.5870000000000002</v>
      </c>
      <c r="AF63" s="241">
        <v>38353</v>
      </c>
      <c r="AG63" s="229">
        <v>21</v>
      </c>
      <c r="AH63" s="229">
        <v>4</v>
      </c>
      <c r="AI63" s="229">
        <v>5</v>
      </c>
      <c r="AJ63" s="229">
        <v>1</v>
      </c>
      <c r="AK63" s="229">
        <v>31</v>
      </c>
    </row>
    <row r="64" spans="1:37">
      <c r="A64" s="208">
        <f>Calculations!A31</f>
        <v>37712</v>
      </c>
      <c r="B64" s="237">
        <f>IF(A64="N/A"," ",IF(ISERROR(L64),B52*Inputs!$F$19,L64))</f>
        <v>31.65</v>
      </c>
      <c r="C64" s="239">
        <f t="shared" si="10"/>
        <v>0.92498900994989341</v>
      </c>
      <c r="D64" s="238">
        <f t="shared" si="6"/>
        <v>29.275902164914125</v>
      </c>
      <c r="E64" s="237">
        <f>IF(A64="N/A"," ",IF(ISERROR(M64),E52*Inputs!$F$19,M64))</f>
        <v>21.51750030517578</v>
      </c>
      <c r="F64" s="238">
        <f t="shared" si="7"/>
        <v>19.903451303881074</v>
      </c>
      <c r="G64" s="237">
        <f>IF(A64="N/A"," ",IF(ISERROR(N64),G52*Inputs!$F$19,N64))</f>
        <v>20.234999084472655</v>
      </c>
      <c r="H64" s="238">
        <f t="shared" si="8"/>
        <v>18.717151769483362</v>
      </c>
      <c r="I64" s="238">
        <f>IF(A64="N/A"," ",IF(ISERROR(O64),I52*Inputs!$F$19,O64))</f>
        <v>19.59999771118164</v>
      </c>
      <c r="J64" s="331">
        <f ca="1">IF(A64="N/A"," ",IF(ISERROR(P64),J52*Inputs!$F$23,P64))</f>
        <v>2.6187499999999999</v>
      </c>
      <c r="L64" s="349">
        <f>IF(A64="N/A"," ",VLOOKUP(A64,PeakPowerCurves,(IF('Pricing Inputs'!$AT$3=2,3,IF('Pricing Inputs'!$AT$3=1,2,4))),FALSE))</f>
        <v>31.65</v>
      </c>
      <c r="M64" s="349">
        <f>IF(A64="N/A"," ",VLOOKUP(A64,SatSunPeakPwr,(IF('Pricing Inputs'!$AT$3=2,3,IF('Pricing Inputs'!$AT$3=1,2,4))),FALSE))</f>
        <v>21.51750030517578</v>
      </c>
      <c r="N64" s="349">
        <f>IF(A64="N/A"," ",VLOOKUP(A64,SatSunPeakPwr,(IF('Pricing Inputs'!$AT$3=2,7,IF('Pricing Inputs'!$AT$3=1,6,8))),FALSE))</f>
        <v>20.234999084472655</v>
      </c>
      <c r="O64" s="350">
        <f>IF(A64="N/A"," ",(VLOOKUP(A64,OPPowerPrices,(IF('Pricing Inputs'!$AT$3=2,7,IF('Pricing Inputs'!$AT$3=1,6,8))),FALSE)))</f>
        <v>19.59999771118164</v>
      </c>
      <c r="P64" s="351">
        <f t="shared" ca="1" si="9"/>
        <v>2.6187499999999999</v>
      </c>
      <c r="AF64" s="241">
        <v>38384</v>
      </c>
      <c r="AG64" s="229">
        <v>20</v>
      </c>
      <c r="AH64" s="229">
        <v>4</v>
      </c>
      <c r="AI64" s="229">
        <v>4</v>
      </c>
      <c r="AJ64" s="229">
        <v>0</v>
      </c>
      <c r="AK64" s="229">
        <v>28</v>
      </c>
    </row>
    <row r="65" spans="1:37">
      <c r="A65" s="208">
        <f>Calculations!A32</f>
        <v>37742</v>
      </c>
      <c r="B65" s="237">
        <f>IF(A65="N/A"," ",IF(ISERROR(L65),B53*Inputs!$F$19,L65))</f>
        <v>33.65</v>
      </c>
      <c r="C65" s="239">
        <f t="shared" si="10"/>
        <v>0.97235546191844646</v>
      </c>
      <c r="D65" s="238">
        <f t="shared" si="6"/>
        <v>32.71976129355572</v>
      </c>
      <c r="E65" s="237">
        <f>IF(A65="N/A"," ",IF(ISERROR(M65),E53*Inputs!$F$19,M65))</f>
        <v>21.632500076293944</v>
      </c>
      <c r="F65" s="238">
        <f t="shared" si="7"/>
        <v>21.034479604135626</v>
      </c>
      <c r="G65" s="237">
        <f>IF(A65="N/A"," ",IF(ISERROR(N65),G53*Inputs!$F$19,N65))</f>
        <v>20.764999771118163</v>
      </c>
      <c r="H65" s="238">
        <f t="shared" si="8"/>
        <v>20.190960944182034</v>
      </c>
      <c r="I65" s="238">
        <f>IF(A65="N/A"," ",IF(ISERROR(O65),I53*Inputs!$F$19,O65))</f>
        <v>19.59999771118164</v>
      </c>
      <c r="J65" s="331">
        <f ca="1">IF(A65="N/A"," ",IF(ISERROR(P65),J53*Inputs!$F$23,P65))</f>
        <v>2.5940000000000003</v>
      </c>
      <c r="L65" s="349">
        <f>IF(A65="N/A"," ",VLOOKUP(A65,PeakPowerCurves,(IF('Pricing Inputs'!$AT$3=2,3,IF('Pricing Inputs'!$AT$3=1,2,4))),FALSE))</f>
        <v>33.65</v>
      </c>
      <c r="M65" s="349">
        <f>IF(A65="N/A"," ",VLOOKUP(A65,SatSunPeakPwr,(IF('Pricing Inputs'!$AT$3=2,3,IF('Pricing Inputs'!$AT$3=1,2,4))),FALSE))</f>
        <v>21.632500076293944</v>
      </c>
      <c r="N65" s="349">
        <f>IF(A65="N/A"," ",VLOOKUP(A65,SatSunPeakPwr,(IF('Pricing Inputs'!$AT$3=2,7,IF('Pricing Inputs'!$AT$3=1,6,8))),FALSE))</f>
        <v>20.764999771118163</v>
      </c>
      <c r="O65" s="350">
        <f>IF(A65="N/A"," ",(VLOOKUP(A65,OPPowerPrices,(IF('Pricing Inputs'!$AT$3=2,7,IF('Pricing Inputs'!$AT$3=1,6,8))),FALSE)))</f>
        <v>19.59999771118164</v>
      </c>
      <c r="P65" s="351">
        <f t="shared" ca="1" si="9"/>
        <v>2.5940000000000003</v>
      </c>
      <c r="AF65" s="241">
        <v>38412</v>
      </c>
      <c r="AG65" s="229">
        <v>23</v>
      </c>
      <c r="AH65" s="229">
        <v>4</v>
      </c>
      <c r="AI65" s="229">
        <v>4</v>
      </c>
      <c r="AJ65" s="229">
        <v>0</v>
      </c>
      <c r="AK65" s="229">
        <v>31</v>
      </c>
    </row>
    <row r="66" spans="1:37">
      <c r="A66" s="208">
        <f>Calculations!A33</f>
        <v>37773</v>
      </c>
      <c r="B66" s="237">
        <f>IF(A66="N/A"," ",IF(ISERROR(L66),B54*Inputs!$F$19,L66))</f>
        <v>49</v>
      </c>
      <c r="C66" s="239">
        <f t="shared" si="10"/>
        <v>1.1402927483957555</v>
      </c>
      <c r="D66" s="238">
        <f t="shared" si="6"/>
        <v>55.874344671392016</v>
      </c>
      <c r="E66" s="237">
        <f>IF(A66="N/A"," ",IF(ISERROR(M66),E54*Inputs!$F$19,M66))</f>
        <v>26.058750152587891</v>
      </c>
      <c r="F66" s="238">
        <f t="shared" si="7"/>
        <v>29.714603831252756</v>
      </c>
      <c r="G66" s="237">
        <f>IF(A66="N/A"," ",IF(ISERROR(N66),G54*Inputs!$F$19,N66))</f>
        <v>19.542499542236328</v>
      </c>
      <c r="H66" s="238">
        <f t="shared" si="8"/>
        <v>22.284170513539454</v>
      </c>
      <c r="I66" s="238">
        <f>IF(A66="N/A"," ",IF(ISERROR(O66),I54*Inputs!$F$19,O66))</f>
        <v>19.554998779296874</v>
      </c>
      <c r="J66" s="331">
        <f ca="1">IF(A66="N/A"," ",IF(ISERROR(P66),J54*Inputs!$F$23,P66))</f>
        <v>2.6</v>
      </c>
      <c r="L66" s="349">
        <f>IF(A66="N/A"," ",VLOOKUP(A66,PeakPowerCurves,(IF('Pricing Inputs'!$AT$3=2,3,IF('Pricing Inputs'!$AT$3=1,2,4))),FALSE))</f>
        <v>49</v>
      </c>
      <c r="M66" s="349">
        <f>IF(A66="N/A"," ",VLOOKUP(A66,SatSunPeakPwr,(IF('Pricing Inputs'!$AT$3=2,3,IF('Pricing Inputs'!$AT$3=1,2,4))),FALSE))</f>
        <v>26.058750152587891</v>
      </c>
      <c r="N66" s="349">
        <f>IF(A66="N/A"," ",VLOOKUP(A66,SatSunPeakPwr,(IF('Pricing Inputs'!$AT$3=2,7,IF('Pricing Inputs'!$AT$3=1,6,8))),FALSE))</f>
        <v>19.542499542236328</v>
      </c>
      <c r="O66" s="350">
        <f>IF(A66="N/A"," ",(VLOOKUP(A66,OPPowerPrices,(IF('Pricing Inputs'!$AT$3=2,7,IF('Pricing Inputs'!$AT$3=1,6,8))),FALSE)))</f>
        <v>19.554998779296874</v>
      </c>
      <c r="P66" s="351">
        <f t="shared" ca="1" si="9"/>
        <v>2.6</v>
      </c>
      <c r="AF66" s="241">
        <v>38443</v>
      </c>
      <c r="AG66" s="229">
        <v>21</v>
      </c>
      <c r="AH66" s="229">
        <v>5</v>
      </c>
      <c r="AI66" s="229">
        <v>4</v>
      </c>
      <c r="AJ66" s="229">
        <v>0</v>
      </c>
      <c r="AK66" s="229">
        <v>30</v>
      </c>
    </row>
    <row r="67" spans="1:37">
      <c r="A67" s="208">
        <f>Calculations!A34</f>
        <v>37803</v>
      </c>
      <c r="B67" s="237">
        <f>IF(A67="N/A"," ",IF(ISERROR(L67),B55*Inputs!$F$19,L67))</f>
        <v>70.5</v>
      </c>
      <c r="C67" s="239">
        <f t="shared" si="10"/>
        <v>1.1916649145636689</v>
      </c>
      <c r="D67" s="238">
        <f t="shared" si="6"/>
        <v>84.012376476738652</v>
      </c>
      <c r="E67" s="237">
        <f>IF(A67="N/A"," ",IF(ISERROR(M67),E55*Inputs!$F$19,M67))</f>
        <v>39.261249542236328</v>
      </c>
      <c r="F67" s="238">
        <f t="shared" si="7"/>
        <v>46.786253581411934</v>
      </c>
      <c r="G67" s="237">
        <f>IF(A67="N/A"," ",IF(ISERROR(N67),G55*Inputs!$F$19,N67))</f>
        <v>28.747499465942383</v>
      </c>
      <c r="H67" s="238">
        <f t="shared" si="8"/>
        <v>34.257386495001349</v>
      </c>
      <c r="I67" s="238">
        <f>IF(A67="N/A"," ",IF(ISERROR(O67),I55*Inputs!$F$19,O67))</f>
        <v>24.049997711181639</v>
      </c>
      <c r="J67" s="331">
        <f ca="1">IF(A67="N/A"," ",IF(ISERROR(P67),J55*Inputs!$F$23,P67))</f>
        <v>2.6106250000000002</v>
      </c>
      <c r="L67" s="349">
        <f>IF(A67="N/A"," ",VLOOKUP(A67,PeakPowerCurves,(IF('Pricing Inputs'!$AT$3=2,3,IF('Pricing Inputs'!$AT$3=1,2,4))),FALSE))</f>
        <v>70.5</v>
      </c>
      <c r="M67" s="349">
        <f>IF(A67="N/A"," ",VLOOKUP(A67,SatSunPeakPwr,(IF('Pricing Inputs'!$AT$3=2,3,IF('Pricing Inputs'!$AT$3=1,2,4))),FALSE))</f>
        <v>39.261249542236328</v>
      </c>
      <c r="N67" s="349">
        <f>IF(A67="N/A"," ",VLOOKUP(A67,SatSunPeakPwr,(IF('Pricing Inputs'!$AT$3=2,7,IF('Pricing Inputs'!$AT$3=1,6,8))),FALSE))</f>
        <v>28.747499465942383</v>
      </c>
      <c r="O67" s="350">
        <f>IF(A67="N/A"," ",(VLOOKUP(A67,OPPowerPrices,(IF('Pricing Inputs'!$AT$3=2,7,IF('Pricing Inputs'!$AT$3=1,6,8))),FALSE)))</f>
        <v>24.049997711181639</v>
      </c>
      <c r="P67" s="351">
        <f t="shared" ca="1" si="9"/>
        <v>2.6106250000000002</v>
      </c>
      <c r="AF67" s="241">
        <v>38473</v>
      </c>
      <c r="AG67" s="229">
        <v>21</v>
      </c>
      <c r="AH67" s="229">
        <v>4</v>
      </c>
      <c r="AI67" s="229">
        <v>5</v>
      </c>
      <c r="AJ67" s="229">
        <v>1</v>
      </c>
      <c r="AK67" s="229">
        <v>31</v>
      </c>
    </row>
    <row r="68" spans="1:37">
      <c r="A68" s="208">
        <f>Calculations!A35</f>
        <v>37834</v>
      </c>
      <c r="B68" s="237">
        <f>IF(A68="N/A"," ",IF(ISERROR(L68),B56*Inputs!$F$19,L68))</f>
        <v>66</v>
      </c>
      <c r="C68" s="239">
        <f t="shared" si="10"/>
        <v>1.1089289483683031</v>
      </c>
      <c r="D68" s="238">
        <f t="shared" si="6"/>
        <v>73.189310592308004</v>
      </c>
      <c r="E68" s="237">
        <f>IF(A68="N/A"," ",IF(ISERROR(M68),E56*Inputs!$F$19,M68))</f>
        <v>41.522499084472656</v>
      </c>
      <c r="F68" s="238">
        <f t="shared" si="7"/>
        <v>46.045501243368093</v>
      </c>
      <c r="G68" s="237">
        <f>IF(A68="N/A"," ",IF(ISERROR(N68),G56*Inputs!$F$19,N68))</f>
        <v>30.245000839233398</v>
      </c>
      <c r="H68" s="238">
        <f t="shared" si="8"/>
        <v>33.539556974049539</v>
      </c>
      <c r="I68" s="238">
        <f>IF(A68="N/A"," ",IF(ISERROR(O68),I56*Inputs!$F$19,O68))</f>
        <v>24.399998092651366</v>
      </c>
      <c r="J68" s="331">
        <f ca="1">IF(A68="N/A"," ",IF(ISERROR(P68),J56*Inputs!$F$23,P68))</f>
        <v>2.6176250000000003</v>
      </c>
      <c r="L68" s="349">
        <f>IF(A68="N/A"," ",VLOOKUP(A68,PeakPowerCurves,(IF('Pricing Inputs'!$AT$3=2,3,IF('Pricing Inputs'!$AT$3=1,2,4))),FALSE))</f>
        <v>66</v>
      </c>
      <c r="M68" s="349">
        <f>IF(A68="N/A"," ",VLOOKUP(A68,SatSunPeakPwr,(IF('Pricing Inputs'!$AT$3=2,3,IF('Pricing Inputs'!$AT$3=1,2,4))),FALSE))</f>
        <v>41.522499084472656</v>
      </c>
      <c r="N68" s="349">
        <f>IF(A68="N/A"," ",VLOOKUP(A68,SatSunPeakPwr,(IF('Pricing Inputs'!$AT$3=2,7,IF('Pricing Inputs'!$AT$3=1,6,8))),FALSE))</f>
        <v>30.245000839233398</v>
      </c>
      <c r="O68" s="350">
        <f>IF(A68="N/A"," ",(VLOOKUP(A68,OPPowerPrices,(IF('Pricing Inputs'!$AT$3=2,7,IF('Pricing Inputs'!$AT$3=1,6,8))),FALSE)))</f>
        <v>24.399998092651366</v>
      </c>
      <c r="P68" s="351">
        <f t="shared" ca="1" si="9"/>
        <v>2.6176250000000003</v>
      </c>
      <c r="AF68" s="241">
        <v>38504</v>
      </c>
      <c r="AG68" s="229">
        <v>22</v>
      </c>
      <c r="AH68" s="229">
        <v>4</v>
      </c>
      <c r="AI68" s="229">
        <v>4</v>
      </c>
      <c r="AJ68" s="229">
        <v>0</v>
      </c>
      <c r="AK68" s="229">
        <v>30</v>
      </c>
    </row>
    <row r="69" spans="1:37">
      <c r="A69" s="208">
        <f>Calculations!A36</f>
        <v>37865</v>
      </c>
      <c r="B69" s="237">
        <f>IF(A69="N/A"," ",IF(ISERROR(L69),B57*Inputs!$F$19,L69))</f>
        <v>32.65</v>
      </c>
      <c r="C69" s="239">
        <f t="shared" si="10"/>
        <v>1.0965337923205105</v>
      </c>
      <c r="D69" s="238">
        <f t="shared" si="6"/>
        <v>35.801828319264665</v>
      </c>
      <c r="E69" s="237">
        <f>IF(A69="N/A"," ",IF(ISERROR(M69),E57*Inputs!$F$19,M69))</f>
        <v>22.9049991607666</v>
      </c>
      <c r="F69" s="238">
        <f t="shared" si="7"/>
        <v>25.116105592853511</v>
      </c>
      <c r="G69" s="237">
        <f>IF(A69="N/A"," ",IF(ISERROR(N69),G57*Inputs!$F$19,N69))</f>
        <v>23.4</v>
      </c>
      <c r="H69" s="238">
        <f t="shared" si="8"/>
        <v>25.658890740299945</v>
      </c>
      <c r="I69" s="238">
        <f>IF(A69="N/A"," ",IF(ISERROR(O69),I57*Inputs!$F$19,O69))</f>
        <v>19.949998092651366</v>
      </c>
      <c r="J69" s="331">
        <f ca="1">IF(A69="N/A"," ",IF(ISERROR(P69),J57*Inputs!$F$23,P69))</f>
        <v>2.6240000000000001</v>
      </c>
      <c r="L69" s="349">
        <f>IF(A69="N/A"," ",VLOOKUP(A69,PeakPowerCurves,(IF('Pricing Inputs'!$AT$3=2,3,IF('Pricing Inputs'!$AT$3=1,2,4))),FALSE))</f>
        <v>32.65</v>
      </c>
      <c r="M69" s="349">
        <f>IF(A69="N/A"," ",VLOOKUP(A69,SatSunPeakPwr,(IF('Pricing Inputs'!$AT$3=2,3,IF('Pricing Inputs'!$AT$3=1,2,4))),FALSE))</f>
        <v>22.9049991607666</v>
      </c>
      <c r="N69" s="349">
        <f>IF(A69="N/A"," ",VLOOKUP(A69,SatSunPeakPwr,(IF('Pricing Inputs'!$AT$3=2,7,IF('Pricing Inputs'!$AT$3=1,6,8))),FALSE))</f>
        <v>23.4</v>
      </c>
      <c r="O69" s="350">
        <f>IF(A69="N/A"," ",(VLOOKUP(A69,OPPowerPrices,(IF('Pricing Inputs'!$AT$3=2,7,IF('Pricing Inputs'!$AT$3=1,6,8))),FALSE)))</f>
        <v>19.949998092651366</v>
      </c>
      <c r="P69" s="351">
        <f t="shared" ca="1" si="9"/>
        <v>2.6240000000000001</v>
      </c>
      <c r="AF69" s="241">
        <v>38534</v>
      </c>
      <c r="AG69" s="229">
        <v>20</v>
      </c>
      <c r="AH69" s="229">
        <v>5</v>
      </c>
      <c r="AI69" s="229">
        <v>5</v>
      </c>
      <c r="AJ69" s="229">
        <v>1</v>
      </c>
      <c r="AK69" s="229">
        <v>31</v>
      </c>
    </row>
    <row r="70" spans="1:37">
      <c r="A70" s="208">
        <f>Calculations!A37</f>
        <v>37895</v>
      </c>
      <c r="B70" s="237">
        <f>IF(A70="N/A"," ",IF(ISERROR(L70),B58*Inputs!$F$19,L70))</f>
        <v>30.4</v>
      </c>
      <c r="C70" s="239">
        <f t="shared" si="10"/>
        <v>0.98692500000000005</v>
      </c>
      <c r="D70" s="238">
        <f t="shared" si="6"/>
        <v>30.002520000000001</v>
      </c>
      <c r="E70" s="237">
        <f>IF(A70="N/A"," ",IF(ISERROR(M70),E58*Inputs!$F$19,M70))</f>
        <v>23.000500106811522</v>
      </c>
      <c r="F70" s="238">
        <f t="shared" si="7"/>
        <v>22.699768567914962</v>
      </c>
      <c r="G70" s="237">
        <f>IF(A70="N/A"," ",IF(ISERROR(N70),G58*Inputs!$F$19,N70))</f>
        <v>21.000999832153319</v>
      </c>
      <c r="H70" s="238">
        <f t="shared" si="8"/>
        <v>20.726411759347915</v>
      </c>
      <c r="I70" s="238">
        <f>IF(A70="N/A"," ",IF(ISERROR(O70),I58*Inputs!$F$19,O70))</f>
        <v>19.64999885559082</v>
      </c>
      <c r="J70" s="331">
        <f ca="1">IF(A70="N/A"," ",IF(ISERROR(P70),J58*Inputs!$F$23,P70))</f>
        <v>2.65</v>
      </c>
      <c r="L70" s="349">
        <f>IF(A70="N/A"," ",VLOOKUP(A70,PeakPowerCurves,(IF('Pricing Inputs'!$AT$3=2,3,IF('Pricing Inputs'!$AT$3=1,2,4))),FALSE))</f>
        <v>30.4</v>
      </c>
      <c r="M70" s="349">
        <f>IF(A70="N/A"," ",VLOOKUP(A70,SatSunPeakPwr,(IF('Pricing Inputs'!$AT$3=2,3,IF('Pricing Inputs'!$AT$3=1,2,4))),FALSE))</f>
        <v>23.000500106811522</v>
      </c>
      <c r="N70" s="349">
        <f>IF(A70="N/A"," ",VLOOKUP(A70,SatSunPeakPwr,(IF('Pricing Inputs'!$AT$3=2,7,IF('Pricing Inputs'!$AT$3=1,6,8))),FALSE))</f>
        <v>21.000999832153319</v>
      </c>
      <c r="O70" s="350">
        <f>IF(A70="N/A"," ",(VLOOKUP(A70,OPPowerPrices,(IF('Pricing Inputs'!$AT$3=2,7,IF('Pricing Inputs'!$AT$3=1,6,8))),FALSE)))</f>
        <v>19.64999885559082</v>
      </c>
      <c r="P70" s="351">
        <f t="shared" ca="1" si="9"/>
        <v>2.65</v>
      </c>
      <c r="AF70" s="241">
        <v>38565</v>
      </c>
      <c r="AG70" s="229">
        <v>23</v>
      </c>
      <c r="AH70" s="229">
        <v>4</v>
      </c>
      <c r="AI70" s="229">
        <v>4</v>
      </c>
      <c r="AJ70" s="229">
        <v>0</v>
      </c>
      <c r="AK70" s="229">
        <v>31</v>
      </c>
    </row>
    <row r="71" spans="1:37">
      <c r="A71" s="208">
        <f>Calculations!A38</f>
        <v>37926</v>
      </c>
      <c r="B71" s="237">
        <f>IF(A71="N/A"," ",IF(ISERROR(L71),B59*Inputs!$F$19,L71))</f>
        <v>30.774999999999999</v>
      </c>
      <c r="C71" s="239">
        <f t="shared" si="10"/>
        <v>0.98922500000000002</v>
      </c>
      <c r="D71" s="238">
        <f t="shared" si="6"/>
        <v>30.443399374999998</v>
      </c>
      <c r="E71" s="237">
        <f>IF(A71="N/A"," ",IF(ISERROR(M71),E59*Inputs!$F$19,M71))</f>
        <v>24.004751586914061</v>
      </c>
      <c r="F71" s="238">
        <f t="shared" si="7"/>
        <v>23.746100388565061</v>
      </c>
      <c r="G71" s="237">
        <f>IF(A71="N/A"," ",IF(ISERROR(N71),G59*Inputs!$F$19,N71))</f>
        <v>22.00449981689453</v>
      </c>
      <c r="H71" s="238">
        <f t="shared" si="8"/>
        <v>21.767401331367491</v>
      </c>
      <c r="I71" s="238">
        <f>IF(A71="N/A"," ",IF(ISERROR(O71),I59*Inputs!$F$19,O71))</f>
        <v>19.574998092651366</v>
      </c>
      <c r="J71" s="331">
        <f ca="1">IF(A71="N/A"," ",IF(ISERROR(P71),J59*Inputs!$F$23,P71))</f>
        <v>3.5575000000000001</v>
      </c>
      <c r="L71" s="349">
        <f>IF(A71="N/A"," ",VLOOKUP(A71,PeakPowerCurves,(IF('Pricing Inputs'!$AT$3=2,3,IF('Pricing Inputs'!$AT$3=1,2,4))),FALSE))</f>
        <v>30.774999999999999</v>
      </c>
      <c r="M71" s="349">
        <f>IF(A71="N/A"," ",VLOOKUP(A71,SatSunPeakPwr,(IF('Pricing Inputs'!$AT$3=2,3,IF('Pricing Inputs'!$AT$3=1,2,4))),FALSE))</f>
        <v>24.004751586914061</v>
      </c>
      <c r="N71" s="349">
        <f>IF(A71="N/A"," ",VLOOKUP(A71,SatSunPeakPwr,(IF('Pricing Inputs'!$AT$3=2,7,IF('Pricing Inputs'!$AT$3=1,6,8))),FALSE))</f>
        <v>22.00449981689453</v>
      </c>
      <c r="O71" s="350">
        <f>IF(A71="N/A"," ",(VLOOKUP(A71,OPPowerPrices,(IF('Pricing Inputs'!$AT$3=2,7,IF('Pricing Inputs'!$AT$3=1,6,8))),FALSE)))</f>
        <v>19.574998092651366</v>
      </c>
      <c r="P71" s="351">
        <f t="shared" ca="1" si="9"/>
        <v>3.5575000000000001</v>
      </c>
      <c r="AF71" s="241">
        <v>38596</v>
      </c>
      <c r="AG71" s="229">
        <v>21</v>
      </c>
      <c r="AH71" s="229">
        <v>4</v>
      </c>
      <c r="AI71" s="229">
        <v>4</v>
      </c>
      <c r="AJ71" s="229">
        <v>1</v>
      </c>
      <c r="AK71" s="229">
        <v>30</v>
      </c>
    </row>
    <row r="72" spans="1:37">
      <c r="A72" s="208">
        <f>Calculations!A39</f>
        <v>37956</v>
      </c>
      <c r="B72" s="237">
        <f>IF(A72="N/A"," ",IF(ISERROR(L72),B60*Inputs!$F$19,L72))</f>
        <v>30.65</v>
      </c>
      <c r="C72" s="239">
        <f t="shared" si="10"/>
        <v>0.97851944514721489</v>
      </c>
      <c r="D72" s="238">
        <f t="shared" si="6"/>
        <v>29.991620993762137</v>
      </c>
      <c r="E72" s="237">
        <f>IF(A72="N/A"," ",IF(ISERROR(M72),E60*Inputs!$F$19,M72))</f>
        <v>25.454998397827147</v>
      </c>
      <c r="F72" s="238">
        <f t="shared" si="7"/>
        <v>24.908210908465065</v>
      </c>
      <c r="G72" s="237">
        <f>IF(A72="N/A"," ",IF(ISERROR(N72),G60*Inputs!$F$19,N72))</f>
        <v>21.949999237060545</v>
      </c>
      <c r="H72" s="238">
        <f t="shared" si="8"/>
        <v>21.478501074430277</v>
      </c>
      <c r="I72" s="238">
        <f>IF(A72="N/A"," ",IF(ISERROR(O72),I60*Inputs!$F$19,O72))</f>
        <v>20.999999237060546</v>
      </c>
      <c r="J72" s="331">
        <f ca="1">IF(A72="N/A"," ",IF(ISERROR(P72),J60*Inputs!$F$23,P72))</f>
        <v>3.9865000000000004</v>
      </c>
      <c r="L72" s="349">
        <f>IF(A72="N/A"," ",VLOOKUP(A72,PeakPowerCurves,(IF('Pricing Inputs'!$AT$3=2,3,IF('Pricing Inputs'!$AT$3=1,2,4))),FALSE))</f>
        <v>30.65</v>
      </c>
      <c r="M72" s="349">
        <f>IF(A72="N/A"," ",VLOOKUP(A72,SatSunPeakPwr,(IF('Pricing Inputs'!$AT$3=2,3,IF('Pricing Inputs'!$AT$3=1,2,4))),FALSE))</f>
        <v>25.454998397827147</v>
      </c>
      <c r="N72" s="349">
        <f>IF(A72="N/A"," ",VLOOKUP(A72,SatSunPeakPwr,(IF('Pricing Inputs'!$AT$3=2,7,IF('Pricing Inputs'!$AT$3=1,6,8))),FALSE))</f>
        <v>21.949999237060545</v>
      </c>
      <c r="O72" s="350">
        <f>IF(A72="N/A"," ",(VLOOKUP(A72,OPPowerPrices,(IF('Pricing Inputs'!$AT$3=2,7,IF('Pricing Inputs'!$AT$3=1,6,8))),FALSE)))</f>
        <v>20.999999237060546</v>
      </c>
      <c r="P72" s="351">
        <f t="shared" ca="1" si="9"/>
        <v>3.9865000000000004</v>
      </c>
      <c r="AF72" s="241">
        <v>38626</v>
      </c>
      <c r="AG72" s="229">
        <v>21</v>
      </c>
      <c r="AH72" s="229">
        <v>5</v>
      </c>
      <c r="AI72" s="229">
        <v>5</v>
      </c>
      <c r="AJ72" s="229">
        <v>0</v>
      </c>
      <c r="AK72" s="229">
        <v>31</v>
      </c>
    </row>
    <row r="73" spans="1:37">
      <c r="A73" s="208">
        <f>Calculations!A40</f>
        <v>37987</v>
      </c>
      <c r="B73" s="237">
        <f>IF(A73="N/A"," ",IF(ISERROR(L73),B61*Inputs!$F$19,L73))</f>
        <v>36.65</v>
      </c>
      <c r="C73" s="239">
        <f t="shared" si="10"/>
        <v>0.96914576913143913</v>
      </c>
      <c r="D73" s="238">
        <f t="shared" si="6"/>
        <v>35.51919243866724</v>
      </c>
      <c r="E73" s="237">
        <f>IF(A73="N/A"," ",IF(ISERROR(M73),E61*Inputs!$F$19,M73))</f>
        <v>28.848748397827148</v>
      </c>
      <c r="F73" s="238">
        <f t="shared" si="7"/>
        <v>27.958642454491564</v>
      </c>
      <c r="G73" s="237">
        <f>IF(A73="N/A"," ",IF(ISERROR(N73),G61*Inputs!$F$19,N73))</f>
        <v>27.35250015258789</v>
      </c>
      <c r="H73" s="238">
        <f t="shared" si="8"/>
        <v>26.508559798047596</v>
      </c>
      <c r="I73" s="238">
        <f>IF(A73="N/A"," ",IF(ISERROR(O73),I61*Inputs!$F$19,O73))</f>
        <v>20.790000915527344</v>
      </c>
      <c r="J73" s="331">
        <f ca="1">IF(A73="N/A"," ",IF(ISERROR(P73),J61*Inputs!$F$23,P73))</f>
        <v>4.4800000000000004</v>
      </c>
      <c r="L73" s="349">
        <f>IF(A73="N/A"," ",VLOOKUP(A73,PeakPowerCurves,(IF('Pricing Inputs'!$AT$3=2,3,IF('Pricing Inputs'!$AT$3=1,2,4))),FALSE))</f>
        <v>36.65</v>
      </c>
      <c r="M73" s="349">
        <f>IF(A73="N/A"," ",VLOOKUP(A73,SatSunPeakPwr,(IF('Pricing Inputs'!$AT$3=2,3,IF('Pricing Inputs'!$AT$3=1,2,4))),FALSE))</f>
        <v>28.848748397827148</v>
      </c>
      <c r="N73" s="349">
        <f>IF(A73="N/A"," ",VLOOKUP(A73,SatSunPeakPwr,(IF('Pricing Inputs'!$AT$3=2,7,IF('Pricing Inputs'!$AT$3=1,6,8))),FALSE))</f>
        <v>27.35250015258789</v>
      </c>
      <c r="O73" s="350">
        <f>IF(A73="N/A"," ",(VLOOKUP(A73,OPPowerPrices,(IF('Pricing Inputs'!$AT$3=2,7,IF('Pricing Inputs'!$AT$3=1,6,8))),FALSE)))</f>
        <v>20.790000915527344</v>
      </c>
      <c r="P73" s="351">
        <f t="shared" ca="1" si="9"/>
        <v>4.4800000000000004</v>
      </c>
      <c r="AF73" s="241">
        <v>38657</v>
      </c>
      <c r="AG73" s="229">
        <v>21</v>
      </c>
      <c r="AH73" s="229">
        <v>4</v>
      </c>
      <c r="AI73" s="229">
        <v>4</v>
      </c>
      <c r="AJ73" s="229">
        <v>1</v>
      </c>
      <c r="AK73" s="229">
        <v>30</v>
      </c>
    </row>
    <row r="74" spans="1:37">
      <c r="A74" s="208">
        <f>Calculations!A41</f>
        <v>38018</v>
      </c>
      <c r="B74" s="237">
        <f>IF(A74="N/A"," ",IF(ISERROR(L74),B62*Inputs!$F$19,L74))</f>
        <v>36.65</v>
      </c>
      <c r="C74" s="239">
        <f t="shared" si="10"/>
        <v>0.96914576913143913</v>
      </c>
      <c r="D74" s="238">
        <f t="shared" si="6"/>
        <v>35.51919243866724</v>
      </c>
      <c r="E74" s="237">
        <f>IF(A74="N/A"," ",IF(ISERROR(M74),E62*Inputs!$F$19,M74))</f>
        <v>27.846250152587888</v>
      </c>
      <c r="F74" s="238">
        <f t="shared" si="7"/>
        <v>26.987075521556243</v>
      </c>
      <c r="G74" s="237">
        <f>IF(A74="N/A"," ",IF(ISERROR(N74),G62*Inputs!$F$19,N74))</f>
        <v>25.347499465942381</v>
      </c>
      <c r="H74" s="238">
        <f t="shared" si="8"/>
        <v>24.565421865479472</v>
      </c>
      <c r="I74" s="238">
        <f>IF(A74="N/A"," ",IF(ISERROR(O74),I62*Inputs!$F$19,O74))</f>
        <v>20.59999771118164</v>
      </c>
      <c r="J74" s="331">
        <f ca="1">IF(A74="N/A"," ",IF(ISERROR(P74),J62*Inputs!$F$23,P74))</f>
        <v>4.2620000000000005</v>
      </c>
      <c r="L74" s="349">
        <f>IF(A74="N/A"," ",VLOOKUP(A74,PeakPowerCurves,(IF('Pricing Inputs'!$AT$3=2,3,IF('Pricing Inputs'!$AT$3=1,2,4))),FALSE))</f>
        <v>36.65</v>
      </c>
      <c r="M74" s="349">
        <f>IF(A74="N/A"," ",VLOOKUP(A74,SatSunPeakPwr,(IF('Pricing Inputs'!$AT$3=2,3,IF('Pricing Inputs'!$AT$3=1,2,4))),FALSE))</f>
        <v>27.846250152587888</v>
      </c>
      <c r="N74" s="349">
        <f>IF(A74="N/A"," ",VLOOKUP(A74,SatSunPeakPwr,(IF('Pricing Inputs'!$AT$3=2,7,IF('Pricing Inputs'!$AT$3=1,6,8))),FALSE))</f>
        <v>25.347499465942381</v>
      </c>
      <c r="O74" s="350">
        <f>IF(A74="N/A"," ",(VLOOKUP(A74,OPPowerPrices,(IF('Pricing Inputs'!$AT$3=2,7,IF('Pricing Inputs'!$AT$3=1,6,8))),FALSE)))</f>
        <v>20.59999771118164</v>
      </c>
      <c r="P74" s="351">
        <f t="shared" ca="1" si="9"/>
        <v>4.2620000000000005</v>
      </c>
      <c r="AF74" s="241">
        <v>38687</v>
      </c>
      <c r="AG74" s="229">
        <v>21</v>
      </c>
      <c r="AH74" s="229">
        <v>5</v>
      </c>
      <c r="AI74" s="229">
        <v>4</v>
      </c>
      <c r="AJ74" s="229">
        <v>1</v>
      </c>
      <c r="AK74" s="229">
        <v>31</v>
      </c>
    </row>
    <row r="75" spans="1:37">
      <c r="A75" s="208">
        <f>Calculations!A42</f>
        <v>38047</v>
      </c>
      <c r="B75" s="237">
        <f>IF(A75="N/A"," ",IF(ISERROR(L75),B63*Inputs!$F$19,L75))</f>
        <v>32.9</v>
      </c>
      <c r="C75" s="239">
        <f t="shared" si="10"/>
        <v>0.97165000000000012</v>
      </c>
      <c r="D75" s="238">
        <f t="shared" si="6"/>
        <v>31.967285000000004</v>
      </c>
      <c r="E75" s="237">
        <f>IF(A75="N/A"," ",IF(ISERROR(M75),E63*Inputs!$F$19,M75))</f>
        <v>21.034749603271482</v>
      </c>
      <c r="F75" s="238">
        <f t="shared" si="7"/>
        <v>20.438414452018737</v>
      </c>
      <c r="G75" s="237">
        <f>IF(A75="N/A"," ",IF(ISERROR(N75),G63*Inputs!$F$19,N75))</f>
        <v>20.664498901367185</v>
      </c>
      <c r="H75" s="238">
        <f t="shared" si="8"/>
        <v>20.078660357513428</v>
      </c>
      <c r="I75" s="238">
        <f>IF(A75="N/A"," ",IF(ISERROR(O75),I63*Inputs!$F$19,O75))</f>
        <v>19.599999618530273</v>
      </c>
      <c r="J75" s="331">
        <f ca="1">IF(A75="N/A"," ",IF(ISERROR(P75),J63*Inputs!$F$23,P75))</f>
        <v>3.6320000000000001</v>
      </c>
      <c r="L75" s="349">
        <f>IF(A75="N/A"," ",VLOOKUP(A75,PeakPowerCurves,(IF('Pricing Inputs'!$AT$3=2,3,IF('Pricing Inputs'!$AT$3=1,2,4))),FALSE))</f>
        <v>32.9</v>
      </c>
      <c r="M75" s="349">
        <f>IF(A75="N/A"," ",VLOOKUP(A75,SatSunPeakPwr,(IF('Pricing Inputs'!$AT$3=2,3,IF('Pricing Inputs'!$AT$3=1,2,4))),FALSE))</f>
        <v>21.034749603271482</v>
      </c>
      <c r="N75" s="349">
        <f>IF(A75="N/A"," ",VLOOKUP(A75,SatSunPeakPwr,(IF('Pricing Inputs'!$AT$3=2,7,IF('Pricing Inputs'!$AT$3=1,6,8))),FALSE))</f>
        <v>20.664498901367185</v>
      </c>
      <c r="O75" s="350">
        <f>IF(A75="N/A"," ",(VLOOKUP(A75,OPPowerPrices,(IF('Pricing Inputs'!$AT$3=2,7,IF('Pricing Inputs'!$AT$3=1,6,8))),FALSE)))</f>
        <v>19.599999618530273</v>
      </c>
      <c r="P75" s="351">
        <f t="shared" ca="1" si="9"/>
        <v>3.6320000000000001</v>
      </c>
      <c r="AF75" s="241">
        <v>38718</v>
      </c>
      <c r="AG75" s="229">
        <v>21</v>
      </c>
      <c r="AH75" s="229">
        <v>4</v>
      </c>
      <c r="AI75" s="229">
        <v>5</v>
      </c>
      <c r="AJ75" s="229">
        <v>1</v>
      </c>
      <c r="AK75" s="229">
        <v>31</v>
      </c>
    </row>
    <row r="76" spans="1:37">
      <c r="A76" s="208">
        <f>Calculations!A43</f>
        <v>38078</v>
      </c>
      <c r="B76" s="237">
        <f>IF(A76="N/A"," ",IF(ISERROR(L76),B64*Inputs!$F$19,L76))</f>
        <v>31.65</v>
      </c>
      <c r="C76" s="239">
        <f t="shared" si="10"/>
        <v>0.92498900994989341</v>
      </c>
      <c r="D76" s="238">
        <f t="shared" si="6"/>
        <v>29.275902164914125</v>
      </c>
      <c r="E76" s="237">
        <f>IF(A76="N/A"," ",IF(ISERROR(M76),E64*Inputs!$F$19,M76))</f>
        <v>21.717500305175779</v>
      </c>
      <c r="F76" s="238">
        <f t="shared" si="7"/>
        <v>20.088449105871053</v>
      </c>
      <c r="G76" s="237">
        <f>IF(A76="N/A"," ",IF(ISERROR(N76),G64*Inputs!$F$19,N76))</f>
        <v>20.434999084472654</v>
      </c>
      <c r="H76" s="238">
        <f t="shared" si="8"/>
        <v>18.902149571473338</v>
      </c>
      <c r="I76" s="238">
        <f>IF(A76="N/A"," ",IF(ISERROR(O76),I64*Inputs!$F$19,O76))</f>
        <v>19.59999771118164</v>
      </c>
      <c r="J76" s="331">
        <f ca="1">IF(A76="N/A"," ",IF(ISERROR(P76),J64*Inputs!$F$23,P76))</f>
        <v>2.660625</v>
      </c>
      <c r="L76" s="349">
        <f>IF(A76="N/A"," ",VLOOKUP(A76,PeakPowerCurves,(IF('Pricing Inputs'!$AT$3=2,3,IF('Pricing Inputs'!$AT$3=1,2,4))),FALSE))</f>
        <v>31.65</v>
      </c>
      <c r="M76" s="349">
        <f>IF(A76="N/A"," ",VLOOKUP(A76,SatSunPeakPwr,(IF('Pricing Inputs'!$AT$3=2,3,IF('Pricing Inputs'!$AT$3=1,2,4))),FALSE))</f>
        <v>21.717500305175779</v>
      </c>
      <c r="N76" s="349">
        <f>IF(A76="N/A"," ",VLOOKUP(A76,SatSunPeakPwr,(IF('Pricing Inputs'!$AT$3=2,7,IF('Pricing Inputs'!$AT$3=1,6,8))),FALSE))</f>
        <v>20.434999084472654</v>
      </c>
      <c r="O76" s="350">
        <f>IF(A76="N/A"," ",(VLOOKUP(A76,OPPowerPrices,(IF('Pricing Inputs'!$AT$3=2,7,IF('Pricing Inputs'!$AT$3=1,6,8))),FALSE)))</f>
        <v>19.59999771118164</v>
      </c>
      <c r="P76" s="351">
        <f t="shared" ca="1" si="9"/>
        <v>2.660625</v>
      </c>
      <c r="AF76" s="241">
        <v>38749</v>
      </c>
      <c r="AG76" s="229">
        <v>20</v>
      </c>
      <c r="AH76" s="229">
        <v>4</v>
      </c>
      <c r="AI76" s="229">
        <v>4</v>
      </c>
      <c r="AJ76" s="229">
        <v>0</v>
      </c>
      <c r="AK76" s="229">
        <v>28</v>
      </c>
    </row>
    <row r="77" spans="1:37">
      <c r="A77" s="208">
        <f>Calculations!A44</f>
        <v>38108</v>
      </c>
      <c r="B77" s="237">
        <f>IF(A77="N/A"," ",IF(ISERROR(L77),B65*Inputs!$F$19,L77))</f>
        <v>33.65</v>
      </c>
      <c r="C77" s="239">
        <f t="shared" si="10"/>
        <v>0.97235546191844646</v>
      </c>
      <c r="D77" s="238">
        <f t="shared" si="6"/>
        <v>32.71976129355572</v>
      </c>
      <c r="E77" s="237">
        <f>IF(A77="N/A"," ",IF(ISERROR(M77),E65*Inputs!$F$19,M77))</f>
        <v>21.832500076293943</v>
      </c>
      <c r="F77" s="238">
        <f t="shared" si="7"/>
        <v>21.228950696519316</v>
      </c>
      <c r="G77" s="237">
        <f>IF(A77="N/A"," ",IF(ISERROR(N77),G65*Inputs!$F$19,N77))</f>
        <v>20.964999771118162</v>
      </c>
      <c r="H77" s="238">
        <f t="shared" si="8"/>
        <v>20.385432036565724</v>
      </c>
      <c r="I77" s="238">
        <f>IF(A77="N/A"," ",IF(ISERROR(O77),I65*Inputs!$F$19,O77))</f>
        <v>19.59999771118164</v>
      </c>
      <c r="J77" s="331">
        <f ca="1">IF(A77="N/A"," ",IF(ISERROR(P77),J65*Inputs!$F$23,P77))</f>
        <v>2.6358750000000004</v>
      </c>
      <c r="L77" s="349">
        <f>IF(A77="N/A"," ",VLOOKUP(A77,PeakPowerCurves,(IF('Pricing Inputs'!$AT$3=2,3,IF('Pricing Inputs'!$AT$3=1,2,4))),FALSE))</f>
        <v>33.65</v>
      </c>
      <c r="M77" s="349">
        <f>IF(A77="N/A"," ",VLOOKUP(A77,SatSunPeakPwr,(IF('Pricing Inputs'!$AT$3=2,3,IF('Pricing Inputs'!$AT$3=1,2,4))),FALSE))</f>
        <v>21.832500076293943</v>
      </c>
      <c r="N77" s="349">
        <f>IF(A77="N/A"," ",VLOOKUP(A77,SatSunPeakPwr,(IF('Pricing Inputs'!$AT$3=2,7,IF('Pricing Inputs'!$AT$3=1,6,8))),FALSE))</f>
        <v>20.964999771118162</v>
      </c>
      <c r="O77" s="350">
        <f>IF(A77="N/A"," ",(VLOOKUP(A77,OPPowerPrices,(IF('Pricing Inputs'!$AT$3=2,7,IF('Pricing Inputs'!$AT$3=1,6,8))),FALSE)))</f>
        <v>19.59999771118164</v>
      </c>
      <c r="P77" s="351">
        <f t="shared" ca="1" si="9"/>
        <v>2.6358750000000004</v>
      </c>
      <c r="AF77" s="241">
        <v>38777</v>
      </c>
      <c r="AG77" s="229">
        <v>23</v>
      </c>
      <c r="AH77" s="229">
        <v>4</v>
      </c>
      <c r="AI77" s="229">
        <v>4</v>
      </c>
      <c r="AJ77" s="229">
        <v>0</v>
      </c>
      <c r="AK77" s="229">
        <v>31</v>
      </c>
    </row>
    <row r="78" spans="1:37">
      <c r="A78" s="208">
        <f>Calculations!A45</f>
        <v>38139</v>
      </c>
      <c r="B78" s="237">
        <f>IF(A78="N/A"," ",IF(ISERROR(L78),B66*Inputs!$F$19,L78))</f>
        <v>48.75</v>
      </c>
      <c r="C78" s="239">
        <f t="shared" si="10"/>
        <v>1.1402927483957555</v>
      </c>
      <c r="D78" s="238">
        <f t="shared" si="6"/>
        <v>55.589271484293079</v>
      </c>
      <c r="E78" s="237">
        <f>IF(A78="N/A"," ",IF(ISERROR(M78),E66*Inputs!$F$19,M78))</f>
        <v>26.25875015258789</v>
      </c>
      <c r="F78" s="238">
        <f t="shared" si="7"/>
        <v>29.942662380931907</v>
      </c>
      <c r="G78" s="237">
        <f>IF(A78="N/A"," ",IF(ISERROR(N78),G66*Inputs!$F$19,N78))</f>
        <v>19.742499542236327</v>
      </c>
      <c r="H78" s="238">
        <f t="shared" si="8"/>
        <v>22.512229063218605</v>
      </c>
      <c r="I78" s="238">
        <f>IF(A78="N/A"," ",IF(ISERROR(O78),I66*Inputs!$F$19,O78))</f>
        <v>19.554998779296874</v>
      </c>
      <c r="J78" s="331">
        <f ca="1">IF(A78="N/A"," ",IF(ISERROR(P78),J66*Inputs!$F$23,P78))</f>
        <v>2.6418750000000002</v>
      </c>
      <c r="L78" s="349">
        <f>IF(A78="N/A"," ",VLOOKUP(A78,PeakPowerCurves,(IF('Pricing Inputs'!$AT$3=2,3,IF('Pricing Inputs'!$AT$3=1,2,4))),FALSE))</f>
        <v>48.75</v>
      </c>
      <c r="M78" s="349">
        <f>IF(A78="N/A"," ",VLOOKUP(A78,SatSunPeakPwr,(IF('Pricing Inputs'!$AT$3=2,3,IF('Pricing Inputs'!$AT$3=1,2,4))),FALSE))</f>
        <v>26.25875015258789</v>
      </c>
      <c r="N78" s="349">
        <f>IF(A78="N/A"," ",VLOOKUP(A78,SatSunPeakPwr,(IF('Pricing Inputs'!$AT$3=2,7,IF('Pricing Inputs'!$AT$3=1,6,8))),FALSE))</f>
        <v>19.742499542236327</v>
      </c>
      <c r="O78" s="350">
        <f>IF(A78="N/A"," ",(VLOOKUP(A78,OPPowerPrices,(IF('Pricing Inputs'!$AT$3=2,7,IF('Pricing Inputs'!$AT$3=1,6,8))),FALSE)))</f>
        <v>19.554998779296874</v>
      </c>
      <c r="P78" s="351">
        <f t="shared" ca="1" si="9"/>
        <v>2.6418750000000002</v>
      </c>
      <c r="AF78" s="241">
        <v>38808</v>
      </c>
      <c r="AG78" s="229">
        <v>20</v>
      </c>
      <c r="AH78" s="229">
        <v>5</v>
      </c>
      <c r="AI78" s="229">
        <v>5</v>
      </c>
      <c r="AJ78" s="229">
        <v>0</v>
      </c>
      <c r="AK78" s="229">
        <v>30</v>
      </c>
    </row>
    <row r="79" spans="1:37">
      <c r="A79" s="208">
        <f>Calculations!A46</f>
        <v>38169</v>
      </c>
      <c r="B79" s="237">
        <f>IF(A79="N/A"," ",IF(ISERROR(L79),B67*Inputs!$F$19,L79))</f>
        <v>69.5</v>
      </c>
      <c r="C79" s="239">
        <f t="shared" si="10"/>
        <v>1.1916649145636689</v>
      </c>
      <c r="D79" s="238">
        <f t="shared" si="6"/>
        <v>82.820711562174992</v>
      </c>
      <c r="E79" s="237">
        <f>IF(A79="N/A"," ",IF(ISERROR(M79),E67*Inputs!$F$19,M79))</f>
        <v>39.461249542236331</v>
      </c>
      <c r="F79" s="238">
        <f t="shared" si="7"/>
        <v>47.024586564324672</v>
      </c>
      <c r="G79" s="237">
        <f>IF(A79="N/A"," ",IF(ISERROR(N79),G67*Inputs!$F$19,N79))</f>
        <v>28.947499465942382</v>
      </c>
      <c r="H79" s="238">
        <f t="shared" si="8"/>
        <v>34.495719477914079</v>
      </c>
      <c r="I79" s="238">
        <f>IF(A79="N/A"," ",IF(ISERROR(O79),I67*Inputs!$F$19,O79))</f>
        <v>24.049997711181639</v>
      </c>
      <c r="J79" s="331">
        <f ca="1">IF(A79="N/A"," ",IF(ISERROR(P79),J67*Inputs!$F$23,P79))</f>
        <v>2.6524999999999999</v>
      </c>
      <c r="L79" s="349">
        <f>IF(A79="N/A"," ",VLOOKUP(A79,PeakPowerCurves,(IF('Pricing Inputs'!$AT$3=2,3,IF('Pricing Inputs'!$AT$3=1,2,4))),FALSE))</f>
        <v>69.5</v>
      </c>
      <c r="M79" s="349">
        <f>IF(A79="N/A"," ",VLOOKUP(A79,SatSunPeakPwr,(IF('Pricing Inputs'!$AT$3=2,3,IF('Pricing Inputs'!$AT$3=1,2,4))),FALSE))</f>
        <v>39.461249542236331</v>
      </c>
      <c r="N79" s="349">
        <f>IF(A79="N/A"," ",VLOOKUP(A79,SatSunPeakPwr,(IF('Pricing Inputs'!$AT$3=2,7,IF('Pricing Inputs'!$AT$3=1,6,8))),FALSE))</f>
        <v>28.947499465942382</v>
      </c>
      <c r="O79" s="350">
        <f>IF(A79="N/A"," ",(VLOOKUP(A79,OPPowerPrices,(IF('Pricing Inputs'!$AT$3=2,7,IF('Pricing Inputs'!$AT$3=1,6,8))),FALSE)))</f>
        <v>24.049997711181639</v>
      </c>
      <c r="P79" s="351">
        <f t="shared" ca="1" si="9"/>
        <v>2.6524999999999999</v>
      </c>
      <c r="AF79" s="241">
        <v>38838</v>
      </c>
      <c r="AG79" s="229">
        <v>22</v>
      </c>
      <c r="AH79" s="229">
        <v>4</v>
      </c>
      <c r="AI79" s="229">
        <v>4</v>
      </c>
      <c r="AJ79" s="229">
        <v>1</v>
      </c>
      <c r="AK79" s="229">
        <v>31</v>
      </c>
    </row>
    <row r="80" spans="1:37">
      <c r="A80" s="208">
        <f>Calculations!A47</f>
        <v>38200</v>
      </c>
      <c r="B80" s="237">
        <f>IF(A80="N/A"," ",IF(ISERROR(L80),B68*Inputs!$F$19,L80))</f>
        <v>65</v>
      </c>
      <c r="C80" s="239">
        <f t="shared" si="10"/>
        <v>1.1089289483683031</v>
      </c>
      <c r="D80" s="238">
        <f t="shared" si="6"/>
        <v>72.080381643939702</v>
      </c>
      <c r="E80" s="237">
        <f>IF(A80="N/A"," ",IF(ISERROR(M80),E68*Inputs!$F$19,M80))</f>
        <v>41.722499084472659</v>
      </c>
      <c r="F80" s="238">
        <f t="shared" si="7"/>
        <v>46.267287033041754</v>
      </c>
      <c r="G80" s="237">
        <f>IF(A80="N/A"," ",IF(ISERROR(N80),G68*Inputs!$F$19,N80))</f>
        <v>30.445000839233398</v>
      </c>
      <c r="H80" s="238">
        <f t="shared" si="8"/>
        <v>33.761342763723199</v>
      </c>
      <c r="I80" s="238">
        <f>IF(A80="N/A"," ",IF(ISERROR(O80),I68*Inputs!$F$19,O80))</f>
        <v>24.399998092651366</v>
      </c>
      <c r="J80" s="331">
        <f ca="1">IF(A80="N/A"," ",IF(ISERROR(P80),J68*Inputs!$F$23,P80))</f>
        <v>2.6595</v>
      </c>
      <c r="L80" s="349">
        <f>IF(A80="N/A"," ",VLOOKUP(A80,PeakPowerCurves,(IF('Pricing Inputs'!$AT$3=2,3,IF('Pricing Inputs'!$AT$3=1,2,4))),FALSE))</f>
        <v>65</v>
      </c>
      <c r="M80" s="349">
        <f>IF(A80="N/A"," ",VLOOKUP(A80,SatSunPeakPwr,(IF('Pricing Inputs'!$AT$3=2,3,IF('Pricing Inputs'!$AT$3=1,2,4))),FALSE))</f>
        <v>41.722499084472659</v>
      </c>
      <c r="N80" s="349">
        <f>IF(A80="N/A"," ",VLOOKUP(A80,SatSunPeakPwr,(IF('Pricing Inputs'!$AT$3=2,7,IF('Pricing Inputs'!$AT$3=1,6,8))),FALSE))</f>
        <v>30.445000839233398</v>
      </c>
      <c r="O80" s="350">
        <f>IF(A80="N/A"," ",(VLOOKUP(A80,OPPowerPrices,(IF('Pricing Inputs'!$AT$3=2,7,IF('Pricing Inputs'!$AT$3=1,6,8))),FALSE)))</f>
        <v>24.399998092651366</v>
      </c>
      <c r="P80" s="351">
        <f t="shared" ca="1" si="9"/>
        <v>2.6595</v>
      </c>
      <c r="AF80" s="241">
        <v>38869</v>
      </c>
      <c r="AG80" s="229">
        <v>22</v>
      </c>
      <c r="AH80" s="229">
        <v>4</v>
      </c>
      <c r="AI80" s="229">
        <v>4</v>
      </c>
      <c r="AJ80" s="229">
        <v>0</v>
      </c>
      <c r="AK80" s="229">
        <v>30</v>
      </c>
    </row>
    <row r="81" spans="1:37">
      <c r="A81" s="208">
        <f>Calculations!A48</f>
        <v>38231</v>
      </c>
      <c r="B81" s="237">
        <f>IF(A81="N/A"," ",IF(ISERROR(L81),B69*Inputs!$F$19,L81))</f>
        <v>32.65</v>
      </c>
      <c r="C81" s="239">
        <f t="shared" si="10"/>
        <v>1.0965337923205105</v>
      </c>
      <c r="D81" s="238">
        <f t="shared" si="6"/>
        <v>35.801828319264665</v>
      </c>
      <c r="E81" s="237">
        <f>IF(A81="N/A"," ",IF(ISERROR(M81),E69*Inputs!$F$19,M81))</f>
        <v>23.104999160766599</v>
      </c>
      <c r="F81" s="238">
        <f t="shared" si="7"/>
        <v>25.335412351317611</v>
      </c>
      <c r="G81" s="237">
        <f>IF(A81="N/A"," ",IF(ISERROR(N81),G69*Inputs!$F$19,N81))</f>
        <v>23.6</v>
      </c>
      <c r="H81" s="238">
        <f t="shared" si="8"/>
        <v>25.878197498764049</v>
      </c>
      <c r="I81" s="238">
        <f>IF(A81="N/A"," ",IF(ISERROR(O81),I69*Inputs!$F$19,O81))</f>
        <v>19.949998092651366</v>
      </c>
      <c r="J81" s="331">
        <f ca="1">IF(A81="N/A"," ",IF(ISERROR(P81),J69*Inputs!$F$23,P81))</f>
        <v>2.6658750000000002</v>
      </c>
      <c r="L81" s="349">
        <f>IF(A81="N/A"," ",VLOOKUP(A81,PeakPowerCurves,(IF('Pricing Inputs'!$AT$3=2,3,IF('Pricing Inputs'!$AT$3=1,2,4))),FALSE))</f>
        <v>32.65</v>
      </c>
      <c r="M81" s="349">
        <f>IF(A81="N/A"," ",VLOOKUP(A81,SatSunPeakPwr,(IF('Pricing Inputs'!$AT$3=2,3,IF('Pricing Inputs'!$AT$3=1,2,4))),FALSE))</f>
        <v>23.104999160766599</v>
      </c>
      <c r="N81" s="349">
        <f>IF(A81="N/A"," ",VLOOKUP(A81,SatSunPeakPwr,(IF('Pricing Inputs'!$AT$3=2,7,IF('Pricing Inputs'!$AT$3=1,6,8))),FALSE))</f>
        <v>23.6</v>
      </c>
      <c r="O81" s="350">
        <f>IF(A81="N/A"," ",(VLOOKUP(A81,OPPowerPrices,(IF('Pricing Inputs'!$AT$3=2,7,IF('Pricing Inputs'!$AT$3=1,6,8))),FALSE)))</f>
        <v>19.949998092651366</v>
      </c>
      <c r="P81" s="351">
        <f t="shared" ca="1" si="9"/>
        <v>2.6658750000000002</v>
      </c>
      <c r="AF81" s="241">
        <v>38899</v>
      </c>
      <c r="AG81" s="229">
        <v>20</v>
      </c>
      <c r="AH81" s="229">
        <v>5</v>
      </c>
      <c r="AI81" s="229">
        <v>5</v>
      </c>
      <c r="AJ81" s="229">
        <v>1</v>
      </c>
      <c r="AK81" s="229">
        <v>31</v>
      </c>
    </row>
    <row r="82" spans="1:37">
      <c r="A82" s="208">
        <f>Calculations!A49</f>
        <v>38261</v>
      </c>
      <c r="B82" s="237">
        <f>IF(A82="N/A"," ",IF(ISERROR(L82),B70*Inputs!$F$19,L82))</f>
        <v>30.4</v>
      </c>
      <c r="C82" s="239">
        <f t="shared" si="10"/>
        <v>0.98692500000000005</v>
      </c>
      <c r="D82" s="238">
        <f t="shared" si="6"/>
        <v>30.002520000000001</v>
      </c>
      <c r="E82" s="237">
        <f>IF(A82="N/A"," ",IF(ISERROR(M82),E70*Inputs!$F$19,M82))</f>
        <v>23.200500106811521</v>
      </c>
      <c r="F82" s="238">
        <f t="shared" si="7"/>
        <v>22.897153567914962</v>
      </c>
      <c r="G82" s="237">
        <f>IF(A82="N/A"," ",IF(ISERROR(N82),G70*Inputs!$F$19,N82))</f>
        <v>21.200999832153318</v>
      </c>
      <c r="H82" s="238">
        <f t="shared" si="8"/>
        <v>20.923796759347915</v>
      </c>
      <c r="I82" s="238">
        <f>IF(A82="N/A"," ",IF(ISERROR(O82),I70*Inputs!$F$19,O82))</f>
        <v>19.64999885559082</v>
      </c>
      <c r="J82" s="331">
        <f ca="1">IF(A82="N/A"," ",IF(ISERROR(P82),J70*Inputs!$F$23,P82))</f>
        <v>2.691875</v>
      </c>
      <c r="L82" s="349">
        <f>IF(A82="N/A"," ",VLOOKUP(A82,PeakPowerCurves,(IF('Pricing Inputs'!$AT$3=2,3,IF('Pricing Inputs'!$AT$3=1,2,4))),FALSE))</f>
        <v>30.4</v>
      </c>
      <c r="M82" s="349">
        <f>IF(A82="N/A"," ",VLOOKUP(A82,SatSunPeakPwr,(IF('Pricing Inputs'!$AT$3=2,3,IF('Pricing Inputs'!$AT$3=1,2,4))),FALSE))</f>
        <v>23.200500106811521</v>
      </c>
      <c r="N82" s="349">
        <f>IF(A82="N/A"," ",VLOOKUP(A82,SatSunPeakPwr,(IF('Pricing Inputs'!$AT$3=2,7,IF('Pricing Inputs'!$AT$3=1,6,8))),FALSE))</f>
        <v>21.200999832153318</v>
      </c>
      <c r="O82" s="350">
        <f>IF(A82="N/A"," ",(VLOOKUP(A82,OPPowerPrices,(IF('Pricing Inputs'!$AT$3=2,7,IF('Pricing Inputs'!$AT$3=1,6,8))),FALSE)))</f>
        <v>19.64999885559082</v>
      </c>
      <c r="P82" s="351">
        <f t="shared" ca="1" si="9"/>
        <v>2.691875</v>
      </c>
      <c r="AF82" s="241">
        <v>38930</v>
      </c>
      <c r="AG82" s="229">
        <v>23</v>
      </c>
      <c r="AH82" s="229">
        <v>4</v>
      </c>
      <c r="AI82" s="229">
        <v>4</v>
      </c>
      <c r="AJ82" s="229">
        <v>0</v>
      </c>
      <c r="AK82" s="229">
        <v>31</v>
      </c>
    </row>
    <row r="83" spans="1:37">
      <c r="A83" s="208">
        <f>Calculations!A50</f>
        <v>38292</v>
      </c>
      <c r="B83" s="237">
        <f>IF(A83="N/A"," ",IF(ISERROR(L83),B71*Inputs!$F$19,L83))</f>
        <v>30.774999999999999</v>
      </c>
      <c r="C83" s="239">
        <f t="shared" si="10"/>
        <v>0.98922500000000002</v>
      </c>
      <c r="D83" s="238">
        <f t="shared" si="6"/>
        <v>30.443399374999998</v>
      </c>
      <c r="E83" s="237">
        <f>IF(A83="N/A"," ",IF(ISERROR(M83),E71*Inputs!$F$19,M83))</f>
        <v>24.20475158691406</v>
      </c>
      <c r="F83" s="238">
        <f t="shared" si="7"/>
        <v>23.943945388565062</v>
      </c>
      <c r="G83" s="237">
        <f>IF(A83="N/A"," ",IF(ISERROR(N83),G71*Inputs!$F$19,N83))</f>
        <v>22.204499816894529</v>
      </c>
      <c r="H83" s="238">
        <f t="shared" si="8"/>
        <v>21.965246331367492</v>
      </c>
      <c r="I83" s="238">
        <f>IF(A83="N/A"," ",IF(ISERROR(O83),I71*Inputs!$F$19,O83))</f>
        <v>19.574998092651366</v>
      </c>
      <c r="J83" s="331">
        <f ca="1">IF(A83="N/A"," ",IF(ISERROR(P83),J71*Inputs!$F$23,P83))</f>
        <v>3.6025</v>
      </c>
      <c r="L83" s="349">
        <f>IF(A83="N/A"," ",VLOOKUP(A83,PeakPowerCurves,(IF('Pricing Inputs'!$AT$3=2,3,IF('Pricing Inputs'!$AT$3=1,2,4))),FALSE))</f>
        <v>30.774999999999999</v>
      </c>
      <c r="M83" s="349">
        <f>IF(A83="N/A"," ",VLOOKUP(A83,SatSunPeakPwr,(IF('Pricing Inputs'!$AT$3=2,3,IF('Pricing Inputs'!$AT$3=1,2,4))),FALSE))</f>
        <v>24.20475158691406</v>
      </c>
      <c r="N83" s="349">
        <f>IF(A83="N/A"," ",VLOOKUP(A83,SatSunPeakPwr,(IF('Pricing Inputs'!$AT$3=2,7,IF('Pricing Inputs'!$AT$3=1,6,8))),FALSE))</f>
        <v>22.204499816894529</v>
      </c>
      <c r="O83" s="350">
        <f>IF(A83="N/A"," ",(VLOOKUP(A83,OPPowerPrices,(IF('Pricing Inputs'!$AT$3=2,7,IF('Pricing Inputs'!$AT$3=1,6,8))),FALSE)))</f>
        <v>19.574998092651366</v>
      </c>
      <c r="P83" s="351">
        <f t="shared" ca="1" si="9"/>
        <v>3.6025</v>
      </c>
      <c r="AF83" s="241">
        <v>38961</v>
      </c>
      <c r="AG83" s="229">
        <v>20</v>
      </c>
      <c r="AH83" s="229">
        <v>5</v>
      </c>
      <c r="AI83" s="229">
        <v>4</v>
      </c>
      <c r="AJ83" s="229">
        <v>1</v>
      </c>
      <c r="AK83" s="229">
        <v>30</v>
      </c>
    </row>
    <row r="84" spans="1:37">
      <c r="A84" s="208">
        <f>Calculations!A51</f>
        <v>38322</v>
      </c>
      <c r="B84" s="237">
        <f>IF(A84="N/A"," ",IF(ISERROR(L84),B72*Inputs!$F$19,L84))</f>
        <v>30.65</v>
      </c>
      <c r="C84" s="239">
        <f t="shared" si="10"/>
        <v>0.97851944514721489</v>
      </c>
      <c r="D84" s="238">
        <f t="shared" si="6"/>
        <v>29.991620993762137</v>
      </c>
      <c r="E84" s="237">
        <f>IF(A84="N/A"," ",IF(ISERROR(M84),E72*Inputs!$F$19,M84))</f>
        <v>25.654998397827146</v>
      </c>
      <c r="F84" s="238">
        <f t="shared" si="7"/>
        <v>25.103914797494507</v>
      </c>
      <c r="G84" s="237">
        <f>IF(A84="N/A"," ",IF(ISERROR(N84),G72*Inputs!$F$19,N84))</f>
        <v>22.149999237060545</v>
      </c>
      <c r="H84" s="238">
        <f t="shared" si="8"/>
        <v>21.674204963459719</v>
      </c>
      <c r="I84" s="238">
        <f>IF(A84="N/A"," ",IF(ISERROR(O84),I72*Inputs!$F$19,O84))</f>
        <v>20.999999237060546</v>
      </c>
      <c r="J84" s="331">
        <f ca="1">IF(A84="N/A"," ",IF(ISERROR(P84),J72*Inputs!$F$23,P84))</f>
        <v>4.0365000000000002</v>
      </c>
      <c r="L84" s="349">
        <f>IF(A84="N/A"," ",VLOOKUP(A84,PeakPowerCurves,(IF('Pricing Inputs'!$AT$3=2,3,IF('Pricing Inputs'!$AT$3=1,2,4))),FALSE))</f>
        <v>30.65</v>
      </c>
      <c r="M84" s="349">
        <f>IF(A84="N/A"," ",VLOOKUP(A84,SatSunPeakPwr,(IF('Pricing Inputs'!$AT$3=2,3,IF('Pricing Inputs'!$AT$3=1,2,4))),FALSE))</f>
        <v>25.654998397827146</v>
      </c>
      <c r="N84" s="349">
        <f>IF(A84="N/A"," ",VLOOKUP(A84,SatSunPeakPwr,(IF('Pricing Inputs'!$AT$3=2,7,IF('Pricing Inputs'!$AT$3=1,6,8))),FALSE))</f>
        <v>22.149999237060545</v>
      </c>
      <c r="O84" s="350">
        <f>IF(A84="N/A"," ",(VLOOKUP(A84,OPPowerPrices,(IF('Pricing Inputs'!$AT$3=2,7,IF('Pricing Inputs'!$AT$3=1,6,8))),FALSE)))</f>
        <v>20.999999237060546</v>
      </c>
      <c r="P84" s="351">
        <f t="shared" ca="1" si="9"/>
        <v>4.0365000000000002</v>
      </c>
      <c r="AF84" s="241">
        <v>38991</v>
      </c>
      <c r="AG84" s="229">
        <v>22</v>
      </c>
      <c r="AH84" s="229">
        <v>4</v>
      </c>
      <c r="AI84" s="229">
        <v>5</v>
      </c>
      <c r="AJ84" s="229">
        <v>0</v>
      </c>
      <c r="AK84" s="229">
        <v>31</v>
      </c>
    </row>
    <row r="85" spans="1:37">
      <c r="A85" s="208">
        <f>Calculations!A52</f>
        <v>38353</v>
      </c>
      <c r="B85" s="237">
        <f>IF(A85="N/A"," ",IF(ISERROR(L85),B73*Inputs!$F$19,L85))</f>
        <v>36.75</v>
      </c>
      <c r="C85" s="239">
        <f t="shared" si="10"/>
        <v>0.96914576913143913</v>
      </c>
      <c r="D85" s="238">
        <f t="shared" si="6"/>
        <v>35.61610701558039</v>
      </c>
      <c r="E85" s="237">
        <f>IF(A85="N/A"," ",IF(ISERROR(M85),E73*Inputs!$F$19,M85))</f>
        <v>29.048748397827147</v>
      </c>
      <c r="F85" s="238">
        <f t="shared" si="7"/>
        <v>28.15247160831785</v>
      </c>
      <c r="G85" s="237">
        <f>IF(A85="N/A"," ",IF(ISERROR(N85),G73*Inputs!$F$19,N85))</f>
        <v>27.552500152587889</v>
      </c>
      <c r="H85" s="238">
        <f t="shared" si="8"/>
        <v>26.702388951873886</v>
      </c>
      <c r="I85" s="238">
        <f>IF(A85="N/A"," ",IF(ISERROR(O85),I73*Inputs!$F$19,O85))</f>
        <v>20.790000915527344</v>
      </c>
      <c r="J85" s="331">
        <f ca="1">IF(A85="N/A"," ",IF(ISERROR(P85),J73*Inputs!$F$23,P85))</f>
        <v>4.5449999999999999</v>
      </c>
      <c r="L85" s="349">
        <f>IF(A85="N/A"," ",VLOOKUP(A85,PeakPowerCurves,(IF('Pricing Inputs'!$AT$3=2,3,IF('Pricing Inputs'!$AT$3=1,2,4))),FALSE))</f>
        <v>36.75</v>
      </c>
      <c r="M85" s="349">
        <f>IF(A85="N/A"," ",VLOOKUP(A85,SatSunPeakPwr,(IF('Pricing Inputs'!$AT$3=2,3,IF('Pricing Inputs'!$AT$3=1,2,4))),FALSE))</f>
        <v>29.048748397827147</v>
      </c>
      <c r="N85" s="349">
        <f>IF(A85="N/A"," ",VLOOKUP(A85,SatSunPeakPwr,(IF('Pricing Inputs'!$AT$3=2,7,IF('Pricing Inputs'!$AT$3=1,6,8))),FALSE))</f>
        <v>27.552500152587889</v>
      </c>
      <c r="O85" s="350">
        <f>IF(A85="N/A"," ",(VLOOKUP(A85,OPPowerPrices,(IF('Pricing Inputs'!$AT$3=2,7,IF('Pricing Inputs'!$AT$3=1,6,8))),FALSE)))</f>
        <v>20.790000915527344</v>
      </c>
      <c r="P85" s="351">
        <f t="shared" ca="1" si="9"/>
        <v>4.5449999999999999</v>
      </c>
      <c r="AF85" s="241">
        <v>39022</v>
      </c>
      <c r="AG85" s="229">
        <v>21</v>
      </c>
      <c r="AH85" s="229">
        <v>4</v>
      </c>
      <c r="AI85" s="229">
        <v>4</v>
      </c>
      <c r="AJ85" s="229">
        <v>1</v>
      </c>
      <c r="AK85" s="229">
        <v>30</v>
      </c>
    </row>
    <row r="86" spans="1:37">
      <c r="A86" s="208">
        <f>Calculations!A53</f>
        <v>38384</v>
      </c>
      <c r="B86" s="237">
        <f>IF(A86="N/A"," ",IF(ISERROR(L86),B74*Inputs!$F$19,L86))</f>
        <v>36.75</v>
      </c>
      <c r="C86" s="239">
        <f t="shared" si="10"/>
        <v>0.96914576913143913</v>
      </c>
      <c r="D86" s="238">
        <f t="shared" si="6"/>
        <v>35.61610701558039</v>
      </c>
      <c r="E86" s="237">
        <f>IF(A86="N/A"," ",IF(ISERROR(M86),E74*Inputs!$F$19,M86))</f>
        <v>28.046250152587888</v>
      </c>
      <c r="F86" s="238">
        <f t="shared" si="7"/>
        <v>27.180904675382532</v>
      </c>
      <c r="G86" s="237">
        <f>IF(A86="N/A"," ",IF(ISERROR(N86),G74*Inputs!$F$19,N86))</f>
        <v>25.54749946594238</v>
      </c>
      <c r="H86" s="238">
        <f t="shared" si="8"/>
        <v>24.759251019305758</v>
      </c>
      <c r="I86" s="238">
        <f>IF(A86="N/A"," ",IF(ISERROR(O86),I74*Inputs!$F$19,O86))</f>
        <v>20.59999771118164</v>
      </c>
      <c r="J86" s="331">
        <f ca="1">IF(A86="N/A"," ",IF(ISERROR(P86),J74*Inputs!$F$23,P86))</f>
        <v>4.327</v>
      </c>
      <c r="L86" s="349">
        <f>IF(A86="N/A"," ",VLOOKUP(A86,PeakPowerCurves,(IF('Pricing Inputs'!$AT$3=2,3,IF('Pricing Inputs'!$AT$3=1,2,4))),FALSE))</f>
        <v>36.75</v>
      </c>
      <c r="M86" s="349">
        <f>IF(A86="N/A"," ",VLOOKUP(A86,SatSunPeakPwr,(IF('Pricing Inputs'!$AT$3=2,3,IF('Pricing Inputs'!$AT$3=1,2,4))),FALSE))</f>
        <v>28.046250152587888</v>
      </c>
      <c r="N86" s="349">
        <f>IF(A86="N/A"," ",VLOOKUP(A86,SatSunPeakPwr,(IF('Pricing Inputs'!$AT$3=2,7,IF('Pricing Inputs'!$AT$3=1,6,8))),FALSE))</f>
        <v>25.54749946594238</v>
      </c>
      <c r="O86" s="350">
        <f>IF(A86="N/A"," ",(VLOOKUP(A86,OPPowerPrices,(IF('Pricing Inputs'!$AT$3=2,7,IF('Pricing Inputs'!$AT$3=1,6,8))),FALSE)))</f>
        <v>20.59999771118164</v>
      </c>
      <c r="P86" s="351">
        <f t="shared" ca="1" si="9"/>
        <v>4.327</v>
      </c>
      <c r="AF86" s="241">
        <v>39052</v>
      </c>
      <c r="AG86" s="229">
        <v>20</v>
      </c>
      <c r="AH86" s="229">
        <v>5</v>
      </c>
      <c r="AI86" s="229">
        <v>5</v>
      </c>
      <c r="AJ86" s="229">
        <v>1</v>
      </c>
      <c r="AK86" s="229">
        <v>31</v>
      </c>
    </row>
    <row r="87" spans="1:37">
      <c r="A87" s="208">
        <f>Calculations!A54</f>
        <v>38412</v>
      </c>
      <c r="B87" s="237">
        <f>IF(A87="N/A"," ",IF(ISERROR(L87),B75*Inputs!$F$19,L87))</f>
        <v>33</v>
      </c>
      <c r="C87" s="239">
        <f t="shared" si="10"/>
        <v>0.97165000000000012</v>
      </c>
      <c r="D87" s="238">
        <f t="shared" si="6"/>
        <v>32.064450000000001</v>
      </c>
      <c r="E87" s="237">
        <f>IF(A87="N/A"," ",IF(ISERROR(M87),E75*Inputs!$F$19,M87))</f>
        <v>21.234749603271482</v>
      </c>
      <c r="F87" s="238">
        <f t="shared" si="7"/>
        <v>20.632744452018738</v>
      </c>
      <c r="G87" s="237">
        <f>IF(A87="N/A"," ",IF(ISERROR(N87),G75*Inputs!$F$19,N87))</f>
        <v>20.864498901367185</v>
      </c>
      <c r="H87" s="238">
        <f t="shared" si="8"/>
        <v>20.272990357513429</v>
      </c>
      <c r="I87" s="238">
        <f>IF(A87="N/A"," ",IF(ISERROR(O87),I75*Inputs!$F$19,O87))</f>
        <v>19.599999618530273</v>
      </c>
      <c r="J87" s="331">
        <f ca="1">IF(A87="N/A"," ",IF(ISERROR(P87),J75*Inputs!$F$23,P87))</f>
        <v>3.6869999999999998</v>
      </c>
      <c r="L87" s="349">
        <f>IF(A87="N/A"," ",VLOOKUP(A87,PeakPowerCurves,(IF('Pricing Inputs'!$AT$3=2,3,IF('Pricing Inputs'!$AT$3=1,2,4))),FALSE))</f>
        <v>33</v>
      </c>
      <c r="M87" s="349">
        <f>IF(A87="N/A"," ",VLOOKUP(A87,SatSunPeakPwr,(IF('Pricing Inputs'!$AT$3=2,3,IF('Pricing Inputs'!$AT$3=1,2,4))),FALSE))</f>
        <v>21.234749603271482</v>
      </c>
      <c r="N87" s="349">
        <f>IF(A87="N/A"," ",VLOOKUP(A87,SatSunPeakPwr,(IF('Pricing Inputs'!$AT$3=2,7,IF('Pricing Inputs'!$AT$3=1,6,8))),FALSE))</f>
        <v>20.864498901367185</v>
      </c>
      <c r="O87" s="350">
        <f>IF(A87="N/A"," ",(VLOOKUP(A87,OPPowerPrices,(IF('Pricing Inputs'!$AT$3=2,7,IF('Pricing Inputs'!$AT$3=1,6,8))),FALSE)))</f>
        <v>19.599999618530273</v>
      </c>
      <c r="P87" s="351">
        <f t="shared" ca="1" si="9"/>
        <v>3.6869999999999998</v>
      </c>
      <c r="AF87" s="241">
        <v>39083</v>
      </c>
      <c r="AG87" s="229">
        <v>22</v>
      </c>
      <c r="AH87" s="229">
        <v>4</v>
      </c>
      <c r="AI87" s="229">
        <v>4</v>
      </c>
      <c r="AJ87" s="229">
        <v>1</v>
      </c>
      <c r="AK87" s="229">
        <v>31</v>
      </c>
    </row>
    <row r="88" spans="1:37">
      <c r="A88" s="208">
        <f>Calculations!A55</f>
        <v>38443</v>
      </c>
      <c r="B88" s="237">
        <f>IF(A88="N/A"," ",IF(ISERROR(L88),B76*Inputs!$F$19,L88))</f>
        <v>31.75</v>
      </c>
      <c r="C88" s="239">
        <f t="shared" si="10"/>
        <v>0.92498900994989341</v>
      </c>
      <c r="D88" s="238">
        <f t="shared" si="6"/>
        <v>29.368401065909115</v>
      </c>
      <c r="E88" s="237">
        <f>IF(A88="N/A"," ",IF(ISERROR(M88),E76*Inputs!$F$19,M88))</f>
        <v>21.917500305175778</v>
      </c>
      <c r="F88" s="238">
        <f t="shared" si="7"/>
        <v>20.273446907861029</v>
      </c>
      <c r="G88" s="237">
        <f>IF(A88="N/A"," ",IF(ISERROR(N88),G76*Inputs!$F$19,N88))</f>
        <v>20.634999084472653</v>
      </c>
      <c r="H88" s="238">
        <f t="shared" si="8"/>
        <v>19.087147373463317</v>
      </c>
      <c r="I88" s="238">
        <f>IF(A88="N/A"," ",IF(ISERROR(O88),I76*Inputs!$F$19,O88))</f>
        <v>19.59999771118164</v>
      </c>
      <c r="J88" s="331">
        <f ca="1">IF(A88="N/A"," ",IF(ISERROR(P88),J76*Inputs!$F$23,P88))</f>
        <v>2.7131249999999998</v>
      </c>
      <c r="L88" s="349">
        <f>IF(A88="N/A"," ",VLOOKUP(A88,PeakPowerCurves,(IF('Pricing Inputs'!$AT$3=2,3,IF('Pricing Inputs'!$AT$3=1,2,4))),FALSE))</f>
        <v>31.75</v>
      </c>
      <c r="M88" s="349">
        <f>IF(A88="N/A"," ",VLOOKUP(A88,SatSunPeakPwr,(IF('Pricing Inputs'!$AT$3=2,3,IF('Pricing Inputs'!$AT$3=1,2,4))),FALSE))</f>
        <v>21.917500305175778</v>
      </c>
      <c r="N88" s="349">
        <f>IF(A88="N/A"," ",VLOOKUP(A88,SatSunPeakPwr,(IF('Pricing Inputs'!$AT$3=2,7,IF('Pricing Inputs'!$AT$3=1,6,8))),FALSE))</f>
        <v>20.634999084472653</v>
      </c>
      <c r="O88" s="350">
        <f>IF(A88="N/A"," ",(VLOOKUP(A88,OPPowerPrices,(IF('Pricing Inputs'!$AT$3=2,7,IF('Pricing Inputs'!$AT$3=1,6,8))),FALSE)))</f>
        <v>19.59999771118164</v>
      </c>
      <c r="P88" s="351">
        <f t="shared" ca="1" si="9"/>
        <v>2.7131249999999998</v>
      </c>
      <c r="AF88" s="241">
        <v>39114</v>
      </c>
      <c r="AG88" s="229">
        <v>20</v>
      </c>
      <c r="AH88" s="229">
        <v>4</v>
      </c>
      <c r="AI88" s="229">
        <v>4</v>
      </c>
      <c r="AJ88" s="229">
        <v>0</v>
      </c>
      <c r="AK88" s="229">
        <v>28</v>
      </c>
    </row>
    <row r="89" spans="1:37">
      <c r="A89" s="208">
        <f>Calculations!A56</f>
        <v>38473</v>
      </c>
      <c r="B89" s="237">
        <f>IF(A89="N/A"," ",IF(ISERROR(L89),B77*Inputs!$F$19,L89))</f>
        <v>33.75</v>
      </c>
      <c r="C89" s="239">
        <f t="shared" si="10"/>
        <v>0.97235546191844646</v>
      </c>
      <c r="D89" s="238">
        <f t="shared" si="6"/>
        <v>32.816996839747567</v>
      </c>
      <c r="E89" s="237">
        <f>IF(A89="N/A"," ",IF(ISERROR(M89),E77*Inputs!$F$19,M89))</f>
        <v>22.032500076293942</v>
      </c>
      <c r="F89" s="238">
        <f t="shared" si="7"/>
        <v>21.423421788903003</v>
      </c>
      <c r="G89" s="237">
        <f>IF(A89="N/A"," ",IF(ISERROR(N89),G77*Inputs!$F$19,N89))</f>
        <v>21.164999771118161</v>
      </c>
      <c r="H89" s="238">
        <f t="shared" si="8"/>
        <v>20.579903128949415</v>
      </c>
      <c r="I89" s="238">
        <f>IF(A89="N/A"," ",IF(ISERROR(O89),I77*Inputs!$F$19,O89))</f>
        <v>19.59999771118164</v>
      </c>
      <c r="J89" s="331">
        <f ca="1">IF(A89="N/A"," ",IF(ISERROR(P89),J77*Inputs!$F$23,P89))</f>
        <v>2.6883750000000002</v>
      </c>
      <c r="L89" s="349">
        <f>IF(A89="N/A"," ",VLOOKUP(A89,PeakPowerCurves,(IF('Pricing Inputs'!$AT$3=2,3,IF('Pricing Inputs'!$AT$3=1,2,4))),FALSE))</f>
        <v>33.75</v>
      </c>
      <c r="M89" s="349">
        <f>IF(A89="N/A"," ",VLOOKUP(A89,SatSunPeakPwr,(IF('Pricing Inputs'!$AT$3=2,3,IF('Pricing Inputs'!$AT$3=1,2,4))),FALSE))</f>
        <v>22.032500076293942</v>
      </c>
      <c r="N89" s="349">
        <f>IF(A89="N/A"," ",VLOOKUP(A89,SatSunPeakPwr,(IF('Pricing Inputs'!$AT$3=2,7,IF('Pricing Inputs'!$AT$3=1,6,8))),FALSE))</f>
        <v>21.164999771118161</v>
      </c>
      <c r="O89" s="350">
        <f>IF(A89="N/A"," ",(VLOOKUP(A89,OPPowerPrices,(IF('Pricing Inputs'!$AT$3=2,7,IF('Pricing Inputs'!$AT$3=1,6,8))),FALSE)))</f>
        <v>19.59999771118164</v>
      </c>
      <c r="P89" s="351">
        <f t="shared" ca="1" si="9"/>
        <v>2.6883750000000002</v>
      </c>
      <c r="AF89" s="241">
        <v>39142</v>
      </c>
      <c r="AG89" s="229">
        <v>22</v>
      </c>
      <c r="AH89" s="229">
        <v>5</v>
      </c>
      <c r="AI89" s="229">
        <v>4</v>
      </c>
      <c r="AJ89" s="229">
        <v>0</v>
      </c>
      <c r="AK89" s="229">
        <v>31</v>
      </c>
    </row>
    <row r="90" spans="1:37">
      <c r="A90" s="208">
        <f>Calculations!A57</f>
        <v>38504</v>
      </c>
      <c r="B90" s="237">
        <f>IF(A90="N/A"," ",IF(ISERROR(L90),B78*Inputs!$F$19,L90))</f>
        <v>48.75</v>
      </c>
      <c r="C90" s="239">
        <f t="shared" si="10"/>
        <v>1.1402927483957555</v>
      </c>
      <c r="D90" s="238">
        <f t="shared" si="6"/>
        <v>55.589271484293079</v>
      </c>
      <c r="E90" s="237">
        <f>IF(A90="N/A"," ",IF(ISERROR(M90),E78*Inputs!$F$19,M90))</f>
        <v>26.458750152587889</v>
      </c>
      <c r="F90" s="238">
        <f t="shared" si="7"/>
        <v>30.170720930611058</v>
      </c>
      <c r="G90" s="237">
        <f>IF(A90="N/A"," ",IF(ISERROR(N90),G78*Inputs!$F$19,N90))</f>
        <v>19.942499542236327</v>
      </c>
      <c r="H90" s="238">
        <f t="shared" si="8"/>
        <v>22.740287612897756</v>
      </c>
      <c r="I90" s="238">
        <f>IF(A90="N/A"," ",IF(ISERROR(O90),I78*Inputs!$F$19,O90))</f>
        <v>19.554998779296874</v>
      </c>
      <c r="J90" s="331">
        <f ca="1">IF(A90="N/A"," ",IF(ISERROR(P90),J78*Inputs!$F$23,P90))</f>
        <v>2.694375</v>
      </c>
      <c r="L90" s="349">
        <f>IF(A90="N/A"," ",VLOOKUP(A90,PeakPowerCurves,(IF('Pricing Inputs'!$AT$3=2,3,IF('Pricing Inputs'!$AT$3=1,2,4))),FALSE))</f>
        <v>48.75</v>
      </c>
      <c r="M90" s="349">
        <f>IF(A90="N/A"," ",VLOOKUP(A90,SatSunPeakPwr,(IF('Pricing Inputs'!$AT$3=2,3,IF('Pricing Inputs'!$AT$3=1,2,4))),FALSE))</f>
        <v>26.458750152587889</v>
      </c>
      <c r="N90" s="349">
        <f>IF(A90="N/A"," ",VLOOKUP(A90,SatSunPeakPwr,(IF('Pricing Inputs'!$AT$3=2,7,IF('Pricing Inputs'!$AT$3=1,6,8))),FALSE))</f>
        <v>19.942499542236327</v>
      </c>
      <c r="O90" s="350">
        <f>IF(A90="N/A"," ",(VLOOKUP(A90,OPPowerPrices,(IF('Pricing Inputs'!$AT$3=2,7,IF('Pricing Inputs'!$AT$3=1,6,8))),FALSE)))</f>
        <v>19.554998779296874</v>
      </c>
      <c r="P90" s="351">
        <f t="shared" ca="1" si="9"/>
        <v>2.694375</v>
      </c>
      <c r="AF90" s="241">
        <v>39173</v>
      </c>
      <c r="AG90" s="229">
        <v>21</v>
      </c>
      <c r="AH90" s="229">
        <v>4</v>
      </c>
      <c r="AI90" s="229">
        <v>5</v>
      </c>
      <c r="AJ90" s="229">
        <v>0</v>
      </c>
      <c r="AK90" s="229">
        <v>30</v>
      </c>
    </row>
    <row r="91" spans="1:37">
      <c r="A91" s="208">
        <f>Calculations!A58</f>
        <v>38534</v>
      </c>
      <c r="B91" s="237">
        <f>IF(A91="N/A"," ",IF(ISERROR(L91),B79*Inputs!$F$19,L91))</f>
        <v>69.5</v>
      </c>
      <c r="C91" s="239">
        <f t="shared" si="10"/>
        <v>1.1916649145636689</v>
      </c>
      <c r="D91" s="238">
        <f t="shared" si="6"/>
        <v>82.820711562174992</v>
      </c>
      <c r="E91" s="237">
        <f>IF(A91="N/A"," ",IF(ISERROR(M91),E79*Inputs!$F$19,M91))</f>
        <v>39.661249542236334</v>
      </c>
      <c r="F91" s="238">
        <f t="shared" si="7"/>
        <v>47.262919547237409</v>
      </c>
      <c r="G91" s="237">
        <f>IF(A91="N/A"," ",IF(ISERROR(N91),G79*Inputs!$F$19,N91))</f>
        <v>29.147499465942381</v>
      </c>
      <c r="H91" s="238">
        <f t="shared" si="8"/>
        <v>34.73405246082681</v>
      </c>
      <c r="I91" s="238">
        <f>IF(A91="N/A"," ",IF(ISERROR(O91),I79*Inputs!$F$19,O91))</f>
        <v>24.049997711181639</v>
      </c>
      <c r="J91" s="331">
        <f ca="1">IF(A91="N/A"," ",IF(ISERROR(P91),J79*Inputs!$F$23,P91))</f>
        <v>2.7050000000000001</v>
      </c>
      <c r="L91" s="349">
        <f>IF(A91="N/A"," ",VLOOKUP(A91,PeakPowerCurves,(IF('Pricing Inputs'!$AT$3=2,3,IF('Pricing Inputs'!$AT$3=1,2,4))),FALSE))</f>
        <v>69.5</v>
      </c>
      <c r="M91" s="349">
        <f>IF(A91="N/A"," ",VLOOKUP(A91,SatSunPeakPwr,(IF('Pricing Inputs'!$AT$3=2,3,IF('Pricing Inputs'!$AT$3=1,2,4))),FALSE))</f>
        <v>39.661249542236334</v>
      </c>
      <c r="N91" s="349">
        <f>IF(A91="N/A"," ",VLOOKUP(A91,SatSunPeakPwr,(IF('Pricing Inputs'!$AT$3=2,7,IF('Pricing Inputs'!$AT$3=1,6,8))),FALSE))</f>
        <v>29.147499465942381</v>
      </c>
      <c r="O91" s="350">
        <f>IF(A91="N/A"," ",(VLOOKUP(A91,OPPowerPrices,(IF('Pricing Inputs'!$AT$3=2,7,IF('Pricing Inputs'!$AT$3=1,6,8))),FALSE)))</f>
        <v>24.049997711181639</v>
      </c>
      <c r="P91" s="351">
        <f t="shared" ca="1" si="9"/>
        <v>2.7050000000000001</v>
      </c>
      <c r="AF91" s="241">
        <v>39203</v>
      </c>
      <c r="AG91" s="229">
        <v>22</v>
      </c>
      <c r="AH91" s="229">
        <v>4</v>
      </c>
      <c r="AI91" s="229">
        <v>4</v>
      </c>
      <c r="AJ91" s="229">
        <v>1</v>
      </c>
      <c r="AK91" s="229">
        <v>31</v>
      </c>
    </row>
    <row r="92" spans="1:37">
      <c r="A92" s="208">
        <f>Calculations!A59</f>
        <v>38565</v>
      </c>
      <c r="B92" s="237">
        <f>IF(A92="N/A"," ",IF(ISERROR(L92),B80*Inputs!$F$19,L92))</f>
        <v>65</v>
      </c>
      <c r="C92" s="239">
        <f t="shared" si="10"/>
        <v>1.1089289483683031</v>
      </c>
      <c r="D92" s="238">
        <f t="shared" si="6"/>
        <v>72.080381643939702</v>
      </c>
      <c r="E92" s="237">
        <f>IF(A92="N/A"," ",IF(ISERROR(M92),E80*Inputs!$F$19,M92))</f>
        <v>41.922499084472662</v>
      </c>
      <c r="F92" s="238">
        <f t="shared" si="7"/>
        <v>46.489072822715421</v>
      </c>
      <c r="G92" s="237">
        <f>IF(A92="N/A"," ",IF(ISERROR(N92),G80*Inputs!$F$19,N92))</f>
        <v>30.645000839233397</v>
      </c>
      <c r="H92" s="238">
        <f t="shared" si="8"/>
        <v>33.98312855339686</v>
      </c>
      <c r="I92" s="238">
        <f>IF(A92="N/A"," ",IF(ISERROR(O92),I80*Inputs!$F$19,O92))</f>
        <v>24.399998092651366</v>
      </c>
      <c r="J92" s="331">
        <f ca="1">IF(A92="N/A"," ",IF(ISERROR(P92),J80*Inputs!$F$23,P92))</f>
        <v>2.7120000000000002</v>
      </c>
      <c r="L92" s="349">
        <f>IF(A92="N/A"," ",VLOOKUP(A92,PeakPowerCurves,(IF('Pricing Inputs'!$AT$3=2,3,IF('Pricing Inputs'!$AT$3=1,2,4))),FALSE))</f>
        <v>65</v>
      </c>
      <c r="M92" s="349">
        <f>IF(A92="N/A"," ",VLOOKUP(A92,SatSunPeakPwr,(IF('Pricing Inputs'!$AT$3=2,3,IF('Pricing Inputs'!$AT$3=1,2,4))),FALSE))</f>
        <v>41.922499084472662</v>
      </c>
      <c r="N92" s="349">
        <f>IF(A92="N/A"," ",VLOOKUP(A92,SatSunPeakPwr,(IF('Pricing Inputs'!$AT$3=2,7,IF('Pricing Inputs'!$AT$3=1,6,8))),FALSE))</f>
        <v>30.645000839233397</v>
      </c>
      <c r="O92" s="350">
        <f>IF(A92="N/A"," ",(VLOOKUP(A92,OPPowerPrices,(IF('Pricing Inputs'!$AT$3=2,7,IF('Pricing Inputs'!$AT$3=1,6,8))),FALSE)))</f>
        <v>24.399998092651366</v>
      </c>
      <c r="P92" s="351">
        <f t="shared" ca="1" si="9"/>
        <v>2.7120000000000002</v>
      </c>
      <c r="AF92" s="241">
        <v>39234</v>
      </c>
      <c r="AG92" s="229">
        <v>21</v>
      </c>
      <c r="AH92" s="229">
        <v>5</v>
      </c>
      <c r="AI92" s="229">
        <v>4</v>
      </c>
      <c r="AJ92" s="229">
        <v>0</v>
      </c>
      <c r="AK92" s="229">
        <v>30</v>
      </c>
    </row>
    <row r="93" spans="1:37">
      <c r="A93" s="208">
        <f>Calculations!A60</f>
        <v>38596</v>
      </c>
      <c r="B93" s="237">
        <f>IF(A93="N/A"," ",IF(ISERROR(L93),B81*Inputs!$F$19,L93))</f>
        <v>32.75</v>
      </c>
      <c r="C93" s="239">
        <f t="shared" si="10"/>
        <v>1.0965337923205105</v>
      </c>
      <c r="D93" s="238">
        <f t="shared" si="6"/>
        <v>35.911481698496722</v>
      </c>
      <c r="E93" s="237">
        <f>IF(A93="N/A"," ",IF(ISERROR(M93),E81*Inputs!$F$19,M93))</f>
        <v>23.304999160766599</v>
      </c>
      <c r="F93" s="238">
        <f t="shared" si="7"/>
        <v>25.554719109781715</v>
      </c>
      <c r="G93" s="237">
        <f>IF(A93="N/A"," ",IF(ISERROR(N93),G81*Inputs!$F$19,N93))</f>
        <v>23.8</v>
      </c>
      <c r="H93" s="238">
        <f t="shared" si="8"/>
        <v>26.097504257228152</v>
      </c>
      <c r="I93" s="238">
        <f>IF(A93="N/A"," ",IF(ISERROR(O93),I81*Inputs!$F$19,O93))</f>
        <v>19.949998092651366</v>
      </c>
      <c r="J93" s="331">
        <f ca="1">IF(A93="N/A"," ",IF(ISERROR(P93),J81*Inputs!$F$23,P93))</f>
        <v>2.7183750000000004</v>
      </c>
      <c r="L93" s="349">
        <f>IF(A93="N/A"," ",VLOOKUP(A93,PeakPowerCurves,(IF('Pricing Inputs'!$AT$3=2,3,IF('Pricing Inputs'!$AT$3=1,2,4))),FALSE))</f>
        <v>32.75</v>
      </c>
      <c r="M93" s="349">
        <f>IF(A93="N/A"," ",VLOOKUP(A93,SatSunPeakPwr,(IF('Pricing Inputs'!$AT$3=2,3,IF('Pricing Inputs'!$AT$3=1,2,4))),FALSE))</f>
        <v>23.304999160766599</v>
      </c>
      <c r="N93" s="349">
        <f>IF(A93="N/A"," ",VLOOKUP(A93,SatSunPeakPwr,(IF('Pricing Inputs'!$AT$3=2,7,IF('Pricing Inputs'!$AT$3=1,6,8))),FALSE))</f>
        <v>23.8</v>
      </c>
      <c r="O93" s="350">
        <f>IF(A93="N/A"," ",(VLOOKUP(A93,OPPowerPrices,(IF('Pricing Inputs'!$AT$3=2,7,IF('Pricing Inputs'!$AT$3=1,6,8))),FALSE)))</f>
        <v>19.949998092651366</v>
      </c>
      <c r="P93" s="351">
        <f t="shared" ca="1" si="9"/>
        <v>2.7183750000000004</v>
      </c>
      <c r="AF93" s="241">
        <v>39264</v>
      </c>
      <c r="AG93" s="229">
        <v>21</v>
      </c>
      <c r="AH93" s="229">
        <v>4</v>
      </c>
      <c r="AI93" s="229">
        <v>5</v>
      </c>
      <c r="AJ93" s="229">
        <v>1</v>
      </c>
      <c r="AK93" s="229">
        <v>31</v>
      </c>
    </row>
    <row r="94" spans="1:37">
      <c r="A94" s="208">
        <f>Calculations!A61</f>
        <v>38626</v>
      </c>
      <c r="B94" s="237">
        <f>IF(A94="N/A"," ",IF(ISERROR(L94),B82*Inputs!$F$19,L94))</f>
        <v>30.5</v>
      </c>
      <c r="C94" s="239">
        <f t="shared" si="10"/>
        <v>0.98692500000000005</v>
      </c>
      <c r="D94" s="238">
        <f t="shared" si="6"/>
        <v>30.101212500000003</v>
      </c>
      <c r="E94" s="237">
        <f>IF(A94="N/A"," ",IF(ISERROR(M94),E82*Inputs!$F$19,M94))</f>
        <v>23.400500106811521</v>
      </c>
      <c r="F94" s="238">
        <f t="shared" si="7"/>
        <v>23.09453856791496</v>
      </c>
      <c r="G94" s="237">
        <f>IF(A94="N/A"," ",IF(ISERROR(N94),G82*Inputs!$F$19,N94))</f>
        <v>21.400999832153317</v>
      </c>
      <c r="H94" s="238">
        <f t="shared" si="8"/>
        <v>21.121181759347913</v>
      </c>
      <c r="I94" s="238">
        <f>IF(A94="N/A"," ",IF(ISERROR(O94),I82*Inputs!$F$19,O94))</f>
        <v>19.64999885559082</v>
      </c>
      <c r="J94" s="331">
        <f ca="1">IF(A94="N/A"," ",IF(ISERROR(P94),J82*Inputs!$F$23,P94))</f>
        <v>2.7443750000000002</v>
      </c>
      <c r="L94" s="349">
        <f>IF(A94="N/A"," ",VLOOKUP(A94,PeakPowerCurves,(IF('Pricing Inputs'!$AT$3=2,3,IF('Pricing Inputs'!$AT$3=1,2,4))),FALSE))</f>
        <v>30.5</v>
      </c>
      <c r="M94" s="349">
        <f>IF(A94="N/A"," ",VLOOKUP(A94,SatSunPeakPwr,(IF('Pricing Inputs'!$AT$3=2,3,IF('Pricing Inputs'!$AT$3=1,2,4))),FALSE))</f>
        <v>23.400500106811521</v>
      </c>
      <c r="N94" s="349">
        <f>IF(A94="N/A"," ",VLOOKUP(A94,SatSunPeakPwr,(IF('Pricing Inputs'!$AT$3=2,7,IF('Pricing Inputs'!$AT$3=1,6,8))),FALSE))</f>
        <v>21.400999832153317</v>
      </c>
      <c r="O94" s="350">
        <f>IF(A94="N/A"," ",(VLOOKUP(A94,OPPowerPrices,(IF('Pricing Inputs'!$AT$3=2,7,IF('Pricing Inputs'!$AT$3=1,6,8))),FALSE)))</f>
        <v>19.64999885559082</v>
      </c>
      <c r="P94" s="351">
        <f t="shared" ca="1" si="9"/>
        <v>2.7443750000000002</v>
      </c>
      <c r="AF94" s="241">
        <v>39295</v>
      </c>
      <c r="AG94" s="229">
        <v>23</v>
      </c>
      <c r="AH94" s="229">
        <v>4</v>
      </c>
      <c r="AI94" s="229">
        <v>4</v>
      </c>
      <c r="AJ94" s="229">
        <v>0</v>
      </c>
      <c r="AK94" s="229">
        <v>31</v>
      </c>
    </row>
    <row r="95" spans="1:37">
      <c r="A95" s="208">
        <f>Calculations!A62</f>
        <v>38657</v>
      </c>
      <c r="B95" s="237">
        <f>IF(A95="N/A"," ",IF(ISERROR(L95),B83*Inputs!$F$19,L95))</f>
        <v>30.875</v>
      </c>
      <c r="C95" s="239">
        <f t="shared" si="10"/>
        <v>0.98922500000000002</v>
      </c>
      <c r="D95" s="238">
        <f t="shared" si="6"/>
        <v>30.542321874999999</v>
      </c>
      <c r="E95" s="237">
        <f>IF(A95="N/A"," ",IF(ISERROR(M95),E83*Inputs!$F$19,M95))</f>
        <v>24.40475158691406</v>
      </c>
      <c r="F95" s="238">
        <f t="shared" si="7"/>
        <v>24.14179038856506</v>
      </c>
      <c r="G95" s="237">
        <f>IF(A95="N/A"," ",IF(ISERROR(N95),G83*Inputs!$F$19,N95))</f>
        <v>22.404499816894528</v>
      </c>
      <c r="H95" s="238">
        <f t="shared" si="8"/>
        <v>22.16309133136749</v>
      </c>
      <c r="I95" s="238">
        <f>IF(A95="N/A"," ",IF(ISERROR(O95),I83*Inputs!$F$19,O95))</f>
        <v>19.574998092651366</v>
      </c>
      <c r="J95" s="331">
        <f ca="1">IF(A95="N/A"," ",IF(ISERROR(P95),J83*Inputs!$F$23,P95))</f>
        <v>3.6574999999999998</v>
      </c>
      <c r="L95" s="349">
        <f>IF(A95="N/A"," ",VLOOKUP(A95,PeakPowerCurves,(IF('Pricing Inputs'!$AT$3=2,3,IF('Pricing Inputs'!$AT$3=1,2,4))),FALSE))</f>
        <v>30.875</v>
      </c>
      <c r="M95" s="349">
        <f>IF(A95="N/A"," ",VLOOKUP(A95,SatSunPeakPwr,(IF('Pricing Inputs'!$AT$3=2,3,IF('Pricing Inputs'!$AT$3=1,2,4))),FALSE))</f>
        <v>24.40475158691406</v>
      </c>
      <c r="N95" s="349">
        <f>IF(A95="N/A"," ",VLOOKUP(A95,SatSunPeakPwr,(IF('Pricing Inputs'!$AT$3=2,7,IF('Pricing Inputs'!$AT$3=1,6,8))),FALSE))</f>
        <v>22.404499816894528</v>
      </c>
      <c r="O95" s="350">
        <f>IF(A95="N/A"," ",(VLOOKUP(A95,OPPowerPrices,(IF('Pricing Inputs'!$AT$3=2,7,IF('Pricing Inputs'!$AT$3=1,6,8))),FALSE)))</f>
        <v>19.574998092651366</v>
      </c>
      <c r="P95" s="351">
        <f t="shared" ca="1" si="9"/>
        <v>3.6574999999999998</v>
      </c>
      <c r="AF95" s="241">
        <v>39326</v>
      </c>
      <c r="AG95" s="229">
        <v>19</v>
      </c>
      <c r="AH95" s="229">
        <v>5</v>
      </c>
      <c r="AI95" s="229">
        <v>5</v>
      </c>
      <c r="AJ95" s="229">
        <v>1</v>
      </c>
      <c r="AK95" s="229">
        <v>30</v>
      </c>
    </row>
    <row r="96" spans="1:37">
      <c r="A96" s="208">
        <f>Calculations!A63</f>
        <v>38687</v>
      </c>
      <c r="B96" s="237">
        <f>IF(A96="N/A"," ",IF(ISERROR(L96),B84*Inputs!$F$19,L96))</f>
        <v>30.75</v>
      </c>
      <c r="C96" s="239">
        <f t="shared" si="10"/>
        <v>0.97851944514721489</v>
      </c>
      <c r="D96" s="238">
        <f t="shared" si="6"/>
        <v>30.08947293827686</v>
      </c>
      <c r="E96" s="237">
        <f>IF(A96="N/A"," ",IF(ISERROR(M96),E84*Inputs!$F$19,M96))</f>
        <v>25.854998397827146</v>
      </c>
      <c r="F96" s="238">
        <f t="shared" si="7"/>
        <v>25.299618686523949</v>
      </c>
      <c r="G96" s="237">
        <f>IF(A96="N/A"," ",IF(ISERROR(N96),G84*Inputs!$F$19,N96))</f>
        <v>22.349999237060544</v>
      </c>
      <c r="H96" s="238">
        <f t="shared" si="8"/>
        <v>21.869908852489161</v>
      </c>
      <c r="I96" s="238">
        <f>IF(A96="N/A"," ",IF(ISERROR(O96),I84*Inputs!$F$19,O96))</f>
        <v>20.999999237060546</v>
      </c>
      <c r="J96" s="331">
        <f ca="1">IF(A96="N/A"," ",IF(ISERROR(P96),J84*Inputs!$F$23,P96))</f>
        <v>4.0964999999999998</v>
      </c>
      <c r="L96" s="349">
        <f>IF(A96="N/A"," ",VLOOKUP(A96,PeakPowerCurves,(IF('Pricing Inputs'!$AT$3=2,3,IF('Pricing Inputs'!$AT$3=1,2,4))),FALSE))</f>
        <v>30.75</v>
      </c>
      <c r="M96" s="349">
        <f>IF(A96="N/A"," ",VLOOKUP(A96,SatSunPeakPwr,(IF('Pricing Inputs'!$AT$3=2,3,IF('Pricing Inputs'!$AT$3=1,2,4))),FALSE))</f>
        <v>25.854998397827146</v>
      </c>
      <c r="N96" s="349">
        <f>IF(A96="N/A"," ",VLOOKUP(A96,SatSunPeakPwr,(IF('Pricing Inputs'!$AT$3=2,7,IF('Pricing Inputs'!$AT$3=1,6,8))),FALSE))</f>
        <v>22.349999237060544</v>
      </c>
      <c r="O96" s="350">
        <f>IF(A96="N/A"," ",(VLOOKUP(A96,OPPowerPrices,(IF('Pricing Inputs'!$AT$3=2,7,IF('Pricing Inputs'!$AT$3=1,6,8))),FALSE)))</f>
        <v>20.999999237060546</v>
      </c>
      <c r="P96" s="351">
        <f t="shared" ca="1" si="9"/>
        <v>4.0964999999999998</v>
      </c>
      <c r="AF96" s="241">
        <v>39356</v>
      </c>
      <c r="AG96" s="229">
        <v>23</v>
      </c>
      <c r="AH96" s="229">
        <v>4</v>
      </c>
      <c r="AI96" s="229">
        <v>4</v>
      </c>
      <c r="AJ96" s="229">
        <v>0</v>
      </c>
      <c r="AK96" s="229">
        <v>31</v>
      </c>
    </row>
    <row r="97" spans="1:37">
      <c r="A97" s="208">
        <f>Calculations!A64</f>
        <v>38718</v>
      </c>
      <c r="B97" s="237">
        <f>IF(A97="N/A"," ",IF(ISERROR(L97),B85*Inputs!$F$19,L97))</f>
        <v>36.85</v>
      </c>
      <c r="C97" s="239">
        <f t="shared" si="10"/>
        <v>0.96914576913143913</v>
      </c>
      <c r="D97" s="238">
        <f t="shared" si="6"/>
        <v>35.713021592493533</v>
      </c>
      <c r="E97" s="237">
        <f>IF(A97="N/A"," ",IF(ISERROR(M97),E85*Inputs!$F$19,M97))</f>
        <v>29.248748397827146</v>
      </c>
      <c r="F97" s="238">
        <f t="shared" si="7"/>
        <v>28.346300762144139</v>
      </c>
      <c r="G97" s="237">
        <f>IF(A97="N/A"," ",IF(ISERROR(N97),G85*Inputs!$F$19,N97))</f>
        <v>27.752500152587888</v>
      </c>
      <c r="H97" s="238">
        <f t="shared" si="8"/>
        <v>26.896218105700171</v>
      </c>
      <c r="I97" s="238">
        <f>IF(A97="N/A"," ",IF(ISERROR(O97),I85*Inputs!$F$19,O97))</f>
        <v>20.790000915527344</v>
      </c>
      <c r="J97" s="331">
        <f ca="1">IF(A97="N/A"," ",IF(ISERROR(P97),J85*Inputs!$F$23,P97))</f>
        <v>4.6150000000000002</v>
      </c>
      <c r="L97" s="349">
        <f>IF(A97="N/A"," ",VLOOKUP(A97,PeakPowerCurves,(IF('Pricing Inputs'!$AT$3=2,3,IF('Pricing Inputs'!$AT$3=1,2,4))),FALSE))</f>
        <v>36.85</v>
      </c>
      <c r="M97" s="349">
        <f>IF(A97="N/A"," ",VLOOKUP(A97,SatSunPeakPwr,(IF('Pricing Inputs'!$AT$3=2,3,IF('Pricing Inputs'!$AT$3=1,2,4))),FALSE))</f>
        <v>29.248748397827146</v>
      </c>
      <c r="N97" s="349">
        <f>IF(A97="N/A"," ",VLOOKUP(A97,SatSunPeakPwr,(IF('Pricing Inputs'!$AT$3=2,7,IF('Pricing Inputs'!$AT$3=1,6,8))),FALSE))</f>
        <v>27.752500152587888</v>
      </c>
      <c r="O97" s="350">
        <f>IF(A97="N/A"," ",(VLOOKUP(A97,OPPowerPrices,(IF('Pricing Inputs'!$AT$3=2,7,IF('Pricing Inputs'!$AT$3=1,6,8))),FALSE)))</f>
        <v>20.790000915527344</v>
      </c>
      <c r="P97" s="351">
        <f t="shared" ca="1" si="9"/>
        <v>4.6150000000000002</v>
      </c>
      <c r="AF97" s="241">
        <v>39387</v>
      </c>
      <c r="AG97" s="229">
        <v>21</v>
      </c>
      <c r="AH97" s="229">
        <v>4</v>
      </c>
      <c r="AI97" s="229">
        <v>4</v>
      </c>
      <c r="AJ97" s="229">
        <v>1</v>
      </c>
      <c r="AK97" s="229">
        <v>30</v>
      </c>
    </row>
    <row r="98" spans="1:37">
      <c r="A98" s="208">
        <f>Calculations!A65</f>
        <v>38749</v>
      </c>
      <c r="B98" s="237">
        <f>IF(A98="N/A"," ",IF(ISERROR(L98),B86*Inputs!$F$19,L98))</f>
        <v>36.85</v>
      </c>
      <c r="C98" s="239">
        <f t="shared" si="10"/>
        <v>0.96914576913143913</v>
      </c>
      <c r="D98" s="238">
        <f t="shared" si="6"/>
        <v>35.713021592493533</v>
      </c>
      <c r="E98" s="237">
        <f>IF(A98="N/A"," ",IF(ISERROR(M98),E86*Inputs!$F$19,M98))</f>
        <v>28.246250152587887</v>
      </c>
      <c r="F98" s="238">
        <f t="shared" si="7"/>
        <v>27.374733829208818</v>
      </c>
      <c r="G98" s="237">
        <f>IF(A98="N/A"," ",IF(ISERROR(N98),G86*Inputs!$F$19,N98))</f>
        <v>25.747499465942379</v>
      </c>
      <c r="H98" s="238">
        <f t="shared" si="8"/>
        <v>24.953080173132044</v>
      </c>
      <c r="I98" s="238">
        <f>IF(A98="N/A"," ",IF(ISERROR(O98),I86*Inputs!$F$19,O98))</f>
        <v>20.59999771118164</v>
      </c>
      <c r="J98" s="331">
        <f ca="1">IF(A98="N/A"," ",IF(ISERROR(P98),J86*Inputs!$F$23,P98))</f>
        <v>4.3970000000000002</v>
      </c>
      <c r="L98" s="349">
        <f>IF(A98="N/A"," ",VLOOKUP(A98,PeakPowerCurves,(IF('Pricing Inputs'!$AT$3=2,3,IF('Pricing Inputs'!$AT$3=1,2,4))),FALSE))</f>
        <v>36.85</v>
      </c>
      <c r="M98" s="349">
        <f>IF(A98="N/A"," ",VLOOKUP(A98,SatSunPeakPwr,(IF('Pricing Inputs'!$AT$3=2,3,IF('Pricing Inputs'!$AT$3=1,2,4))),FALSE))</f>
        <v>28.246250152587887</v>
      </c>
      <c r="N98" s="349">
        <f>IF(A98="N/A"," ",VLOOKUP(A98,SatSunPeakPwr,(IF('Pricing Inputs'!$AT$3=2,7,IF('Pricing Inputs'!$AT$3=1,6,8))),FALSE))</f>
        <v>25.747499465942379</v>
      </c>
      <c r="O98" s="350">
        <f>IF(A98="N/A"," ",(VLOOKUP(A98,OPPowerPrices,(IF('Pricing Inputs'!$AT$3=2,7,IF('Pricing Inputs'!$AT$3=1,6,8))),FALSE)))</f>
        <v>20.59999771118164</v>
      </c>
      <c r="P98" s="351">
        <f t="shared" ca="1" si="9"/>
        <v>4.3970000000000002</v>
      </c>
      <c r="AF98" s="241">
        <v>39417</v>
      </c>
      <c r="AG98" s="229">
        <v>20</v>
      </c>
      <c r="AH98" s="229">
        <v>5</v>
      </c>
      <c r="AI98" s="229">
        <v>5</v>
      </c>
      <c r="AJ98" s="229">
        <v>1</v>
      </c>
      <c r="AK98" s="229">
        <v>31</v>
      </c>
    </row>
    <row r="99" spans="1:37">
      <c r="A99" s="208">
        <f>Calculations!A66</f>
        <v>38777</v>
      </c>
      <c r="B99" s="237">
        <f>IF(A99="N/A"," ",IF(ISERROR(L99),B87*Inputs!$F$19,L99))</f>
        <v>33.1</v>
      </c>
      <c r="C99" s="239">
        <f t="shared" si="10"/>
        <v>0.97165000000000012</v>
      </c>
      <c r="D99" s="238">
        <f t="shared" si="6"/>
        <v>32.161615000000005</v>
      </c>
      <c r="E99" s="237">
        <f>IF(A99="N/A"," ",IF(ISERROR(M99),E87*Inputs!$F$19,M99))</f>
        <v>21.434749603271481</v>
      </c>
      <c r="F99" s="238">
        <f t="shared" si="7"/>
        <v>20.827074452018739</v>
      </c>
      <c r="G99" s="237">
        <f>IF(A99="N/A"," ",IF(ISERROR(N99),G87*Inputs!$F$19,N99))</f>
        <v>21.064498901367184</v>
      </c>
      <c r="H99" s="238">
        <f t="shared" si="8"/>
        <v>20.467320357513426</v>
      </c>
      <c r="I99" s="238">
        <f>IF(A99="N/A"," ",IF(ISERROR(O99),I87*Inputs!$F$19,O99))</f>
        <v>19.599999618530273</v>
      </c>
      <c r="J99" s="331">
        <f ca="1">IF(A99="N/A"," ",IF(ISERROR(P99),J87*Inputs!$F$23,P99))</f>
        <v>3.7469999999999999</v>
      </c>
      <c r="L99" s="349">
        <f>IF(A99="N/A"," ",VLOOKUP(A99,PeakPowerCurves,(IF('Pricing Inputs'!$AT$3=2,3,IF('Pricing Inputs'!$AT$3=1,2,4))),FALSE))</f>
        <v>33.1</v>
      </c>
      <c r="M99" s="349">
        <f>IF(A99="N/A"," ",VLOOKUP(A99,SatSunPeakPwr,(IF('Pricing Inputs'!$AT$3=2,3,IF('Pricing Inputs'!$AT$3=1,2,4))),FALSE))</f>
        <v>21.434749603271481</v>
      </c>
      <c r="N99" s="349">
        <f>IF(A99="N/A"," ",VLOOKUP(A99,SatSunPeakPwr,(IF('Pricing Inputs'!$AT$3=2,7,IF('Pricing Inputs'!$AT$3=1,6,8))),FALSE))</f>
        <v>21.064498901367184</v>
      </c>
      <c r="O99" s="350">
        <f>IF(A99="N/A"," ",(VLOOKUP(A99,OPPowerPrices,(IF('Pricing Inputs'!$AT$3=2,7,IF('Pricing Inputs'!$AT$3=1,6,8))),FALSE)))</f>
        <v>19.599999618530273</v>
      </c>
      <c r="P99" s="351">
        <f t="shared" ca="1" si="9"/>
        <v>3.7469999999999999</v>
      </c>
      <c r="AF99" s="241">
        <v>39448</v>
      </c>
      <c r="AG99" s="229">
        <v>22</v>
      </c>
      <c r="AH99" s="229">
        <v>4</v>
      </c>
      <c r="AI99" s="229">
        <v>4</v>
      </c>
      <c r="AJ99" s="229">
        <v>1</v>
      </c>
      <c r="AK99" s="229">
        <v>31</v>
      </c>
    </row>
    <row r="100" spans="1:37">
      <c r="A100" s="208">
        <f>Calculations!A67</f>
        <v>38808</v>
      </c>
      <c r="B100" s="237">
        <f>IF(A100="N/A"," ",IF(ISERROR(L100),B88*Inputs!$F$19,L100))</f>
        <v>31.85</v>
      </c>
      <c r="C100" s="239">
        <f t="shared" si="10"/>
        <v>0.92498900994989341</v>
      </c>
      <c r="D100" s="238">
        <f t="shared" si="6"/>
        <v>29.460899966904108</v>
      </c>
      <c r="E100" s="237">
        <f>IF(A100="N/A"," ",IF(ISERROR(M100),E88*Inputs!$F$19,M100))</f>
        <v>22.117500305175778</v>
      </c>
      <c r="F100" s="238">
        <f t="shared" si="7"/>
        <v>20.458444709851008</v>
      </c>
      <c r="G100" s="237">
        <f>IF(A100="N/A"," ",IF(ISERROR(N100),G88*Inputs!$F$19,N100))</f>
        <v>20.834999084472653</v>
      </c>
      <c r="H100" s="238">
        <f t="shared" si="8"/>
        <v>19.272145175453296</v>
      </c>
      <c r="I100" s="238">
        <f>IF(A100="N/A"," ",IF(ISERROR(O100),I88*Inputs!$F$19,O100))</f>
        <v>19.59999771118164</v>
      </c>
      <c r="J100" s="331">
        <f ca="1">IF(A100="N/A"," ",IF(ISERROR(P100),J88*Inputs!$F$23,P100))</f>
        <v>2.7756250000000002</v>
      </c>
      <c r="L100" s="349">
        <f>IF(A100="N/A"," ",VLOOKUP(A100,PeakPowerCurves,(IF('Pricing Inputs'!$AT$3=2,3,IF('Pricing Inputs'!$AT$3=1,2,4))),FALSE))</f>
        <v>31.85</v>
      </c>
      <c r="M100" s="349">
        <f>IF(A100="N/A"," ",VLOOKUP(A100,SatSunPeakPwr,(IF('Pricing Inputs'!$AT$3=2,3,IF('Pricing Inputs'!$AT$3=1,2,4))),FALSE))</f>
        <v>22.117500305175778</v>
      </c>
      <c r="N100" s="349">
        <f>IF(A100="N/A"," ",VLOOKUP(A100,SatSunPeakPwr,(IF('Pricing Inputs'!$AT$3=2,7,IF('Pricing Inputs'!$AT$3=1,6,8))),FALSE))</f>
        <v>20.834999084472653</v>
      </c>
      <c r="O100" s="350">
        <f>IF(A100="N/A"," ",(VLOOKUP(A100,OPPowerPrices,(IF('Pricing Inputs'!$AT$3=2,7,IF('Pricing Inputs'!$AT$3=1,6,8))),FALSE)))</f>
        <v>19.59999771118164</v>
      </c>
      <c r="P100" s="351">
        <f t="shared" ca="1" si="9"/>
        <v>2.7756250000000002</v>
      </c>
      <c r="AF100" s="241">
        <v>39479</v>
      </c>
      <c r="AG100" s="229">
        <v>21</v>
      </c>
      <c r="AH100" s="229">
        <v>4</v>
      </c>
      <c r="AI100" s="229">
        <v>4</v>
      </c>
      <c r="AJ100" s="229">
        <v>0</v>
      </c>
      <c r="AK100" s="229">
        <v>29</v>
      </c>
    </row>
    <row r="101" spans="1:37">
      <c r="A101" s="208">
        <f>Calculations!A68</f>
        <v>38838</v>
      </c>
      <c r="B101" s="237">
        <f>IF(A101="N/A"," ",IF(ISERROR(L101),B89*Inputs!$F$19,L101))</f>
        <v>33.85</v>
      </c>
      <c r="C101" s="239">
        <f t="shared" si="10"/>
        <v>0.97235546191844646</v>
      </c>
      <c r="D101" s="238">
        <f t="shared" si="6"/>
        <v>32.914232385939414</v>
      </c>
      <c r="E101" s="237">
        <f>IF(A101="N/A"," ",IF(ISERROR(M101),E89*Inputs!$F$19,M101))</f>
        <v>22.232500076293942</v>
      </c>
      <c r="F101" s="238">
        <f t="shared" si="7"/>
        <v>21.617892881286693</v>
      </c>
      <c r="G101" s="237">
        <f>IF(A101="N/A"," ",IF(ISERROR(N101),G89*Inputs!$F$19,N101))</f>
        <v>21.364999771118161</v>
      </c>
      <c r="H101" s="238">
        <f t="shared" si="8"/>
        <v>20.774374221333101</v>
      </c>
      <c r="I101" s="238">
        <f>IF(A101="N/A"," ",IF(ISERROR(O101),I89*Inputs!$F$19,O101))</f>
        <v>19.59999771118164</v>
      </c>
      <c r="J101" s="331">
        <f ca="1">IF(A101="N/A"," ",IF(ISERROR(P101),J89*Inputs!$F$23,P101))</f>
        <v>2.7508750000000002</v>
      </c>
      <c r="L101" s="349">
        <f>IF(A101="N/A"," ",VLOOKUP(A101,PeakPowerCurves,(IF('Pricing Inputs'!$AT$3=2,3,IF('Pricing Inputs'!$AT$3=1,2,4))),FALSE))</f>
        <v>33.85</v>
      </c>
      <c r="M101" s="349">
        <f>IF(A101="N/A"," ",VLOOKUP(A101,SatSunPeakPwr,(IF('Pricing Inputs'!$AT$3=2,3,IF('Pricing Inputs'!$AT$3=1,2,4))),FALSE))</f>
        <v>22.232500076293942</v>
      </c>
      <c r="N101" s="349">
        <f>IF(A101="N/A"," ",VLOOKUP(A101,SatSunPeakPwr,(IF('Pricing Inputs'!$AT$3=2,7,IF('Pricing Inputs'!$AT$3=1,6,8))),FALSE))</f>
        <v>21.364999771118161</v>
      </c>
      <c r="O101" s="350">
        <f>IF(A101="N/A"," ",(VLOOKUP(A101,OPPowerPrices,(IF('Pricing Inputs'!$AT$3=2,7,IF('Pricing Inputs'!$AT$3=1,6,8))),FALSE)))</f>
        <v>19.59999771118164</v>
      </c>
      <c r="P101" s="351">
        <f t="shared" ca="1" si="9"/>
        <v>2.7508750000000002</v>
      </c>
      <c r="AF101" s="241">
        <v>39508</v>
      </c>
      <c r="AG101" s="229">
        <v>21</v>
      </c>
      <c r="AH101" s="229">
        <v>5</v>
      </c>
      <c r="AI101" s="229">
        <v>5</v>
      </c>
      <c r="AJ101" s="229">
        <v>0</v>
      </c>
      <c r="AK101" s="229">
        <v>31</v>
      </c>
    </row>
    <row r="102" spans="1:37">
      <c r="A102" s="208">
        <f>Calculations!A69</f>
        <v>38869</v>
      </c>
      <c r="B102" s="237">
        <f>IF(A102="N/A"," ",IF(ISERROR(L102),B90*Inputs!$F$19,L102))</f>
        <v>49</v>
      </c>
      <c r="C102" s="239">
        <f t="shared" si="10"/>
        <v>1.1402927483957555</v>
      </c>
      <c r="D102" s="238">
        <f t="shared" ref="D102:D165" si="11">IF(A102="N/A"," ",C102*B102)</f>
        <v>55.874344671392016</v>
      </c>
      <c r="E102" s="237">
        <f>IF(A102="N/A"," ",IF(ISERROR(M102),E90*Inputs!$F$19,M102))</f>
        <v>26.658750152587888</v>
      </c>
      <c r="F102" s="238">
        <f t="shared" ref="F102:F165" si="12">IF(A102="N/A"," ",E102*C102)</f>
        <v>30.398779480290209</v>
      </c>
      <c r="G102" s="237">
        <f>IF(A102="N/A"," ",IF(ISERROR(N102),G90*Inputs!$F$19,N102))</f>
        <v>20.142499542236326</v>
      </c>
      <c r="H102" s="238">
        <f t="shared" ref="H102:H165" si="13">IF(A102="N/A"," ",G102*C102)</f>
        <v>22.968346162576907</v>
      </c>
      <c r="I102" s="238">
        <f>IF(A102="N/A"," ",IF(ISERROR(O102),I90*Inputs!$F$19,O102))</f>
        <v>19.554998779296874</v>
      </c>
      <c r="J102" s="331">
        <f ca="1">IF(A102="N/A"," ",IF(ISERROR(P102),J90*Inputs!$F$23,P102))</f>
        <v>2.756875</v>
      </c>
      <c r="L102" s="349">
        <f>IF(A102="N/A"," ",VLOOKUP(A102,PeakPowerCurves,(IF('Pricing Inputs'!$AT$3=2,3,IF('Pricing Inputs'!$AT$3=1,2,4))),FALSE))</f>
        <v>49</v>
      </c>
      <c r="M102" s="349">
        <f>IF(A102="N/A"," ",VLOOKUP(A102,SatSunPeakPwr,(IF('Pricing Inputs'!$AT$3=2,3,IF('Pricing Inputs'!$AT$3=1,2,4))),FALSE))</f>
        <v>26.658750152587888</v>
      </c>
      <c r="N102" s="349">
        <f>IF(A102="N/A"," ",VLOOKUP(A102,SatSunPeakPwr,(IF('Pricing Inputs'!$AT$3=2,7,IF('Pricing Inputs'!$AT$3=1,6,8))),FALSE))</f>
        <v>20.142499542236326</v>
      </c>
      <c r="O102" s="350">
        <f>IF(A102="N/A"," ",(VLOOKUP(A102,OPPowerPrices,(IF('Pricing Inputs'!$AT$3=2,7,IF('Pricing Inputs'!$AT$3=1,6,8))),FALSE)))</f>
        <v>19.554998779296874</v>
      </c>
      <c r="P102" s="351">
        <f t="shared" ref="P102:P165" ca="1" si="14">IF(A102="N/A"," ",(VLOOKUP(A102,GasCurves,15,FALSE)))</f>
        <v>2.756875</v>
      </c>
      <c r="AF102" s="241">
        <v>39539</v>
      </c>
      <c r="AG102" s="229">
        <v>22</v>
      </c>
      <c r="AH102" s="229">
        <v>4</v>
      </c>
      <c r="AI102" s="229">
        <v>4</v>
      </c>
      <c r="AJ102" s="229">
        <v>0</v>
      </c>
      <c r="AK102" s="229">
        <v>30</v>
      </c>
    </row>
    <row r="103" spans="1:37">
      <c r="A103" s="208">
        <f>Calculations!A70</f>
        <v>38899</v>
      </c>
      <c r="B103" s="237">
        <f>IF(A103="N/A"," ",IF(ISERROR(L103),B91*Inputs!$F$19,L103))</f>
        <v>70</v>
      </c>
      <c r="C103" s="239">
        <f t="shared" si="10"/>
        <v>1.1916649145636689</v>
      </c>
      <c r="D103" s="238">
        <f t="shared" si="11"/>
        <v>83.416544019456822</v>
      </c>
      <c r="E103" s="237">
        <f>IF(A103="N/A"," ",IF(ISERROR(M103),E91*Inputs!$F$19,M103))</f>
        <v>39.861249542236337</v>
      </c>
      <c r="F103" s="238">
        <f t="shared" si="12"/>
        <v>47.501252530150147</v>
      </c>
      <c r="G103" s="237">
        <f>IF(A103="N/A"," ",IF(ISERROR(N103),G91*Inputs!$F$19,N103))</f>
        <v>29.347499465942381</v>
      </c>
      <c r="H103" s="238">
        <f t="shared" si="13"/>
        <v>34.972385443739547</v>
      </c>
      <c r="I103" s="238">
        <f>IF(A103="N/A"," ",IF(ISERROR(O103),I91*Inputs!$F$19,O103))</f>
        <v>24.049997711181639</v>
      </c>
      <c r="J103" s="331">
        <f ca="1">IF(A103="N/A"," ",IF(ISERROR(P103),J91*Inputs!$F$23,P103))</f>
        <v>2.7674999999999996</v>
      </c>
      <c r="L103" s="349">
        <f>IF(A103="N/A"," ",VLOOKUP(A103,PeakPowerCurves,(IF('Pricing Inputs'!$AT$3=2,3,IF('Pricing Inputs'!$AT$3=1,2,4))),FALSE))</f>
        <v>70</v>
      </c>
      <c r="M103" s="349">
        <f>IF(A103="N/A"," ",VLOOKUP(A103,SatSunPeakPwr,(IF('Pricing Inputs'!$AT$3=2,3,IF('Pricing Inputs'!$AT$3=1,2,4))),FALSE))</f>
        <v>39.861249542236337</v>
      </c>
      <c r="N103" s="349">
        <f>IF(A103="N/A"," ",VLOOKUP(A103,SatSunPeakPwr,(IF('Pricing Inputs'!$AT$3=2,7,IF('Pricing Inputs'!$AT$3=1,6,8))),FALSE))</f>
        <v>29.347499465942381</v>
      </c>
      <c r="O103" s="350">
        <f>IF(A103="N/A"," ",(VLOOKUP(A103,OPPowerPrices,(IF('Pricing Inputs'!$AT$3=2,7,IF('Pricing Inputs'!$AT$3=1,6,8))),FALSE)))</f>
        <v>24.049997711181639</v>
      </c>
      <c r="P103" s="351">
        <f t="shared" ca="1" si="14"/>
        <v>2.7674999999999996</v>
      </c>
      <c r="AF103" s="241">
        <v>39569</v>
      </c>
      <c r="AG103" s="229">
        <v>21</v>
      </c>
      <c r="AH103" s="229">
        <v>5</v>
      </c>
      <c r="AI103" s="229">
        <v>4</v>
      </c>
      <c r="AJ103" s="229">
        <v>1</v>
      </c>
      <c r="AK103" s="229">
        <v>31</v>
      </c>
    </row>
    <row r="104" spans="1:37">
      <c r="A104" s="208">
        <f>Calculations!A71</f>
        <v>38930</v>
      </c>
      <c r="B104" s="237">
        <f>IF(A104="N/A"," ",IF(ISERROR(L104),B92*Inputs!$F$19,L104))</f>
        <v>65.5</v>
      </c>
      <c r="C104" s="239">
        <f t="shared" si="10"/>
        <v>1.1089289483683031</v>
      </c>
      <c r="D104" s="238">
        <f t="shared" si="11"/>
        <v>72.63484611812386</v>
      </c>
      <c r="E104" s="237">
        <f>IF(A104="N/A"," ",IF(ISERROR(M104),E92*Inputs!$F$19,M104))</f>
        <v>42.122499084472665</v>
      </c>
      <c r="F104" s="238">
        <f t="shared" si="12"/>
        <v>46.710858612389082</v>
      </c>
      <c r="G104" s="237">
        <f>IF(A104="N/A"," ",IF(ISERROR(N104),G92*Inputs!$F$19,N104))</f>
        <v>30.845000839233396</v>
      </c>
      <c r="H104" s="238">
        <f t="shared" si="13"/>
        <v>34.20491434307052</v>
      </c>
      <c r="I104" s="238">
        <f>IF(A104="N/A"," ",IF(ISERROR(O104),I92*Inputs!$F$19,O104))</f>
        <v>24.399998092651366</v>
      </c>
      <c r="J104" s="331">
        <f ca="1">IF(A104="N/A"," ",IF(ISERROR(P104),J92*Inputs!$F$23,P104))</f>
        <v>2.7745000000000002</v>
      </c>
      <c r="L104" s="349">
        <f>IF(A104="N/A"," ",VLOOKUP(A104,PeakPowerCurves,(IF('Pricing Inputs'!$AT$3=2,3,IF('Pricing Inputs'!$AT$3=1,2,4))),FALSE))</f>
        <v>65.5</v>
      </c>
      <c r="M104" s="349">
        <f>IF(A104="N/A"," ",VLOOKUP(A104,SatSunPeakPwr,(IF('Pricing Inputs'!$AT$3=2,3,IF('Pricing Inputs'!$AT$3=1,2,4))),FALSE))</f>
        <v>42.122499084472665</v>
      </c>
      <c r="N104" s="349">
        <f>IF(A104="N/A"," ",VLOOKUP(A104,SatSunPeakPwr,(IF('Pricing Inputs'!$AT$3=2,7,IF('Pricing Inputs'!$AT$3=1,6,8))),FALSE))</f>
        <v>30.845000839233396</v>
      </c>
      <c r="O104" s="350">
        <f>IF(A104="N/A"," ",(VLOOKUP(A104,OPPowerPrices,(IF('Pricing Inputs'!$AT$3=2,7,IF('Pricing Inputs'!$AT$3=1,6,8))),FALSE)))</f>
        <v>24.399998092651366</v>
      </c>
      <c r="P104" s="351">
        <f t="shared" ca="1" si="14"/>
        <v>2.7745000000000002</v>
      </c>
      <c r="AF104" s="241">
        <v>39600</v>
      </c>
      <c r="AG104" s="229">
        <v>21</v>
      </c>
      <c r="AH104" s="229">
        <v>4</v>
      </c>
      <c r="AI104" s="229">
        <v>5</v>
      </c>
      <c r="AJ104" s="229">
        <v>0</v>
      </c>
      <c r="AK104" s="229">
        <v>30</v>
      </c>
    </row>
    <row r="105" spans="1:37">
      <c r="A105" s="208">
        <f>Calculations!A72</f>
        <v>38961</v>
      </c>
      <c r="B105" s="237">
        <f>IF(A105="N/A"," ",IF(ISERROR(L105),B93*Inputs!$F$19,L105))</f>
        <v>32.85</v>
      </c>
      <c r="C105" s="239">
        <f t="shared" si="10"/>
        <v>1.0965337923205105</v>
      </c>
      <c r="D105" s="238">
        <f t="shared" si="11"/>
        <v>36.021135077728772</v>
      </c>
      <c r="E105" s="237">
        <f>IF(A105="N/A"," ",IF(ISERROR(M105),E93*Inputs!$F$19,M105))</f>
        <v>23.504999160766598</v>
      </c>
      <c r="F105" s="238">
        <f t="shared" si="12"/>
        <v>25.774025868245815</v>
      </c>
      <c r="G105" s="237">
        <f>IF(A105="N/A"," ",IF(ISERROR(N105),G93*Inputs!$F$19,N105))</f>
        <v>24</v>
      </c>
      <c r="H105" s="238">
        <f t="shared" si="13"/>
        <v>26.316811015692252</v>
      </c>
      <c r="I105" s="238">
        <f>IF(A105="N/A"," ",IF(ISERROR(O105),I93*Inputs!$F$19,O105))</f>
        <v>19.949998092651366</v>
      </c>
      <c r="J105" s="331">
        <f ca="1">IF(A105="N/A"," ",IF(ISERROR(P105),J93*Inputs!$F$23,P105))</f>
        <v>2.780875</v>
      </c>
      <c r="L105" s="349">
        <f>IF(A105="N/A"," ",VLOOKUP(A105,PeakPowerCurves,(IF('Pricing Inputs'!$AT$3=2,3,IF('Pricing Inputs'!$AT$3=1,2,4))),FALSE))</f>
        <v>32.85</v>
      </c>
      <c r="M105" s="349">
        <f>IF(A105="N/A"," ",VLOOKUP(A105,SatSunPeakPwr,(IF('Pricing Inputs'!$AT$3=2,3,IF('Pricing Inputs'!$AT$3=1,2,4))),FALSE))</f>
        <v>23.504999160766598</v>
      </c>
      <c r="N105" s="349">
        <f>IF(A105="N/A"," ",VLOOKUP(A105,SatSunPeakPwr,(IF('Pricing Inputs'!$AT$3=2,7,IF('Pricing Inputs'!$AT$3=1,6,8))),FALSE))</f>
        <v>24</v>
      </c>
      <c r="O105" s="350">
        <f>IF(A105="N/A"," ",(VLOOKUP(A105,OPPowerPrices,(IF('Pricing Inputs'!$AT$3=2,7,IF('Pricing Inputs'!$AT$3=1,6,8))),FALSE)))</f>
        <v>19.949998092651366</v>
      </c>
      <c r="P105" s="351">
        <f t="shared" ca="1" si="14"/>
        <v>2.780875</v>
      </c>
      <c r="AF105" s="241">
        <v>39630</v>
      </c>
      <c r="AG105" s="229">
        <v>22</v>
      </c>
      <c r="AH105" s="229">
        <v>4</v>
      </c>
      <c r="AI105" s="229">
        <v>4</v>
      </c>
      <c r="AJ105" s="229">
        <v>1</v>
      </c>
      <c r="AK105" s="229">
        <v>31</v>
      </c>
    </row>
    <row r="106" spans="1:37">
      <c r="A106" s="208">
        <f>Calculations!A73</f>
        <v>38991</v>
      </c>
      <c r="B106" s="237">
        <f>IF(A106="N/A"," ",IF(ISERROR(L106),B94*Inputs!$F$19,L106))</f>
        <v>30.6</v>
      </c>
      <c r="C106" s="239">
        <f t="shared" si="10"/>
        <v>0.98692500000000005</v>
      </c>
      <c r="D106" s="238">
        <f t="shared" si="11"/>
        <v>30.199905000000005</v>
      </c>
      <c r="E106" s="237">
        <f>IF(A106="N/A"," ",IF(ISERROR(M106),E94*Inputs!$F$19,M106))</f>
        <v>23.60050010681152</v>
      </c>
      <c r="F106" s="238">
        <f t="shared" si="12"/>
        <v>23.29192356791496</v>
      </c>
      <c r="G106" s="237">
        <f>IF(A106="N/A"," ",IF(ISERROR(N106),G94*Inputs!$F$19,N106))</f>
        <v>21.600999832153317</v>
      </c>
      <c r="H106" s="238">
        <f t="shared" si="13"/>
        <v>21.318566759347913</v>
      </c>
      <c r="I106" s="238">
        <f>IF(A106="N/A"," ",IF(ISERROR(O106),I94*Inputs!$F$19,O106))</f>
        <v>19.64999885559082</v>
      </c>
      <c r="J106" s="331">
        <f ca="1">IF(A106="N/A"," ",IF(ISERROR(P106),J94*Inputs!$F$23,P106))</f>
        <v>2.8068749999999998</v>
      </c>
      <c r="L106" s="349">
        <f>IF(A106="N/A"," ",VLOOKUP(A106,PeakPowerCurves,(IF('Pricing Inputs'!$AT$3=2,3,IF('Pricing Inputs'!$AT$3=1,2,4))),FALSE))</f>
        <v>30.6</v>
      </c>
      <c r="M106" s="349">
        <f>IF(A106="N/A"," ",VLOOKUP(A106,SatSunPeakPwr,(IF('Pricing Inputs'!$AT$3=2,3,IF('Pricing Inputs'!$AT$3=1,2,4))),FALSE))</f>
        <v>23.60050010681152</v>
      </c>
      <c r="N106" s="349">
        <f>IF(A106="N/A"," ",VLOOKUP(A106,SatSunPeakPwr,(IF('Pricing Inputs'!$AT$3=2,7,IF('Pricing Inputs'!$AT$3=1,6,8))),FALSE))</f>
        <v>21.600999832153317</v>
      </c>
      <c r="O106" s="350">
        <f>IF(A106="N/A"," ",(VLOOKUP(A106,OPPowerPrices,(IF('Pricing Inputs'!$AT$3=2,7,IF('Pricing Inputs'!$AT$3=1,6,8))),FALSE)))</f>
        <v>19.64999885559082</v>
      </c>
      <c r="P106" s="351">
        <f t="shared" ca="1" si="14"/>
        <v>2.8068749999999998</v>
      </c>
      <c r="AF106" s="241">
        <v>39661</v>
      </c>
      <c r="AG106" s="229">
        <v>21</v>
      </c>
      <c r="AH106" s="229">
        <v>5</v>
      </c>
      <c r="AI106" s="229">
        <v>5</v>
      </c>
      <c r="AJ106" s="229">
        <v>0</v>
      </c>
      <c r="AK106" s="229">
        <v>31</v>
      </c>
    </row>
    <row r="107" spans="1:37">
      <c r="A107" s="208">
        <f>Calculations!A74</f>
        <v>39022</v>
      </c>
      <c r="B107" s="237">
        <f>IF(A107="N/A"," ",IF(ISERROR(L107),B95*Inputs!$F$19,L107))</f>
        <v>30.975000000000001</v>
      </c>
      <c r="C107" s="239">
        <f t="shared" ref="C107:C170" si="15">IF(A107="N/A"," ",(IF(AND(MONTH(A107)&gt;=6,MONTH(A107)&lt;=8,OR($K$37="REGION 2",$K$37="REGION 2A",$K$37="REGION 2B",$K$37="REGION 3",$K$37="REGION 3A",$K$37="REGION 3B",$K$37="REGION 4",$K$37="REGION 4B",$K$37="REGION 4C",$K$37="REGION 5",$K$37="REGION 5A")),((0.059228/(B107/100))-(0.4980013/(SQRT(B107/100)))+2.137988),HLOOKUP(MONTH(A107),ScalarTable,28))))</f>
        <v>0.98922500000000002</v>
      </c>
      <c r="D107" s="238">
        <f t="shared" si="11"/>
        <v>30.641244375000003</v>
      </c>
      <c r="E107" s="237">
        <f>IF(A107="N/A"," ",IF(ISERROR(M107),E95*Inputs!$F$19,M107))</f>
        <v>24.604751586914059</v>
      </c>
      <c r="F107" s="238">
        <f t="shared" si="12"/>
        <v>24.33963538856506</v>
      </c>
      <c r="G107" s="237">
        <f>IF(A107="N/A"," ",IF(ISERROR(N107),G95*Inputs!$F$19,N107))</f>
        <v>22.604499816894528</v>
      </c>
      <c r="H107" s="238">
        <f t="shared" si="13"/>
        <v>22.36093633136749</v>
      </c>
      <c r="I107" s="238">
        <f>IF(A107="N/A"," ",IF(ISERROR(O107),I95*Inputs!$F$19,O107))</f>
        <v>19.574998092651366</v>
      </c>
      <c r="J107" s="331">
        <f ca="1">IF(A107="N/A"," ",IF(ISERROR(P107),J95*Inputs!$F$23,P107))</f>
        <v>3.7124999999999999</v>
      </c>
      <c r="L107" s="349">
        <f>IF(A107="N/A"," ",VLOOKUP(A107,PeakPowerCurves,(IF('Pricing Inputs'!$AT$3=2,3,IF('Pricing Inputs'!$AT$3=1,2,4))),FALSE))</f>
        <v>30.975000000000001</v>
      </c>
      <c r="M107" s="349">
        <f>IF(A107="N/A"," ",VLOOKUP(A107,SatSunPeakPwr,(IF('Pricing Inputs'!$AT$3=2,3,IF('Pricing Inputs'!$AT$3=1,2,4))),FALSE))</f>
        <v>24.604751586914059</v>
      </c>
      <c r="N107" s="349">
        <f>IF(A107="N/A"," ",VLOOKUP(A107,SatSunPeakPwr,(IF('Pricing Inputs'!$AT$3=2,7,IF('Pricing Inputs'!$AT$3=1,6,8))),FALSE))</f>
        <v>22.604499816894528</v>
      </c>
      <c r="O107" s="350">
        <f>IF(A107="N/A"," ",(VLOOKUP(A107,OPPowerPrices,(IF('Pricing Inputs'!$AT$3=2,7,IF('Pricing Inputs'!$AT$3=1,6,8))),FALSE)))</f>
        <v>19.574998092651366</v>
      </c>
      <c r="P107" s="351">
        <f t="shared" ca="1" si="14"/>
        <v>3.7124999999999999</v>
      </c>
      <c r="AF107" s="241">
        <v>39692</v>
      </c>
      <c r="AG107" s="229">
        <v>21</v>
      </c>
      <c r="AH107" s="229">
        <v>4</v>
      </c>
      <c r="AI107" s="229">
        <v>4</v>
      </c>
      <c r="AJ107" s="229">
        <v>1</v>
      </c>
      <c r="AK107" s="229">
        <v>30</v>
      </c>
    </row>
    <row r="108" spans="1:37">
      <c r="A108" s="208">
        <f>Calculations!A75</f>
        <v>39052</v>
      </c>
      <c r="B108" s="237">
        <f>IF(A108="N/A"," ",IF(ISERROR(L108),B96*Inputs!$F$19,L108))</f>
        <v>30.85</v>
      </c>
      <c r="C108" s="239">
        <f t="shared" si="15"/>
        <v>0.97851944514721489</v>
      </c>
      <c r="D108" s="238">
        <f t="shared" si="11"/>
        <v>30.187324882791582</v>
      </c>
      <c r="E108" s="237">
        <f>IF(A108="N/A"," ",IF(ISERROR(M108),E96*Inputs!$F$19,M108))</f>
        <v>26.054998397827145</v>
      </c>
      <c r="F108" s="238">
        <f t="shared" si="12"/>
        <v>25.495322575553391</v>
      </c>
      <c r="G108" s="237">
        <f>IF(A108="N/A"," ",IF(ISERROR(N108),G96*Inputs!$F$19,N108))</f>
        <v>22.549999237060543</v>
      </c>
      <c r="H108" s="238">
        <f t="shared" si="13"/>
        <v>22.065612741518603</v>
      </c>
      <c r="I108" s="238">
        <f>IF(A108="N/A"," ",IF(ISERROR(O108),I96*Inputs!$F$19,O108))</f>
        <v>20.999999237060546</v>
      </c>
      <c r="J108" s="331">
        <f ca="1">IF(A108="N/A"," ",IF(ISERROR(P108),J96*Inputs!$F$23,P108))</f>
        <v>4.1515000000000004</v>
      </c>
      <c r="L108" s="349">
        <f>IF(A108="N/A"," ",VLOOKUP(A108,PeakPowerCurves,(IF('Pricing Inputs'!$AT$3=2,3,IF('Pricing Inputs'!$AT$3=1,2,4))),FALSE))</f>
        <v>30.85</v>
      </c>
      <c r="M108" s="349">
        <f>IF(A108="N/A"," ",VLOOKUP(A108,SatSunPeakPwr,(IF('Pricing Inputs'!$AT$3=2,3,IF('Pricing Inputs'!$AT$3=1,2,4))),FALSE))</f>
        <v>26.054998397827145</v>
      </c>
      <c r="N108" s="349">
        <f>IF(A108="N/A"," ",VLOOKUP(A108,SatSunPeakPwr,(IF('Pricing Inputs'!$AT$3=2,7,IF('Pricing Inputs'!$AT$3=1,6,8))),FALSE))</f>
        <v>22.549999237060543</v>
      </c>
      <c r="O108" s="350">
        <f>IF(A108="N/A"," ",(VLOOKUP(A108,OPPowerPrices,(IF('Pricing Inputs'!$AT$3=2,7,IF('Pricing Inputs'!$AT$3=1,6,8))),FALSE)))</f>
        <v>20.999999237060546</v>
      </c>
      <c r="P108" s="351">
        <f t="shared" ca="1" si="14"/>
        <v>4.1515000000000004</v>
      </c>
      <c r="AF108" s="241">
        <v>39722</v>
      </c>
      <c r="AG108" s="229">
        <v>23</v>
      </c>
      <c r="AH108" s="229">
        <v>4</v>
      </c>
      <c r="AI108" s="229">
        <v>4</v>
      </c>
      <c r="AJ108" s="229">
        <v>0</v>
      </c>
      <c r="AK108" s="229">
        <v>31</v>
      </c>
    </row>
    <row r="109" spans="1:37">
      <c r="A109" s="208">
        <f>Calculations!A76</f>
        <v>39083</v>
      </c>
      <c r="B109" s="237">
        <f>IF(A109="N/A"," ",IF(ISERROR(L109),B97*Inputs!$F$19,L109))</f>
        <v>36.950000000000003</v>
      </c>
      <c r="C109" s="239">
        <f t="shared" si="15"/>
        <v>0.96914576913143913</v>
      </c>
      <c r="D109" s="238">
        <f t="shared" si="11"/>
        <v>35.809936169406676</v>
      </c>
      <c r="E109" s="237">
        <f>IF(A109="N/A"," ",IF(ISERROR(M109),E97*Inputs!$F$19,M109))</f>
        <v>29.448748397827146</v>
      </c>
      <c r="F109" s="238">
        <f t="shared" si="12"/>
        <v>28.540129915970425</v>
      </c>
      <c r="G109" s="237">
        <f>IF(A109="N/A"," ",IF(ISERROR(N109),G97*Inputs!$F$19,N109))</f>
        <v>27.952500152587888</v>
      </c>
      <c r="H109" s="238">
        <f t="shared" si="13"/>
        <v>27.090047259526457</v>
      </c>
      <c r="I109" s="238">
        <f>IF(A109="N/A"," ",IF(ISERROR(O109),I97*Inputs!$F$19,O109))</f>
        <v>20.790000915527344</v>
      </c>
      <c r="J109" s="331">
        <f ca="1">IF(A109="N/A"," ",IF(ISERROR(P109),J97*Inputs!$F$23,P109))</f>
        <v>4.6750000000000007</v>
      </c>
      <c r="L109" s="349">
        <f>IF(A109="N/A"," ",VLOOKUP(A109,PeakPowerCurves,(IF('Pricing Inputs'!$AT$3=2,3,IF('Pricing Inputs'!$AT$3=1,2,4))),FALSE))</f>
        <v>36.950000000000003</v>
      </c>
      <c r="M109" s="349">
        <f>IF(A109="N/A"," ",VLOOKUP(A109,SatSunPeakPwr,(IF('Pricing Inputs'!$AT$3=2,3,IF('Pricing Inputs'!$AT$3=1,2,4))),FALSE))</f>
        <v>29.448748397827146</v>
      </c>
      <c r="N109" s="349">
        <f>IF(A109="N/A"," ",VLOOKUP(A109,SatSunPeakPwr,(IF('Pricing Inputs'!$AT$3=2,7,IF('Pricing Inputs'!$AT$3=1,6,8))),FALSE))</f>
        <v>27.952500152587888</v>
      </c>
      <c r="O109" s="350">
        <f>IF(A109="N/A"," ",(VLOOKUP(A109,OPPowerPrices,(IF('Pricing Inputs'!$AT$3=2,7,IF('Pricing Inputs'!$AT$3=1,6,8))),FALSE)))</f>
        <v>20.790000915527344</v>
      </c>
      <c r="P109" s="351">
        <f t="shared" ca="1" si="14"/>
        <v>4.6750000000000007</v>
      </c>
      <c r="AF109" s="241">
        <v>39753</v>
      </c>
      <c r="AG109" s="229">
        <v>19</v>
      </c>
      <c r="AH109" s="229">
        <v>5</v>
      </c>
      <c r="AI109" s="229">
        <v>5</v>
      </c>
      <c r="AJ109" s="229">
        <v>1</v>
      </c>
      <c r="AK109" s="229">
        <v>30</v>
      </c>
    </row>
    <row r="110" spans="1:37">
      <c r="A110" s="208">
        <f>Calculations!A77</f>
        <v>39114</v>
      </c>
      <c r="B110" s="237">
        <f>IF(A110="N/A"," ",IF(ISERROR(L110),B98*Inputs!$F$19,L110))</f>
        <v>36.950000000000003</v>
      </c>
      <c r="C110" s="239">
        <f t="shared" si="15"/>
        <v>0.96914576913143913</v>
      </c>
      <c r="D110" s="238">
        <f t="shared" si="11"/>
        <v>35.809936169406676</v>
      </c>
      <c r="E110" s="237">
        <f>IF(A110="N/A"," ",IF(ISERROR(M110),E98*Inputs!$F$19,M110))</f>
        <v>28.446250152587886</v>
      </c>
      <c r="F110" s="238">
        <f t="shared" si="12"/>
        <v>27.568562983035104</v>
      </c>
      <c r="G110" s="237">
        <f>IF(A110="N/A"," ",IF(ISERROR(N110),G98*Inputs!$F$19,N110))</f>
        <v>25.947499465942379</v>
      </c>
      <c r="H110" s="238">
        <f t="shared" si="13"/>
        <v>25.146909326958333</v>
      </c>
      <c r="I110" s="238">
        <f>IF(A110="N/A"," ",IF(ISERROR(O110),I98*Inputs!$F$19,O110))</f>
        <v>20.59999771118164</v>
      </c>
      <c r="J110" s="331">
        <f ca="1">IF(A110="N/A"," ",IF(ISERROR(P110),J98*Inputs!$F$23,P110))</f>
        <v>4.4570000000000007</v>
      </c>
      <c r="L110" s="349">
        <f>IF(A110="N/A"," ",VLOOKUP(A110,PeakPowerCurves,(IF('Pricing Inputs'!$AT$3=2,3,IF('Pricing Inputs'!$AT$3=1,2,4))),FALSE))</f>
        <v>36.950000000000003</v>
      </c>
      <c r="M110" s="349">
        <f>IF(A110="N/A"," ",VLOOKUP(A110,SatSunPeakPwr,(IF('Pricing Inputs'!$AT$3=2,3,IF('Pricing Inputs'!$AT$3=1,2,4))),FALSE))</f>
        <v>28.446250152587886</v>
      </c>
      <c r="N110" s="349">
        <f>IF(A110="N/A"," ",VLOOKUP(A110,SatSunPeakPwr,(IF('Pricing Inputs'!$AT$3=2,7,IF('Pricing Inputs'!$AT$3=1,6,8))),FALSE))</f>
        <v>25.947499465942379</v>
      </c>
      <c r="O110" s="350">
        <f>IF(A110="N/A"," ",(VLOOKUP(A110,OPPowerPrices,(IF('Pricing Inputs'!$AT$3=2,7,IF('Pricing Inputs'!$AT$3=1,6,8))),FALSE)))</f>
        <v>20.59999771118164</v>
      </c>
      <c r="P110" s="351">
        <f t="shared" ca="1" si="14"/>
        <v>4.4570000000000007</v>
      </c>
      <c r="AF110" s="241">
        <v>39783</v>
      </c>
      <c r="AG110" s="229">
        <v>22</v>
      </c>
      <c r="AH110" s="229">
        <v>4</v>
      </c>
      <c r="AI110" s="229">
        <v>4</v>
      </c>
      <c r="AJ110" s="229">
        <v>1</v>
      </c>
      <c r="AK110" s="229">
        <v>31</v>
      </c>
    </row>
    <row r="111" spans="1:37">
      <c r="A111" s="208">
        <f>Calculations!A78</f>
        <v>39142</v>
      </c>
      <c r="B111" s="237">
        <f>IF(A111="N/A"," ",IF(ISERROR(L111),B99*Inputs!$F$19,L111))</f>
        <v>33.200000000000003</v>
      </c>
      <c r="C111" s="239">
        <f t="shared" si="15"/>
        <v>0.97165000000000012</v>
      </c>
      <c r="D111" s="238">
        <f t="shared" si="11"/>
        <v>32.258780000000009</v>
      </c>
      <c r="E111" s="237">
        <f>IF(A111="N/A"," ",IF(ISERROR(M111),E99*Inputs!$F$19,M111))</f>
        <v>21.63474960327148</v>
      </c>
      <c r="F111" s="238">
        <f t="shared" si="12"/>
        <v>21.021404452018736</v>
      </c>
      <c r="G111" s="237">
        <f>IF(A111="N/A"," ",IF(ISERROR(N111),G99*Inputs!$F$19,N111))</f>
        <v>21.264498901367183</v>
      </c>
      <c r="H111" s="238">
        <f t="shared" si="13"/>
        <v>20.661650357513427</v>
      </c>
      <c r="I111" s="238">
        <f>IF(A111="N/A"," ",IF(ISERROR(O111),I99*Inputs!$F$19,O111))</f>
        <v>19.599999618530273</v>
      </c>
      <c r="J111" s="331">
        <f ca="1">IF(A111="N/A"," ",IF(ISERROR(P111),J99*Inputs!$F$23,P111))</f>
        <v>3.8070000000000004</v>
      </c>
      <c r="L111" s="349">
        <f>IF(A111="N/A"," ",VLOOKUP(A111,PeakPowerCurves,(IF('Pricing Inputs'!$AT$3=2,3,IF('Pricing Inputs'!$AT$3=1,2,4))),FALSE))</f>
        <v>33.200000000000003</v>
      </c>
      <c r="M111" s="349">
        <f>IF(A111="N/A"," ",VLOOKUP(A111,SatSunPeakPwr,(IF('Pricing Inputs'!$AT$3=2,3,IF('Pricing Inputs'!$AT$3=1,2,4))),FALSE))</f>
        <v>21.63474960327148</v>
      </c>
      <c r="N111" s="349">
        <f>IF(A111="N/A"," ",VLOOKUP(A111,SatSunPeakPwr,(IF('Pricing Inputs'!$AT$3=2,7,IF('Pricing Inputs'!$AT$3=1,6,8))),FALSE))</f>
        <v>21.264498901367183</v>
      </c>
      <c r="O111" s="350">
        <f>IF(A111="N/A"," ",(VLOOKUP(A111,OPPowerPrices,(IF('Pricing Inputs'!$AT$3=2,7,IF('Pricing Inputs'!$AT$3=1,6,8))),FALSE)))</f>
        <v>19.599999618530273</v>
      </c>
      <c r="P111" s="351">
        <f t="shared" ca="1" si="14"/>
        <v>3.8070000000000004</v>
      </c>
      <c r="AF111" s="241">
        <v>39814</v>
      </c>
      <c r="AG111" s="229">
        <v>21</v>
      </c>
      <c r="AH111" s="229">
        <v>5</v>
      </c>
      <c r="AI111" s="229">
        <v>4</v>
      </c>
      <c r="AJ111" s="229">
        <v>1</v>
      </c>
      <c r="AK111" s="229">
        <v>31</v>
      </c>
    </row>
    <row r="112" spans="1:37">
      <c r="A112" s="208">
        <f>Calculations!A79</f>
        <v>39173</v>
      </c>
      <c r="B112" s="237">
        <f>IF(A112="N/A"," ",IF(ISERROR(L112),B100*Inputs!$F$19,L112))</f>
        <v>31.95</v>
      </c>
      <c r="C112" s="239">
        <f t="shared" si="15"/>
        <v>0.92498900994989341</v>
      </c>
      <c r="D112" s="238">
        <f t="shared" si="11"/>
        <v>29.553398867899094</v>
      </c>
      <c r="E112" s="237">
        <f>IF(A112="N/A"," ",IF(ISERROR(M112),E100*Inputs!$F$19,M112))</f>
        <v>22.317500305175777</v>
      </c>
      <c r="F112" s="238">
        <f t="shared" si="12"/>
        <v>20.643442511840988</v>
      </c>
      <c r="G112" s="237">
        <f>IF(A112="N/A"," ",IF(ISERROR(N112),G100*Inputs!$F$19,N112))</f>
        <v>21.034999084472652</v>
      </c>
      <c r="H112" s="238">
        <f t="shared" si="13"/>
        <v>19.457142977443272</v>
      </c>
      <c r="I112" s="238">
        <f>IF(A112="N/A"," ",IF(ISERROR(O112),I100*Inputs!$F$19,O112))</f>
        <v>19.59999771118164</v>
      </c>
      <c r="J112" s="331">
        <f ca="1">IF(A112="N/A"," ",IF(ISERROR(P112),J100*Inputs!$F$23,P112))</f>
        <v>2.8387441597500001</v>
      </c>
      <c r="L112" s="349">
        <f>IF(A112="N/A"," ",VLOOKUP(A112,PeakPowerCurves,(IF('Pricing Inputs'!$AT$3=2,3,IF('Pricing Inputs'!$AT$3=1,2,4))),FALSE))</f>
        <v>31.95</v>
      </c>
      <c r="M112" s="349">
        <f>IF(A112="N/A"," ",VLOOKUP(A112,SatSunPeakPwr,(IF('Pricing Inputs'!$AT$3=2,3,IF('Pricing Inputs'!$AT$3=1,2,4))),FALSE))</f>
        <v>22.317500305175777</v>
      </c>
      <c r="N112" s="349">
        <f>IF(A112="N/A"," ",VLOOKUP(A112,SatSunPeakPwr,(IF('Pricing Inputs'!$AT$3=2,7,IF('Pricing Inputs'!$AT$3=1,6,8))),FALSE))</f>
        <v>21.034999084472652</v>
      </c>
      <c r="O112" s="350">
        <f>IF(A112="N/A"," ",(VLOOKUP(A112,OPPowerPrices,(IF('Pricing Inputs'!$AT$3=2,7,IF('Pricing Inputs'!$AT$3=1,6,8))),FALSE)))</f>
        <v>19.59999771118164</v>
      </c>
      <c r="P112" s="351">
        <f t="shared" ca="1" si="14"/>
        <v>2.8387441597500001</v>
      </c>
      <c r="AF112" s="241">
        <v>39845</v>
      </c>
      <c r="AG112" s="229">
        <v>20</v>
      </c>
      <c r="AH112" s="229">
        <v>4</v>
      </c>
      <c r="AI112" s="229">
        <v>4</v>
      </c>
      <c r="AJ112" s="229">
        <v>0</v>
      </c>
      <c r="AK112" s="229">
        <v>28</v>
      </c>
    </row>
    <row r="113" spans="1:37">
      <c r="A113" s="208">
        <f>Calculations!A80</f>
        <v>39203</v>
      </c>
      <c r="B113" s="237">
        <f>IF(A113="N/A"," ",IF(ISERROR(L113),B101*Inputs!$F$19,L113))</f>
        <v>33.950000000000003</v>
      </c>
      <c r="C113" s="239">
        <f t="shared" si="15"/>
        <v>0.97235546191844646</v>
      </c>
      <c r="D113" s="238">
        <f t="shared" si="11"/>
        <v>33.011467932131261</v>
      </c>
      <c r="E113" s="237">
        <f>IF(A113="N/A"," ",IF(ISERROR(M113),E101*Inputs!$F$19,M113))</f>
        <v>22.432500076293941</v>
      </c>
      <c r="F113" s="238">
        <f t="shared" si="12"/>
        <v>21.812363973670379</v>
      </c>
      <c r="G113" s="237">
        <f>IF(A113="N/A"," ",IF(ISERROR(N113),G101*Inputs!$F$19,N113))</f>
        <v>21.56499977111816</v>
      </c>
      <c r="H113" s="238">
        <f t="shared" si="13"/>
        <v>20.968845313716791</v>
      </c>
      <c r="I113" s="238">
        <f>IF(A113="N/A"," ",IF(ISERROR(O113),I101*Inputs!$F$19,O113))</f>
        <v>19.59999771118164</v>
      </c>
      <c r="J113" s="331">
        <f ca="1">IF(A113="N/A"," ",IF(ISERROR(P113),J101*Inputs!$F$23,P113))</f>
        <v>2.8127420310000004</v>
      </c>
      <c r="L113" s="349">
        <f>IF(A113="N/A"," ",VLOOKUP(A113,PeakPowerCurves,(IF('Pricing Inputs'!$AT$3=2,3,IF('Pricing Inputs'!$AT$3=1,2,4))),FALSE))</f>
        <v>33.950000000000003</v>
      </c>
      <c r="M113" s="349">
        <f>IF(A113="N/A"," ",VLOOKUP(A113,SatSunPeakPwr,(IF('Pricing Inputs'!$AT$3=2,3,IF('Pricing Inputs'!$AT$3=1,2,4))),FALSE))</f>
        <v>22.432500076293941</v>
      </c>
      <c r="N113" s="349">
        <f>IF(A113="N/A"," ",VLOOKUP(A113,SatSunPeakPwr,(IF('Pricing Inputs'!$AT$3=2,7,IF('Pricing Inputs'!$AT$3=1,6,8))),FALSE))</f>
        <v>21.56499977111816</v>
      </c>
      <c r="O113" s="350">
        <f>IF(A113="N/A"," ",(VLOOKUP(A113,OPPowerPrices,(IF('Pricing Inputs'!$AT$3=2,7,IF('Pricing Inputs'!$AT$3=1,6,8))),FALSE)))</f>
        <v>19.59999771118164</v>
      </c>
      <c r="P113" s="351">
        <f t="shared" ca="1" si="14"/>
        <v>2.8127420310000004</v>
      </c>
      <c r="AF113" s="241">
        <v>39873</v>
      </c>
      <c r="AG113" s="229">
        <v>22</v>
      </c>
      <c r="AH113" s="229">
        <v>4</v>
      </c>
      <c r="AI113" s="229">
        <v>5</v>
      </c>
      <c r="AJ113" s="229">
        <v>0</v>
      </c>
      <c r="AK113" s="229">
        <v>31</v>
      </c>
    </row>
    <row r="114" spans="1:37">
      <c r="A114" s="208">
        <f>Calculations!A81</f>
        <v>39234</v>
      </c>
      <c r="B114" s="237">
        <f>IF(A114="N/A"," ",IF(ISERROR(L114),B102*Inputs!$F$19,L114))</f>
        <v>49.5</v>
      </c>
      <c r="C114" s="239">
        <f t="shared" si="15"/>
        <v>1.1402927483957555</v>
      </c>
      <c r="D114" s="238">
        <f t="shared" si="11"/>
        <v>56.444491045589892</v>
      </c>
      <c r="E114" s="237">
        <f>IF(A114="N/A"," ",IF(ISERROR(M114),E102*Inputs!$F$19,M114))</f>
        <v>26.858750152587888</v>
      </c>
      <c r="F114" s="238">
        <f t="shared" si="12"/>
        <v>30.62683802996936</v>
      </c>
      <c r="G114" s="237">
        <f>IF(A114="N/A"," ",IF(ISERROR(N114),G102*Inputs!$F$19,N114))</f>
        <v>20.342499542236325</v>
      </c>
      <c r="H114" s="238">
        <f t="shared" si="13"/>
        <v>23.196404712256058</v>
      </c>
      <c r="I114" s="238">
        <f>IF(A114="N/A"," ",IF(ISERROR(O114),I102*Inputs!$F$19,O114))</f>
        <v>19.554998779296874</v>
      </c>
      <c r="J114" s="331">
        <f ca="1">IF(A114="N/A"," ",IF(ISERROR(P114),J102*Inputs!$F$23,P114))</f>
        <v>2.8187420310000002</v>
      </c>
      <c r="L114" s="349">
        <f>IF(A114="N/A"," ",VLOOKUP(A114,PeakPowerCurves,(IF('Pricing Inputs'!$AT$3=2,3,IF('Pricing Inputs'!$AT$3=1,2,4))),FALSE))</f>
        <v>49.5</v>
      </c>
      <c r="M114" s="349">
        <f>IF(A114="N/A"," ",VLOOKUP(A114,SatSunPeakPwr,(IF('Pricing Inputs'!$AT$3=2,3,IF('Pricing Inputs'!$AT$3=1,2,4))),FALSE))</f>
        <v>26.858750152587888</v>
      </c>
      <c r="N114" s="349">
        <f>IF(A114="N/A"," ",VLOOKUP(A114,SatSunPeakPwr,(IF('Pricing Inputs'!$AT$3=2,7,IF('Pricing Inputs'!$AT$3=1,6,8))),FALSE))</f>
        <v>20.342499542236325</v>
      </c>
      <c r="O114" s="350">
        <f>IF(A114="N/A"," ",(VLOOKUP(A114,OPPowerPrices,(IF('Pricing Inputs'!$AT$3=2,7,IF('Pricing Inputs'!$AT$3=1,6,8))),FALSE)))</f>
        <v>19.554998779296874</v>
      </c>
      <c r="P114" s="351">
        <f t="shared" ca="1" si="14"/>
        <v>2.8187420310000002</v>
      </c>
      <c r="AF114" s="241">
        <v>39904</v>
      </c>
      <c r="AG114" s="229">
        <v>22</v>
      </c>
      <c r="AH114" s="229">
        <v>4</v>
      </c>
      <c r="AI114" s="229">
        <v>4</v>
      </c>
      <c r="AJ114" s="229">
        <v>0</v>
      </c>
      <c r="AK114" s="229">
        <v>30</v>
      </c>
    </row>
    <row r="115" spans="1:37">
      <c r="A115" s="208">
        <f>Calculations!A82</f>
        <v>39264</v>
      </c>
      <c r="B115" s="237">
        <f>IF(A115="N/A"," ",IF(ISERROR(L115),B103*Inputs!$F$19,L115))</f>
        <v>71</v>
      </c>
      <c r="C115" s="239">
        <f t="shared" si="15"/>
        <v>1.1916649145636689</v>
      </c>
      <c r="D115" s="238">
        <f t="shared" si="11"/>
        <v>84.608208934020482</v>
      </c>
      <c r="E115" s="237">
        <f>IF(A115="N/A"," ",IF(ISERROR(M115),E103*Inputs!$F$19,M115))</f>
        <v>40.061249542236339</v>
      </c>
      <c r="F115" s="238">
        <f t="shared" si="12"/>
        <v>47.739585513062885</v>
      </c>
      <c r="G115" s="237">
        <f>IF(A115="N/A"," ",IF(ISERROR(N115),G103*Inputs!$F$19,N115))</f>
        <v>29.54749946594238</v>
      </c>
      <c r="H115" s="238">
        <f t="shared" si="13"/>
        <v>35.210718426652278</v>
      </c>
      <c r="I115" s="238">
        <f>IF(A115="N/A"," ",IF(ISERROR(O115),I103*Inputs!$F$19,O115))</f>
        <v>24.049997711181639</v>
      </c>
      <c r="J115" s="331">
        <f ca="1">IF(A115="N/A"," ",IF(ISERROR(P115),J103*Inputs!$F$23,P115))</f>
        <v>2.828742031</v>
      </c>
      <c r="L115" s="349">
        <f>IF(A115="N/A"," ",VLOOKUP(A115,PeakPowerCurves,(IF('Pricing Inputs'!$AT$3=2,3,IF('Pricing Inputs'!$AT$3=1,2,4))),FALSE))</f>
        <v>71</v>
      </c>
      <c r="M115" s="349">
        <f>IF(A115="N/A"," ",VLOOKUP(A115,SatSunPeakPwr,(IF('Pricing Inputs'!$AT$3=2,3,IF('Pricing Inputs'!$AT$3=1,2,4))),FALSE))</f>
        <v>40.061249542236339</v>
      </c>
      <c r="N115" s="349">
        <f>IF(A115="N/A"," ",VLOOKUP(A115,SatSunPeakPwr,(IF('Pricing Inputs'!$AT$3=2,7,IF('Pricing Inputs'!$AT$3=1,6,8))),FALSE))</f>
        <v>29.54749946594238</v>
      </c>
      <c r="O115" s="350">
        <f>IF(A115="N/A"," ",(VLOOKUP(A115,OPPowerPrices,(IF('Pricing Inputs'!$AT$3=2,7,IF('Pricing Inputs'!$AT$3=1,6,8))),FALSE)))</f>
        <v>24.049997711181639</v>
      </c>
      <c r="P115" s="351">
        <f t="shared" ca="1" si="14"/>
        <v>2.828742031</v>
      </c>
      <c r="AF115" s="241">
        <v>39934</v>
      </c>
      <c r="AG115" s="229">
        <v>20</v>
      </c>
      <c r="AH115" s="229">
        <v>5</v>
      </c>
      <c r="AI115" s="229">
        <v>5</v>
      </c>
      <c r="AJ115" s="229">
        <v>1</v>
      </c>
      <c r="AK115" s="229">
        <v>31</v>
      </c>
    </row>
    <row r="116" spans="1:37">
      <c r="A116" s="208">
        <f>Calculations!A83</f>
        <v>39295</v>
      </c>
      <c r="B116" s="237">
        <f>IF(A116="N/A"," ",IF(ISERROR(L116),B104*Inputs!$F$19,L116))</f>
        <v>66.5</v>
      </c>
      <c r="C116" s="239">
        <f t="shared" si="15"/>
        <v>1.1089289483683031</v>
      </c>
      <c r="D116" s="238">
        <f t="shared" si="11"/>
        <v>73.743775066492162</v>
      </c>
      <c r="E116" s="237">
        <f>IF(A116="N/A"," ",IF(ISERROR(M116),E104*Inputs!$F$19,M116))</f>
        <v>42.322499084472668</v>
      </c>
      <c r="F116" s="238">
        <f t="shared" si="12"/>
        <v>46.932644402062749</v>
      </c>
      <c r="G116" s="237">
        <f>IF(A116="N/A"," ",IF(ISERROR(N116),G104*Inputs!$F$19,N116))</f>
        <v>31.045000839233396</v>
      </c>
      <c r="H116" s="238">
        <f t="shared" si="13"/>
        <v>34.42670013274418</v>
      </c>
      <c r="I116" s="238">
        <f>IF(A116="N/A"," ",IF(ISERROR(O116),I104*Inputs!$F$19,O116))</f>
        <v>24.399998092651366</v>
      </c>
      <c r="J116" s="331">
        <f ca="1">IF(A116="N/A"," ",IF(ISERROR(P116),J104*Inputs!$F$23,P116))</f>
        <v>2.8357420310000001</v>
      </c>
      <c r="L116" s="349">
        <f>IF(A116="N/A"," ",VLOOKUP(A116,PeakPowerCurves,(IF('Pricing Inputs'!$AT$3=2,3,IF('Pricing Inputs'!$AT$3=1,2,4))),FALSE))</f>
        <v>66.5</v>
      </c>
      <c r="M116" s="349">
        <f>IF(A116="N/A"," ",VLOOKUP(A116,SatSunPeakPwr,(IF('Pricing Inputs'!$AT$3=2,3,IF('Pricing Inputs'!$AT$3=1,2,4))),FALSE))</f>
        <v>42.322499084472668</v>
      </c>
      <c r="N116" s="349">
        <f>IF(A116="N/A"," ",VLOOKUP(A116,SatSunPeakPwr,(IF('Pricing Inputs'!$AT$3=2,7,IF('Pricing Inputs'!$AT$3=1,6,8))),FALSE))</f>
        <v>31.045000839233396</v>
      </c>
      <c r="O116" s="350">
        <f>IF(A116="N/A"," ",(VLOOKUP(A116,OPPowerPrices,(IF('Pricing Inputs'!$AT$3=2,7,IF('Pricing Inputs'!$AT$3=1,6,8))),FALSE)))</f>
        <v>24.399998092651366</v>
      </c>
      <c r="P116" s="351">
        <f t="shared" ca="1" si="14"/>
        <v>2.8357420310000001</v>
      </c>
      <c r="AF116" s="241">
        <v>39965</v>
      </c>
      <c r="AG116" s="229">
        <v>22</v>
      </c>
      <c r="AH116" s="229">
        <v>4</v>
      </c>
      <c r="AI116" s="229">
        <v>4</v>
      </c>
      <c r="AJ116" s="229">
        <v>0</v>
      </c>
      <c r="AK116" s="229">
        <v>30</v>
      </c>
    </row>
    <row r="117" spans="1:37">
      <c r="A117" s="208">
        <f>Calculations!A84</f>
        <v>39326</v>
      </c>
      <c r="B117" s="237">
        <f>IF(A117="N/A"," ",IF(ISERROR(L117),B105*Inputs!$F$19,L117))</f>
        <v>32.950000000000003</v>
      </c>
      <c r="C117" s="239">
        <f t="shared" si="15"/>
        <v>1.0965337923205105</v>
      </c>
      <c r="D117" s="238">
        <f t="shared" si="11"/>
        <v>36.130788456960822</v>
      </c>
      <c r="E117" s="237">
        <f>IF(A117="N/A"," ",IF(ISERROR(M117),E105*Inputs!$F$19,M117))</f>
        <v>23.704999160766597</v>
      </c>
      <c r="F117" s="238">
        <f t="shared" si="12"/>
        <v>25.993332626709915</v>
      </c>
      <c r="G117" s="237">
        <f>IF(A117="N/A"," ",IF(ISERROR(N117),G105*Inputs!$F$19,N117))</f>
        <v>24.2</v>
      </c>
      <c r="H117" s="238">
        <f t="shared" si="13"/>
        <v>26.536117774156352</v>
      </c>
      <c r="I117" s="238">
        <f>IF(A117="N/A"," ",IF(ISERROR(O117),I105*Inputs!$F$19,O117))</f>
        <v>19.949998092651366</v>
      </c>
      <c r="J117" s="331">
        <f ca="1">IF(A117="N/A"," ",IF(ISERROR(P117),J105*Inputs!$F$23,P117))</f>
        <v>2.8427420310000002</v>
      </c>
      <c r="L117" s="349">
        <f>IF(A117="N/A"," ",VLOOKUP(A117,PeakPowerCurves,(IF('Pricing Inputs'!$AT$3=2,3,IF('Pricing Inputs'!$AT$3=1,2,4))),FALSE))</f>
        <v>32.950000000000003</v>
      </c>
      <c r="M117" s="349">
        <f>IF(A117="N/A"," ",VLOOKUP(A117,SatSunPeakPwr,(IF('Pricing Inputs'!$AT$3=2,3,IF('Pricing Inputs'!$AT$3=1,2,4))),FALSE))</f>
        <v>23.704999160766597</v>
      </c>
      <c r="N117" s="349">
        <f>IF(A117="N/A"," ",VLOOKUP(A117,SatSunPeakPwr,(IF('Pricing Inputs'!$AT$3=2,7,IF('Pricing Inputs'!$AT$3=1,6,8))),FALSE))</f>
        <v>24.2</v>
      </c>
      <c r="O117" s="350">
        <f>IF(A117="N/A"," ",(VLOOKUP(A117,OPPowerPrices,(IF('Pricing Inputs'!$AT$3=2,7,IF('Pricing Inputs'!$AT$3=1,6,8))),FALSE)))</f>
        <v>19.949998092651366</v>
      </c>
      <c r="P117" s="351">
        <f t="shared" ca="1" si="14"/>
        <v>2.8427420310000002</v>
      </c>
      <c r="AF117" s="241">
        <v>39995</v>
      </c>
      <c r="AG117" s="229">
        <v>23</v>
      </c>
      <c r="AH117" s="229">
        <v>3</v>
      </c>
      <c r="AI117" s="229">
        <v>4</v>
      </c>
      <c r="AJ117" s="229">
        <v>1</v>
      </c>
      <c r="AK117" s="229">
        <v>31</v>
      </c>
    </row>
    <row r="118" spans="1:37">
      <c r="A118" s="208">
        <f>Calculations!A85</f>
        <v>39356</v>
      </c>
      <c r="B118" s="237">
        <f>IF(A118="N/A"," ",IF(ISERROR(L118),B106*Inputs!$F$19,L118))</f>
        <v>30.7</v>
      </c>
      <c r="C118" s="239">
        <f t="shared" si="15"/>
        <v>0.98692500000000005</v>
      </c>
      <c r="D118" s="238">
        <f t="shared" si="11"/>
        <v>30.2985975</v>
      </c>
      <c r="E118" s="237">
        <f>IF(A118="N/A"," ",IF(ISERROR(M118),E106*Inputs!$F$19,M118))</f>
        <v>23.800500106811519</v>
      </c>
      <c r="F118" s="238">
        <f t="shared" si="12"/>
        <v>23.489308567914961</v>
      </c>
      <c r="G118" s="237">
        <f>IF(A118="N/A"," ",IF(ISERROR(N118),G106*Inputs!$F$19,N118))</f>
        <v>21.800999832153316</v>
      </c>
      <c r="H118" s="238">
        <f t="shared" si="13"/>
        <v>21.515951759347914</v>
      </c>
      <c r="I118" s="238">
        <f>IF(A118="N/A"," ",IF(ISERROR(O118),I106*Inputs!$F$19,O118))</f>
        <v>19.64999885559082</v>
      </c>
      <c r="J118" s="331">
        <f ca="1">IF(A118="N/A"," ",IF(ISERROR(P118),J106*Inputs!$F$23,P118))</f>
        <v>2.868742031</v>
      </c>
      <c r="L118" s="349">
        <f>IF(A118="N/A"," ",VLOOKUP(A118,PeakPowerCurves,(IF('Pricing Inputs'!$AT$3=2,3,IF('Pricing Inputs'!$AT$3=1,2,4))),FALSE))</f>
        <v>30.7</v>
      </c>
      <c r="M118" s="349">
        <f>IF(A118="N/A"," ",VLOOKUP(A118,SatSunPeakPwr,(IF('Pricing Inputs'!$AT$3=2,3,IF('Pricing Inputs'!$AT$3=1,2,4))),FALSE))</f>
        <v>23.800500106811519</v>
      </c>
      <c r="N118" s="349">
        <f>IF(A118="N/A"," ",VLOOKUP(A118,SatSunPeakPwr,(IF('Pricing Inputs'!$AT$3=2,7,IF('Pricing Inputs'!$AT$3=1,6,8))),FALSE))</f>
        <v>21.800999832153316</v>
      </c>
      <c r="O118" s="350">
        <f>IF(A118="N/A"," ",(VLOOKUP(A118,OPPowerPrices,(IF('Pricing Inputs'!$AT$3=2,7,IF('Pricing Inputs'!$AT$3=1,6,8))),FALSE)))</f>
        <v>19.64999885559082</v>
      </c>
      <c r="P118" s="351">
        <f t="shared" ca="1" si="14"/>
        <v>2.868742031</v>
      </c>
      <c r="AF118" s="241">
        <v>40026</v>
      </c>
      <c r="AG118" s="229">
        <v>21</v>
      </c>
      <c r="AH118" s="229">
        <v>5</v>
      </c>
      <c r="AI118" s="229">
        <v>5</v>
      </c>
      <c r="AJ118" s="229">
        <v>0</v>
      </c>
      <c r="AK118" s="229">
        <v>31</v>
      </c>
    </row>
    <row r="119" spans="1:37">
      <c r="A119" s="208">
        <f>Calculations!A86</f>
        <v>39387</v>
      </c>
      <c r="B119" s="237">
        <f>IF(A119="N/A"," ",IF(ISERROR(L119),B107*Inputs!$F$19,L119))</f>
        <v>31.074999999999999</v>
      </c>
      <c r="C119" s="239">
        <f t="shared" si="15"/>
        <v>0.98922500000000002</v>
      </c>
      <c r="D119" s="238">
        <f t="shared" si="11"/>
        <v>30.740166875</v>
      </c>
      <c r="E119" s="237">
        <f>IF(A119="N/A"," ",IF(ISERROR(M119),E107*Inputs!$F$19,M119))</f>
        <v>24.804751586914058</v>
      </c>
      <c r="F119" s="238">
        <f t="shared" si="12"/>
        <v>24.537480388565061</v>
      </c>
      <c r="G119" s="237">
        <f>IF(A119="N/A"," ",IF(ISERROR(N119),G107*Inputs!$F$19,N119))</f>
        <v>22.804499816894527</v>
      </c>
      <c r="H119" s="238">
        <f t="shared" si="13"/>
        <v>22.558781331367488</v>
      </c>
      <c r="I119" s="238">
        <f>IF(A119="N/A"," ",IF(ISERROR(O119),I107*Inputs!$F$19,O119))</f>
        <v>19.574998092651366</v>
      </c>
      <c r="J119" s="331">
        <f ca="1">IF(A119="N/A"," ",IF(ISERROR(P119),J107*Inputs!$F$23,P119))</f>
        <v>3.7725</v>
      </c>
      <c r="L119" s="349">
        <f>IF(A119="N/A"," ",VLOOKUP(A119,PeakPowerCurves,(IF('Pricing Inputs'!$AT$3=2,3,IF('Pricing Inputs'!$AT$3=1,2,4))),FALSE))</f>
        <v>31.074999999999999</v>
      </c>
      <c r="M119" s="349">
        <f>IF(A119="N/A"," ",VLOOKUP(A119,SatSunPeakPwr,(IF('Pricing Inputs'!$AT$3=2,3,IF('Pricing Inputs'!$AT$3=1,2,4))),FALSE))</f>
        <v>24.804751586914058</v>
      </c>
      <c r="N119" s="349">
        <f>IF(A119="N/A"," ",VLOOKUP(A119,SatSunPeakPwr,(IF('Pricing Inputs'!$AT$3=2,7,IF('Pricing Inputs'!$AT$3=1,6,8))),FALSE))</f>
        <v>22.804499816894527</v>
      </c>
      <c r="O119" s="350">
        <f>IF(A119="N/A"," ",(VLOOKUP(A119,OPPowerPrices,(IF('Pricing Inputs'!$AT$3=2,7,IF('Pricing Inputs'!$AT$3=1,6,8))),FALSE)))</f>
        <v>19.574998092651366</v>
      </c>
      <c r="P119" s="351">
        <f t="shared" ca="1" si="14"/>
        <v>3.7725</v>
      </c>
      <c r="AF119" s="241">
        <v>40057</v>
      </c>
      <c r="AG119" s="229">
        <v>21</v>
      </c>
      <c r="AH119" s="229">
        <v>4</v>
      </c>
      <c r="AI119" s="229">
        <v>4</v>
      </c>
      <c r="AJ119" s="229">
        <v>1</v>
      </c>
      <c r="AK119" s="229">
        <v>30</v>
      </c>
    </row>
    <row r="120" spans="1:37">
      <c r="A120" s="208">
        <f>Calculations!A87</f>
        <v>39417</v>
      </c>
      <c r="B120" s="237">
        <f>IF(A120="N/A"," ",IF(ISERROR(L120),B108*Inputs!$F$19,L120))</f>
        <v>30.95</v>
      </c>
      <c r="C120" s="239">
        <f t="shared" si="15"/>
        <v>0.97851944514721489</v>
      </c>
      <c r="D120" s="238">
        <f t="shared" si="11"/>
        <v>30.285176827306302</v>
      </c>
      <c r="E120" s="237">
        <f>IF(A120="N/A"," ",IF(ISERROR(M120),E108*Inputs!$F$19,M120))</f>
        <v>26.254998397827144</v>
      </c>
      <c r="F120" s="238">
        <f t="shared" si="12"/>
        <v>25.691026464582833</v>
      </c>
      <c r="G120" s="237">
        <f>IF(A120="N/A"," ",IF(ISERROR(N120),G108*Inputs!$F$19,N120))</f>
        <v>22.749999237060543</v>
      </c>
      <c r="H120" s="238">
        <f t="shared" si="13"/>
        <v>22.261316630548045</v>
      </c>
      <c r="I120" s="238">
        <f>IF(A120="N/A"," ",IF(ISERROR(O120),I108*Inputs!$F$19,O120))</f>
        <v>20.999999237060546</v>
      </c>
      <c r="J120" s="331">
        <f ca="1">IF(A120="N/A"," ",IF(ISERROR(P120),J108*Inputs!$F$23,P120))</f>
        <v>4.2115</v>
      </c>
      <c r="L120" s="349">
        <f>IF(A120="N/A"," ",VLOOKUP(A120,PeakPowerCurves,(IF('Pricing Inputs'!$AT$3=2,3,IF('Pricing Inputs'!$AT$3=1,2,4))),FALSE))</f>
        <v>30.95</v>
      </c>
      <c r="M120" s="349">
        <f>IF(A120="N/A"," ",VLOOKUP(A120,SatSunPeakPwr,(IF('Pricing Inputs'!$AT$3=2,3,IF('Pricing Inputs'!$AT$3=1,2,4))),FALSE))</f>
        <v>26.254998397827144</v>
      </c>
      <c r="N120" s="349">
        <f>IF(A120="N/A"," ",VLOOKUP(A120,SatSunPeakPwr,(IF('Pricing Inputs'!$AT$3=2,7,IF('Pricing Inputs'!$AT$3=1,6,8))),FALSE))</f>
        <v>22.749999237060543</v>
      </c>
      <c r="O120" s="350">
        <f>IF(A120="N/A"," ",(VLOOKUP(A120,OPPowerPrices,(IF('Pricing Inputs'!$AT$3=2,7,IF('Pricing Inputs'!$AT$3=1,6,8))),FALSE)))</f>
        <v>20.999999237060546</v>
      </c>
      <c r="P120" s="351">
        <f t="shared" ca="1" si="14"/>
        <v>4.2115</v>
      </c>
      <c r="AF120" s="241">
        <v>40087</v>
      </c>
      <c r="AG120" s="229">
        <v>22</v>
      </c>
      <c r="AH120" s="229">
        <v>5</v>
      </c>
      <c r="AI120" s="229">
        <v>4</v>
      </c>
      <c r="AJ120" s="229">
        <v>0</v>
      </c>
      <c r="AK120" s="229">
        <v>31</v>
      </c>
    </row>
    <row r="121" spans="1:37">
      <c r="A121" s="208">
        <f>Calculations!A88</f>
        <v>39448</v>
      </c>
      <c r="B121" s="237">
        <f>IF(A121="N/A"," ",IF(ISERROR(L121),B109*Inputs!$F$19,L121))</f>
        <v>37.049999999999997</v>
      </c>
      <c r="C121" s="239">
        <f t="shared" si="15"/>
        <v>0.96914576913143913</v>
      </c>
      <c r="D121" s="238">
        <f t="shared" si="11"/>
        <v>35.906850746319819</v>
      </c>
      <c r="E121" s="237">
        <f>IF(A121="N/A"," ",IF(ISERROR(M121),E109*Inputs!$F$19,M121))</f>
        <v>29.648748397827145</v>
      </c>
      <c r="F121" s="238">
        <f t="shared" si="12"/>
        <v>28.733959069796711</v>
      </c>
      <c r="G121" s="237">
        <f>IF(A121="N/A"," ",IF(ISERROR(N121),G109*Inputs!$F$19,N121))</f>
        <v>28.152500152587887</v>
      </c>
      <c r="H121" s="238">
        <f t="shared" si="13"/>
        <v>27.283876413352747</v>
      </c>
      <c r="I121" s="238">
        <f>IF(A121="N/A"," ",IF(ISERROR(O121),I109*Inputs!$F$19,O121))</f>
        <v>20.790000915527344</v>
      </c>
      <c r="J121" s="331">
        <f ca="1">IF(A121="N/A"," ",IF(ISERROR(P121),J109*Inputs!$F$23,P121))</f>
        <v>4.74</v>
      </c>
      <c r="L121" s="349">
        <f>IF(A121="N/A"," ",VLOOKUP(A121,PeakPowerCurves,(IF('Pricing Inputs'!$AT$3=2,3,IF('Pricing Inputs'!$AT$3=1,2,4))),FALSE))</f>
        <v>37.049999999999997</v>
      </c>
      <c r="M121" s="349">
        <f>IF(A121="N/A"," ",VLOOKUP(A121,SatSunPeakPwr,(IF('Pricing Inputs'!$AT$3=2,3,IF('Pricing Inputs'!$AT$3=1,2,4))),FALSE))</f>
        <v>29.648748397827145</v>
      </c>
      <c r="N121" s="349">
        <f>IF(A121="N/A"," ",VLOOKUP(A121,SatSunPeakPwr,(IF('Pricing Inputs'!$AT$3=2,7,IF('Pricing Inputs'!$AT$3=1,6,8))),FALSE))</f>
        <v>28.152500152587887</v>
      </c>
      <c r="O121" s="350">
        <f>IF(A121="N/A"," ",(VLOOKUP(A121,OPPowerPrices,(IF('Pricing Inputs'!$AT$3=2,7,IF('Pricing Inputs'!$AT$3=1,6,8))),FALSE)))</f>
        <v>20.790000915527344</v>
      </c>
      <c r="P121" s="351">
        <f t="shared" ca="1" si="14"/>
        <v>4.74</v>
      </c>
      <c r="AF121" s="241">
        <v>40118</v>
      </c>
      <c r="AG121" s="229">
        <v>20</v>
      </c>
      <c r="AH121" s="229">
        <v>4</v>
      </c>
      <c r="AI121" s="229">
        <v>5</v>
      </c>
      <c r="AJ121" s="229">
        <v>1</v>
      </c>
      <c r="AK121" s="229">
        <v>30</v>
      </c>
    </row>
    <row r="122" spans="1:37">
      <c r="A122" s="208">
        <f>Calculations!A89</f>
        <v>39479</v>
      </c>
      <c r="B122" s="237">
        <f>IF(A122="N/A"," ",IF(ISERROR(L122),B110*Inputs!$F$19,L122))</f>
        <v>37.049999999999997</v>
      </c>
      <c r="C122" s="239">
        <f t="shared" si="15"/>
        <v>0.96914576913143913</v>
      </c>
      <c r="D122" s="238">
        <f t="shared" si="11"/>
        <v>35.906850746319819</v>
      </c>
      <c r="E122" s="237">
        <f>IF(A122="N/A"," ",IF(ISERROR(M122),E110*Inputs!$F$19,M122))</f>
        <v>28.646250152587886</v>
      </c>
      <c r="F122" s="238">
        <f t="shared" si="12"/>
        <v>27.762392136861394</v>
      </c>
      <c r="G122" s="237">
        <f>IF(A122="N/A"," ",IF(ISERROR(N122),G110*Inputs!$F$19,N122))</f>
        <v>26.147499465942378</v>
      </c>
      <c r="H122" s="238">
        <f t="shared" si="13"/>
        <v>25.340738480784619</v>
      </c>
      <c r="I122" s="238">
        <f>IF(A122="N/A"," ",IF(ISERROR(O122),I110*Inputs!$F$19,O122))</f>
        <v>20.59999771118164</v>
      </c>
      <c r="J122" s="331">
        <f ca="1">IF(A122="N/A"," ",IF(ISERROR(P122),J110*Inputs!$F$23,P122))</f>
        <v>4.5220000000000002</v>
      </c>
      <c r="L122" s="349">
        <f>IF(A122="N/A"," ",VLOOKUP(A122,PeakPowerCurves,(IF('Pricing Inputs'!$AT$3=2,3,IF('Pricing Inputs'!$AT$3=1,2,4))),FALSE))</f>
        <v>37.049999999999997</v>
      </c>
      <c r="M122" s="349">
        <f>IF(A122="N/A"," ",VLOOKUP(A122,SatSunPeakPwr,(IF('Pricing Inputs'!$AT$3=2,3,IF('Pricing Inputs'!$AT$3=1,2,4))),FALSE))</f>
        <v>28.646250152587886</v>
      </c>
      <c r="N122" s="349">
        <f>IF(A122="N/A"," ",VLOOKUP(A122,SatSunPeakPwr,(IF('Pricing Inputs'!$AT$3=2,7,IF('Pricing Inputs'!$AT$3=1,6,8))),FALSE))</f>
        <v>26.147499465942378</v>
      </c>
      <c r="O122" s="350">
        <f>IF(A122="N/A"," ",(VLOOKUP(A122,OPPowerPrices,(IF('Pricing Inputs'!$AT$3=2,7,IF('Pricing Inputs'!$AT$3=1,6,8))),FALSE)))</f>
        <v>20.59999771118164</v>
      </c>
      <c r="P122" s="351">
        <f t="shared" ca="1" si="14"/>
        <v>4.5220000000000002</v>
      </c>
      <c r="AF122" s="241">
        <v>40148</v>
      </c>
      <c r="AG122" s="229">
        <v>22</v>
      </c>
      <c r="AH122" s="229">
        <v>4</v>
      </c>
      <c r="AI122" s="229">
        <v>4</v>
      </c>
      <c r="AJ122" s="229">
        <v>1</v>
      </c>
      <c r="AK122" s="229">
        <v>31</v>
      </c>
    </row>
    <row r="123" spans="1:37">
      <c r="A123" s="208">
        <f>Calculations!A90</f>
        <v>39508</v>
      </c>
      <c r="B123" s="237">
        <f>IF(A123="N/A"," ",IF(ISERROR(L123),B111*Inputs!$F$19,L123))</f>
        <v>33.299999999999997</v>
      </c>
      <c r="C123" s="239">
        <f t="shared" si="15"/>
        <v>0.97165000000000012</v>
      </c>
      <c r="D123" s="238">
        <f t="shared" si="11"/>
        <v>32.355944999999998</v>
      </c>
      <c r="E123" s="237">
        <f>IF(A123="N/A"," ",IF(ISERROR(M123),E111*Inputs!$F$19,M123))</f>
        <v>21.834749603271479</v>
      </c>
      <c r="F123" s="238">
        <f t="shared" si="12"/>
        <v>21.215734452018737</v>
      </c>
      <c r="G123" s="237">
        <f>IF(A123="N/A"," ",IF(ISERROR(N123),G111*Inputs!$F$19,N123))</f>
        <v>21.464498901367183</v>
      </c>
      <c r="H123" s="238">
        <f t="shared" si="13"/>
        <v>20.855980357513424</v>
      </c>
      <c r="I123" s="238">
        <f>IF(A123="N/A"," ",IF(ISERROR(O123),I111*Inputs!$F$19,O123))</f>
        <v>19.599999618530273</v>
      </c>
      <c r="J123" s="331">
        <f ca="1">IF(A123="N/A"," ",IF(ISERROR(P123),J111*Inputs!$F$23,P123))</f>
        <v>3.8719999999999999</v>
      </c>
      <c r="L123" s="349">
        <f>IF(A123="N/A"," ",VLOOKUP(A123,PeakPowerCurves,(IF('Pricing Inputs'!$AT$3=2,3,IF('Pricing Inputs'!$AT$3=1,2,4))),FALSE))</f>
        <v>33.299999999999997</v>
      </c>
      <c r="M123" s="349">
        <f>IF(A123="N/A"," ",VLOOKUP(A123,SatSunPeakPwr,(IF('Pricing Inputs'!$AT$3=2,3,IF('Pricing Inputs'!$AT$3=1,2,4))),FALSE))</f>
        <v>21.834749603271479</v>
      </c>
      <c r="N123" s="349">
        <f>IF(A123="N/A"," ",VLOOKUP(A123,SatSunPeakPwr,(IF('Pricing Inputs'!$AT$3=2,7,IF('Pricing Inputs'!$AT$3=1,6,8))),FALSE))</f>
        <v>21.464498901367183</v>
      </c>
      <c r="O123" s="350">
        <f>IF(A123="N/A"," ",(VLOOKUP(A123,OPPowerPrices,(IF('Pricing Inputs'!$AT$3=2,7,IF('Pricing Inputs'!$AT$3=1,6,8))),FALSE)))</f>
        <v>19.599999618530273</v>
      </c>
      <c r="P123" s="351">
        <f t="shared" ca="1" si="14"/>
        <v>3.8719999999999999</v>
      </c>
      <c r="AF123" s="241">
        <v>40179</v>
      </c>
      <c r="AG123" s="229">
        <v>20</v>
      </c>
      <c r="AH123" s="229">
        <v>5</v>
      </c>
      <c r="AI123" s="229">
        <v>5</v>
      </c>
      <c r="AJ123" s="229">
        <v>1</v>
      </c>
      <c r="AK123" s="229">
        <v>31</v>
      </c>
    </row>
    <row r="124" spans="1:37">
      <c r="A124" s="208">
        <f>Calculations!A91</f>
        <v>39539</v>
      </c>
      <c r="B124" s="237">
        <f>IF(A124="N/A"," ",IF(ISERROR(L124),B112*Inputs!$F$19,L124))</f>
        <v>32.049999999999997</v>
      </c>
      <c r="C124" s="239">
        <f t="shared" si="15"/>
        <v>0.92498900994989341</v>
      </c>
      <c r="D124" s="238">
        <f t="shared" si="11"/>
        <v>29.645897768894081</v>
      </c>
      <c r="E124" s="237">
        <f>IF(A124="N/A"," ",IF(ISERROR(M124),E112*Inputs!$F$19,M124))</f>
        <v>22.517500305175776</v>
      </c>
      <c r="F124" s="238">
        <f t="shared" si="12"/>
        <v>20.828440313830964</v>
      </c>
      <c r="G124" s="237">
        <f>IF(A124="N/A"," ",IF(ISERROR(N124),G112*Inputs!$F$19,N124))</f>
        <v>21.234999084472651</v>
      </c>
      <c r="H124" s="238">
        <f t="shared" si="13"/>
        <v>19.642140779433252</v>
      </c>
      <c r="I124" s="238">
        <f>IF(A124="N/A"," ",IF(ISERROR(O124),I112*Inputs!$F$19,O124))</f>
        <v>19.59999771118164</v>
      </c>
      <c r="J124" s="331">
        <f ca="1">IF(A124="N/A"," ",IF(ISERROR(P124),J112*Inputs!$F$23,P124))</f>
        <v>2.9056191597500001</v>
      </c>
      <c r="L124" s="349">
        <f>IF(A124="N/A"," ",VLOOKUP(A124,PeakPowerCurves,(IF('Pricing Inputs'!$AT$3=2,3,IF('Pricing Inputs'!$AT$3=1,2,4))),FALSE))</f>
        <v>32.049999999999997</v>
      </c>
      <c r="M124" s="349">
        <f>IF(A124="N/A"," ",VLOOKUP(A124,SatSunPeakPwr,(IF('Pricing Inputs'!$AT$3=2,3,IF('Pricing Inputs'!$AT$3=1,2,4))),FALSE))</f>
        <v>22.517500305175776</v>
      </c>
      <c r="N124" s="349">
        <f>IF(A124="N/A"," ",VLOOKUP(A124,SatSunPeakPwr,(IF('Pricing Inputs'!$AT$3=2,7,IF('Pricing Inputs'!$AT$3=1,6,8))),FALSE))</f>
        <v>21.234999084472651</v>
      </c>
      <c r="O124" s="350">
        <f>IF(A124="N/A"," ",(VLOOKUP(A124,OPPowerPrices,(IF('Pricing Inputs'!$AT$3=2,7,IF('Pricing Inputs'!$AT$3=1,6,8))),FALSE)))</f>
        <v>19.59999771118164</v>
      </c>
      <c r="P124" s="351">
        <f t="shared" ca="1" si="14"/>
        <v>2.9056191597500001</v>
      </c>
      <c r="AF124" s="241">
        <v>40210</v>
      </c>
      <c r="AG124" s="229">
        <v>20</v>
      </c>
      <c r="AH124" s="229">
        <v>4</v>
      </c>
      <c r="AI124" s="229">
        <v>4</v>
      </c>
      <c r="AJ124" s="229">
        <v>0</v>
      </c>
      <c r="AK124" s="229">
        <v>28</v>
      </c>
    </row>
    <row r="125" spans="1:37">
      <c r="A125" s="208">
        <f>Calculations!A92</f>
        <v>39569</v>
      </c>
      <c r="B125" s="237">
        <f>IF(A125="N/A"," ",IF(ISERROR(L125),B113*Inputs!$F$19,L125))</f>
        <v>34.049999999999997</v>
      </c>
      <c r="C125" s="239">
        <f t="shared" si="15"/>
        <v>0.97235546191844646</v>
      </c>
      <c r="D125" s="238">
        <f t="shared" si="11"/>
        <v>33.1087034783231</v>
      </c>
      <c r="E125" s="237">
        <f>IF(A125="N/A"," ",IF(ISERROR(M125),E113*Inputs!$F$19,M125))</f>
        <v>22.63250007629394</v>
      </c>
      <c r="F125" s="238">
        <f t="shared" si="12"/>
        <v>22.006835066054069</v>
      </c>
      <c r="G125" s="237">
        <f>IF(A125="N/A"," ",IF(ISERROR(N125),G113*Inputs!$F$19,N125))</f>
        <v>21.764999771118159</v>
      </c>
      <c r="H125" s="238">
        <f t="shared" si="13"/>
        <v>21.163316406100478</v>
      </c>
      <c r="I125" s="238">
        <f>IF(A125="N/A"," ",IF(ISERROR(O125),I113*Inputs!$F$19,O125))</f>
        <v>19.59999771118164</v>
      </c>
      <c r="J125" s="331">
        <f ca="1">IF(A125="N/A"," ",IF(ISERROR(P125),J113*Inputs!$F$23,P125))</f>
        <v>2.8796170310000004</v>
      </c>
      <c r="L125" s="349">
        <f>IF(A125="N/A"," ",VLOOKUP(A125,PeakPowerCurves,(IF('Pricing Inputs'!$AT$3=2,3,IF('Pricing Inputs'!$AT$3=1,2,4))),FALSE))</f>
        <v>34.049999999999997</v>
      </c>
      <c r="M125" s="349">
        <f>IF(A125="N/A"," ",VLOOKUP(A125,SatSunPeakPwr,(IF('Pricing Inputs'!$AT$3=2,3,IF('Pricing Inputs'!$AT$3=1,2,4))),FALSE))</f>
        <v>22.63250007629394</v>
      </c>
      <c r="N125" s="349">
        <f>IF(A125="N/A"," ",VLOOKUP(A125,SatSunPeakPwr,(IF('Pricing Inputs'!$AT$3=2,7,IF('Pricing Inputs'!$AT$3=1,6,8))),FALSE))</f>
        <v>21.764999771118159</v>
      </c>
      <c r="O125" s="350">
        <f>IF(A125="N/A"," ",(VLOOKUP(A125,OPPowerPrices,(IF('Pricing Inputs'!$AT$3=2,7,IF('Pricing Inputs'!$AT$3=1,6,8))),FALSE)))</f>
        <v>19.59999771118164</v>
      </c>
      <c r="P125" s="351">
        <f t="shared" ca="1" si="14"/>
        <v>2.8796170310000004</v>
      </c>
      <c r="AF125" s="241">
        <v>40238</v>
      </c>
      <c r="AG125" s="229">
        <v>23</v>
      </c>
      <c r="AH125" s="229">
        <v>4</v>
      </c>
      <c r="AI125" s="229">
        <v>4</v>
      </c>
      <c r="AJ125" s="229">
        <v>0</v>
      </c>
      <c r="AK125" s="229">
        <v>31</v>
      </c>
    </row>
    <row r="126" spans="1:37">
      <c r="A126" s="208">
        <f>Calculations!A93</f>
        <v>39600</v>
      </c>
      <c r="B126" s="237">
        <f>IF(A126="N/A"," ",IF(ISERROR(L126),B114*Inputs!$F$19,L126))</f>
        <v>50.25</v>
      </c>
      <c r="C126" s="239">
        <f t="shared" si="15"/>
        <v>1.1402927483957555</v>
      </c>
      <c r="D126" s="238">
        <f t="shared" si="11"/>
        <v>57.299710606886713</v>
      </c>
      <c r="E126" s="237">
        <f>IF(A126="N/A"," ",IF(ISERROR(M126),E114*Inputs!$F$19,M126))</f>
        <v>27.058750152587887</v>
      </c>
      <c r="F126" s="238">
        <f t="shared" si="12"/>
        <v>30.854896579648511</v>
      </c>
      <c r="G126" s="237">
        <f>IF(A126="N/A"," ",IF(ISERROR(N126),G114*Inputs!$F$19,N126))</f>
        <v>20.542499542236325</v>
      </c>
      <c r="H126" s="238">
        <f t="shared" si="13"/>
        <v>23.424463261935205</v>
      </c>
      <c r="I126" s="238">
        <f>IF(A126="N/A"," ",IF(ISERROR(O126),I114*Inputs!$F$19,O126))</f>
        <v>19.554998779296874</v>
      </c>
      <c r="J126" s="331">
        <f ca="1">IF(A126="N/A"," ",IF(ISERROR(P126),J114*Inputs!$F$23,P126))</f>
        <v>2.8856170309999998</v>
      </c>
      <c r="L126" s="349">
        <f>IF(A126="N/A"," ",VLOOKUP(A126,PeakPowerCurves,(IF('Pricing Inputs'!$AT$3=2,3,IF('Pricing Inputs'!$AT$3=1,2,4))),FALSE))</f>
        <v>50.25</v>
      </c>
      <c r="M126" s="349">
        <f>IF(A126="N/A"," ",VLOOKUP(A126,SatSunPeakPwr,(IF('Pricing Inputs'!$AT$3=2,3,IF('Pricing Inputs'!$AT$3=1,2,4))),FALSE))</f>
        <v>27.058750152587887</v>
      </c>
      <c r="N126" s="349">
        <f>IF(A126="N/A"," ",VLOOKUP(A126,SatSunPeakPwr,(IF('Pricing Inputs'!$AT$3=2,7,IF('Pricing Inputs'!$AT$3=1,6,8))),FALSE))</f>
        <v>20.542499542236325</v>
      </c>
      <c r="O126" s="350">
        <f>IF(A126="N/A"," ",(VLOOKUP(A126,OPPowerPrices,(IF('Pricing Inputs'!$AT$3=2,7,IF('Pricing Inputs'!$AT$3=1,6,8))),FALSE)))</f>
        <v>19.554998779296874</v>
      </c>
      <c r="P126" s="351">
        <f t="shared" ca="1" si="14"/>
        <v>2.8856170309999998</v>
      </c>
      <c r="AF126" s="241">
        <v>40269</v>
      </c>
      <c r="AG126" s="229">
        <v>22</v>
      </c>
      <c r="AH126" s="229">
        <v>4</v>
      </c>
      <c r="AI126" s="229">
        <v>4</v>
      </c>
      <c r="AJ126" s="229">
        <v>0</v>
      </c>
      <c r="AK126" s="229">
        <v>30</v>
      </c>
    </row>
    <row r="127" spans="1:37">
      <c r="A127" s="208">
        <f>Calculations!A94</f>
        <v>39630</v>
      </c>
      <c r="B127" s="237">
        <f>IF(A127="N/A"," ",IF(ISERROR(L127),B115*Inputs!$F$19,L127))</f>
        <v>72.5</v>
      </c>
      <c r="C127" s="239">
        <f t="shared" si="15"/>
        <v>1.1916649145636689</v>
      </c>
      <c r="D127" s="238">
        <f t="shared" si="11"/>
        <v>86.395706305865986</v>
      </c>
      <c r="E127" s="237">
        <f>IF(A127="N/A"," ",IF(ISERROR(M127),E115*Inputs!$F$19,M127))</f>
        <v>40.261249542236342</v>
      </c>
      <c r="F127" s="238">
        <f t="shared" si="12"/>
        <v>47.977918495975622</v>
      </c>
      <c r="G127" s="237">
        <f>IF(A127="N/A"," ",IF(ISERROR(N127),G115*Inputs!$F$19,N127))</f>
        <v>29.747499465942379</v>
      </c>
      <c r="H127" s="238">
        <f t="shared" si="13"/>
        <v>35.449051409565008</v>
      </c>
      <c r="I127" s="238">
        <f>IF(A127="N/A"," ",IF(ISERROR(O127),I115*Inputs!$F$19,O127))</f>
        <v>24.049997711181639</v>
      </c>
      <c r="J127" s="331">
        <f ca="1">IF(A127="N/A"," ",IF(ISERROR(P127),J115*Inputs!$F$23,P127))</f>
        <v>2.8956170309999996</v>
      </c>
      <c r="L127" s="349">
        <f>IF(A127="N/A"," ",VLOOKUP(A127,PeakPowerCurves,(IF('Pricing Inputs'!$AT$3=2,3,IF('Pricing Inputs'!$AT$3=1,2,4))),FALSE))</f>
        <v>72.5</v>
      </c>
      <c r="M127" s="349">
        <f>IF(A127="N/A"," ",VLOOKUP(A127,SatSunPeakPwr,(IF('Pricing Inputs'!$AT$3=2,3,IF('Pricing Inputs'!$AT$3=1,2,4))),FALSE))</f>
        <v>40.261249542236342</v>
      </c>
      <c r="N127" s="349">
        <f>IF(A127="N/A"," ",VLOOKUP(A127,SatSunPeakPwr,(IF('Pricing Inputs'!$AT$3=2,7,IF('Pricing Inputs'!$AT$3=1,6,8))),FALSE))</f>
        <v>29.747499465942379</v>
      </c>
      <c r="O127" s="350">
        <f>IF(A127="N/A"," ",(VLOOKUP(A127,OPPowerPrices,(IF('Pricing Inputs'!$AT$3=2,7,IF('Pricing Inputs'!$AT$3=1,6,8))),FALSE)))</f>
        <v>24.049997711181639</v>
      </c>
      <c r="P127" s="351">
        <f t="shared" ca="1" si="14"/>
        <v>2.8956170309999996</v>
      </c>
      <c r="AF127" s="241">
        <v>40299</v>
      </c>
      <c r="AG127" s="229">
        <v>20</v>
      </c>
      <c r="AH127" s="229">
        <v>5</v>
      </c>
      <c r="AI127" s="229">
        <v>5</v>
      </c>
      <c r="AJ127" s="229">
        <v>1</v>
      </c>
      <c r="AK127" s="229">
        <v>31</v>
      </c>
    </row>
    <row r="128" spans="1:37">
      <c r="A128" s="208">
        <f>Calculations!A95</f>
        <v>39661</v>
      </c>
      <c r="B128" s="237">
        <f>IF(A128="N/A"," ",IF(ISERROR(L128),B116*Inputs!$F$19,L128))</f>
        <v>68</v>
      </c>
      <c r="C128" s="239">
        <f t="shared" si="15"/>
        <v>1.1089289483683031</v>
      </c>
      <c r="D128" s="238">
        <f t="shared" si="11"/>
        <v>75.407168489044608</v>
      </c>
      <c r="E128" s="237">
        <f>IF(A128="N/A"," ",IF(ISERROR(M128),E116*Inputs!$F$19,M128))</f>
        <v>42.52249908447267</v>
      </c>
      <c r="F128" s="238">
        <f t="shared" si="12"/>
        <v>47.154430191736409</v>
      </c>
      <c r="G128" s="237">
        <f>IF(A128="N/A"," ",IF(ISERROR(N128),G116*Inputs!$F$19,N128))</f>
        <v>31.245000839233395</v>
      </c>
      <c r="H128" s="238">
        <f t="shared" si="13"/>
        <v>34.648485922417841</v>
      </c>
      <c r="I128" s="238">
        <f>IF(A128="N/A"," ",IF(ISERROR(O128),I116*Inputs!$F$19,O128))</f>
        <v>24.399998092651366</v>
      </c>
      <c r="J128" s="331">
        <f ca="1">IF(A128="N/A"," ",IF(ISERROR(P128),J116*Inputs!$F$23,P128))</f>
        <v>2.9026170310000001</v>
      </c>
      <c r="L128" s="349">
        <f>IF(A128="N/A"," ",VLOOKUP(A128,PeakPowerCurves,(IF('Pricing Inputs'!$AT$3=2,3,IF('Pricing Inputs'!$AT$3=1,2,4))),FALSE))</f>
        <v>68</v>
      </c>
      <c r="M128" s="349">
        <f>IF(A128="N/A"," ",VLOOKUP(A128,SatSunPeakPwr,(IF('Pricing Inputs'!$AT$3=2,3,IF('Pricing Inputs'!$AT$3=1,2,4))),FALSE))</f>
        <v>42.52249908447267</v>
      </c>
      <c r="N128" s="349">
        <f>IF(A128="N/A"," ",VLOOKUP(A128,SatSunPeakPwr,(IF('Pricing Inputs'!$AT$3=2,7,IF('Pricing Inputs'!$AT$3=1,6,8))),FALSE))</f>
        <v>31.245000839233395</v>
      </c>
      <c r="O128" s="350">
        <f>IF(A128="N/A"," ",(VLOOKUP(A128,OPPowerPrices,(IF('Pricing Inputs'!$AT$3=2,7,IF('Pricing Inputs'!$AT$3=1,6,8))),FALSE)))</f>
        <v>24.399998092651366</v>
      </c>
      <c r="P128" s="351">
        <f t="shared" ca="1" si="14"/>
        <v>2.9026170310000001</v>
      </c>
      <c r="AF128" s="241">
        <v>40330</v>
      </c>
      <c r="AG128" s="229">
        <v>22</v>
      </c>
      <c r="AH128" s="229">
        <v>4</v>
      </c>
      <c r="AI128" s="229">
        <v>4</v>
      </c>
      <c r="AJ128" s="229">
        <v>0</v>
      </c>
      <c r="AK128" s="229">
        <v>30</v>
      </c>
    </row>
    <row r="129" spans="1:37">
      <c r="A129" s="208">
        <f>Calculations!A96</f>
        <v>39692</v>
      </c>
      <c r="B129" s="237">
        <f>IF(A129="N/A"," ",IF(ISERROR(L129),B117*Inputs!$F$19,L129))</f>
        <v>33.049999999999997</v>
      </c>
      <c r="C129" s="239">
        <f t="shared" si="15"/>
        <v>1.0965337923205105</v>
      </c>
      <c r="D129" s="238">
        <f t="shared" si="11"/>
        <v>36.240441836192872</v>
      </c>
      <c r="E129" s="237">
        <f>IF(A129="N/A"," ",IF(ISERROR(M129),E117*Inputs!$F$19,M129))</f>
        <v>23.904999160766597</v>
      </c>
      <c r="F129" s="238">
        <f t="shared" si="12"/>
        <v>26.212639385174018</v>
      </c>
      <c r="G129" s="237">
        <f>IF(A129="N/A"," ",IF(ISERROR(N129),G117*Inputs!$F$19,N129))</f>
        <v>24.4</v>
      </c>
      <c r="H129" s="238">
        <f t="shared" si="13"/>
        <v>26.755424532620456</v>
      </c>
      <c r="I129" s="238">
        <f>IF(A129="N/A"," ",IF(ISERROR(O129),I117*Inputs!$F$19,O129))</f>
        <v>19.949998092651366</v>
      </c>
      <c r="J129" s="331">
        <f ca="1">IF(A129="N/A"," ",IF(ISERROR(P129),J117*Inputs!$F$23,P129))</f>
        <v>2.9096170309999998</v>
      </c>
      <c r="L129" s="349">
        <f>IF(A129="N/A"," ",VLOOKUP(A129,PeakPowerCurves,(IF('Pricing Inputs'!$AT$3=2,3,IF('Pricing Inputs'!$AT$3=1,2,4))),FALSE))</f>
        <v>33.049999999999997</v>
      </c>
      <c r="M129" s="349">
        <f>IF(A129="N/A"," ",VLOOKUP(A129,SatSunPeakPwr,(IF('Pricing Inputs'!$AT$3=2,3,IF('Pricing Inputs'!$AT$3=1,2,4))),FALSE))</f>
        <v>23.904999160766597</v>
      </c>
      <c r="N129" s="349">
        <f>IF(A129="N/A"," ",VLOOKUP(A129,SatSunPeakPwr,(IF('Pricing Inputs'!$AT$3=2,7,IF('Pricing Inputs'!$AT$3=1,6,8))),FALSE))</f>
        <v>24.4</v>
      </c>
      <c r="O129" s="350">
        <f>IF(A129="N/A"," ",(VLOOKUP(A129,OPPowerPrices,(IF('Pricing Inputs'!$AT$3=2,7,IF('Pricing Inputs'!$AT$3=1,6,8))),FALSE)))</f>
        <v>19.949998092651366</v>
      </c>
      <c r="P129" s="351">
        <f t="shared" ca="1" si="14"/>
        <v>2.9096170309999998</v>
      </c>
      <c r="AF129" s="241">
        <v>40360</v>
      </c>
      <c r="AG129" s="229">
        <v>21</v>
      </c>
      <c r="AH129" s="229">
        <v>5</v>
      </c>
      <c r="AI129" s="229">
        <v>4</v>
      </c>
      <c r="AJ129" s="229">
        <v>1</v>
      </c>
      <c r="AK129" s="229">
        <v>31</v>
      </c>
    </row>
    <row r="130" spans="1:37">
      <c r="A130" s="208">
        <f>Calculations!A97</f>
        <v>39722</v>
      </c>
      <c r="B130" s="237">
        <f>IF(A130="N/A"," ",IF(ISERROR(L130),B118*Inputs!$F$19,L130))</f>
        <v>30.8</v>
      </c>
      <c r="C130" s="239">
        <f t="shared" si="15"/>
        <v>0.98692500000000005</v>
      </c>
      <c r="D130" s="238">
        <f t="shared" si="11"/>
        <v>30.397290000000002</v>
      </c>
      <c r="E130" s="237">
        <f>IF(A130="N/A"," ",IF(ISERROR(M130),E118*Inputs!$F$19,M130))</f>
        <v>24.000500106811518</v>
      </c>
      <c r="F130" s="238">
        <f t="shared" si="12"/>
        <v>23.686693567914958</v>
      </c>
      <c r="G130" s="237">
        <f>IF(A130="N/A"," ",IF(ISERROR(N130),G118*Inputs!$F$19,N130))</f>
        <v>22.000999832153315</v>
      </c>
      <c r="H130" s="238">
        <f t="shared" si="13"/>
        <v>21.713336759347911</v>
      </c>
      <c r="I130" s="238">
        <f>IF(A130="N/A"," ",IF(ISERROR(O130),I118*Inputs!$F$19,O130))</f>
        <v>19.64999885559082</v>
      </c>
      <c r="J130" s="331">
        <f ca="1">IF(A130="N/A"," ",IF(ISERROR(P130),J118*Inputs!$F$23,P130))</f>
        <v>2.9356170309999996</v>
      </c>
      <c r="L130" s="349">
        <f>IF(A130="N/A"," ",VLOOKUP(A130,PeakPowerCurves,(IF('Pricing Inputs'!$AT$3=2,3,IF('Pricing Inputs'!$AT$3=1,2,4))),FALSE))</f>
        <v>30.8</v>
      </c>
      <c r="M130" s="349">
        <f>IF(A130="N/A"," ",VLOOKUP(A130,SatSunPeakPwr,(IF('Pricing Inputs'!$AT$3=2,3,IF('Pricing Inputs'!$AT$3=1,2,4))),FALSE))</f>
        <v>24.000500106811518</v>
      </c>
      <c r="N130" s="349">
        <f>IF(A130="N/A"," ",VLOOKUP(A130,SatSunPeakPwr,(IF('Pricing Inputs'!$AT$3=2,7,IF('Pricing Inputs'!$AT$3=1,6,8))),FALSE))</f>
        <v>22.000999832153315</v>
      </c>
      <c r="O130" s="350">
        <f>IF(A130="N/A"," ",(VLOOKUP(A130,OPPowerPrices,(IF('Pricing Inputs'!$AT$3=2,7,IF('Pricing Inputs'!$AT$3=1,6,8))),FALSE)))</f>
        <v>19.64999885559082</v>
      </c>
      <c r="P130" s="351">
        <f t="shared" ca="1" si="14"/>
        <v>2.9356170309999996</v>
      </c>
      <c r="AF130" s="241">
        <v>40391</v>
      </c>
      <c r="AG130" s="229">
        <v>22</v>
      </c>
      <c r="AH130" s="229">
        <v>4</v>
      </c>
      <c r="AI130" s="229">
        <v>5</v>
      </c>
      <c r="AJ130" s="229">
        <v>0</v>
      </c>
      <c r="AK130" s="229">
        <v>31</v>
      </c>
    </row>
    <row r="131" spans="1:37">
      <c r="A131" s="208">
        <f>Calculations!A98</f>
        <v>39753</v>
      </c>
      <c r="B131" s="237">
        <f>IF(A131="N/A"," ",IF(ISERROR(L131),B119*Inputs!$F$19,L131))</f>
        <v>31.175000000000001</v>
      </c>
      <c r="C131" s="239">
        <f t="shared" si="15"/>
        <v>0.98922500000000002</v>
      </c>
      <c r="D131" s="238">
        <f t="shared" si="11"/>
        <v>30.839089375</v>
      </c>
      <c r="E131" s="237">
        <f>IF(A131="N/A"," ",IF(ISERROR(M131),E119*Inputs!$F$19,M131))</f>
        <v>25.004751586914058</v>
      </c>
      <c r="F131" s="238">
        <f t="shared" si="12"/>
        <v>24.735325388565059</v>
      </c>
      <c r="G131" s="237">
        <f>IF(A131="N/A"," ",IF(ISERROR(N131),G119*Inputs!$F$19,N131))</f>
        <v>23.004499816894526</v>
      </c>
      <c r="H131" s="238">
        <f t="shared" si="13"/>
        <v>22.756626331367489</v>
      </c>
      <c r="I131" s="238">
        <f>IF(A131="N/A"," ",IF(ISERROR(O131),I119*Inputs!$F$19,O131))</f>
        <v>19.574998092651366</v>
      </c>
      <c r="J131" s="331">
        <f ca="1">IF(A131="N/A"," ",IF(ISERROR(P131),J119*Inputs!$F$23,P131))</f>
        <v>3.8374999999999999</v>
      </c>
      <c r="L131" s="349">
        <f>IF(A131="N/A"," ",VLOOKUP(A131,PeakPowerCurves,(IF('Pricing Inputs'!$AT$3=2,3,IF('Pricing Inputs'!$AT$3=1,2,4))),FALSE))</f>
        <v>31.175000000000001</v>
      </c>
      <c r="M131" s="349">
        <f>IF(A131="N/A"," ",VLOOKUP(A131,SatSunPeakPwr,(IF('Pricing Inputs'!$AT$3=2,3,IF('Pricing Inputs'!$AT$3=1,2,4))),FALSE))</f>
        <v>25.004751586914058</v>
      </c>
      <c r="N131" s="349">
        <f>IF(A131="N/A"," ",VLOOKUP(A131,SatSunPeakPwr,(IF('Pricing Inputs'!$AT$3=2,7,IF('Pricing Inputs'!$AT$3=1,6,8))),FALSE))</f>
        <v>23.004499816894526</v>
      </c>
      <c r="O131" s="350">
        <f>IF(A131="N/A"," ",(VLOOKUP(A131,OPPowerPrices,(IF('Pricing Inputs'!$AT$3=2,7,IF('Pricing Inputs'!$AT$3=1,6,8))),FALSE)))</f>
        <v>19.574998092651366</v>
      </c>
      <c r="P131" s="351">
        <f t="shared" ca="1" si="14"/>
        <v>3.8374999999999999</v>
      </c>
      <c r="AF131" s="241">
        <v>40422</v>
      </c>
      <c r="AG131" s="229">
        <v>21</v>
      </c>
      <c r="AH131" s="229">
        <v>4</v>
      </c>
      <c r="AI131" s="229">
        <v>4</v>
      </c>
      <c r="AJ131" s="229">
        <v>1</v>
      </c>
      <c r="AK131" s="229">
        <v>30</v>
      </c>
    </row>
    <row r="132" spans="1:37">
      <c r="A132" s="208">
        <f>Calculations!A99</f>
        <v>39783</v>
      </c>
      <c r="B132" s="237">
        <f>IF(A132="N/A"," ",IF(ISERROR(L132),B120*Inputs!$F$19,L132))</f>
        <v>31.05</v>
      </c>
      <c r="C132" s="239">
        <f t="shared" si="15"/>
        <v>0.97851944514721489</v>
      </c>
      <c r="D132" s="238">
        <f t="shared" si="11"/>
        <v>30.383028771821024</v>
      </c>
      <c r="E132" s="237">
        <f>IF(A132="N/A"," ",IF(ISERROR(M132),E120*Inputs!$F$19,M132))</f>
        <v>26.454998397827143</v>
      </c>
      <c r="F132" s="238">
        <f t="shared" si="12"/>
        <v>25.886730353612275</v>
      </c>
      <c r="G132" s="237">
        <f>IF(A132="N/A"," ",IF(ISERROR(N132),G120*Inputs!$F$19,N132))</f>
        <v>22.949999237060542</v>
      </c>
      <c r="H132" s="238">
        <f t="shared" si="13"/>
        <v>22.457020519577487</v>
      </c>
      <c r="I132" s="238">
        <f>IF(A132="N/A"," ",IF(ISERROR(O132),I120*Inputs!$F$19,O132))</f>
        <v>20.999999237060546</v>
      </c>
      <c r="J132" s="331">
        <f ca="1">IF(A132="N/A"," ",IF(ISERROR(P132),J120*Inputs!$F$23,P132))</f>
        <v>4.2765000000000004</v>
      </c>
      <c r="L132" s="349">
        <f>IF(A132="N/A"," ",VLOOKUP(A132,PeakPowerCurves,(IF('Pricing Inputs'!$AT$3=2,3,IF('Pricing Inputs'!$AT$3=1,2,4))),FALSE))</f>
        <v>31.05</v>
      </c>
      <c r="M132" s="349">
        <f>IF(A132="N/A"," ",VLOOKUP(A132,SatSunPeakPwr,(IF('Pricing Inputs'!$AT$3=2,3,IF('Pricing Inputs'!$AT$3=1,2,4))),FALSE))</f>
        <v>26.454998397827143</v>
      </c>
      <c r="N132" s="349">
        <f>IF(A132="N/A"," ",VLOOKUP(A132,SatSunPeakPwr,(IF('Pricing Inputs'!$AT$3=2,7,IF('Pricing Inputs'!$AT$3=1,6,8))),FALSE))</f>
        <v>22.949999237060542</v>
      </c>
      <c r="O132" s="350">
        <f>IF(A132="N/A"," ",(VLOOKUP(A132,OPPowerPrices,(IF('Pricing Inputs'!$AT$3=2,7,IF('Pricing Inputs'!$AT$3=1,6,8))),FALSE)))</f>
        <v>20.999999237060546</v>
      </c>
      <c r="P132" s="351">
        <f t="shared" ca="1" si="14"/>
        <v>4.2765000000000004</v>
      </c>
      <c r="AF132" s="241">
        <v>40452</v>
      </c>
      <c r="AG132" s="229">
        <v>21</v>
      </c>
      <c r="AH132" s="229">
        <v>5</v>
      </c>
      <c r="AI132" s="229">
        <v>5</v>
      </c>
      <c r="AJ132" s="229">
        <v>0</v>
      </c>
      <c r="AK132" s="229">
        <v>31</v>
      </c>
    </row>
    <row r="133" spans="1:37">
      <c r="A133" s="208">
        <f>Calculations!A100</f>
        <v>39814</v>
      </c>
      <c r="B133" s="237">
        <f>IF(A133="N/A"," ",IF(ISERROR(L133),B121*Inputs!$F$19,L133))</f>
        <v>37.15</v>
      </c>
      <c r="C133" s="239">
        <f t="shared" si="15"/>
        <v>0.96914576913143913</v>
      </c>
      <c r="D133" s="238">
        <f t="shared" si="11"/>
        <v>36.003765323232962</v>
      </c>
      <c r="E133" s="237">
        <f>IF(A133="N/A"," ",IF(ISERROR(M133),E121*Inputs!$F$19,M133))</f>
        <v>29.848748397827144</v>
      </c>
      <c r="F133" s="238">
        <f t="shared" si="12"/>
        <v>28.927788223623001</v>
      </c>
      <c r="G133" s="237">
        <f>IF(A133="N/A"," ",IF(ISERROR(N133),G121*Inputs!$F$19,N133))</f>
        <v>28.352500152587886</v>
      </c>
      <c r="H133" s="238">
        <f t="shared" si="13"/>
        <v>27.477705567179033</v>
      </c>
      <c r="I133" s="238">
        <f>IF(A133="N/A"," ",IF(ISERROR(O133),I121*Inputs!$F$19,O133))</f>
        <v>20.990000915527343</v>
      </c>
      <c r="J133" s="331">
        <f ca="1">IF(A133="N/A"," ",IF(ISERROR(P133),J121*Inputs!$F$23,P133))</f>
        <v>4.8100000000000005</v>
      </c>
      <c r="L133" s="349">
        <f>IF(A133="N/A"," ",VLOOKUP(A133,PeakPowerCurves,(IF('Pricing Inputs'!$AT$3=2,3,IF('Pricing Inputs'!$AT$3=1,2,4))),FALSE))</f>
        <v>37.15</v>
      </c>
      <c r="M133" s="349">
        <f>IF(A133="N/A"," ",VLOOKUP(A133,SatSunPeakPwr,(IF('Pricing Inputs'!$AT$3=2,3,IF('Pricing Inputs'!$AT$3=1,2,4))),FALSE))</f>
        <v>29.848748397827144</v>
      </c>
      <c r="N133" s="349">
        <f>IF(A133="N/A"," ",VLOOKUP(A133,SatSunPeakPwr,(IF('Pricing Inputs'!$AT$3=2,7,IF('Pricing Inputs'!$AT$3=1,6,8))),FALSE))</f>
        <v>28.352500152587886</v>
      </c>
      <c r="O133" s="350">
        <f>IF(A133="N/A"," ",(VLOOKUP(A133,OPPowerPrices,(IF('Pricing Inputs'!$AT$3=2,7,IF('Pricing Inputs'!$AT$3=1,6,8))),FALSE)))</f>
        <v>20.990000915527343</v>
      </c>
      <c r="P133" s="351">
        <f t="shared" ca="1" si="14"/>
        <v>4.8100000000000005</v>
      </c>
      <c r="AF133" s="241">
        <v>40483</v>
      </c>
      <c r="AG133" s="229">
        <v>21</v>
      </c>
      <c r="AH133" s="229">
        <v>4</v>
      </c>
      <c r="AI133" s="229">
        <v>4</v>
      </c>
      <c r="AJ133" s="229">
        <v>1</v>
      </c>
      <c r="AK133" s="229">
        <v>30</v>
      </c>
    </row>
    <row r="134" spans="1:37">
      <c r="A134" s="208">
        <f>Calculations!A101</f>
        <v>39845</v>
      </c>
      <c r="B134" s="237">
        <f>IF(A134="N/A"," ",IF(ISERROR(L134),B122*Inputs!$F$19,L134))</f>
        <v>37.15</v>
      </c>
      <c r="C134" s="239">
        <f t="shared" si="15"/>
        <v>0.96914576913143913</v>
      </c>
      <c r="D134" s="238">
        <f t="shared" si="11"/>
        <v>36.003765323232962</v>
      </c>
      <c r="E134" s="237">
        <f>IF(A134="N/A"," ",IF(ISERROR(M134),E122*Inputs!$F$19,M134))</f>
        <v>28.846250152587885</v>
      </c>
      <c r="F134" s="238">
        <f t="shared" si="12"/>
        <v>27.956221290687679</v>
      </c>
      <c r="G134" s="237">
        <f>IF(A134="N/A"," ",IF(ISERROR(N134),G122*Inputs!$F$19,N134))</f>
        <v>26.347499465942377</v>
      </c>
      <c r="H134" s="238">
        <f t="shared" si="13"/>
        <v>25.534567634610905</v>
      </c>
      <c r="I134" s="238">
        <f>IF(A134="N/A"," ",IF(ISERROR(O134),I122*Inputs!$F$19,O134))</f>
        <v>20.799997711181639</v>
      </c>
      <c r="J134" s="331">
        <f ca="1">IF(A134="N/A"," ",IF(ISERROR(P134),J122*Inputs!$F$23,P134))</f>
        <v>4.5920000000000005</v>
      </c>
      <c r="L134" s="349">
        <f>IF(A134="N/A"," ",VLOOKUP(A134,PeakPowerCurves,(IF('Pricing Inputs'!$AT$3=2,3,IF('Pricing Inputs'!$AT$3=1,2,4))),FALSE))</f>
        <v>37.15</v>
      </c>
      <c r="M134" s="349">
        <f>IF(A134="N/A"," ",VLOOKUP(A134,SatSunPeakPwr,(IF('Pricing Inputs'!$AT$3=2,3,IF('Pricing Inputs'!$AT$3=1,2,4))),FALSE))</f>
        <v>28.846250152587885</v>
      </c>
      <c r="N134" s="349">
        <f>IF(A134="N/A"," ",VLOOKUP(A134,SatSunPeakPwr,(IF('Pricing Inputs'!$AT$3=2,7,IF('Pricing Inputs'!$AT$3=1,6,8))),FALSE))</f>
        <v>26.347499465942377</v>
      </c>
      <c r="O134" s="350">
        <f>IF(A134="N/A"," ",(VLOOKUP(A134,OPPowerPrices,(IF('Pricing Inputs'!$AT$3=2,7,IF('Pricing Inputs'!$AT$3=1,6,8))),FALSE)))</f>
        <v>20.799997711181639</v>
      </c>
      <c r="P134" s="351">
        <f t="shared" ca="1" si="14"/>
        <v>4.5920000000000005</v>
      </c>
      <c r="AF134" s="241">
        <v>40513</v>
      </c>
      <c r="AG134" s="229">
        <v>23</v>
      </c>
      <c r="AH134" s="229">
        <v>3</v>
      </c>
      <c r="AI134" s="229">
        <v>4</v>
      </c>
      <c r="AJ134" s="229">
        <v>1</v>
      </c>
      <c r="AK134" s="229">
        <v>31</v>
      </c>
    </row>
    <row r="135" spans="1:37">
      <c r="A135" s="208">
        <f>Calculations!A102</f>
        <v>39873</v>
      </c>
      <c r="B135" s="237">
        <f>IF(A135="N/A"," ",IF(ISERROR(L135),B123*Inputs!$F$19,L135))</f>
        <v>33.4</v>
      </c>
      <c r="C135" s="239">
        <f t="shared" si="15"/>
        <v>0.97165000000000012</v>
      </c>
      <c r="D135" s="238">
        <f t="shared" si="11"/>
        <v>32.453110000000002</v>
      </c>
      <c r="E135" s="237">
        <f>IF(A135="N/A"," ",IF(ISERROR(M135),E123*Inputs!$F$19,M135))</f>
        <v>22.034749603271479</v>
      </c>
      <c r="F135" s="238">
        <f t="shared" si="12"/>
        <v>21.410064452018734</v>
      </c>
      <c r="G135" s="237">
        <f>IF(A135="N/A"," ",IF(ISERROR(N135),G123*Inputs!$F$19,N135))</f>
        <v>21.664498901367182</v>
      </c>
      <c r="H135" s="238">
        <f t="shared" si="13"/>
        <v>21.050310357513425</v>
      </c>
      <c r="I135" s="238">
        <f>IF(A135="N/A"," ",IF(ISERROR(O135),I123*Inputs!$F$19,O135))</f>
        <v>19.799999618530272</v>
      </c>
      <c r="J135" s="331">
        <f ca="1">IF(A135="N/A"," ",IF(ISERROR(P135),J123*Inputs!$F$23,P135))</f>
        <v>3.9420000000000002</v>
      </c>
      <c r="L135" s="349">
        <f>IF(A135="N/A"," ",VLOOKUP(A135,PeakPowerCurves,(IF('Pricing Inputs'!$AT$3=2,3,IF('Pricing Inputs'!$AT$3=1,2,4))),FALSE))</f>
        <v>33.4</v>
      </c>
      <c r="M135" s="349">
        <f>IF(A135="N/A"," ",VLOOKUP(A135,SatSunPeakPwr,(IF('Pricing Inputs'!$AT$3=2,3,IF('Pricing Inputs'!$AT$3=1,2,4))),FALSE))</f>
        <v>22.034749603271479</v>
      </c>
      <c r="N135" s="349">
        <f>IF(A135="N/A"," ",VLOOKUP(A135,SatSunPeakPwr,(IF('Pricing Inputs'!$AT$3=2,7,IF('Pricing Inputs'!$AT$3=1,6,8))),FALSE))</f>
        <v>21.664498901367182</v>
      </c>
      <c r="O135" s="350">
        <f>IF(A135="N/A"," ",(VLOOKUP(A135,OPPowerPrices,(IF('Pricing Inputs'!$AT$3=2,7,IF('Pricing Inputs'!$AT$3=1,6,8))),FALSE)))</f>
        <v>19.799999618530272</v>
      </c>
      <c r="P135" s="351">
        <f t="shared" ca="1" si="14"/>
        <v>3.9420000000000002</v>
      </c>
      <c r="AF135" s="241">
        <v>40544</v>
      </c>
      <c r="AG135" s="229">
        <v>21</v>
      </c>
      <c r="AH135" s="229">
        <v>4</v>
      </c>
      <c r="AI135" s="229">
        <v>5</v>
      </c>
      <c r="AJ135" s="229">
        <v>1</v>
      </c>
      <c r="AK135" s="229">
        <v>31</v>
      </c>
    </row>
    <row r="136" spans="1:37">
      <c r="A136" s="208">
        <f>Calculations!A103</f>
        <v>39904</v>
      </c>
      <c r="B136" s="237">
        <f>IF(A136="N/A"," ",IF(ISERROR(L136),B124*Inputs!$F$19,L136))</f>
        <v>32.15</v>
      </c>
      <c r="C136" s="239">
        <f t="shared" si="15"/>
        <v>0.92498900994989341</v>
      </c>
      <c r="D136" s="238">
        <f t="shared" si="11"/>
        <v>29.73839666988907</v>
      </c>
      <c r="E136" s="237">
        <f>IF(A136="N/A"," ",IF(ISERROR(M136),E124*Inputs!$F$19,M136))</f>
        <v>22.717500305175776</v>
      </c>
      <c r="F136" s="238">
        <f t="shared" si="12"/>
        <v>21.013438115820943</v>
      </c>
      <c r="G136" s="237">
        <f>IF(A136="N/A"," ",IF(ISERROR(N136),G124*Inputs!$F$19,N136))</f>
        <v>21.434999084472651</v>
      </c>
      <c r="H136" s="238">
        <f t="shared" si="13"/>
        <v>19.827138581423227</v>
      </c>
      <c r="I136" s="238">
        <f>IF(A136="N/A"," ",IF(ISERROR(O136),I124*Inputs!$F$19,O136))</f>
        <v>19.799997711181639</v>
      </c>
      <c r="J136" s="331">
        <f ca="1">IF(A136="N/A"," ",IF(ISERROR(P136),J124*Inputs!$F$23,P136))</f>
        <v>2.97749415975</v>
      </c>
      <c r="L136" s="349">
        <f>IF(A136="N/A"," ",VLOOKUP(A136,PeakPowerCurves,(IF('Pricing Inputs'!$AT$3=2,3,IF('Pricing Inputs'!$AT$3=1,2,4))),FALSE))</f>
        <v>32.15</v>
      </c>
      <c r="M136" s="349">
        <f>IF(A136="N/A"," ",VLOOKUP(A136,SatSunPeakPwr,(IF('Pricing Inputs'!$AT$3=2,3,IF('Pricing Inputs'!$AT$3=1,2,4))),FALSE))</f>
        <v>22.717500305175776</v>
      </c>
      <c r="N136" s="349">
        <f>IF(A136="N/A"," ",VLOOKUP(A136,SatSunPeakPwr,(IF('Pricing Inputs'!$AT$3=2,7,IF('Pricing Inputs'!$AT$3=1,6,8))),FALSE))</f>
        <v>21.434999084472651</v>
      </c>
      <c r="O136" s="350">
        <f>IF(A136="N/A"," ",(VLOOKUP(A136,OPPowerPrices,(IF('Pricing Inputs'!$AT$3=2,7,IF('Pricing Inputs'!$AT$3=1,6,8))),FALSE)))</f>
        <v>19.799997711181639</v>
      </c>
      <c r="P136" s="351">
        <f t="shared" ca="1" si="14"/>
        <v>2.97749415975</v>
      </c>
      <c r="AF136" s="241">
        <v>40575</v>
      </c>
      <c r="AG136" s="229">
        <v>20</v>
      </c>
      <c r="AH136" s="229">
        <v>4</v>
      </c>
      <c r="AI136" s="229">
        <v>4</v>
      </c>
      <c r="AJ136" s="229">
        <v>0</v>
      </c>
      <c r="AK136" s="229">
        <v>28</v>
      </c>
    </row>
    <row r="137" spans="1:37">
      <c r="A137" s="208">
        <f>Calculations!A104</f>
        <v>39934</v>
      </c>
      <c r="B137" s="237">
        <f>IF(A137="N/A"," ",IF(ISERROR(L137),B125*Inputs!$F$19,L137))</f>
        <v>34.15</v>
      </c>
      <c r="C137" s="239">
        <f t="shared" si="15"/>
        <v>0.97235546191844646</v>
      </c>
      <c r="D137" s="238">
        <f t="shared" si="11"/>
        <v>33.205939024514947</v>
      </c>
      <c r="E137" s="237">
        <f>IF(A137="N/A"," ",IF(ISERROR(M137),E125*Inputs!$F$19,M137))</f>
        <v>22.83250007629394</v>
      </c>
      <c r="F137" s="238">
        <f t="shared" si="12"/>
        <v>22.201306158437756</v>
      </c>
      <c r="G137" s="237">
        <f>IF(A137="N/A"," ",IF(ISERROR(N137),G125*Inputs!$F$19,N137))</f>
        <v>21.964999771118158</v>
      </c>
      <c r="H137" s="238">
        <f t="shared" si="13"/>
        <v>21.357787498484168</v>
      </c>
      <c r="I137" s="238">
        <f>IF(A137="N/A"," ",IF(ISERROR(O137),I125*Inputs!$F$19,O137))</f>
        <v>19.799997711181639</v>
      </c>
      <c r="J137" s="331">
        <f ca="1">IF(A137="N/A"," ",IF(ISERROR(P137),J125*Inputs!$F$23,P137))</f>
        <v>2.9514920309999999</v>
      </c>
      <c r="L137" s="349">
        <f>IF(A137="N/A"," ",VLOOKUP(A137,PeakPowerCurves,(IF('Pricing Inputs'!$AT$3=2,3,IF('Pricing Inputs'!$AT$3=1,2,4))),FALSE))</f>
        <v>34.15</v>
      </c>
      <c r="M137" s="349">
        <f>IF(A137="N/A"," ",VLOOKUP(A137,SatSunPeakPwr,(IF('Pricing Inputs'!$AT$3=2,3,IF('Pricing Inputs'!$AT$3=1,2,4))),FALSE))</f>
        <v>22.83250007629394</v>
      </c>
      <c r="N137" s="349">
        <f>IF(A137="N/A"," ",VLOOKUP(A137,SatSunPeakPwr,(IF('Pricing Inputs'!$AT$3=2,7,IF('Pricing Inputs'!$AT$3=1,6,8))),FALSE))</f>
        <v>21.964999771118158</v>
      </c>
      <c r="O137" s="350">
        <f>IF(A137="N/A"," ",(VLOOKUP(A137,OPPowerPrices,(IF('Pricing Inputs'!$AT$3=2,7,IF('Pricing Inputs'!$AT$3=1,6,8))),FALSE)))</f>
        <v>19.799997711181639</v>
      </c>
      <c r="P137" s="351">
        <f t="shared" ca="1" si="14"/>
        <v>2.9514920309999999</v>
      </c>
      <c r="AF137" s="241">
        <v>40603</v>
      </c>
      <c r="AG137" s="229">
        <v>23</v>
      </c>
      <c r="AH137" s="229">
        <v>4</v>
      </c>
      <c r="AI137" s="229">
        <v>4</v>
      </c>
      <c r="AJ137" s="229">
        <v>0</v>
      </c>
      <c r="AK137" s="229">
        <v>31</v>
      </c>
    </row>
    <row r="138" spans="1:37">
      <c r="A138" s="208">
        <f>Calculations!A105</f>
        <v>39965</v>
      </c>
      <c r="B138" s="237">
        <f>IF(A138="N/A"," ",IF(ISERROR(L138),B126*Inputs!$F$19,L138))</f>
        <v>51.25</v>
      </c>
      <c r="C138" s="239">
        <f t="shared" si="15"/>
        <v>1.1402927483957555</v>
      </c>
      <c r="D138" s="238">
        <f t="shared" si="11"/>
        <v>58.440003355282464</v>
      </c>
      <c r="E138" s="237">
        <f>IF(A138="N/A"," ",IF(ISERROR(M138),E126*Inputs!$F$19,M138))</f>
        <v>27.258750152587886</v>
      </c>
      <c r="F138" s="238">
        <f t="shared" si="12"/>
        <v>31.082955129327658</v>
      </c>
      <c r="G138" s="237">
        <f>IF(A138="N/A"," ",IF(ISERROR(N138),G126*Inputs!$F$19,N138))</f>
        <v>20.742499542236324</v>
      </c>
      <c r="H138" s="238">
        <f t="shared" si="13"/>
        <v>23.652521811614356</v>
      </c>
      <c r="I138" s="238">
        <f>IF(A138="N/A"," ",IF(ISERROR(O138),I126*Inputs!$F$19,O138))</f>
        <v>19.754998779296873</v>
      </c>
      <c r="J138" s="331">
        <f ca="1">IF(A138="N/A"," ",IF(ISERROR(P138),J126*Inputs!$F$23,P138))</f>
        <v>2.9574920309999997</v>
      </c>
      <c r="L138" s="349">
        <f>IF(A138="N/A"," ",VLOOKUP(A138,PeakPowerCurves,(IF('Pricing Inputs'!$AT$3=2,3,IF('Pricing Inputs'!$AT$3=1,2,4))),FALSE))</f>
        <v>51.25</v>
      </c>
      <c r="M138" s="349">
        <f>IF(A138="N/A"," ",VLOOKUP(A138,SatSunPeakPwr,(IF('Pricing Inputs'!$AT$3=2,3,IF('Pricing Inputs'!$AT$3=1,2,4))),FALSE))</f>
        <v>27.258750152587886</v>
      </c>
      <c r="N138" s="349">
        <f>IF(A138="N/A"," ",VLOOKUP(A138,SatSunPeakPwr,(IF('Pricing Inputs'!$AT$3=2,7,IF('Pricing Inputs'!$AT$3=1,6,8))),FALSE))</f>
        <v>20.742499542236324</v>
      </c>
      <c r="O138" s="350">
        <f>IF(A138="N/A"," ",(VLOOKUP(A138,OPPowerPrices,(IF('Pricing Inputs'!$AT$3=2,7,IF('Pricing Inputs'!$AT$3=1,6,8))),FALSE)))</f>
        <v>19.754998779296873</v>
      </c>
      <c r="P138" s="351">
        <f t="shared" ca="1" si="14"/>
        <v>2.9574920309999997</v>
      </c>
      <c r="AF138" s="241">
        <v>40634</v>
      </c>
      <c r="AG138" s="229">
        <v>21</v>
      </c>
      <c r="AH138" s="229">
        <v>5</v>
      </c>
      <c r="AI138" s="229">
        <v>4</v>
      </c>
      <c r="AJ138" s="229">
        <v>0</v>
      </c>
      <c r="AK138" s="229">
        <v>30</v>
      </c>
    </row>
    <row r="139" spans="1:37">
      <c r="A139" s="208">
        <f>Calculations!A106</f>
        <v>39995</v>
      </c>
      <c r="B139" s="237">
        <f>IF(A139="N/A"," ",IF(ISERROR(L139),B127*Inputs!$F$19,L139))</f>
        <v>74.5</v>
      </c>
      <c r="C139" s="239">
        <f t="shared" si="15"/>
        <v>1.1916649145636689</v>
      </c>
      <c r="D139" s="238">
        <f t="shared" si="11"/>
        <v>88.779036134993333</v>
      </c>
      <c r="E139" s="237">
        <f>IF(A139="N/A"," ",IF(ISERROR(M139),E127*Inputs!$F$19,M139))</f>
        <v>40.461249542236345</v>
      </c>
      <c r="F139" s="238">
        <f t="shared" si="12"/>
        <v>48.21625147888836</v>
      </c>
      <c r="G139" s="237">
        <f>IF(A139="N/A"," ",IF(ISERROR(N139),G127*Inputs!$F$19,N139))</f>
        <v>29.947499465942379</v>
      </c>
      <c r="H139" s="238">
        <f t="shared" si="13"/>
        <v>35.687384392477746</v>
      </c>
      <c r="I139" s="238">
        <f>IF(A139="N/A"," ",IF(ISERROR(O139),I127*Inputs!$F$19,O139))</f>
        <v>24.249997711181638</v>
      </c>
      <c r="J139" s="331">
        <f ca="1">IF(A139="N/A"," ",IF(ISERROR(P139),J127*Inputs!$F$23,P139))</f>
        <v>2.9674920309999999</v>
      </c>
      <c r="L139" s="349">
        <f>IF(A139="N/A"," ",VLOOKUP(A139,PeakPowerCurves,(IF('Pricing Inputs'!$AT$3=2,3,IF('Pricing Inputs'!$AT$3=1,2,4))),FALSE))</f>
        <v>74.5</v>
      </c>
      <c r="M139" s="349">
        <f>IF(A139="N/A"," ",VLOOKUP(A139,SatSunPeakPwr,(IF('Pricing Inputs'!$AT$3=2,3,IF('Pricing Inputs'!$AT$3=1,2,4))),FALSE))</f>
        <v>40.461249542236345</v>
      </c>
      <c r="N139" s="349">
        <f>IF(A139="N/A"," ",VLOOKUP(A139,SatSunPeakPwr,(IF('Pricing Inputs'!$AT$3=2,7,IF('Pricing Inputs'!$AT$3=1,6,8))),FALSE))</f>
        <v>29.947499465942379</v>
      </c>
      <c r="O139" s="350">
        <f>IF(A139="N/A"," ",(VLOOKUP(A139,OPPowerPrices,(IF('Pricing Inputs'!$AT$3=2,7,IF('Pricing Inputs'!$AT$3=1,6,8))),FALSE)))</f>
        <v>24.249997711181638</v>
      </c>
      <c r="P139" s="351">
        <f t="shared" ca="1" si="14"/>
        <v>2.9674920309999999</v>
      </c>
      <c r="AF139" s="241">
        <v>40664</v>
      </c>
      <c r="AG139" s="229">
        <v>21</v>
      </c>
      <c r="AH139" s="229">
        <v>4</v>
      </c>
      <c r="AI139" s="229">
        <v>5</v>
      </c>
      <c r="AJ139" s="229">
        <v>1</v>
      </c>
      <c r="AK139" s="229">
        <v>31</v>
      </c>
    </row>
    <row r="140" spans="1:37">
      <c r="A140" s="208">
        <f>Calculations!A107</f>
        <v>40026</v>
      </c>
      <c r="B140" s="237">
        <f>IF(A140="N/A"," ",IF(ISERROR(L140),B128*Inputs!$F$19,L140))</f>
        <v>70</v>
      </c>
      <c r="C140" s="239">
        <f t="shared" si="15"/>
        <v>1.1089289483683031</v>
      </c>
      <c r="D140" s="238">
        <f t="shared" si="11"/>
        <v>77.625026385781226</v>
      </c>
      <c r="E140" s="237">
        <f>IF(A140="N/A"," ",IF(ISERROR(M140),E128*Inputs!$F$19,M140))</f>
        <v>42.722499084472673</v>
      </c>
      <c r="F140" s="238">
        <f t="shared" si="12"/>
        <v>47.376215981410077</v>
      </c>
      <c r="G140" s="237">
        <f>IF(A140="N/A"," ",IF(ISERROR(N140),G128*Inputs!$F$19,N140))</f>
        <v>31.445000839233394</v>
      </c>
      <c r="H140" s="238">
        <f t="shared" si="13"/>
        <v>34.870271712091494</v>
      </c>
      <c r="I140" s="238">
        <f>IF(A140="N/A"," ",IF(ISERROR(O140),I128*Inputs!$F$19,O140))</f>
        <v>24.599998092651365</v>
      </c>
      <c r="J140" s="331">
        <f ca="1">IF(A140="N/A"," ",IF(ISERROR(P140),J128*Inputs!$F$23,P140))</f>
        <v>2.974492031</v>
      </c>
      <c r="L140" s="349">
        <f>IF(A140="N/A"," ",VLOOKUP(A140,PeakPowerCurves,(IF('Pricing Inputs'!$AT$3=2,3,IF('Pricing Inputs'!$AT$3=1,2,4))),FALSE))</f>
        <v>70</v>
      </c>
      <c r="M140" s="349">
        <f>IF(A140="N/A"," ",VLOOKUP(A140,SatSunPeakPwr,(IF('Pricing Inputs'!$AT$3=2,3,IF('Pricing Inputs'!$AT$3=1,2,4))),FALSE))</f>
        <v>42.722499084472673</v>
      </c>
      <c r="N140" s="349">
        <f>IF(A140="N/A"," ",VLOOKUP(A140,SatSunPeakPwr,(IF('Pricing Inputs'!$AT$3=2,7,IF('Pricing Inputs'!$AT$3=1,6,8))),FALSE))</f>
        <v>31.445000839233394</v>
      </c>
      <c r="O140" s="350">
        <f>IF(A140="N/A"," ",(VLOOKUP(A140,OPPowerPrices,(IF('Pricing Inputs'!$AT$3=2,7,IF('Pricing Inputs'!$AT$3=1,6,8))),FALSE)))</f>
        <v>24.599998092651365</v>
      </c>
      <c r="P140" s="351">
        <f t="shared" ca="1" si="14"/>
        <v>2.974492031</v>
      </c>
      <c r="AF140" s="241">
        <v>40695</v>
      </c>
      <c r="AG140" s="229">
        <v>22</v>
      </c>
      <c r="AH140" s="229">
        <v>4</v>
      </c>
      <c r="AI140" s="229">
        <v>4</v>
      </c>
      <c r="AJ140" s="229">
        <v>0</v>
      </c>
      <c r="AK140" s="229">
        <v>30</v>
      </c>
    </row>
    <row r="141" spans="1:37">
      <c r="A141" s="208">
        <f>Calculations!A108</f>
        <v>40057</v>
      </c>
      <c r="B141" s="237">
        <f>IF(A141="N/A"," ",IF(ISERROR(L141),B129*Inputs!$F$19,L141))</f>
        <v>33.15</v>
      </c>
      <c r="C141" s="239">
        <f t="shared" si="15"/>
        <v>1.0965337923205105</v>
      </c>
      <c r="D141" s="238">
        <f t="shared" si="11"/>
        <v>36.350095215424922</v>
      </c>
      <c r="E141" s="237">
        <f>IF(A141="N/A"," ",IF(ISERROR(M141),E129*Inputs!$F$19,M141))</f>
        <v>24.104999160766596</v>
      </c>
      <c r="F141" s="238">
        <f t="shared" si="12"/>
        <v>26.431946143638118</v>
      </c>
      <c r="G141" s="237">
        <f>IF(A141="N/A"," ",IF(ISERROR(N141),G129*Inputs!$F$19,N141))</f>
        <v>24.6</v>
      </c>
      <c r="H141" s="238">
        <f t="shared" si="13"/>
        <v>26.974731291084559</v>
      </c>
      <c r="I141" s="238">
        <f>IF(A141="N/A"," ",IF(ISERROR(O141),I129*Inputs!$F$19,O141))</f>
        <v>20.149998092651366</v>
      </c>
      <c r="J141" s="331">
        <f ca="1">IF(A141="N/A"," ",IF(ISERROR(P141),J129*Inputs!$F$23,P141))</f>
        <v>2.9814920310000002</v>
      </c>
      <c r="L141" s="349">
        <f>IF(A141="N/A"," ",VLOOKUP(A141,PeakPowerCurves,(IF('Pricing Inputs'!$AT$3=2,3,IF('Pricing Inputs'!$AT$3=1,2,4))),FALSE))</f>
        <v>33.15</v>
      </c>
      <c r="M141" s="349">
        <f>IF(A141="N/A"," ",VLOOKUP(A141,SatSunPeakPwr,(IF('Pricing Inputs'!$AT$3=2,3,IF('Pricing Inputs'!$AT$3=1,2,4))),FALSE))</f>
        <v>24.104999160766596</v>
      </c>
      <c r="N141" s="349">
        <f>IF(A141="N/A"," ",VLOOKUP(A141,SatSunPeakPwr,(IF('Pricing Inputs'!$AT$3=2,7,IF('Pricing Inputs'!$AT$3=1,6,8))),FALSE))</f>
        <v>24.6</v>
      </c>
      <c r="O141" s="350">
        <f>IF(A141="N/A"," ",(VLOOKUP(A141,OPPowerPrices,(IF('Pricing Inputs'!$AT$3=2,7,IF('Pricing Inputs'!$AT$3=1,6,8))),FALSE)))</f>
        <v>20.149998092651366</v>
      </c>
      <c r="P141" s="351">
        <f t="shared" ca="1" si="14"/>
        <v>2.9814920310000002</v>
      </c>
      <c r="AF141" s="241">
        <v>40725</v>
      </c>
      <c r="AG141" s="229">
        <v>20</v>
      </c>
      <c r="AH141" s="229">
        <v>5</v>
      </c>
      <c r="AI141" s="229">
        <v>5</v>
      </c>
      <c r="AJ141" s="229">
        <v>1</v>
      </c>
      <c r="AK141" s="229">
        <v>31</v>
      </c>
    </row>
    <row r="142" spans="1:37">
      <c r="A142" s="208">
        <f>Calculations!A109</f>
        <v>40087</v>
      </c>
      <c r="B142" s="237">
        <f>IF(A142="N/A"," ",IF(ISERROR(L142),B130*Inputs!$F$19,L142))</f>
        <v>30.9</v>
      </c>
      <c r="C142" s="239">
        <f t="shared" si="15"/>
        <v>0.98692500000000005</v>
      </c>
      <c r="D142" s="238">
        <f t="shared" si="11"/>
        <v>30.4959825</v>
      </c>
      <c r="E142" s="237">
        <f>IF(A142="N/A"," ",IF(ISERROR(M142),E130*Inputs!$F$19,M142))</f>
        <v>24.200500106811518</v>
      </c>
      <c r="F142" s="238">
        <f t="shared" si="12"/>
        <v>23.884078567914958</v>
      </c>
      <c r="G142" s="237">
        <f>IF(A142="N/A"," ",IF(ISERROR(N142),G130*Inputs!$F$19,N142))</f>
        <v>22.200999832153315</v>
      </c>
      <c r="H142" s="238">
        <f t="shared" si="13"/>
        <v>21.910721759347911</v>
      </c>
      <c r="I142" s="238">
        <f>IF(A142="N/A"," ",IF(ISERROR(O142),I130*Inputs!$F$19,O142))</f>
        <v>19.849998855590819</v>
      </c>
      <c r="J142" s="331">
        <f ca="1">IF(A142="N/A"," ",IF(ISERROR(P142),J130*Inputs!$F$23,P142))</f>
        <v>3.007492031</v>
      </c>
      <c r="L142" s="349">
        <f>IF(A142="N/A"," ",VLOOKUP(A142,PeakPowerCurves,(IF('Pricing Inputs'!$AT$3=2,3,IF('Pricing Inputs'!$AT$3=1,2,4))),FALSE))</f>
        <v>30.9</v>
      </c>
      <c r="M142" s="349">
        <f>IF(A142="N/A"," ",VLOOKUP(A142,SatSunPeakPwr,(IF('Pricing Inputs'!$AT$3=2,3,IF('Pricing Inputs'!$AT$3=1,2,4))),FALSE))</f>
        <v>24.200500106811518</v>
      </c>
      <c r="N142" s="349">
        <f>IF(A142="N/A"," ",VLOOKUP(A142,SatSunPeakPwr,(IF('Pricing Inputs'!$AT$3=2,7,IF('Pricing Inputs'!$AT$3=1,6,8))),FALSE))</f>
        <v>22.200999832153315</v>
      </c>
      <c r="O142" s="350">
        <f>IF(A142="N/A"," ",(VLOOKUP(A142,OPPowerPrices,(IF('Pricing Inputs'!$AT$3=2,7,IF('Pricing Inputs'!$AT$3=1,6,8))),FALSE)))</f>
        <v>19.849998855590819</v>
      </c>
      <c r="P142" s="351">
        <f t="shared" ca="1" si="14"/>
        <v>3.007492031</v>
      </c>
      <c r="AF142" s="241">
        <v>40756</v>
      </c>
      <c r="AG142" s="229">
        <v>23</v>
      </c>
      <c r="AH142" s="229">
        <v>4</v>
      </c>
      <c r="AI142" s="229">
        <v>4</v>
      </c>
      <c r="AJ142" s="229">
        <v>0</v>
      </c>
      <c r="AK142" s="229">
        <v>31</v>
      </c>
    </row>
    <row r="143" spans="1:37">
      <c r="A143" s="208">
        <f>Calculations!A110</f>
        <v>40118</v>
      </c>
      <c r="B143" s="237">
        <f>IF(A143="N/A"," ",IF(ISERROR(L143),B131*Inputs!$F$19,L143))</f>
        <v>31.274999999999999</v>
      </c>
      <c r="C143" s="239">
        <f t="shared" si="15"/>
        <v>0.98922500000000002</v>
      </c>
      <c r="D143" s="238">
        <f t="shared" si="11"/>
        <v>30.938011875000001</v>
      </c>
      <c r="E143" s="237">
        <f>IF(A143="N/A"," ",IF(ISERROR(M143),E131*Inputs!$F$19,M143))</f>
        <v>25.204751586914057</v>
      </c>
      <c r="F143" s="238">
        <f t="shared" si="12"/>
        <v>24.93317038856506</v>
      </c>
      <c r="G143" s="237">
        <f>IF(A143="N/A"," ",IF(ISERROR(N143),G131*Inputs!$F$19,N143))</f>
        <v>23.204499816894526</v>
      </c>
      <c r="H143" s="238">
        <f t="shared" si="13"/>
        <v>22.954471331367486</v>
      </c>
      <c r="I143" s="238">
        <f>IF(A143="N/A"," ",IF(ISERROR(O143),I131*Inputs!$F$19,O143))</f>
        <v>19.774998092651366</v>
      </c>
      <c r="J143" s="331">
        <f ca="1">IF(A143="N/A"," ",IF(ISERROR(P143),J131*Inputs!$F$23,P143))</f>
        <v>3.9074999999999998</v>
      </c>
      <c r="L143" s="349">
        <f>IF(A143="N/A"," ",VLOOKUP(A143,PeakPowerCurves,(IF('Pricing Inputs'!$AT$3=2,3,IF('Pricing Inputs'!$AT$3=1,2,4))),FALSE))</f>
        <v>31.274999999999999</v>
      </c>
      <c r="M143" s="349">
        <f>IF(A143="N/A"," ",VLOOKUP(A143,SatSunPeakPwr,(IF('Pricing Inputs'!$AT$3=2,3,IF('Pricing Inputs'!$AT$3=1,2,4))),FALSE))</f>
        <v>25.204751586914057</v>
      </c>
      <c r="N143" s="349">
        <f>IF(A143="N/A"," ",VLOOKUP(A143,SatSunPeakPwr,(IF('Pricing Inputs'!$AT$3=2,7,IF('Pricing Inputs'!$AT$3=1,6,8))),FALSE))</f>
        <v>23.204499816894526</v>
      </c>
      <c r="O143" s="350">
        <f>IF(A143="N/A"," ",(VLOOKUP(A143,OPPowerPrices,(IF('Pricing Inputs'!$AT$3=2,7,IF('Pricing Inputs'!$AT$3=1,6,8))),FALSE)))</f>
        <v>19.774998092651366</v>
      </c>
      <c r="P143" s="351">
        <f t="shared" ca="1" si="14"/>
        <v>3.9074999999999998</v>
      </c>
      <c r="AF143" s="241">
        <v>40787</v>
      </c>
      <c r="AG143" s="229">
        <v>21</v>
      </c>
      <c r="AH143" s="229">
        <v>4</v>
      </c>
      <c r="AI143" s="229">
        <v>4</v>
      </c>
      <c r="AJ143" s="229">
        <v>1</v>
      </c>
      <c r="AK143" s="229">
        <v>30</v>
      </c>
    </row>
    <row r="144" spans="1:37">
      <c r="A144" s="208">
        <f>Calculations!A111</f>
        <v>40148</v>
      </c>
      <c r="B144" s="237">
        <f>IF(A144="N/A"," ",IF(ISERROR(L144),B132*Inputs!$F$19,L144))</f>
        <v>31.15</v>
      </c>
      <c r="C144" s="239">
        <f t="shared" si="15"/>
        <v>0.97851944514721489</v>
      </c>
      <c r="D144" s="238">
        <f t="shared" si="11"/>
        <v>30.480880716335744</v>
      </c>
      <c r="E144" s="237">
        <f>IF(A144="N/A"," ",IF(ISERROR(M144),E132*Inputs!$F$19,M144))</f>
        <v>26.654998397827143</v>
      </c>
      <c r="F144" s="238">
        <f t="shared" si="12"/>
        <v>26.082434242641718</v>
      </c>
      <c r="G144" s="237">
        <f>IF(A144="N/A"," ",IF(ISERROR(N144),G132*Inputs!$F$19,N144))</f>
        <v>23.149999237060541</v>
      </c>
      <c r="H144" s="238">
        <f t="shared" si="13"/>
        <v>22.652724408606929</v>
      </c>
      <c r="I144" s="238">
        <f>IF(A144="N/A"," ",IF(ISERROR(O144),I132*Inputs!$F$19,O144))</f>
        <v>21.199999237060545</v>
      </c>
      <c r="J144" s="331">
        <f ca="1">IF(A144="N/A"," ",IF(ISERROR(P144),J132*Inputs!$F$23,P144))</f>
        <v>4.3464999999999998</v>
      </c>
      <c r="L144" s="349">
        <f>IF(A144="N/A"," ",VLOOKUP(A144,PeakPowerCurves,(IF('Pricing Inputs'!$AT$3=2,3,IF('Pricing Inputs'!$AT$3=1,2,4))),FALSE))</f>
        <v>31.15</v>
      </c>
      <c r="M144" s="349">
        <f>IF(A144="N/A"," ",VLOOKUP(A144,SatSunPeakPwr,(IF('Pricing Inputs'!$AT$3=2,3,IF('Pricing Inputs'!$AT$3=1,2,4))),FALSE))</f>
        <v>26.654998397827143</v>
      </c>
      <c r="N144" s="349">
        <f>IF(A144="N/A"," ",VLOOKUP(A144,SatSunPeakPwr,(IF('Pricing Inputs'!$AT$3=2,7,IF('Pricing Inputs'!$AT$3=1,6,8))),FALSE))</f>
        <v>23.149999237060541</v>
      </c>
      <c r="O144" s="350">
        <f>IF(A144="N/A"," ",(VLOOKUP(A144,OPPowerPrices,(IF('Pricing Inputs'!$AT$3=2,7,IF('Pricing Inputs'!$AT$3=1,6,8))),FALSE)))</f>
        <v>21.199999237060545</v>
      </c>
      <c r="P144" s="351">
        <f t="shared" ca="1" si="14"/>
        <v>4.3464999999999998</v>
      </c>
      <c r="AF144" s="241">
        <v>40817</v>
      </c>
      <c r="AG144" s="229">
        <v>21</v>
      </c>
      <c r="AH144" s="229">
        <v>5</v>
      </c>
      <c r="AI144" s="229">
        <v>5</v>
      </c>
      <c r="AJ144" s="229">
        <v>0</v>
      </c>
      <c r="AK144" s="229">
        <v>31</v>
      </c>
    </row>
    <row r="145" spans="1:37">
      <c r="A145" s="208">
        <f>Calculations!A112</f>
        <v>40179</v>
      </c>
      <c r="B145" s="237">
        <f>IF(A145="N/A"," ",IF(ISERROR(L145),B133*Inputs!$F$19,L145))</f>
        <v>37.450000000000003</v>
      </c>
      <c r="C145" s="239">
        <f t="shared" si="15"/>
        <v>0.96914576913143913</v>
      </c>
      <c r="D145" s="238">
        <f t="shared" si="11"/>
        <v>36.294509053972398</v>
      </c>
      <c r="E145" s="237">
        <f>IF(A145="N/A"," ",IF(ISERROR(M145),E133*Inputs!$F$19,M145))</f>
        <v>30.048748397827143</v>
      </c>
      <c r="F145" s="238">
        <f t="shared" si="12"/>
        <v>29.121617377449287</v>
      </c>
      <c r="G145" s="237">
        <f>IF(A145="N/A"," ",IF(ISERROR(N145),G133*Inputs!$F$19,N145))</f>
        <v>28.552500152587886</v>
      </c>
      <c r="H145" s="238">
        <f t="shared" si="13"/>
        <v>27.671534721005319</v>
      </c>
      <c r="I145" s="238">
        <f>IF(A145="N/A"," ",IF(ISERROR(O145),I133*Inputs!$F$19,O145))</f>
        <v>21.190000915527342</v>
      </c>
      <c r="J145" s="331">
        <f ca="1">IF(A145="N/A"," ",IF(ISERROR(P145),J133*Inputs!$F$23,P145))</f>
        <v>4.8849999999999998</v>
      </c>
      <c r="L145" s="349">
        <f>IF(A145="N/A"," ",VLOOKUP(A145,PeakPowerCurves,(IF('Pricing Inputs'!$AT$3=2,3,IF('Pricing Inputs'!$AT$3=1,2,4))),FALSE))</f>
        <v>37.450000000000003</v>
      </c>
      <c r="M145" s="349">
        <f>IF(A145="N/A"," ",VLOOKUP(A145,SatSunPeakPwr,(IF('Pricing Inputs'!$AT$3=2,3,IF('Pricing Inputs'!$AT$3=1,2,4))),FALSE))</f>
        <v>30.048748397827143</v>
      </c>
      <c r="N145" s="349">
        <f>IF(A145="N/A"," ",VLOOKUP(A145,SatSunPeakPwr,(IF('Pricing Inputs'!$AT$3=2,7,IF('Pricing Inputs'!$AT$3=1,6,8))),FALSE))</f>
        <v>28.552500152587886</v>
      </c>
      <c r="O145" s="350">
        <f>IF(A145="N/A"," ",(VLOOKUP(A145,OPPowerPrices,(IF('Pricing Inputs'!$AT$3=2,7,IF('Pricing Inputs'!$AT$3=1,6,8))),FALSE)))</f>
        <v>21.190000915527342</v>
      </c>
      <c r="P145" s="351">
        <f t="shared" ca="1" si="14"/>
        <v>4.8849999999999998</v>
      </c>
      <c r="AF145" s="241">
        <v>40848</v>
      </c>
      <c r="AG145" s="229">
        <v>21</v>
      </c>
      <c r="AH145" s="229">
        <v>4</v>
      </c>
      <c r="AI145" s="229">
        <v>4</v>
      </c>
      <c r="AJ145" s="229">
        <v>1</v>
      </c>
      <c r="AK145" s="229">
        <v>30</v>
      </c>
    </row>
    <row r="146" spans="1:37">
      <c r="A146" s="208">
        <f>Calculations!A113</f>
        <v>40210</v>
      </c>
      <c r="B146" s="237">
        <f>IF(A146="N/A"," ",IF(ISERROR(L146),B134*Inputs!$F$19,L146))</f>
        <v>37.450000000000003</v>
      </c>
      <c r="C146" s="239">
        <f t="shared" si="15"/>
        <v>0.96914576913143913</v>
      </c>
      <c r="D146" s="238">
        <f t="shared" si="11"/>
        <v>36.294509053972398</v>
      </c>
      <c r="E146" s="237">
        <f>IF(A146="N/A"," ",IF(ISERROR(M146),E134*Inputs!$F$19,M146))</f>
        <v>29.046250152587884</v>
      </c>
      <c r="F146" s="238">
        <f t="shared" si="12"/>
        <v>28.150050444513965</v>
      </c>
      <c r="G146" s="237">
        <f>IF(A146="N/A"," ",IF(ISERROR(N146),G134*Inputs!$F$19,N146))</f>
        <v>26.547499465942376</v>
      </c>
      <c r="H146" s="238">
        <f t="shared" si="13"/>
        <v>25.728396788437195</v>
      </c>
      <c r="I146" s="238">
        <f>IF(A146="N/A"," ",IF(ISERROR(O146),I134*Inputs!$F$19,O146))</f>
        <v>20.999997711181638</v>
      </c>
      <c r="J146" s="331">
        <f ca="1">IF(A146="N/A"," ",IF(ISERROR(P146),J134*Inputs!$F$23,P146))</f>
        <v>4.6669999999999998</v>
      </c>
      <c r="L146" s="349">
        <f>IF(A146="N/A"," ",VLOOKUP(A146,PeakPowerCurves,(IF('Pricing Inputs'!$AT$3=2,3,IF('Pricing Inputs'!$AT$3=1,2,4))),FALSE))</f>
        <v>37.450000000000003</v>
      </c>
      <c r="M146" s="349">
        <f>IF(A146="N/A"," ",VLOOKUP(A146,SatSunPeakPwr,(IF('Pricing Inputs'!$AT$3=2,3,IF('Pricing Inputs'!$AT$3=1,2,4))),FALSE))</f>
        <v>29.046250152587884</v>
      </c>
      <c r="N146" s="349">
        <f>IF(A146="N/A"," ",VLOOKUP(A146,SatSunPeakPwr,(IF('Pricing Inputs'!$AT$3=2,7,IF('Pricing Inputs'!$AT$3=1,6,8))),FALSE))</f>
        <v>26.547499465942376</v>
      </c>
      <c r="O146" s="350">
        <f>IF(A146="N/A"," ",(VLOOKUP(A146,OPPowerPrices,(IF('Pricing Inputs'!$AT$3=2,7,IF('Pricing Inputs'!$AT$3=1,6,8))),FALSE)))</f>
        <v>20.999997711181638</v>
      </c>
      <c r="P146" s="351">
        <f t="shared" ca="1" si="14"/>
        <v>4.6669999999999998</v>
      </c>
      <c r="AF146" s="241">
        <v>40878</v>
      </c>
      <c r="AG146" s="229">
        <v>21</v>
      </c>
      <c r="AH146" s="229">
        <v>5</v>
      </c>
      <c r="AI146" s="229">
        <v>4</v>
      </c>
      <c r="AJ146" s="229">
        <v>1</v>
      </c>
      <c r="AK146" s="229">
        <v>31</v>
      </c>
    </row>
    <row r="147" spans="1:37">
      <c r="A147" s="208">
        <f>Calculations!A114</f>
        <v>40238</v>
      </c>
      <c r="B147" s="237">
        <f>IF(A147="N/A"," ",IF(ISERROR(L147),B135*Inputs!$F$19,L147))</f>
        <v>33.700000000000003</v>
      </c>
      <c r="C147" s="239">
        <f t="shared" si="15"/>
        <v>0.97165000000000012</v>
      </c>
      <c r="D147" s="238">
        <f t="shared" si="11"/>
        <v>32.744605000000007</v>
      </c>
      <c r="E147" s="237">
        <f>IF(A147="N/A"," ",IF(ISERROR(M147),E135*Inputs!$F$19,M147))</f>
        <v>22.234749603271478</v>
      </c>
      <c r="F147" s="238">
        <f t="shared" si="12"/>
        <v>21.604394452018735</v>
      </c>
      <c r="G147" s="237">
        <f>IF(A147="N/A"," ",IF(ISERROR(N147),G135*Inputs!$F$19,N147))</f>
        <v>21.864498901367181</v>
      </c>
      <c r="H147" s="238">
        <f t="shared" si="13"/>
        <v>21.244640357513425</v>
      </c>
      <c r="I147" s="238">
        <f>IF(A147="N/A"," ",IF(ISERROR(O147),I135*Inputs!$F$19,O147))</f>
        <v>19.999999618530271</v>
      </c>
      <c r="J147" s="331">
        <f ca="1">IF(A147="N/A"," ",IF(ISERROR(P147),J135*Inputs!$F$23,P147))</f>
        <v>4.0170000000000003</v>
      </c>
      <c r="L147" s="349">
        <f>IF(A147="N/A"," ",VLOOKUP(A147,PeakPowerCurves,(IF('Pricing Inputs'!$AT$3=2,3,IF('Pricing Inputs'!$AT$3=1,2,4))),FALSE))</f>
        <v>33.700000000000003</v>
      </c>
      <c r="M147" s="349">
        <f>IF(A147="N/A"," ",VLOOKUP(A147,SatSunPeakPwr,(IF('Pricing Inputs'!$AT$3=2,3,IF('Pricing Inputs'!$AT$3=1,2,4))),FALSE))</f>
        <v>22.234749603271478</v>
      </c>
      <c r="N147" s="349">
        <f>IF(A147="N/A"," ",VLOOKUP(A147,SatSunPeakPwr,(IF('Pricing Inputs'!$AT$3=2,7,IF('Pricing Inputs'!$AT$3=1,6,8))),FALSE))</f>
        <v>21.864498901367181</v>
      </c>
      <c r="O147" s="350">
        <f>IF(A147="N/A"," ",(VLOOKUP(A147,OPPowerPrices,(IF('Pricing Inputs'!$AT$3=2,7,IF('Pricing Inputs'!$AT$3=1,6,8))),FALSE)))</f>
        <v>19.999999618530271</v>
      </c>
      <c r="P147" s="351">
        <f t="shared" ca="1" si="14"/>
        <v>4.0170000000000003</v>
      </c>
      <c r="AF147" s="241">
        <v>40909</v>
      </c>
      <c r="AG147" s="229">
        <v>21</v>
      </c>
      <c r="AH147" s="229">
        <v>4</v>
      </c>
      <c r="AI147" s="229">
        <v>5</v>
      </c>
      <c r="AJ147" s="229">
        <v>1</v>
      </c>
      <c r="AK147" s="229">
        <v>31</v>
      </c>
    </row>
    <row r="148" spans="1:37">
      <c r="A148" s="208">
        <f>Calculations!A115</f>
        <v>40269</v>
      </c>
      <c r="B148" s="237">
        <f>IF(A148="N/A"," ",IF(ISERROR(L148),B136*Inputs!$F$19,L148))</f>
        <v>32.450000000000003</v>
      </c>
      <c r="C148" s="239">
        <f t="shared" si="15"/>
        <v>0.92498900994989341</v>
      </c>
      <c r="D148" s="238">
        <f t="shared" si="11"/>
        <v>30.015893372874043</v>
      </c>
      <c r="E148" s="237">
        <f>IF(A148="N/A"," ",IF(ISERROR(M148),E136*Inputs!$F$19,M148))</f>
        <v>22.917500305175775</v>
      </c>
      <c r="F148" s="238">
        <f t="shared" si="12"/>
        <v>21.198435917810919</v>
      </c>
      <c r="G148" s="237">
        <f>IF(A148="N/A"," ",IF(ISERROR(N148),G136*Inputs!$F$19,N148))</f>
        <v>21.63499908447265</v>
      </c>
      <c r="H148" s="238">
        <f t="shared" si="13"/>
        <v>20.012136383413207</v>
      </c>
      <c r="I148" s="238">
        <f>IF(A148="N/A"," ",IF(ISERROR(O148),I136*Inputs!$F$19,O148))</f>
        <v>19.999997711181638</v>
      </c>
      <c r="J148" s="331">
        <f ca="1">IF(A148="N/A"," ",IF(ISERROR(P148),J136*Inputs!$F$23,P148))</f>
        <v>3.03349415975</v>
      </c>
      <c r="L148" s="349">
        <f>IF(A148="N/A"," ",VLOOKUP(A148,PeakPowerCurves,(IF('Pricing Inputs'!$AT$3=2,3,IF('Pricing Inputs'!$AT$3=1,2,4))),FALSE))</f>
        <v>32.450000000000003</v>
      </c>
      <c r="M148" s="349">
        <f>IF(A148="N/A"," ",VLOOKUP(A148,SatSunPeakPwr,(IF('Pricing Inputs'!$AT$3=2,3,IF('Pricing Inputs'!$AT$3=1,2,4))),FALSE))</f>
        <v>22.917500305175775</v>
      </c>
      <c r="N148" s="349">
        <f>IF(A148="N/A"," ",VLOOKUP(A148,SatSunPeakPwr,(IF('Pricing Inputs'!$AT$3=2,7,IF('Pricing Inputs'!$AT$3=1,6,8))),FALSE))</f>
        <v>21.63499908447265</v>
      </c>
      <c r="O148" s="350">
        <f>IF(A148="N/A"," ",(VLOOKUP(A148,OPPowerPrices,(IF('Pricing Inputs'!$AT$3=2,7,IF('Pricing Inputs'!$AT$3=1,6,8))),FALSE)))</f>
        <v>19.999997711181638</v>
      </c>
      <c r="P148" s="351">
        <f t="shared" ca="1" si="14"/>
        <v>3.03349415975</v>
      </c>
      <c r="AF148" s="241">
        <v>40940</v>
      </c>
      <c r="AG148" s="229">
        <v>21</v>
      </c>
      <c r="AH148" s="229">
        <v>4</v>
      </c>
      <c r="AI148" s="229">
        <v>4</v>
      </c>
      <c r="AJ148" s="229">
        <v>0</v>
      </c>
      <c r="AK148" s="229">
        <v>29</v>
      </c>
    </row>
    <row r="149" spans="1:37">
      <c r="A149" s="208">
        <f>Calculations!A116</f>
        <v>40299</v>
      </c>
      <c r="B149" s="237">
        <f>IF(A149="N/A"," ",IF(ISERROR(L149),B137*Inputs!$F$19,L149))</f>
        <v>34.65</v>
      </c>
      <c r="C149" s="239">
        <f t="shared" si="15"/>
        <v>0.97235546191844646</v>
      </c>
      <c r="D149" s="238">
        <f t="shared" si="11"/>
        <v>33.692116755474167</v>
      </c>
      <c r="E149" s="237">
        <f>IF(A149="N/A"," ",IF(ISERROR(M149),E137*Inputs!$F$19,M149))</f>
        <v>23.032500076293939</v>
      </c>
      <c r="F149" s="238">
        <f t="shared" si="12"/>
        <v>22.395777250821446</v>
      </c>
      <c r="G149" s="237">
        <f>IF(A149="N/A"," ",IF(ISERROR(N149),G137*Inputs!$F$19,N149))</f>
        <v>22.164999771118158</v>
      </c>
      <c r="H149" s="238">
        <f t="shared" si="13"/>
        <v>21.552258590867858</v>
      </c>
      <c r="I149" s="238">
        <f>IF(A149="N/A"," ",IF(ISERROR(O149),I137*Inputs!$F$19,O149))</f>
        <v>19.999997711181638</v>
      </c>
      <c r="J149" s="331">
        <f ca="1">IF(A149="N/A"," ",IF(ISERROR(P149),J137*Inputs!$F$23,P149))</f>
        <v>3.0074920310000004</v>
      </c>
      <c r="L149" s="349">
        <f>IF(A149="N/A"," ",VLOOKUP(A149,PeakPowerCurves,(IF('Pricing Inputs'!$AT$3=2,3,IF('Pricing Inputs'!$AT$3=1,2,4))),FALSE))</f>
        <v>34.65</v>
      </c>
      <c r="M149" s="349">
        <f>IF(A149="N/A"," ",VLOOKUP(A149,SatSunPeakPwr,(IF('Pricing Inputs'!$AT$3=2,3,IF('Pricing Inputs'!$AT$3=1,2,4))),FALSE))</f>
        <v>23.032500076293939</v>
      </c>
      <c r="N149" s="349">
        <f>IF(A149="N/A"," ",VLOOKUP(A149,SatSunPeakPwr,(IF('Pricing Inputs'!$AT$3=2,7,IF('Pricing Inputs'!$AT$3=1,6,8))),FALSE))</f>
        <v>22.164999771118158</v>
      </c>
      <c r="O149" s="350">
        <f>IF(A149="N/A"," ",(VLOOKUP(A149,OPPowerPrices,(IF('Pricing Inputs'!$AT$3=2,7,IF('Pricing Inputs'!$AT$3=1,6,8))),FALSE)))</f>
        <v>19.999997711181638</v>
      </c>
      <c r="P149" s="351">
        <f t="shared" ca="1" si="14"/>
        <v>3.0074920310000004</v>
      </c>
      <c r="AF149" s="241">
        <v>40969</v>
      </c>
      <c r="AG149" s="229">
        <v>22</v>
      </c>
      <c r="AH149" s="229">
        <v>5</v>
      </c>
      <c r="AI149" s="229">
        <v>4</v>
      </c>
      <c r="AJ149" s="229">
        <v>0</v>
      </c>
      <c r="AK149" s="229">
        <v>31</v>
      </c>
    </row>
    <row r="150" spans="1:37">
      <c r="A150" s="208">
        <f>Calculations!A117</f>
        <v>40330</v>
      </c>
      <c r="B150" s="237">
        <f>IF(A150="N/A"," ",IF(ISERROR(L150),B138*Inputs!$F$19,L150))</f>
        <v>52.25</v>
      </c>
      <c r="C150" s="239">
        <f t="shared" si="15"/>
        <v>1.1402927483957555</v>
      </c>
      <c r="D150" s="238">
        <f t="shared" si="11"/>
        <v>59.580296103678222</v>
      </c>
      <c r="E150" s="237">
        <f>IF(A150="N/A"," ",IF(ISERROR(M150),E138*Inputs!$F$19,M150))</f>
        <v>27.458750152587886</v>
      </c>
      <c r="F150" s="238">
        <f t="shared" si="12"/>
        <v>31.311013679006809</v>
      </c>
      <c r="G150" s="237">
        <f>IF(A150="N/A"," ",IF(ISERROR(N150),G138*Inputs!$F$19,N150))</f>
        <v>20.942499542236323</v>
      </c>
      <c r="H150" s="238">
        <f t="shared" si="13"/>
        <v>23.880580361293507</v>
      </c>
      <c r="I150" s="238">
        <f>IF(A150="N/A"," ",IF(ISERROR(O150),I138*Inputs!$F$19,O150))</f>
        <v>19.954998779296872</v>
      </c>
      <c r="J150" s="331">
        <f ca="1">IF(A150="N/A"," ",IF(ISERROR(P150),J138*Inputs!$F$23,P150))</f>
        <v>3.0134920310000002</v>
      </c>
      <c r="L150" s="349">
        <f>IF(A150="N/A"," ",VLOOKUP(A150,PeakPowerCurves,(IF('Pricing Inputs'!$AT$3=2,3,IF('Pricing Inputs'!$AT$3=1,2,4))),FALSE))</f>
        <v>52.25</v>
      </c>
      <c r="M150" s="349">
        <f>IF(A150="N/A"," ",VLOOKUP(A150,SatSunPeakPwr,(IF('Pricing Inputs'!$AT$3=2,3,IF('Pricing Inputs'!$AT$3=1,2,4))),FALSE))</f>
        <v>27.458750152587886</v>
      </c>
      <c r="N150" s="349">
        <f>IF(A150="N/A"," ",VLOOKUP(A150,SatSunPeakPwr,(IF('Pricing Inputs'!$AT$3=2,7,IF('Pricing Inputs'!$AT$3=1,6,8))),FALSE))</f>
        <v>20.942499542236323</v>
      </c>
      <c r="O150" s="350">
        <f>IF(A150="N/A"," ",(VLOOKUP(A150,OPPowerPrices,(IF('Pricing Inputs'!$AT$3=2,7,IF('Pricing Inputs'!$AT$3=1,6,8))),FALSE)))</f>
        <v>19.954998779296872</v>
      </c>
      <c r="P150" s="351">
        <f t="shared" ca="1" si="14"/>
        <v>3.0134920310000002</v>
      </c>
      <c r="AF150" s="241">
        <v>41000</v>
      </c>
      <c r="AG150" s="229">
        <v>21</v>
      </c>
      <c r="AH150" s="229">
        <v>4</v>
      </c>
      <c r="AI150" s="229">
        <v>5</v>
      </c>
      <c r="AJ150" s="229">
        <v>0</v>
      </c>
      <c r="AK150" s="229">
        <v>30</v>
      </c>
    </row>
    <row r="151" spans="1:37">
      <c r="A151" s="208">
        <f>Calculations!A118</f>
        <v>40360</v>
      </c>
      <c r="B151" s="237">
        <f>IF(A151="N/A"," ",IF(ISERROR(L151),B139*Inputs!$F$19,L151))</f>
        <v>76.5</v>
      </c>
      <c r="C151" s="239">
        <f t="shared" si="15"/>
        <v>1.1916649145636689</v>
      </c>
      <c r="D151" s="238">
        <f t="shared" si="11"/>
        <v>91.162365964120667</v>
      </c>
      <c r="E151" s="237">
        <f>IF(A151="N/A"," ",IF(ISERROR(M151),E139*Inputs!$F$19,M151))</f>
        <v>40.661249542236348</v>
      </c>
      <c r="F151" s="238">
        <f t="shared" si="12"/>
        <v>48.454584461801097</v>
      </c>
      <c r="G151" s="237">
        <f>IF(A151="N/A"," ",IF(ISERROR(N151),G139*Inputs!$F$19,N151))</f>
        <v>30.147499465942378</v>
      </c>
      <c r="H151" s="238">
        <f t="shared" si="13"/>
        <v>35.925717375390477</v>
      </c>
      <c r="I151" s="238">
        <f>IF(A151="N/A"," ",IF(ISERROR(O151),I139*Inputs!$F$19,O151))</f>
        <v>24.449997711181638</v>
      </c>
      <c r="J151" s="331">
        <f ca="1">IF(A151="N/A"," ",IF(ISERROR(P151),J139*Inputs!$F$23,P151))</f>
        <v>3.023492031</v>
      </c>
      <c r="L151" s="349">
        <f>IF(A151="N/A"," ",VLOOKUP(A151,PeakPowerCurves,(IF('Pricing Inputs'!$AT$3=2,3,IF('Pricing Inputs'!$AT$3=1,2,4))),FALSE))</f>
        <v>76.5</v>
      </c>
      <c r="M151" s="349">
        <f>IF(A151="N/A"," ",VLOOKUP(A151,SatSunPeakPwr,(IF('Pricing Inputs'!$AT$3=2,3,IF('Pricing Inputs'!$AT$3=1,2,4))),FALSE))</f>
        <v>40.661249542236348</v>
      </c>
      <c r="N151" s="349">
        <f>IF(A151="N/A"," ",VLOOKUP(A151,SatSunPeakPwr,(IF('Pricing Inputs'!$AT$3=2,7,IF('Pricing Inputs'!$AT$3=1,6,8))),FALSE))</f>
        <v>30.147499465942378</v>
      </c>
      <c r="O151" s="350">
        <f>IF(A151="N/A"," ",(VLOOKUP(A151,OPPowerPrices,(IF('Pricing Inputs'!$AT$3=2,7,IF('Pricing Inputs'!$AT$3=1,6,8))),FALSE)))</f>
        <v>24.449997711181638</v>
      </c>
      <c r="P151" s="351">
        <f t="shared" ca="1" si="14"/>
        <v>3.023492031</v>
      </c>
      <c r="AF151" s="241">
        <v>41030</v>
      </c>
      <c r="AG151" s="229">
        <v>22</v>
      </c>
      <c r="AH151" s="229">
        <v>4</v>
      </c>
      <c r="AI151" s="229">
        <v>4</v>
      </c>
      <c r="AJ151" s="229">
        <v>1</v>
      </c>
      <c r="AK151" s="229">
        <v>31</v>
      </c>
    </row>
    <row r="152" spans="1:37">
      <c r="A152" s="208">
        <f>Calculations!A119</f>
        <v>40391</v>
      </c>
      <c r="B152" s="237">
        <f>IF(A152="N/A"," ",IF(ISERROR(L152),B140*Inputs!$F$19,L152))</f>
        <v>72</v>
      </c>
      <c r="C152" s="239">
        <f t="shared" si="15"/>
        <v>1.1089289483683031</v>
      </c>
      <c r="D152" s="238">
        <f t="shared" si="11"/>
        <v>79.842884282517829</v>
      </c>
      <c r="E152" s="237">
        <f>IF(A152="N/A"," ",IF(ISERROR(M152),E140*Inputs!$F$19,M152))</f>
        <v>42.922499084472676</v>
      </c>
      <c r="F152" s="238">
        <f t="shared" si="12"/>
        <v>47.598001771083737</v>
      </c>
      <c r="G152" s="237">
        <f>IF(A152="N/A"," ",IF(ISERROR(N152),G140*Inputs!$F$19,N152))</f>
        <v>31.645000839233393</v>
      </c>
      <c r="H152" s="238">
        <f t="shared" si="13"/>
        <v>35.092057501765154</v>
      </c>
      <c r="I152" s="238">
        <f>IF(A152="N/A"," ",IF(ISERROR(O152),I140*Inputs!$F$19,O152))</f>
        <v>24.799998092651364</v>
      </c>
      <c r="J152" s="331">
        <f ca="1">IF(A152="N/A"," ",IF(ISERROR(P152),J140*Inputs!$F$23,P152))</f>
        <v>3.0304920310000005</v>
      </c>
      <c r="L152" s="349">
        <f>IF(A152="N/A"," ",VLOOKUP(A152,PeakPowerCurves,(IF('Pricing Inputs'!$AT$3=2,3,IF('Pricing Inputs'!$AT$3=1,2,4))),FALSE))</f>
        <v>72</v>
      </c>
      <c r="M152" s="349">
        <f>IF(A152="N/A"," ",VLOOKUP(A152,SatSunPeakPwr,(IF('Pricing Inputs'!$AT$3=2,3,IF('Pricing Inputs'!$AT$3=1,2,4))),FALSE))</f>
        <v>42.922499084472676</v>
      </c>
      <c r="N152" s="349">
        <f>IF(A152="N/A"," ",VLOOKUP(A152,SatSunPeakPwr,(IF('Pricing Inputs'!$AT$3=2,7,IF('Pricing Inputs'!$AT$3=1,6,8))),FALSE))</f>
        <v>31.645000839233393</v>
      </c>
      <c r="O152" s="350">
        <f>IF(A152="N/A"," ",(VLOOKUP(A152,OPPowerPrices,(IF('Pricing Inputs'!$AT$3=2,7,IF('Pricing Inputs'!$AT$3=1,6,8))),FALSE)))</f>
        <v>24.799998092651364</v>
      </c>
      <c r="P152" s="351">
        <f t="shared" ca="1" si="14"/>
        <v>3.0304920310000005</v>
      </c>
      <c r="AF152" s="241">
        <v>41061</v>
      </c>
      <c r="AG152" s="229">
        <v>21</v>
      </c>
      <c r="AH152" s="229">
        <v>5</v>
      </c>
      <c r="AI152" s="229">
        <v>4</v>
      </c>
      <c r="AJ152" s="229">
        <v>0</v>
      </c>
      <c r="AK152" s="229">
        <v>30</v>
      </c>
    </row>
    <row r="153" spans="1:37">
      <c r="A153" s="208">
        <f>Calculations!A120</f>
        <v>40422</v>
      </c>
      <c r="B153" s="237">
        <f>IF(A153="N/A"," ",IF(ISERROR(L153),B141*Inputs!$F$19,L153))</f>
        <v>33.450000000000003</v>
      </c>
      <c r="C153" s="239">
        <f t="shared" si="15"/>
        <v>1.0965337923205105</v>
      </c>
      <c r="D153" s="238">
        <f t="shared" si="11"/>
        <v>36.679055353121079</v>
      </c>
      <c r="E153" s="237">
        <f>IF(A153="N/A"," ",IF(ISERROR(M153),E141*Inputs!$F$19,M153))</f>
        <v>24.304999160766595</v>
      </c>
      <c r="F153" s="238">
        <f t="shared" si="12"/>
        <v>26.651252902102222</v>
      </c>
      <c r="G153" s="237">
        <f>IF(A153="N/A"," ",IF(ISERROR(N153),G141*Inputs!$F$19,N153))</f>
        <v>24.8</v>
      </c>
      <c r="H153" s="238">
        <f t="shared" si="13"/>
        <v>27.194038049548663</v>
      </c>
      <c r="I153" s="238">
        <f>IF(A153="N/A"," ",IF(ISERROR(O153),I141*Inputs!$F$19,O153))</f>
        <v>20.349998092651365</v>
      </c>
      <c r="J153" s="331">
        <f ca="1">IF(A153="N/A"," ",IF(ISERROR(P153),J141*Inputs!$F$23,P153))</f>
        <v>3.0374920310000002</v>
      </c>
      <c r="L153" s="349">
        <f>IF(A153="N/A"," ",VLOOKUP(A153,PeakPowerCurves,(IF('Pricing Inputs'!$AT$3=2,3,IF('Pricing Inputs'!$AT$3=1,2,4))),FALSE))</f>
        <v>33.450000000000003</v>
      </c>
      <c r="M153" s="349">
        <f>IF(A153="N/A"," ",VLOOKUP(A153,SatSunPeakPwr,(IF('Pricing Inputs'!$AT$3=2,3,IF('Pricing Inputs'!$AT$3=1,2,4))),FALSE))</f>
        <v>24.304999160766595</v>
      </c>
      <c r="N153" s="349">
        <f>IF(A153="N/A"," ",VLOOKUP(A153,SatSunPeakPwr,(IF('Pricing Inputs'!$AT$3=2,7,IF('Pricing Inputs'!$AT$3=1,6,8))),FALSE))</f>
        <v>24.8</v>
      </c>
      <c r="O153" s="350">
        <f>IF(A153="N/A"," ",(VLOOKUP(A153,OPPowerPrices,(IF('Pricing Inputs'!$AT$3=2,7,IF('Pricing Inputs'!$AT$3=1,6,8))),FALSE)))</f>
        <v>20.349998092651365</v>
      </c>
      <c r="P153" s="351">
        <f t="shared" ca="1" si="14"/>
        <v>3.0374920310000002</v>
      </c>
      <c r="AF153" s="241">
        <v>41091</v>
      </c>
      <c r="AG153" s="229">
        <v>21</v>
      </c>
      <c r="AH153" s="229">
        <v>4</v>
      </c>
      <c r="AI153" s="229">
        <v>5</v>
      </c>
      <c r="AJ153" s="229">
        <v>1</v>
      </c>
      <c r="AK153" s="229">
        <v>31</v>
      </c>
    </row>
    <row r="154" spans="1:37">
      <c r="A154" s="208">
        <f>Calculations!A121</f>
        <v>40452</v>
      </c>
      <c r="B154" s="237">
        <f>IF(A154="N/A"," ",IF(ISERROR(L154),B142*Inputs!$F$19,L154))</f>
        <v>31.2</v>
      </c>
      <c r="C154" s="239">
        <f t="shared" si="15"/>
        <v>0.98692500000000005</v>
      </c>
      <c r="D154" s="238">
        <f t="shared" si="11"/>
        <v>30.792059999999999</v>
      </c>
      <c r="E154" s="237">
        <f>IF(A154="N/A"," ",IF(ISERROR(M154),E142*Inputs!$F$19,M154))</f>
        <v>24.400500106811517</v>
      </c>
      <c r="F154" s="238">
        <f t="shared" si="12"/>
        <v>24.081463567914959</v>
      </c>
      <c r="G154" s="237">
        <f>IF(A154="N/A"," ",IF(ISERROR(N154),G142*Inputs!$F$19,N154))</f>
        <v>22.400999832153314</v>
      </c>
      <c r="H154" s="238">
        <f t="shared" si="13"/>
        <v>22.108106759347912</v>
      </c>
      <c r="I154" s="238">
        <f>IF(A154="N/A"," ",IF(ISERROR(O154),I142*Inputs!$F$19,O154))</f>
        <v>20.049998855590818</v>
      </c>
      <c r="J154" s="331">
        <f ca="1">IF(A154="N/A"," ",IF(ISERROR(P154),J142*Inputs!$F$23,P154))</f>
        <v>3.063492031</v>
      </c>
      <c r="L154" s="349">
        <f>IF(A154="N/A"," ",VLOOKUP(A154,PeakPowerCurves,(IF('Pricing Inputs'!$AT$3=2,3,IF('Pricing Inputs'!$AT$3=1,2,4))),FALSE))</f>
        <v>31.2</v>
      </c>
      <c r="M154" s="349">
        <f>IF(A154="N/A"," ",VLOOKUP(A154,SatSunPeakPwr,(IF('Pricing Inputs'!$AT$3=2,3,IF('Pricing Inputs'!$AT$3=1,2,4))),FALSE))</f>
        <v>24.400500106811517</v>
      </c>
      <c r="N154" s="349">
        <f>IF(A154="N/A"," ",VLOOKUP(A154,SatSunPeakPwr,(IF('Pricing Inputs'!$AT$3=2,7,IF('Pricing Inputs'!$AT$3=1,6,8))),FALSE))</f>
        <v>22.400999832153314</v>
      </c>
      <c r="O154" s="350">
        <f>IF(A154="N/A"," ",(VLOOKUP(A154,OPPowerPrices,(IF('Pricing Inputs'!$AT$3=2,7,IF('Pricing Inputs'!$AT$3=1,6,8))),FALSE)))</f>
        <v>20.049998855590818</v>
      </c>
      <c r="P154" s="351">
        <f t="shared" ca="1" si="14"/>
        <v>3.063492031</v>
      </c>
      <c r="AF154" s="241">
        <v>41122</v>
      </c>
      <c r="AG154" s="229">
        <v>23</v>
      </c>
      <c r="AH154" s="229">
        <v>4</v>
      </c>
      <c r="AI154" s="229">
        <v>4</v>
      </c>
      <c r="AJ154" s="229">
        <v>0</v>
      </c>
      <c r="AK154" s="229">
        <v>31</v>
      </c>
    </row>
    <row r="155" spans="1:37">
      <c r="A155" s="208">
        <f>Calculations!A122</f>
        <v>40483</v>
      </c>
      <c r="B155" s="237">
        <f>IF(A155="N/A"," ",IF(ISERROR(L155),B143*Inputs!$F$19,L155))</f>
        <v>31.574999999999999</v>
      </c>
      <c r="C155" s="239">
        <f t="shared" si="15"/>
        <v>0.98922500000000002</v>
      </c>
      <c r="D155" s="238">
        <f t="shared" si="11"/>
        <v>31.234779374999999</v>
      </c>
      <c r="E155" s="237">
        <f>IF(A155="N/A"," ",IF(ISERROR(M155),E143*Inputs!$F$19,M155))</f>
        <v>25.404751586914056</v>
      </c>
      <c r="F155" s="238">
        <f t="shared" si="12"/>
        <v>25.131015388565057</v>
      </c>
      <c r="G155" s="237">
        <f>IF(A155="N/A"," ",IF(ISERROR(N155),G143*Inputs!$F$19,N155))</f>
        <v>23.404499816894525</v>
      </c>
      <c r="H155" s="238">
        <f t="shared" si="13"/>
        <v>23.152316331367487</v>
      </c>
      <c r="I155" s="238">
        <f>IF(A155="N/A"," ",IF(ISERROR(O155),I143*Inputs!$F$19,O155))</f>
        <v>19.974998092651365</v>
      </c>
      <c r="J155" s="331">
        <f ca="1">IF(A155="N/A"," ",IF(ISERROR(P155),J143*Inputs!$F$23,P155))</f>
        <v>3.9824999999999999</v>
      </c>
      <c r="L155" s="349">
        <f>IF(A155="N/A"," ",VLOOKUP(A155,PeakPowerCurves,(IF('Pricing Inputs'!$AT$3=2,3,IF('Pricing Inputs'!$AT$3=1,2,4))),FALSE))</f>
        <v>31.574999999999999</v>
      </c>
      <c r="M155" s="349">
        <f>IF(A155="N/A"," ",VLOOKUP(A155,SatSunPeakPwr,(IF('Pricing Inputs'!$AT$3=2,3,IF('Pricing Inputs'!$AT$3=1,2,4))),FALSE))</f>
        <v>25.404751586914056</v>
      </c>
      <c r="N155" s="349">
        <f>IF(A155="N/A"," ",VLOOKUP(A155,SatSunPeakPwr,(IF('Pricing Inputs'!$AT$3=2,7,IF('Pricing Inputs'!$AT$3=1,6,8))),FALSE))</f>
        <v>23.404499816894525</v>
      </c>
      <c r="O155" s="350">
        <f>IF(A155="N/A"," ",(VLOOKUP(A155,OPPowerPrices,(IF('Pricing Inputs'!$AT$3=2,7,IF('Pricing Inputs'!$AT$3=1,6,8))),FALSE)))</f>
        <v>19.974998092651365</v>
      </c>
      <c r="P155" s="351">
        <f t="shared" ca="1" si="14"/>
        <v>3.9824999999999999</v>
      </c>
      <c r="AF155" s="241">
        <v>41153</v>
      </c>
      <c r="AG155" s="229">
        <v>19</v>
      </c>
      <c r="AH155" s="229">
        <v>5</v>
      </c>
      <c r="AI155" s="229">
        <v>5</v>
      </c>
      <c r="AJ155" s="229">
        <v>1</v>
      </c>
      <c r="AK155" s="229">
        <v>30</v>
      </c>
    </row>
    <row r="156" spans="1:37">
      <c r="A156" s="208">
        <f>Calculations!A123</f>
        <v>40513</v>
      </c>
      <c r="B156" s="237">
        <f>IF(A156="N/A"," ",IF(ISERROR(L156),B144*Inputs!$F$19,L156))</f>
        <v>31.45</v>
      </c>
      <c r="C156" s="239">
        <f t="shared" si="15"/>
        <v>0.97851944514721489</v>
      </c>
      <c r="D156" s="238">
        <f t="shared" si="11"/>
        <v>30.774436549879908</v>
      </c>
      <c r="E156" s="237">
        <f>IF(A156="N/A"," ",IF(ISERROR(M156),E144*Inputs!$F$19,M156))</f>
        <v>26.854998397827142</v>
      </c>
      <c r="F156" s="238">
        <f t="shared" si="12"/>
        <v>26.27813813167116</v>
      </c>
      <c r="G156" s="237">
        <f>IF(A156="N/A"," ",IF(ISERROR(N156),G144*Inputs!$F$19,N156))</f>
        <v>23.34999923706054</v>
      </c>
      <c r="H156" s="238">
        <f t="shared" si="13"/>
        <v>22.848428297636371</v>
      </c>
      <c r="I156" s="238">
        <f>IF(A156="N/A"," ",IF(ISERROR(O156),I144*Inputs!$F$19,O156))</f>
        <v>21.399999237060545</v>
      </c>
      <c r="J156" s="331">
        <f ca="1">IF(A156="N/A"," ",IF(ISERROR(P156),J144*Inputs!$F$23,P156))</f>
        <v>4.4215</v>
      </c>
      <c r="L156" s="349">
        <f>IF(A156="N/A"," ",VLOOKUP(A156,PeakPowerCurves,(IF('Pricing Inputs'!$AT$3=2,3,IF('Pricing Inputs'!$AT$3=1,2,4))),FALSE))</f>
        <v>31.45</v>
      </c>
      <c r="M156" s="349">
        <f>IF(A156="N/A"," ",VLOOKUP(A156,SatSunPeakPwr,(IF('Pricing Inputs'!$AT$3=2,3,IF('Pricing Inputs'!$AT$3=1,2,4))),FALSE))</f>
        <v>26.854998397827142</v>
      </c>
      <c r="N156" s="349">
        <f>IF(A156="N/A"," ",VLOOKUP(A156,SatSunPeakPwr,(IF('Pricing Inputs'!$AT$3=2,7,IF('Pricing Inputs'!$AT$3=1,6,8))),FALSE))</f>
        <v>23.34999923706054</v>
      </c>
      <c r="O156" s="350">
        <f>IF(A156="N/A"," ",(VLOOKUP(A156,OPPowerPrices,(IF('Pricing Inputs'!$AT$3=2,7,IF('Pricing Inputs'!$AT$3=1,6,8))),FALSE)))</f>
        <v>21.399999237060545</v>
      </c>
      <c r="P156" s="351">
        <f t="shared" ca="1" si="14"/>
        <v>4.4215</v>
      </c>
      <c r="AF156" s="241">
        <v>41183</v>
      </c>
      <c r="AG156" s="229">
        <v>23</v>
      </c>
      <c r="AH156" s="229">
        <v>4</v>
      </c>
      <c r="AI156" s="229">
        <v>4</v>
      </c>
      <c r="AJ156" s="229">
        <v>0</v>
      </c>
      <c r="AK156" s="229">
        <v>31</v>
      </c>
    </row>
    <row r="157" spans="1:37">
      <c r="A157" s="208" t="str">
        <f>Calculations!A124</f>
        <v>N/A</v>
      </c>
      <c r="B157" s="237" t="str">
        <f>IF(A157="N/A"," ",IF(ISERROR(L157),B145*Inputs!$F$19,L157))</f>
        <v xml:space="preserve"> </v>
      </c>
      <c r="C157" s="239" t="str">
        <f t="shared" si="15"/>
        <v xml:space="preserve"> </v>
      </c>
      <c r="D157" s="238" t="str">
        <f t="shared" si="11"/>
        <v xml:space="preserve"> </v>
      </c>
      <c r="E157" s="237" t="str">
        <f>IF(A157="N/A"," ",IF(ISERROR(M157),E145*Inputs!$F$19,M157))</f>
        <v xml:space="preserve"> </v>
      </c>
      <c r="F157" s="238" t="str">
        <f t="shared" si="12"/>
        <v xml:space="preserve"> </v>
      </c>
      <c r="G157" s="237" t="str">
        <f>IF(A157="N/A"," ",IF(ISERROR(N157),G145*Inputs!$F$19,N157))</f>
        <v xml:space="preserve"> </v>
      </c>
      <c r="H157" s="238" t="str">
        <f t="shared" si="13"/>
        <v xml:space="preserve"> </v>
      </c>
      <c r="I157" s="238" t="str">
        <f>IF(A157="N/A"," ",IF(ISERROR(O157),I145*Inputs!$F$19,O157))</f>
        <v xml:space="preserve"> </v>
      </c>
      <c r="J157" s="331" t="str">
        <f>IF(A157="N/A"," ",IF(ISERROR(P157),J145*Inputs!$F$23,P157))</f>
        <v xml:space="preserve"> </v>
      </c>
      <c r="L157" s="349" t="str">
        <f>IF(A157="N/A"," ",VLOOKUP(A157,PeakPowerCurves,(IF('Pricing Inputs'!$AT$3=2,3,IF('Pricing Inputs'!$AT$3=1,2,4))),FALSE))</f>
        <v xml:space="preserve"> </v>
      </c>
      <c r="M157" s="349" t="str">
        <f>IF(A157="N/A"," ",VLOOKUP(A157,SatSunPeakPwr,(IF('Pricing Inputs'!$AT$3=2,3,IF('Pricing Inputs'!$AT$3=1,2,4))),FALSE))</f>
        <v xml:space="preserve"> </v>
      </c>
      <c r="N157" s="349" t="str">
        <f>IF(A157="N/A"," ",VLOOKUP(A157,SatSunPeakPwr,(IF('Pricing Inputs'!$AT$3=2,7,IF('Pricing Inputs'!$AT$3=1,6,8))),FALSE))</f>
        <v xml:space="preserve"> </v>
      </c>
      <c r="O157" s="350" t="str">
        <f>IF(A157="N/A"," ",(VLOOKUP(A157,OPPowerPrices,(IF('Pricing Inputs'!$AT$3=2,7,IF('Pricing Inputs'!$AT$3=1,6,8))),FALSE)))</f>
        <v xml:space="preserve"> </v>
      </c>
      <c r="P157" s="351" t="str">
        <f t="shared" si="14"/>
        <v xml:space="preserve"> </v>
      </c>
      <c r="AF157" s="241">
        <v>41214</v>
      </c>
      <c r="AG157" s="229">
        <v>21</v>
      </c>
      <c r="AH157" s="229">
        <v>4</v>
      </c>
      <c r="AI157" s="229">
        <v>4</v>
      </c>
      <c r="AJ157" s="229">
        <v>1</v>
      </c>
      <c r="AK157" s="229">
        <v>30</v>
      </c>
    </row>
    <row r="158" spans="1:37">
      <c r="A158" s="208" t="str">
        <f>Calculations!A125</f>
        <v>N/A</v>
      </c>
      <c r="B158" s="237" t="str">
        <f>IF(A158="N/A"," ",IF(ISERROR(L158),B146*Inputs!$F$19,L158))</f>
        <v xml:space="preserve"> </v>
      </c>
      <c r="C158" s="239" t="str">
        <f t="shared" si="15"/>
        <v xml:space="preserve"> </v>
      </c>
      <c r="D158" s="238" t="str">
        <f t="shared" si="11"/>
        <v xml:space="preserve"> </v>
      </c>
      <c r="E158" s="237" t="str">
        <f>IF(A158="N/A"," ",IF(ISERROR(M158),E146*Inputs!$F$19,M158))</f>
        <v xml:space="preserve"> </v>
      </c>
      <c r="F158" s="238" t="str">
        <f t="shared" si="12"/>
        <v xml:space="preserve"> </v>
      </c>
      <c r="G158" s="237" t="str">
        <f>IF(A158="N/A"," ",IF(ISERROR(N158),G146*Inputs!$F$19,N158))</f>
        <v xml:space="preserve"> </v>
      </c>
      <c r="H158" s="238" t="str">
        <f t="shared" si="13"/>
        <v xml:space="preserve"> </v>
      </c>
      <c r="I158" s="238" t="str">
        <f>IF(A158="N/A"," ",IF(ISERROR(O158),I146*Inputs!$F$19,O158))</f>
        <v xml:space="preserve"> </v>
      </c>
      <c r="J158" s="331" t="str">
        <f>IF(A158="N/A"," ",IF(ISERROR(P158),J146*Inputs!$F$23,P158))</f>
        <v xml:space="preserve"> </v>
      </c>
      <c r="L158" s="349" t="str">
        <f>IF(A158="N/A"," ",VLOOKUP(A158,PeakPowerCurves,(IF('Pricing Inputs'!$AT$3=2,3,IF('Pricing Inputs'!$AT$3=1,2,4))),FALSE))</f>
        <v xml:space="preserve"> </v>
      </c>
      <c r="M158" s="349" t="str">
        <f>IF(A158="N/A"," ",VLOOKUP(A158,SatSunPeakPwr,(IF('Pricing Inputs'!$AT$3=2,3,IF('Pricing Inputs'!$AT$3=1,2,4))),FALSE))</f>
        <v xml:space="preserve"> </v>
      </c>
      <c r="N158" s="349" t="str">
        <f>IF(A158="N/A"," ",VLOOKUP(A158,SatSunPeakPwr,(IF('Pricing Inputs'!$AT$3=2,7,IF('Pricing Inputs'!$AT$3=1,6,8))),FALSE))</f>
        <v xml:space="preserve"> </v>
      </c>
      <c r="O158" s="350" t="str">
        <f>IF(A158="N/A"," ",(VLOOKUP(A158,OPPowerPrices,(IF('Pricing Inputs'!$AT$3=2,7,IF('Pricing Inputs'!$AT$3=1,6,8))),FALSE)))</f>
        <v xml:space="preserve"> </v>
      </c>
      <c r="P158" s="351" t="str">
        <f t="shared" si="14"/>
        <v xml:space="preserve"> </v>
      </c>
      <c r="AF158" s="241">
        <v>41244</v>
      </c>
      <c r="AG158" s="229">
        <v>20</v>
      </c>
      <c r="AH158" s="229">
        <v>5</v>
      </c>
      <c r="AI158" s="229">
        <v>5</v>
      </c>
      <c r="AJ158" s="229">
        <v>1</v>
      </c>
      <c r="AK158" s="229">
        <v>31</v>
      </c>
    </row>
    <row r="159" spans="1:37">
      <c r="A159" s="208" t="str">
        <f>Calculations!A126</f>
        <v>N/A</v>
      </c>
      <c r="B159" s="237" t="str">
        <f>IF(A159="N/A"," ",IF(ISERROR(L159),B147*Inputs!$F$19,L159))</f>
        <v xml:space="preserve"> </v>
      </c>
      <c r="C159" s="239" t="str">
        <f t="shared" si="15"/>
        <v xml:space="preserve"> </v>
      </c>
      <c r="D159" s="238" t="str">
        <f t="shared" si="11"/>
        <v xml:space="preserve"> </v>
      </c>
      <c r="E159" s="237" t="str">
        <f>IF(A159="N/A"," ",IF(ISERROR(M159),E147*Inputs!$F$19,M159))</f>
        <v xml:space="preserve"> </v>
      </c>
      <c r="F159" s="238" t="str">
        <f t="shared" si="12"/>
        <v xml:space="preserve"> </v>
      </c>
      <c r="G159" s="237" t="str">
        <f>IF(A159="N/A"," ",IF(ISERROR(N159),G147*Inputs!$F$19,N159))</f>
        <v xml:space="preserve"> </v>
      </c>
      <c r="H159" s="238" t="str">
        <f t="shared" si="13"/>
        <v xml:space="preserve"> </v>
      </c>
      <c r="I159" s="238" t="str">
        <f>IF(A159="N/A"," ",IF(ISERROR(O159),I147*Inputs!$F$19,O159))</f>
        <v xml:space="preserve"> </v>
      </c>
      <c r="J159" s="331" t="str">
        <f>IF(A159="N/A"," ",IF(ISERROR(P159),J147*Inputs!$F$23,P159))</f>
        <v xml:space="preserve"> </v>
      </c>
      <c r="L159" s="349" t="str">
        <f>IF(A159="N/A"," ",VLOOKUP(A159,PeakPowerCurves,(IF('Pricing Inputs'!$AT$3=2,3,IF('Pricing Inputs'!$AT$3=1,2,4))),FALSE))</f>
        <v xml:space="preserve"> </v>
      </c>
      <c r="M159" s="349" t="str">
        <f>IF(A159="N/A"," ",VLOOKUP(A159,SatSunPeakPwr,(IF('Pricing Inputs'!$AT$3=2,3,IF('Pricing Inputs'!$AT$3=1,2,4))),FALSE))</f>
        <v xml:space="preserve"> </v>
      </c>
      <c r="N159" s="349" t="str">
        <f>IF(A159="N/A"," ",VLOOKUP(A159,SatSunPeakPwr,(IF('Pricing Inputs'!$AT$3=2,7,IF('Pricing Inputs'!$AT$3=1,6,8))),FALSE))</f>
        <v xml:space="preserve"> </v>
      </c>
      <c r="O159" s="350" t="str">
        <f>IF(A159="N/A"," ",(VLOOKUP(A159,OPPowerPrices,(IF('Pricing Inputs'!$AT$3=2,7,IF('Pricing Inputs'!$AT$3=1,6,8))),FALSE)))</f>
        <v xml:space="preserve"> </v>
      </c>
      <c r="P159" s="351" t="str">
        <f t="shared" si="14"/>
        <v xml:space="preserve"> </v>
      </c>
      <c r="AF159" s="241">
        <v>41275</v>
      </c>
      <c r="AG159" s="229">
        <v>22</v>
      </c>
      <c r="AH159" s="229">
        <v>4</v>
      </c>
      <c r="AI159" s="229">
        <v>4</v>
      </c>
      <c r="AJ159" s="229">
        <v>1</v>
      </c>
      <c r="AK159" s="229">
        <v>31</v>
      </c>
    </row>
    <row r="160" spans="1:37">
      <c r="A160" s="208" t="str">
        <f>Calculations!A127</f>
        <v>N/A</v>
      </c>
      <c r="B160" s="237" t="str">
        <f>IF(A160="N/A"," ",IF(ISERROR(L160),B148*Inputs!$F$19,L160))</f>
        <v xml:space="preserve"> </v>
      </c>
      <c r="C160" s="239" t="str">
        <f t="shared" si="15"/>
        <v xml:space="preserve"> </v>
      </c>
      <c r="D160" s="238" t="str">
        <f t="shared" si="11"/>
        <v xml:space="preserve"> </v>
      </c>
      <c r="E160" s="237" t="str">
        <f>IF(A160="N/A"," ",IF(ISERROR(M160),E148*Inputs!$F$19,M160))</f>
        <v xml:space="preserve"> </v>
      </c>
      <c r="F160" s="238" t="str">
        <f t="shared" si="12"/>
        <v xml:space="preserve"> </v>
      </c>
      <c r="G160" s="237" t="str">
        <f>IF(A160="N/A"," ",IF(ISERROR(N160),G148*Inputs!$F$19,N160))</f>
        <v xml:space="preserve"> </v>
      </c>
      <c r="H160" s="238" t="str">
        <f t="shared" si="13"/>
        <v xml:space="preserve"> </v>
      </c>
      <c r="I160" s="238" t="str">
        <f>IF(A160="N/A"," ",IF(ISERROR(O160),I148*Inputs!$F$19,O160))</f>
        <v xml:space="preserve"> </v>
      </c>
      <c r="J160" s="331" t="str">
        <f>IF(A160="N/A"," ",IF(ISERROR(P160),J148*Inputs!$F$23,P160))</f>
        <v xml:space="preserve"> </v>
      </c>
      <c r="L160" s="349" t="str">
        <f>IF(A160="N/A"," ",VLOOKUP(A160,PeakPowerCurves,(IF('Pricing Inputs'!$AT$3=2,3,IF('Pricing Inputs'!$AT$3=1,2,4))),FALSE))</f>
        <v xml:space="preserve"> </v>
      </c>
      <c r="M160" s="349" t="str">
        <f>IF(A160="N/A"," ",VLOOKUP(A160,SatSunPeakPwr,(IF('Pricing Inputs'!$AT$3=2,3,IF('Pricing Inputs'!$AT$3=1,2,4))),FALSE))</f>
        <v xml:space="preserve"> </v>
      </c>
      <c r="N160" s="349" t="str">
        <f>IF(A160="N/A"," ",VLOOKUP(A160,SatSunPeakPwr,(IF('Pricing Inputs'!$AT$3=2,7,IF('Pricing Inputs'!$AT$3=1,6,8))),FALSE))</f>
        <v xml:space="preserve"> </v>
      </c>
      <c r="O160" s="350" t="str">
        <f>IF(A160="N/A"," ",(VLOOKUP(A160,OPPowerPrices,(IF('Pricing Inputs'!$AT$3=2,7,IF('Pricing Inputs'!$AT$3=1,6,8))),FALSE)))</f>
        <v xml:space="preserve"> </v>
      </c>
      <c r="P160" s="351" t="str">
        <f t="shared" si="14"/>
        <v xml:space="preserve"> </v>
      </c>
      <c r="AF160" s="241">
        <v>41306</v>
      </c>
      <c r="AG160" s="229">
        <v>20</v>
      </c>
      <c r="AH160" s="229">
        <v>4</v>
      </c>
      <c r="AI160" s="229">
        <v>4</v>
      </c>
      <c r="AJ160" s="229">
        <v>0</v>
      </c>
      <c r="AK160" s="229">
        <v>28</v>
      </c>
    </row>
    <row r="161" spans="1:37">
      <c r="A161" s="208" t="str">
        <f>Calculations!A128</f>
        <v>N/A</v>
      </c>
      <c r="B161" s="237" t="str">
        <f>IF(A161="N/A"," ",IF(ISERROR(L161),B149*Inputs!$F$19,L161))</f>
        <v xml:space="preserve"> </v>
      </c>
      <c r="C161" s="239" t="str">
        <f t="shared" si="15"/>
        <v xml:space="preserve"> </v>
      </c>
      <c r="D161" s="238" t="str">
        <f t="shared" si="11"/>
        <v xml:space="preserve"> </v>
      </c>
      <c r="E161" s="237" t="str">
        <f>IF(A161="N/A"," ",IF(ISERROR(M161),E149*Inputs!$F$19,M161))</f>
        <v xml:space="preserve"> </v>
      </c>
      <c r="F161" s="238" t="str">
        <f t="shared" si="12"/>
        <v xml:space="preserve"> </v>
      </c>
      <c r="G161" s="237" t="str">
        <f>IF(A161="N/A"," ",IF(ISERROR(N161),G149*Inputs!$F$19,N161))</f>
        <v xml:space="preserve"> </v>
      </c>
      <c r="H161" s="238" t="str">
        <f t="shared" si="13"/>
        <v xml:space="preserve"> </v>
      </c>
      <c r="I161" s="238" t="str">
        <f>IF(A161="N/A"," ",IF(ISERROR(O161),I149*Inputs!$F$19,O161))</f>
        <v xml:space="preserve"> </v>
      </c>
      <c r="J161" s="331" t="str">
        <f>IF(A161="N/A"," ",IF(ISERROR(P161),J149*Inputs!$F$23,P161))</f>
        <v xml:space="preserve"> </v>
      </c>
      <c r="L161" s="349" t="str">
        <f>IF(A161="N/A"," ",VLOOKUP(A161,PeakPowerCurves,(IF('Pricing Inputs'!$AT$3=2,3,IF('Pricing Inputs'!$AT$3=1,2,4))),FALSE))</f>
        <v xml:space="preserve"> </v>
      </c>
      <c r="M161" s="349" t="str">
        <f>IF(A161="N/A"," ",VLOOKUP(A161,SatSunPeakPwr,(IF('Pricing Inputs'!$AT$3=2,3,IF('Pricing Inputs'!$AT$3=1,2,4))),FALSE))</f>
        <v xml:space="preserve"> </v>
      </c>
      <c r="N161" s="349" t="str">
        <f>IF(A161="N/A"," ",VLOOKUP(A161,SatSunPeakPwr,(IF('Pricing Inputs'!$AT$3=2,7,IF('Pricing Inputs'!$AT$3=1,6,8))),FALSE))</f>
        <v xml:space="preserve"> </v>
      </c>
      <c r="O161" s="350" t="str">
        <f>IF(A161="N/A"," ",(VLOOKUP(A161,OPPowerPrices,(IF('Pricing Inputs'!$AT$3=2,7,IF('Pricing Inputs'!$AT$3=1,6,8))),FALSE)))</f>
        <v xml:space="preserve"> </v>
      </c>
      <c r="P161" s="351" t="str">
        <f t="shared" si="14"/>
        <v xml:space="preserve"> </v>
      </c>
      <c r="AF161" s="241">
        <v>41334</v>
      </c>
      <c r="AG161" s="229">
        <v>21</v>
      </c>
      <c r="AH161" s="229">
        <v>5</v>
      </c>
      <c r="AI161" s="229">
        <v>5</v>
      </c>
      <c r="AJ161" s="229">
        <v>0</v>
      </c>
      <c r="AK161" s="229">
        <v>31</v>
      </c>
    </row>
    <row r="162" spans="1:37">
      <c r="A162" s="208" t="str">
        <f>Calculations!A129</f>
        <v>N/A</v>
      </c>
      <c r="B162" s="237" t="str">
        <f>IF(A162="N/A"," ",IF(ISERROR(L162),B150*Inputs!$F$19,L162))</f>
        <v xml:space="preserve"> </v>
      </c>
      <c r="C162" s="239" t="str">
        <f t="shared" si="15"/>
        <v xml:space="preserve"> </v>
      </c>
      <c r="D162" s="238" t="str">
        <f t="shared" si="11"/>
        <v xml:space="preserve"> </v>
      </c>
      <c r="E162" s="237" t="str">
        <f>IF(A162="N/A"," ",IF(ISERROR(M162),E150*Inputs!$F$19,M162))</f>
        <v xml:space="preserve"> </v>
      </c>
      <c r="F162" s="238" t="str">
        <f t="shared" si="12"/>
        <v xml:space="preserve"> </v>
      </c>
      <c r="G162" s="237" t="str">
        <f>IF(A162="N/A"," ",IF(ISERROR(N162),G150*Inputs!$F$19,N162))</f>
        <v xml:space="preserve"> </v>
      </c>
      <c r="H162" s="238" t="str">
        <f t="shared" si="13"/>
        <v xml:space="preserve"> </v>
      </c>
      <c r="I162" s="238" t="str">
        <f>IF(A162="N/A"," ",IF(ISERROR(O162),I150*Inputs!$F$19,O162))</f>
        <v xml:space="preserve"> </v>
      </c>
      <c r="J162" s="331" t="str">
        <f>IF(A162="N/A"," ",IF(ISERROR(P162),J150*Inputs!$F$23,P162))</f>
        <v xml:space="preserve"> </v>
      </c>
      <c r="L162" s="349" t="str">
        <f>IF(A162="N/A"," ",VLOOKUP(A162,PeakPowerCurves,(IF('Pricing Inputs'!$AT$3=2,3,IF('Pricing Inputs'!$AT$3=1,2,4))),FALSE))</f>
        <v xml:space="preserve"> </v>
      </c>
      <c r="M162" s="349" t="str">
        <f>IF(A162="N/A"," ",VLOOKUP(A162,SatSunPeakPwr,(IF('Pricing Inputs'!$AT$3=2,3,IF('Pricing Inputs'!$AT$3=1,2,4))),FALSE))</f>
        <v xml:space="preserve"> </v>
      </c>
      <c r="N162" s="349" t="str">
        <f>IF(A162="N/A"," ",VLOOKUP(A162,SatSunPeakPwr,(IF('Pricing Inputs'!$AT$3=2,7,IF('Pricing Inputs'!$AT$3=1,6,8))),FALSE))</f>
        <v xml:space="preserve"> </v>
      </c>
      <c r="O162" s="350" t="str">
        <f>IF(A162="N/A"," ",(VLOOKUP(A162,OPPowerPrices,(IF('Pricing Inputs'!$AT$3=2,7,IF('Pricing Inputs'!$AT$3=1,6,8))),FALSE)))</f>
        <v xml:space="preserve"> </v>
      </c>
      <c r="P162" s="351" t="str">
        <f t="shared" si="14"/>
        <v xml:space="preserve"> </v>
      </c>
      <c r="AF162" s="241">
        <v>41365</v>
      </c>
      <c r="AG162" s="229">
        <v>22</v>
      </c>
      <c r="AH162" s="229">
        <v>4</v>
      </c>
      <c r="AI162" s="229">
        <v>4</v>
      </c>
      <c r="AJ162" s="229">
        <v>0</v>
      </c>
      <c r="AK162" s="229">
        <v>30</v>
      </c>
    </row>
    <row r="163" spans="1:37">
      <c r="A163" s="208" t="str">
        <f>Calculations!A130</f>
        <v>N/A</v>
      </c>
      <c r="B163" s="237" t="str">
        <f>IF(A163="N/A"," ",IF(ISERROR(L163),B151*Inputs!$F$19,L163))</f>
        <v xml:space="preserve"> </v>
      </c>
      <c r="C163" s="239" t="str">
        <f t="shared" si="15"/>
        <v xml:space="preserve"> </v>
      </c>
      <c r="D163" s="238" t="str">
        <f t="shared" si="11"/>
        <v xml:space="preserve"> </v>
      </c>
      <c r="E163" s="237" t="str">
        <f>IF(A163="N/A"," ",IF(ISERROR(M163),E151*Inputs!$F$19,M163))</f>
        <v xml:space="preserve"> </v>
      </c>
      <c r="F163" s="238" t="str">
        <f t="shared" si="12"/>
        <v xml:space="preserve"> </v>
      </c>
      <c r="G163" s="237" t="str">
        <f>IF(A163="N/A"," ",IF(ISERROR(N163),G151*Inputs!$F$19,N163))</f>
        <v xml:space="preserve"> </v>
      </c>
      <c r="H163" s="238" t="str">
        <f t="shared" si="13"/>
        <v xml:space="preserve"> </v>
      </c>
      <c r="I163" s="238" t="str">
        <f>IF(A163="N/A"," ",IF(ISERROR(O163),I151*Inputs!$F$19,O163))</f>
        <v xml:space="preserve"> </v>
      </c>
      <c r="J163" s="331" t="str">
        <f>IF(A163="N/A"," ",IF(ISERROR(P163),J151*Inputs!$F$23,P163))</f>
        <v xml:space="preserve"> </v>
      </c>
      <c r="L163" s="349" t="str">
        <f>IF(A163="N/A"," ",VLOOKUP(A163,PeakPowerCurves,(IF('Pricing Inputs'!$AT$3=2,3,IF('Pricing Inputs'!$AT$3=1,2,4))),FALSE))</f>
        <v xml:space="preserve"> </v>
      </c>
      <c r="M163" s="349" t="str">
        <f>IF(A163="N/A"," ",VLOOKUP(A163,SatSunPeakPwr,(IF('Pricing Inputs'!$AT$3=2,3,IF('Pricing Inputs'!$AT$3=1,2,4))),FALSE))</f>
        <v xml:space="preserve"> </v>
      </c>
      <c r="N163" s="349" t="str">
        <f>IF(A163="N/A"," ",VLOOKUP(A163,SatSunPeakPwr,(IF('Pricing Inputs'!$AT$3=2,7,IF('Pricing Inputs'!$AT$3=1,6,8))),FALSE))</f>
        <v xml:space="preserve"> </v>
      </c>
      <c r="O163" s="350" t="str">
        <f>IF(A163="N/A"," ",(VLOOKUP(A163,OPPowerPrices,(IF('Pricing Inputs'!$AT$3=2,7,IF('Pricing Inputs'!$AT$3=1,6,8))),FALSE)))</f>
        <v xml:space="preserve"> </v>
      </c>
      <c r="P163" s="351" t="str">
        <f t="shared" si="14"/>
        <v xml:space="preserve"> </v>
      </c>
      <c r="AF163" s="241">
        <v>41395</v>
      </c>
      <c r="AG163" s="229">
        <v>22</v>
      </c>
      <c r="AH163" s="229">
        <v>4</v>
      </c>
      <c r="AI163" s="229">
        <v>4</v>
      </c>
      <c r="AJ163" s="229">
        <v>1</v>
      </c>
      <c r="AK163" s="229">
        <v>31</v>
      </c>
    </row>
    <row r="164" spans="1:37">
      <c r="A164" s="208" t="str">
        <f>Calculations!A131</f>
        <v>N/A</v>
      </c>
      <c r="B164" s="237" t="str">
        <f>IF(A164="N/A"," ",IF(ISERROR(L164),B152*Inputs!$F$19,L164))</f>
        <v xml:space="preserve"> </v>
      </c>
      <c r="C164" s="239" t="str">
        <f t="shared" si="15"/>
        <v xml:space="preserve"> </v>
      </c>
      <c r="D164" s="238" t="str">
        <f t="shared" si="11"/>
        <v xml:space="preserve"> </v>
      </c>
      <c r="E164" s="237" t="str">
        <f>IF(A164="N/A"," ",IF(ISERROR(M164),E152*Inputs!$F$19,M164))</f>
        <v xml:space="preserve"> </v>
      </c>
      <c r="F164" s="238" t="str">
        <f t="shared" si="12"/>
        <v xml:space="preserve"> </v>
      </c>
      <c r="G164" s="237" t="str">
        <f>IF(A164="N/A"," ",IF(ISERROR(N164),G152*Inputs!$F$19,N164))</f>
        <v xml:space="preserve"> </v>
      </c>
      <c r="H164" s="238" t="str">
        <f t="shared" si="13"/>
        <v xml:space="preserve"> </v>
      </c>
      <c r="I164" s="238" t="str">
        <f>IF(A164="N/A"," ",IF(ISERROR(O164),I152*Inputs!$F$19,O164))</f>
        <v xml:space="preserve"> </v>
      </c>
      <c r="J164" s="331" t="str">
        <f>IF(A164="N/A"," ",IF(ISERROR(P164),J152*Inputs!$F$23,P164))</f>
        <v xml:space="preserve"> </v>
      </c>
      <c r="L164" s="349" t="str">
        <f>IF(A164="N/A"," ",VLOOKUP(A164,PeakPowerCurves,(IF('Pricing Inputs'!$AT$3=2,3,IF('Pricing Inputs'!$AT$3=1,2,4))),FALSE))</f>
        <v xml:space="preserve"> </v>
      </c>
      <c r="M164" s="349" t="str">
        <f>IF(A164="N/A"," ",VLOOKUP(A164,SatSunPeakPwr,(IF('Pricing Inputs'!$AT$3=2,3,IF('Pricing Inputs'!$AT$3=1,2,4))),FALSE))</f>
        <v xml:space="preserve"> </v>
      </c>
      <c r="N164" s="349" t="str">
        <f>IF(A164="N/A"," ",VLOOKUP(A164,SatSunPeakPwr,(IF('Pricing Inputs'!$AT$3=2,7,IF('Pricing Inputs'!$AT$3=1,6,8))),FALSE))</f>
        <v xml:space="preserve"> </v>
      </c>
      <c r="O164" s="350" t="str">
        <f>IF(A164="N/A"," ",(VLOOKUP(A164,OPPowerPrices,(IF('Pricing Inputs'!$AT$3=2,7,IF('Pricing Inputs'!$AT$3=1,6,8))),FALSE)))</f>
        <v xml:space="preserve"> </v>
      </c>
      <c r="P164" s="351" t="str">
        <f t="shared" si="14"/>
        <v xml:space="preserve"> </v>
      </c>
      <c r="AF164" s="241">
        <v>41426</v>
      </c>
      <c r="AG164" s="229">
        <v>20</v>
      </c>
      <c r="AH164" s="229">
        <v>5</v>
      </c>
      <c r="AI164" s="229">
        <v>5</v>
      </c>
      <c r="AJ164" s="229">
        <v>0</v>
      </c>
      <c r="AK164" s="229">
        <v>30</v>
      </c>
    </row>
    <row r="165" spans="1:37">
      <c r="A165" s="208" t="str">
        <f>Calculations!A132</f>
        <v>N/A</v>
      </c>
      <c r="B165" s="237" t="str">
        <f>IF(A165="N/A"," ",IF(ISERROR(L165),B153*Inputs!$F$19,L165))</f>
        <v xml:space="preserve"> </v>
      </c>
      <c r="C165" s="239" t="str">
        <f t="shared" si="15"/>
        <v xml:space="preserve"> </v>
      </c>
      <c r="D165" s="238" t="str">
        <f t="shared" si="11"/>
        <v xml:space="preserve"> </v>
      </c>
      <c r="E165" s="237" t="str">
        <f>IF(A165="N/A"," ",IF(ISERROR(M165),E153*Inputs!$F$19,M165))</f>
        <v xml:space="preserve"> </v>
      </c>
      <c r="F165" s="238" t="str">
        <f t="shared" si="12"/>
        <v xml:space="preserve"> </v>
      </c>
      <c r="G165" s="237" t="str">
        <f>IF(A165="N/A"," ",IF(ISERROR(N165),G153*Inputs!$F$19,N165))</f>
        <v xml:space="preserve"> </v>
      </c>
      <c r="H165" s="238" t="str">
        <f t="shared" si="13"/>
        <v xml:space="preserve"> </v>
      </c>
      <c r="I165" s="238" t="str">
        <f>IF(A165="N/A"," ",IF(ISERROR(O165),I153*Inputs!$F$19,O165))</f>
        <v xml:space="preserve"> </v>
      </c>
      <c r="J165" s="331" t="str">
        <f>IF(A165="N/A"," ",IF(ISERROR(P165),J153*Inputs!$F$23,P165))</f>
        <v xml:space="preserve"> </v>
      </c>
      <c r="L165" s="349" t="str">
        <f>IF(A165="N/A"," ",VLOOKUP(A165,PeakPowerCurves,(IF('Pricing Inputs'!$AT$3=2,3,IF('Pricing Inputs'!$AT$3=1,2,4))),FALSE))</f>
        <v xml:space="preserve"> </v>
      </c>
      <c r="M165" s="349" t="str">
        <f>IF(A165="N/A"," ",VLOOKUP(A165,SatSunPeakPwr,(IF('Pricing Inputs'!$AT$3=2,3,IF('Pricing Inputs'!$AT$3=1,2,4))),FALSE))</f>
        <v xml:space="preserve"> </v>
      </c>
      <c r="N165" s="349" t="str">
        <f>IF(A165="N/A"," ",VLOOKUP(A165,SatSunPeakPwr,(IF('Pricing Inputs'!$AT$3=2,7,IF('Pricing Inputs'!$AT$3=1,6,8))),FALSE))</f>
        <v xml:space="preserve"> </v>
      </c>
      <c r="O165" s="350" t="str">
        <f>IF(A165="N/A"," ",(VLOOKUP(A165,OPPowerPrices,(IF('Pricing Inputs'!$AT$3=2,7,IF('Pricing Inputs'!$AT$3=1,6,8))),FALSE)))</f>
        <v xml:space="preserve"> </v>
      </c>
      <c r="P165" s="351" t="str">
        <f t="shared" si="14"/>
        <v xml:space="preserve"> </v>
      </c>
      <c r="AF165" s="241">
        <v>41456</v>
      </c>
      <c r="AG165" s="229">
        <v>22</v>
      </c>
      <c r="AH165" s="229">
        <v>4</v>
      </c>
      <c r="AI165" s="229">
        <v>4</v>
      </c>
      <c r="AJ165" s="229">
        <v>1</v>
      </c>
      <c r="AK165" s="229">
        <v>31</v>
      </c>
    </row>
    <row r="166" spans="1:37">
      <c r="A166" s="208" t="str">
        <f>Calculations!A133</f>
        <v>N/A</v>
      </c>
      <c r="B166" s="237" t="str">
        <f>IF(A166="N/A"," ",IF(ISERROR(L166),B154*Inputs!$F$19,L166))</f>
        <v xml:space="preserve"> </v>
      </c>
      <c r="C166" s="239" t="str">
        <f t="shared" si="15"/>
        <v xml:space="preserve"> </v>
      </c>
      <c r="D166" s="238" t="str">
        <f t="shared" ref="D166:D229" si="16">IF(A166="N/A"," ",C166*B166)</f>
        <v xml:space="preserve"> </v>
      </c>
      <c r="E166" s="237" t="str">
        <f>IF(A166="N/A"," ",IF(ISERROR(M166),E154*Inputs!$F$19,M166))</f>
        <v xml:space="preserve"> </v>
      </c>
      <c r="F166" s="238" t="str">
        <f t="shared" ref="F166:F229" si="17">IF(A166="N/A"," ",E166*C166)</f>
        <v xml:space="preserve"> </v>
      </c>
      <c r="G166" s="237" t="str">
        <f>IF(A166="N/A"," ",IF(ISERROR(N166),G154*Inputs!$F$19,N166))</f>
        <v xml:space="preserve"> </v>
      </c>
      <c r="H166" s="238" t="str">
        <f t="shared" ref="H166:H229" si="18">IF(A166="N/A"," ",G166*C166)</f>
        <v xml:space="preserve"> </v>
      </c>
      <c r="I166" s="238" t="str">
        <f>IF(A166="N/A"," ",IF(ISERROR(O166),I154*Inputs!$F$19,O166))</f>
        <v xml:space="preserve"> </v>
      </c>
      <c r="J166" s="331" t="str">
        <f>IF(A166="N/A"," ",IF(ISERROR(P166),J154*Inputs!$F$23,P166))</f>
        <v xml:space="preserve"> </v>
      </c>
      <c r="L166" s="349" t="str">
        <f>IF(A166="N/A"," ",VLOOKUP(A166,PeakPowerCurves,(IF('Pricing Inputs'!$AT$3=2,3,IF('Pricing Inputs'!$AT$3=1,2,4))),FALSE))</f>
        <v xml:space="preserve"> </v>
      </c>
      <c r="M166" s="349" t="str">
        <f>IF(A166="N/A"," ",VLOOKUP(A166,SatSunPeakPwr,(IF('Pricing Inputs'!$AT$3=2,3,IF('Pricing Inputs'!$AT$3=1,2,4))),FALSE))</f>
        <v xml:space="preserve"> </v>
      </c>
      <c r="N166" s="349" t="str">
        <f>IF(A166="N/A"," ",VLOOKUP(A166,SatSunPeakPwr,(IF('Pricing Inputs'!$AT$3=2,7,IF('Pricing Inputs'!$AT$3=1,6,8))),FALSE))</f>
        <v xml:space="preserve"> </v>
      </c>
      <c r="O166" s="350" t="str">
        <f>IF(A166="N/A"," ",(VLOOKUP(A166,OPPowerPrices,(IF('Pricing Inputs'!$AT$3=2,7,IF('Pricing Inputs'!$AT$3=1,6,8))),FALSE)))</f>
        <v xml:space="preserve"> </v>
      </c>
      <c r="P166" s="351" t="str">
        <f t="shared" ref="P166:P229" si="19">IF(A166="N/A"," ",(VLOOKUP(A166,GasCurves,15,FALSE)))</f>
        <v xml:space="preserve"> </v>
      </c>
      <c r="AF166" s="241">
        <v>41487</v>
      </c>
      <c r="AG166" s="229">
        <v>22</v>
      </c>
      <c r="AH166" s="229">
        <v>5</v>
      </c>
      <c r="AI166" s="229">
        <v>4</v>
      </c>
      <c r="AJ166" s="229">
        <v>0</v>
      </c>
      <c r="AK166" s="229">
        <v>31</v>
      </c>
    </row>
    <row r="167" spans="1:37">
      <c r="A167" s="208" t="str">
        <f>Calculations!A134</f>
        <v>N/A</v>
      </c>
      <c r="B167" s="237" t="str">
        <f>IF(A167="N/A"," ",IF(ISERROR(L167),B155*Inputs!$F$19,L167))</f>
        <v xml:space="preserve"> </v>
      </c>
      <c r="C167" s="239" t="str">
        <f t="shared" si="15"/>
        <v xml:space="preserve"> </v>
      </c>
      <c r="D167" s="238" t="str">
        <f t="shared" si="16"/>
        <v xml:space="preserve"> </v>
      </c>
      <c r="E167" s="237" t="str">
        <f>IF(A167="N/A"," ",IF(ISERROR(M167),E155*Inputs!$F$19,M167))</f>
        <v xml:space="preserve"> </v>
      </c>
      <c r="F167" s="238" t="str">
        <f t="shared" si="17"/>
        <v xml:space="preserve"> </v>
      </c>
      <c r="G167" s="237" t="str">
        <f>IF(A167="N/A"," ",IF(ISERROR(N167),G155*Inputs!$F$19,N167))</f>
        <v xml:space="preserve"> </v>
      </c>
      <c r="H167" s="238" t="str">
        <f t="shared" si="18"/>
        <v xml:space="preserve"> </v>
      </c>
      <c r="I167" s="238" t="str">
        <f>IF(A167="N/A"," ",IF(ISERROR(O167),I155*Inputs!$F$19,O167))</f>
        <v xml:space="preserve"> </v>
      </c>
      <c r="J167" s="331" t="str">
        <f>IF(A167="N/A"," ",IF(ISERROR(P167),J155*Inputs!$F$23,P167))</f>
        <v xml:space="preserve"> </v>
      </c>
      <c r="L167" s="349" t="str">
        <f>IF(A167="N/A"," ",VLOOKUP(A167,PeakPowerCurves,(IF('Pricing Inputs'!$AT$3=2,3,IF('Pricing Inputs'!$AT$3=1,2,4))),FALSE))</f>
        <v xml:space="preserve"> </v>
      </c>
      <c r="M167" s="349" t="str">
        <f>IF(A167="N/A"," ",VLOOKUP(A167,SatSunPeakPwr,(IF('Pricing Inputs'!$AT$3=2,3,IF('Pricing Inputs'!$AT$3=1,2,4))),FALSE))</f>
        <v xml:space="preserve"> </v>
      </c>
      <c r="N167" s="349" t="str">
        <f>IF(A167="N/A"," ",VLOOKUP(A167,SatSunPeakPwr,(IF('Pricing Inputs'!$AT$3=2,7,IF('Pricing Inputs'!$AT$3=1,6,8))),FALSE))</f>
        <v xml:space="preserve"> </v>
      </c>
      <c r="O167" s="350" t="str">
        <f>IF(A167="N/A"," ",(VLOOKUP(A167,OPPowerPrices,(IF('Pricing Inputs'!$AT$3=2,7,IF('Pricing Inputs'!$AT$3=1,6,8))),FALSE)))</f>
        <v xml:space="preserve"> </v>
      </c>
      <c r="P167" s="351" t="str">
        <f t="shared" si="19"/>
        <v xml:space="preserve"> </v>
      </c>
      <c r="AF167" s="241">
        <v>41518</v>
      </c>
      <c r="AG167" s="229">
        <v>20</v>
      </c>
      <c r="AH167" s="229">
        <v>4</v>
      </c>
      <c r="AI167" s="229">
        <v>5</v>
      </c>
      <c r="AJ167" s="229">
        <v>1</v>
      </c>
      <c r="AK167" s="229">
        <v>30</v>
      </c>
    </row>
    <row r="168" spans="1:37">
      <c r="A168" s="208" t="str">
        <f>Calculations!A135</f>
        <v>N/A</v>
      </c>
      <c r="B168" s="237" t="str">
        <f>IF(A168="N/A"," ",IF(ISERROR(L168),B156*Inputs!$F$19,L168))</f>
        <v xml:space="preserve"> </v>
      </c>
      <c r="C168" s="239" t="str">
        <f t="shared" si="15"/>
        <v xml:space="preserve"> </v>
      </c>
      <c r="D168" s="238" t="str">
        <f t="shared" si="16"/>
        <v xml:space="preserve"> </v>
      </c>
      <c r="E168" s="237" t="str">
        <f>IF(A168="N/A"," ",IF(ISERROR(M168),E156*Inputs!$F$19,M168))</f>
        <v xml:space="preserve"> </v>
      </c>
      <c r="F168" s="238" t="str">
        <f t="shared" si="17"/>
        <v xml:space="preserve"> </v>
      </c>
      <c r="G168" s="237" t="str">
        <f>IF(A168="N/A"," ",IF(ISERROR(N168),G156*Inputs!$F$19,N168))</f>
        <v xml:space="preserve"> </v>
      </c>
      <c r="H168" s="238" t="str">
        <f t="shared" si="18"/>
        <v xml:space="preserve"> </v>
      </c>
      <c r="I168" s="238" t="str">
        <f>IF(A168="N/A"," ",IF(ISERROR(O168),I156*Inputs!$F$19,O168))</f>
        <v xml:space="preserve"> </v>
      </c>
      <c r="J168" s="331" t="str">
        <f>IF(A168="N/A"," ",IF(ISERROR(P168),J156*Inputs!$F$23,P168))</f>
        <v xml:space="preserve"> </v>
      </c>
      <c r="L168" s="349" t="str">
        <f>IF(A168="N/A"," ",VLOOKUP(A168,PeakPowerCurves,(IF('Pricing Inputs'!$AT$3=2,3,IF('Pricing Inputs'!$AT$3=1,2,4))),FALSE))</f>
        <v xml:space="preserve"> </v>
      </c>
      <c r="M168" s="349" t="str">
        <f>IF(A168="N/A"," ",VLOOKUP(A168,SatSunPeakPwr,(IF('Pricing Inputs'!$AT$3=2,3,IF('Pricing Inputs'!$AT$3=1,2,4))),FALSE))</f>
        <v xml:space="preserve"> </v>
      </c>
      <c r="N168" s="349" t="str">
        <f>IF(A168="N/A"," ",VLOOKUP(A168,SatSunPeakPwr,(IF('Pricing Inputs'!$AT$3=2,7,IF('Pricing Inputs'!$AT$3=1,6,8))),FALSE))</f>
        <v xml:space="preserve"> </v>
      </c>
      <c r="O168" s="350" t="str">
        <f>IF(A168="N/A"," ",(VLOOKUP(A168,OPPowerPrices,(IF('Pricing Inputs'!$AT$3=2,7,IF('Pricing Inputs'!$AT$3=1,6,8))),FALSE)))</f>
        <v xml:space="preserve"> </v>
      </c>
      <c r="P168" s="351" t="str">
        <f t="shared" si="19"/>
        <v xml:space="preserve"> </v>
      </c>
      <c r="AF168" s="241">
        <v>41548</v>
      </c>
      <c r="AG168" s="229">
        <v>23</v>
      </c>
      <c r="AH168" s="229">
        <v>4</v>
      </c>
      <c r="AI168" s="229">
        <v>4</v>
      </c>
      <c r="AJ168" s="229">
        <v>0</v>
      </c>
      <c r="AK168" s="229">
        <v>31</v>
      </c>
    </row>
    <row r="169" spans="1:37">
      <c r="A169" s="208" t="str">
        <f>Calculations!A136</f>
        <v>N/A</v>
      </c>
      <c r="B169" s="237" t="str">
        <f>IF(A169="N/A"," ",IF(ISERROR(L169),B157*Inputs!$F$19,L169))</f>
        <v xml:space="preserve"> </v>
      </c>
      <c r="C169" s="239" t="str">
        <f t="shared" si="15"/>
        <v xml:space="preserve"> </v>
      </c>
      <c r="D169" s="238" t="str">
        <f t="shared" si="16"/>
        <v xml:space="preserve"> </v>
      </c>
      <c r="E169" s="237" t="str">
        <f>IF(A169="N/A"," ",IF(ISERROR(M169),E157*Inputs!$F$19,M169))</f>
        <v xml:space="preserve"> </v>
      </c>
      <c r="F169" s="238" t="str">
        <f t="shared" si="17"/>
        <v xml:space="preserve"> </v>
      </c>
      <c r="G169" s="237" t="str">
        <f>IF(A169="N/A"," ",IF(ISERROR(N169),G157*Inputs!$F$19,N169))</f>
        <v xml:space="preserve"> </v>
      </c>
      <c r="H169" s="238" t="str">
        <f t="shared" si="18"/>
        <v xml:space="preserve"> </v>
      </c>
      <c r="I169" s="238" t="str">
        <f>IF(A169="N/A"," ",IF(ISERROR(O169),I157*Inputs!$F$19,O169))</f>
        <v xml:space="preserve"> </v>
      </c>
      <c r="J169" s="331" t="str">
        <f>IF(A169="N/A"," ",IF(ISERROR(P169),J157*Inputs!$F$23,P169))</f>
        <v xml:space="preserve"> </v>
      </c>
      <c r="L169" s="349" t="str">
        <f>IF(A169="N/A"," ",VLOOKUP(A169,PeakPowerCurves,(IF('Pricing Inputs'!$AT$3=2,3,IF('Pricing Inputs'!$AT$3=1,2,4))),FALSE))</f>
        <v xml:space="preserve"> </v>
      </c>
      <c r="M169" s="349" t="str">
        <f>IF(A169="N/A"," ",VLOOKUP(A169,SatSunPeakPwr,(IF('Pricing Inputs'!$AT$3=2,3,IF('Pricing Inputs'!$AT$3=1,2,4))),FALSE))</f>
        <v xml:space="preserve"> </v>
      </c>
      <c r="N169" s="349" t="str">
        <f>IF(A169="N/A"," ",VLOOKUP(A169,SatSunPeakPwr,(IF('Pricing Inputs'!$AT$3=2,7,IF('Pricing Inputs'!$AT$3=1,6,8))),FALSE))</f>
        <v xml:space="preserve"> </v>
      </c>
      <c r="O169" s="350" t="str">
        <f>IF(A169="N/A"," ",(VLOOKUP(A169,OPPowerPrices,(IF('Pricing Inputs'!$AT$3=2,7,IF('Pricing Inputs'!$AT$3=1,6,8))),FALSE)))</f>
        <v xml:space="preserve"> </v>
      </c>
      <c r="P169" s="351" t="str">
        <f t="shared" si="19"/>
        <v xml:space="preserve"> </v>
      </c>
      <c r="AF169" s="241">
        <v>41579</v>
      </c>
      <c r="AG169" s="229">
        <v>20</v>
      </c>
      <c r="AH169" s="229">
        <v>5</v>
      </c>
      <c r="AI169" s="229">
        <v>4</v>
      </c>
      <c r="AJ169" s="229">
        <v>1</v>
      </c>
      <c r="AK169" s="229">
        <v>30</v>
      </c>
    </row>
    <row r="170" spans="1:37">
      <c r="A170" s="208" t="str">
        <f>Calculations!A137</f>
        <v>N/A</v>
      </c>
      <c r="B170" s="237" t="str">
        <f>IF(A170="N/A"," ",IF(ISERROR(L170),B158*Inputs!$F$19,L170))</f>
        <v xml:space="preserve"> </v>
      </c>
      <c r="C170" s="239" t="str">
        <f t="shared" si="15"/>
        <v xml:space="preserve"> </v>
      </c>
      <c r="D170" s="238" t="str">
        <f t="shared" si="16"/>
        <v xml:space="preserve"> </v>
      </c>
      <c r="E170" s="237" t="str">
        <f>IF(A170="N/A"," ",IF(ISERROR(M170),E158*Inputs!$F$19,M170))</f>
        <v xml:space="preserve"> </v>
      </c>
      <c r="F170" s="238" t="str">
        <f t="shared" si="17"/>
        <v xml:space="preserve"> </v>
      </c>
      <c r="G170" s="237" t="str">
        <f>IF(A170="N/A"," ",IF(ISERROR(N170),G158*Inputs!$F$19,N170))</f>
        <v xml:space="preserve"> </v>
      </c>
      <c r="H170" s="238" t="str">
        <f t="shared" si="18"/>
        <v xml:space="preserve"> </v>
      </c>
      <c r="I170" s="238" t="str">
        <f>IF(A170="N/A"," ",IF(ISERROR(O170),I158*Inputs!$F$19,O170))</f>
        <v xml:space="preserve"> </v>
      </c>
      <c r="J170" s="331" t="str">
        <f>IF(A170="N/A"," ",IF(ISERROR(P170),J158*Inputs!$F$23,P170))</f>
        <v xml:space="preserve"> </v>
      </c>
      <c r="L170" s="349" t="str">
        <f>IF(A170="N/A"," ",VLOOKUP(A170,PeakPowerCurves,(IF('Pricing Inputs'!$AT$3=2,3,IF('Pricing Inputs'!$AT$3=1,2,4))),FALSE))</f>
        <v xml:space="preserve"> </v>
      </c>
      <c r="M170" s="349" t="str">
        <f>IF(A170="N/A"," ",VLOOKUP(A170,SatSunPeakPwr,(IF('Pricing Inputs'!$AT$3=2,3,IF('Pricing Inputs'!$AT$3=1,2,4))),FALSE))</f>
        <v xml:space="preserve"> </v>
      </c>
      <c r="N170" s="349" t="str">
        <f>IF(A170="N/A"," ",VLOOKUP(A170,SatSunPeakPwr,(IF('Pricing Inputs'!$AT$3=2,7,IF('Pricing Inputs'!$AT$3=1,6,8))),FALSE))</f>
        <v xml:space="preserve"> </v>
      </c>
      <c r="O170" s="350" t="str">
        <f>IF(A170="N/A"," ",(VLOOKUP(A170,OPPowerPrices,(IF('Pricing Inputs'!$AT$3=2,7,IF('Pricing Inputs'!$AT$3=1,6,8))),FALSE)))</f>
        <v xml:space="preserve"> </v>
      </c>
      <c r="P170" s="351" t="str">
        <f t="shared" si="19"/>
        <v xml:space="preserve"> </v>
      </c>
      <c r="AF170" s="241">
        <v>41609</v>
      </c>
      <c r="AG170" s="229">
        <v>21</v>
      </c>
      <c r="AH170" s="229">
        <v>4</v>
      </c>
      <c r="AI170" s="229">
        <v>5</v>
      </c>
      <c r="AJ170" s="229">
        <v>1</v>
      </c>
      <c r="AK170" s="229">
        <v>31</v>
      </c>
    </row>
    <row r="171" spans="1:37">
      <c r="A171" s="208" t="str">
        <f>Calculations!A138</f>
        <v>N/A</v>
      </c>
      <c r="B171" s="237" t="str">
        <f>IF(A171="N/A"," ",IF(ISERROR(L171),B159*Inputs!$F$19,L171))</f>
        <v xml:space="preserve"> </v>
      </c>
      <c r="C171" s="239" t="str">
        <f t="shared" ref="C171:C234" si="20">IF(A171="N/A"," ",(IF(AND(MONTH(A171)&gt;=6,MONTH(A171)&lt;=8,OR($K$37="REGION 2",$K$37="REGION 2A",$K$37="REGION 2B",$K$37="REGION 3",$K$37="REGION 3A",$K$37="REGION 3B",$K$37="REGION 4",$K$37="REGION 4B",$K$37="REGION 4C",$K$37="REGION 5",$K$37="REGION 5A")),((0.059228/(B171/100))-(0.4980013/(SQRT(B171/100)))+2.137988),HLOOKUP(MONTH(A171),ScalarTable,28))))</f>
        <v xml:space="preserve"> </v>
      </c>
      <c r="D171" s="238" t="str">
        <f t="shared" si="16"/>
        <v xml:space="preserve"> </v>
      </c>
      <c r="E171" s="237" t="str">
        <f>IF(A171="N/A"," ",IF(ISERROR(M171),E159*Inputs!$F$19,M171))</f>
        <v xml:space="preserve"> </v>
      </c>
      <c r="F171" s="238" t="str">
        <f t="shared" si="17"/>
        <v xml:space="preserve"> </v>
      </c>
      <c r="G171" s="237" t="str">
        <f>IF(A171="N/A"," ",IF(ISERROR(N171),G159*Inputs!$F$19,N171))</f>
        <v xml:space="preserve"> </v>
      </c>
      <c r="H171" s="238" t="str">
        <f t="shared" si="18"/>
        <v xml:space="preserve"> </v>
      </c>
      <c r="I171" s="238" t="str">
        <f>IF(A171="N/A"," ",IF(ISERROR(O171),I159*Inputs!$F$19,O171))</f>
        <v xml:space="preserve"> </v>
      </c>
      <c r="J171" s="331" t="str">
        <f>IF(A171="N/A"," ",IF(ISERROR(P171),J159*Inputs!$F$23,P171))</f>
        <v xml:space="preserve"> </v>
      </c>
      <c r="L171" s="349" t="str">
        <f>IF(A171="N/A"," ",VLOOKUP(A171,PeakPowerCurves,(IF('Pricing Inputs'!$AT$3=2,3,IF('Pricing Inputs'!$AT$3=1,2,4))),FALSE))</f>
        <v xml:space="preserve"> </v>
      </c>
      <c r="M171" s="349" t="str">
        <f>IF(A171="N/A"," ",VLOOKUP(A171,SatSunPeakPwr,(IF('Pricing Inputs'!$AT$3=2,3,IF('Pricing Inputs'!$AT$3=1,2,4))),FALSE))</f>
        <v xml:space="preserve"> </v>
      </c>
      <c r="N171" s="349" t="str">
        <f>IF(A171="N/A"," ",VLOOKUP(A171,SatSunPeakPwr,(IF('Pricing Inputs'!$AT$3=2,7,IF('Pricing Inputs'!$AT$3=1,6,8))),FALSE))</f>
        <v xml:space="preserve"> </v>
      </c>
      <c r="O171" s="350" t="str">
        <f>IF(A171="N/A"," ",(VLOOKUP(A171,OPPowerPrices,(IF('Pricing Inputs'!$AT$3=2,7,IF('Pricing Inputs'!$AT$3=1,6,8))),FALSE)))</f>
        <v xml:space="preserve"> </v>
      </c>
      <c r="P171" s="351" t="str">
        <f t="shared" si="19"/>
        <v xml:space="preserve"> </v>
      </c>
      <c r="AF171" s="241">
        <v>41640</v>
      </c>
      <c r="AG171" s="229">
        <v>22</v>
      </c>
      <c r="AH171" s="229">
        <v>4</v>
      </c>
      <c r="AI171" s="229">
        <v>4</v>
      </c>
      <c r="AJ171" s="229">
        <v>1</v>
      </c>
      <c r="AK171" s="229">
        <v>31</v>
      </c>
    </row>
    <row r="172" spans="1:37">
      <c r="A172" s="208" t="str">
        <f>Calculations!A139</f>
        <v>N/A</v>
      </c>
      <c r="B172" s="237" t="str">
        <f>IF(A172="N/A"," ",IF(ISERROR(L172),B160*Inputs!$F$19,L172))</f>
        <v xml:space="preserve"> </v>
      </c>
      <c r="C172" s="239" t="str">
        <f t="shared" si="20"/>
        <v xml:space="preserve"> </v>
      </c>
      <c r="D172" s="238" t="str">
        <f t="shared" si="16"/>
        <v xml:space="preserve"> </v>
      </c>
      <c r="E172" s="237" t="str">
        <f>IF(A172="N/A"," ",IF(ISERROR(M172),E160*Inputs!$F$19,M172))</f>
        <v xml:space="preserve"> </v>
      </c>
      <c r="F172" s="238" t="str">
        <f t="shared" si="17"/>
        <v xml:space="preserve"> </v>
      </c>
      <c r="G172" s="237" t="str">
        <f>IF(A172="N/A"," ",IF(ISERROR(N172),G160*Inputs!$F$19,N172))</f>
        <v xml:space="preserve"> </v>
      </c>
      <c r="H172" s="238" t="str">
        <f t="shared" si="18"/>
        <v xml:space="preserve"> </v>
      </c>
      <c r="I172" s="238" t="str">
        <f>IF(A172="N/A"," ",IF(ISERROR(O172),I160*Inputs!$F$19,O172))</f>
        <v xml:space="preserve"> </v>
      </c>
      <c r="J172" s="331" t="str">
        <f>IF(A172="N/A"," ",IF(ISERROR(P172),J160*Inputs!$F$23,P172))</f>
        <v xml:space="preserve"> </v>
      </c>
      <c r="L172" s="349" t="str">
        <f>IF(A172="N/A"," ",VLOOKUP(A172,PeakPowerCurves,(IF('Pricing Inputs'!$AT$3=2,3,IF('Pricing Inputs'!$AT$3=1,2,4))),FALSE))</f>
        <v xml:space="preserve"> </v>
      </c>
      <c r="M172" s="349" t="str">
        <f>IF(A172="N/A"," ",VLOOKUP(A172,SatSunPeakPwr,(IF('Pricing Inputs'!$AT$3=2,3,IF('Pricing Inputs'!$AT$3=1,2,4))),FALSE))</f>
        <v xml:space="preserve"> </v>
      </c>
      <c r="N172" s="349" t="str">
        <f>IF(A172="N/A"," ",VLOOKUP(A172,SatSunPeakPwr,(IF('Pricing Inputs'!$AT$3=2,7,IF('Pricing Inputs'!$AT$3=1,6,8))),FALSE))</f>
        <v xml:space="preserve"> </v>
      </c>
      <c r="O172" s="350" t="str">
        <f>IF(A172="N/A"," ",(VLOOKUP(A172,OPPowerPrices,(IF('Pricing Inputs'!$AT$3=2,7,IF('Pricing Inputs'!$AT$3=1,6,8))),FALSE)))</f>
        <v xml:space="preserve"> </v>
      </c>
      <c r="P172" s="351" t="str">
        <f t="shared" si="19"/>
        <v xml:space="preserve"> </v>
      </c>
      <c r="AF172" s="241">
        <v>41671</v>
      </c>
      <c r="AG172" s="229">
        <v>20</v>
      </c>
      <c r="AH172" s="229">
        <v>4</v>
      </c>
      <c r="AI172" s="229">
        <v>4</v>
      </c>
      <c r="AJ172" s="229">
        <v>0</v>
      </c>
      <c r="AK172" s="229">
        <v>28</v>
      </c>
    </row>
    <row r="173" spans="1:37">
      <c r="A173" s="208" t="str">
        <f>Calculations!A140</f>
        <v>N/A</v>
      </c>
      <c r="B173" s="237" t="str">
        <f>IF(A173="N/A"," ",IF(ISERROR(L173),B161*Inputs!$F$19,L173))</f>
        <v xml:space="preserve"> </v>
      </c>
      <c r="C173" s="239" t="str">
        <f t="shared" si="20"/>
        <v xml:space="preserve"> </v>
      </c>
      <c r="D173" s="238" t="str">
        <f t="shared" si="16"/>
        <v xml:space="preserve"> </v>
      </c>
      <c r="E173" s="237" t="str">
        <f>IF(A173="N/A"," ",IF(ISERROR(M173),E161*Inputs!$F$19,M173))</f>
        <v xml:space="preserve"> </v>
      </c>
      <c r="F173" s="238" t="str">
        <f t="shared" si="17"/>
        <v xml:space="preserve"> </v>
      </c>
      <c r="G173" s="237" t="str">
        <f>IF(A173="N/A"," ",IF(ISERROR(N173),G161*Inputs!$F$19,N173))</f>
        <v xml:space="preserve"> </v>
      </c>
      <c r="H173" s="238" t="str">
        <f t="shared" si="18"/>
        <v xml:space="preserve"> </v>
      </c>
      <c r="I173" s="238" t="str">
        <f>IF(A173="N/A"," ",IF(ISERROR(O173),I161*Inputs!$F$19,O173))</f>
        <v xml:space="preserve"> </v>
      </c>
      <c r="J173" s="331" t="str">
        <f>IF(A173="N/A"," ",IF(ISERROR(P173),J161*Inputs!$F$23,P173))</f>
        <v xml:space="preserve"> </v>
      </c>
      <c r="L173" s="349" t="str">
        <f>IF(A173="N/A"," ",VLOOKUP(A173,PeakPowerCurves,(IF('Pricing Inputs'!$AT$3=2,3,IF('Pricing Inputs'!$AT$3=1,2,4))),FALSE))</f>
        <v xml:space="preserve"> </v>
      </c>
      <c r="M173" s="349" t="str">
        <f>IF(A173="N/A"," ",VLOOKUP(A173,SatSunPeakPwr,(IF('Pricing Inputs'!$AT$3=2,3,IF('Pricing Inputs'!$AT$3=1,2,4))),FALSE))</f>
        <v xml:space="preserve"> </v>
      </c>
      <c r="N173" s="349" t="str">
        <f>IF(A173="N/A"," ",VLOOKUP(A173,SatSunPeakPwr,(IF('Pricing Inputs'!$AT$3=2,7,IF('Pricing Inputs'!$AT$3=1,6,8))),FALSE))</f>
        <v xml:space="preserve"> </v>
      </c>
      <c r="O173" s="350" t="str">
        <f>IF(A173="N/A"," ",(VLOOKUP(A173,OPPowerPrices,(IF('Pricing Inputs'!$AT$3=2,7,IF('Pricing Inputs'!$AT$3=1,6,8))),FALSE)))</f>
        <v xml:space="preserve"> </v>
      </c>
      <c r="P173" s="351" t="str">
        <f t="shared" si="19"/>
        <v xml:space="preserve"> </v>
      </c>
      <c r="AF173" s="241">
        <v>41699</v>
      </c>
      <c r="AG173" s="229">
        <v>21</v>
      </c>
      <c r="AH173" s="229">
        <v>5</v>
      </c>
      <c r="AI173" s="229">
        <v>5</v>
      </c>
      <c r="AJ173" s="229">
        <v>0</v>
      </c>
      <c r="AK173" s="229">
        <v>31</v>
      </c>
    </row>
    <row r="174" spans="1:37">
      <c r="A174" s="208" t="str">
        <f>Calculations!A141</f>
        <v>N/A</v>
      </c>
      <c r="B174" s="237" t="str">
        <f>IF(A174="N/A"," ",IF(ISERROR(L174),B162*Inputs!$F$19,L174))</f>
        <v xml:space="preserve"> </v>
      </c>
      <c r="C174" s="239" t="str">
        <f t="shared" si="20"/>
        <v xml:space="preserve"> </v>
      </c>
      <c r="D174" s="238" t="str">
        <f t="shared" si="16"/>
        <v xml:space="preserve"> </v>
      </c>
      <c r="E174" s="237" t="str">
        <f>IF(A174="N/A"," ",IF(ISERROR(M174),E162*Inputs!$F$19,M174))</f>
        <v xml:space="preserve"> </v>
      </c>
      <c r="F174" s="238" t="str">
        <f t="shared" si="17"/>
        <v xml:space="preserve"> </v>
      </c>
      <c r="G174" s="237" t="str">
        <f>IF(A174="N/A"," ",IF(ISERROR(N174),G162*Inputs!$F$19,N174))</f>
        <v xml:space="preserve"> </v>
      </c>
      <c r="H174" s="238" t="str">
        <f t="shared" si="18"/>
        <v xml:space="preserve"> </v>
      </c>
      <c r="I174" s="238" t="str">
        <f>IF(A174="N/A"," ",IF(ISERROR(O174),I162*Inputs!$F$19,O174))</f>
        <v xml:space="preserve"> </v>
      </c>
      <c r="J174" s="331" t="str">
        <f>IF(A174="N/A"," ",IF(ISERROR(P174),J162*Inputs!$F$23,P174))</f>
        <v xml:space="preserve"> </v>
      </c>
      <c r="L174" s="349" t="str">
        <f>IF(A174="N/A"," ",VLOOKUP(A174,PeakPowerCurves,(IF('Pricing Inputs'!$AT$3=2,3,IF('Pricing Inputs'!$AT$3=1,2,4))),FALSE))</f>
        <v xml:space="preserve"> </v>
      </c>
      <c r="M174" s="349" t="str">
        <f>IF(A174="N/A"," ",VLOOKUP(A174,SatSunPeakPwr,(IF('Pricing Inputs'!$AT$3=2,3,IF('Pricing Inputs'!$AT$3=1,2,4))),FALSE))</f>
        <v xml:space="preserve"> </v>
      </c>
      <c r="N174" s="349" t="str">
        <f>IF(A174="N/A"," ",VLOOKUP(A174,SatSunPeakPwr,(IF('Pricing Inputs'!$AT$3=2,7,IF('Pricing Inputs'!$AT$3=1,6,8))),FALSE))</f>
        <v xml:space="preserve"> </v>
      </c>
      <c r="O174" s="350" t="str">
        <f>IF(A174="N/A"," ",(VLOOKUP(A174,OPPowerPrices,(IF('Pricing Inputs'!$AT$3=2,7,IF('Pricing Inputs'!$AT$3=1,6,8))),FALSE)))</f>
        <v xml:space="preserve"> </v>
      </c>
      <c r="P174" s="351" t="str">
        <f t="shared" si="19"/>
        <v xml:space="preserve"> </v>
      </c>
      <c r="AF174" s="241">
        <v>41730</v>
      </c>
      <c r="AG174" s="229">
        <v>22</v>
      </c>
      <c r="AH174" s="229">
        <v>4</v>
      </c>
      <c r="AI174" s="229">
        <v>4</v>
      </c>
      <c r="AJ174" s="229">
        <v>0</v>
      </c>
      <c r="AK174" s="229">
        <v>30</v>
      </c>
    </row>
    <row r="175" spans="1:37">
      <c r="A175" s="208" t="str">
        <f>Calculations!A142</f>
        <v>N/A</v>
      </c>
      <c r="B175" s="237" t="str">
        <f>IF(A175="N/A"," ",IF(ISERROR(L175),B163*Inputs!$F$19,L175))</f>
        <v xml:space="preserve"> </v>
      </c>
      <c r="C175" s="239" t="str">
        <f t="shared" si="20"/>
        <v xml:space="preserve"> </v>
      </c>
      <c r="D175" s="238" t="str">
        <f t="shared" si="16"/>
        <v xml:space="preserve"> </v>
      </c>
      <c r="E175" s="237" t="str">
        <f>IF(A175="N/A"," ",IF(ISERROR(M175),E163*Inputs!$F$19,M175))</f>
        <v xml:space="preserve"> </v>
      </c>
      <c r="F175" s="238" t="str">
        <f t="shared" si="17"/>
        <v xml:space="preserve"> </v>
      </c>
      <c r="G175" s="237" t="str">
        <f>IF(A175="N/A"," ",IF(ISERROR(N175),G163*Inputs!$F$19,N175))</f>
        <v xml:space="preserve"> </v>
      </c>
      <c r="H175" s="238" t="str">
        <f t="shared" si="18"/>
        <v xml:space="preserve"> </v>
      </c>
      <c r="I175" s="238" t="str">
        <f>IF(A175="N/A"," ",IF(ISERROR(O175),I163*Inputs!$F$19,O175))</f>
        <v xml:space="preserve"> </v>
      </c>
      <c r="J175" s="331" t="str">
        <f>IF(A175="N/A"," ",IF(ISERROR(P175),J163*Inputs!$F$23,P175))</f>
        <v xml:space="preserve"> </v>
      </c>
      <c r="L175" s="349" t="str">
        <f>IF(A175="N/A"," ",VLOOKUP(A175,PeakPowerCurves,(IF('Pricing Inputs'!$AT$3=2,3,IF('Pricing Inputs'!$AT$3=1,2,4))),FALSE))</f>
        <v xml:space="preserve"> </v>
      </c>
      <c r="M175" s="349" t="str">
        <f>IF(A175="N/A"," ",VLOOKUP(A175,SatSunPeakPwr,(IF('Pricing Inputs'!$AT$3=2,3,IF('Pricing Inputs'!$AT$3=1,2,4))),FALSE))</f>
        <v xml:space="preserve"> </v>
      </c>
      <c r="N175" s="349" t="str">
        <f>IF(A175="N/A"," ",VLOOKUP(A175,SatSunPeakPwr,(IF('Pricing Inputs'!$AT$3=2,7,IF('Pricing Inputs'!$AT$3=1,6,8))),FALSE))</f>
        <v xml:space="preserve"> </v>
      </c>
      <c r="O175" s="350" t="str">
        <f>IF(A175="N/A"," ",(VLOOKUP(A175,OPPowerPrices,(IF('Pricing Inputs'!$AT$3=2,7,IF('Pricing Inputs'!$AT$3=1,6,8))),FALSE)))</f>
        <v xml:space="preserve"> </v>
      </c>
      <c r="P175" s="351" t="str">
        <f t="shared" si="19"/>
        <v xml:space="preserve"> </v>
      </c>
      <c r="AF175" s="241">
        <v>41760</v>
      </c>
      <c r="AG175" s="229">
        <v>21</v>
      </c>
      <c r="AH175" s="229">
        <v>5</v>
      </c>
      <c r="AI175" s="229">
        <v>4</v>
      </c>
      <c r="AJ175" s="229">
        <v>1</v>
      </c>
      <c r="AK175" s="229">
        <v>31</v>
      </c>
    </row>
    <row r="176" spans="1:37">
      <c r="A176" s="208" t="str">
        <f>Calculations!A143</f>
        <v>N/A</v>
      </c>
      <c r="B176" s="237" t="str">
        <f>IF(A176="N/A"," ",IF(ISERROR(L176),B164*Inputs!$F$19,L176))</f>
        <v xml:space="preserve"> </v>
      </c>
      <c r="C176" s="239" t="str">
        <f t="shared" si="20"/>
        <v xml:space="preserve"> </v>
      </c>
      <c r="D176" s="238" t="str">
        <f t="shared" si="16"/>
        <v xml:space="preserve"> </v>
      </c>
      <c r="E176" s="237" t="str">
        <f>IF(A176="N/A"," ",IF(ISERROR(M176),E164*Inputs!$F$19,M176))</f>
        <v xml:space="preserve"> </v>
      </c>
      <c r="F176" s="238" t="str">
        <f t="shared" si="17"/>
        <v xml:space="preserve"> </v>
      </c>
      <c r="G176" s="237" t="str">
        <f>IF(A176="N/A"," ",IF(ISERROR(N176),G164*Inputs!$F$19,N176))</f>
        <v xml:space="preserve"> </v>
      </c>
      <c r="H176" s="238" t="str">
        <f t="shared" si="18"/>
        <v xml:space="preserve"> </v>
      </c>
      <c r="I176" s="238" t="str">
        <f>IF(A176="N/A"," ",IF(ISERROR(O176),I164*Inputs!$F$19,O176))</f>
        <v xml:space="preserve"> </v>
      </c>
      <c r="J176" s="331" t="str">
        <f>IF(A176="N/A"," ",IF(ISERROR(P176),J164*Inputs!$F$23,P176))</f>
        <v xml:space="preserve"> </v>
      </c>
      <c r="L176" s="349" t="str">
        <f>IF(A176="N/A"," ",VLOOKUP(A176,PeakPowerCurves,(IF('Pricing Inputs'!$AT$3=2,3,IF('Pricing Inputs'!$AT$3=1,2,4))),FALSE))</f>
        <v xml:space="preserve"> </v>
      </c>
      <c r="M176" s="349" t="str">
        <f>IF(A176="N/A"," ",VLOOKUP(A176,SatSunPeakPwr,(IF('Pricing Inputs'!$AT$3=2,3,IF('Pricing Inputs'!$AT$3=1,2,4))),FALSE))</f>
        <v xml:space="preserve"> </v>
      </c>
      <c r="N176" s="349" t="str">
        <f>IF(A176="N/A"," ",VLOOKUP(A176,SatSunPeakPwr,(IF('Pricing Inputs'!$AT$3=2,7,IF('Pricing Inputs'!$AT$3=1,6,8))),FALSE))</f>
        <v xml:space="preserve"> </v>
      </c>
      <c r="O176" s="350" t="str">
        <f>IF(A176="N/A"," ",(VLOOKUP(A176,OPPowerPrices,(IF('Pricing Inputs'!$AT$3=2,7,IF('Pricing Inputs'!$AT$3=1,6,8))),FALSE)))</f>
        <v xml:space="preserve"> </v>
      </c>
      <c r="P176" s="351" t="str">
        <f t="shared" si="19"/>
        <v xml:space="preserve"> </v>
      </c>
      <c r="AF176" s="241">
        <v>41791</v>
      </c>
      <c r="AG176" s="229">
        <v>21</v>
      </c>
      <c r="AH176" s="229">
        <v>4</v>
      </c>
      <c r="AI176" s="229">
        <v>5</v>
      </c>
      <c r="AJ176" s="229">
        <v>0</v>
      </c>
      <c r="AK176" s="229">
        <v>30</v>
      </c>
    </row>
    <row r="177" spans="1:37">
      <c r="A177" s="208" t="str">
        <f>Calculations!A144</f>
        <v>N/A</v>
      </c>
      <c r="B177" s="237" t="str">
        <f>IF(A177="N/A"," ",IF(ISERROR(L177),B165*Inputs!$F$19,L177))</f>
        <v xml:space="preserve"> </v>
      </c>
      <c r="C177" s="239" t="str">
        <f t="shared" si="20"/>
        <v xml:space="preserve"> </v>
      </c>
      <c r="D177" s="238" t="str">
        <f t="shared" si="16"/>
        <v xml:space="preserve"> </v>
      </c>
      <c r="E177" s="237" t="str">
        <f>IF(A177="N/A"," ",IF(ISERROR(M177),E165*Inputs!$F$19,M177))</f>
        <v xml:space="preserve"> </v>
      </c>
      <c r="F177" s="238" t="str">
        <f t="shared" si="17"/>
        <v xml:space="preserve"> </v>
      </c>
      <c r="G177" s="237" t="str">
        <f>IF(A177="N/A"," ",IF(ISERROR(N177),G165*Inputs!$F$19,N177))</f>
        <v xml:space="preserve"> </v>
      </c>
      <c r="H177" s="238" t="str">
        <f t="shared" si="18"/>
        <v xml:space="preserve"> </v>
      </c>
      <c r="I177" s="238" t="str">
        <f>IF(A177="N/A"," ",IF(ISERROR(O177),I165*Inputs!$F$19,O177))</f>
        <v xml:space="preserve"> </v>
      </c>
      <c r="J177" s="331" t="str">
        <f>IF(A177="N/A"," ",IF(ISERROR(P177),J165*Inputs!$F$23,P177))</f>
        <v xml:space="preserve"> </v>
      </c>
      <c r="L177" s="349" t="str">
        <f>IF(A177="N/A"," ",VLOOKUP(A177,PeakPowerCurves,(IF('Pricing Inputs'!$AT$3=2,3,IF('Pricing Inputs'!$AT$3=1,2,4))),FALSE))</f>
        <v xml:space="preserve"> </v>
      </c>
      <c r="M177" s="349" t="str">
        <f>IF(A177="N/A"," ",VLOOKUP(A177,SatSunPeakPwr,(IF('Pricing Inputs'!$AT$3=2,3,IF('Pricing Inputs'!$AT$3=1,2,4))),FALSE))</f>
        <v xml:space="preserve"> </v>
      </c>
      <c r="N177" s="349" t="str">
        <f>IF(A177="N/A"," ",VLOOKUP(A177,SatSunPeakPwr,(IF('Pricing Inputs'!$AT$3=2,7,IF('Pricing Inputs'!$AT$3=1,6,8))),FALSE))</f>
        <v xml:space="preserve"> </v>
      </c>
      <c r="O177" s="350" t="str">
        <f>IF(A177="N/A"," ",(VLOOKUP(A177,OPPowerPrices,(IF('Pricing Inputs'!$AT$3=2,7,IF('Pricing Inputs'!$AT$3=1,6,8))),FALSE)))</f>
        <v xml:space="preserve"> </v>
      </c>
      <c r="P177" s="351" t="str">
        <f t="shared" si="19"/>
        <v xml:space="preserve"> </v>
      </c>
      <c r="AF177" s="241">
        <v>41821</v>
      </c>
      <c r="AG177" s="229">
        <v>22</v>
      </c>
      <c r="AH177" s="229">
        <v>4</v>
      </c>
      <c r="AI177" s="229">
        <v>4</v>
      </c>
      <c r="AJ177" s="229">
        <v>1</v>
      </c>
      <c r="AK177" s="229">
        <v>31</v>
      </c>
    </row>
    <row r="178" spans="1:37">
      <c r="A178" s="208" t="str">
        <f>Calculations!A145</f>
        <v>N/A</v>
      </c>
      <c r="B178" s="237" t="str">
        <f>IF(A178="N/A"," ",IF(ISERROR(L178),B166*Inputs!$F$19,L178))</f>
        <v xml:space="preserve"> </v>
      </c>
      <c r="C178" s="239" t="str">
        <f t="shared" si="20"/>
        <v xml:space="preserve"> </v>
      </c>
      <c r="D178" s="238" t="str">
        <f t="shared" si="16"/>
        <v xml:space="preserve"> </v>
      </c>
      <c r="E178" s="237" t="str">
        <f>IF(A178="N/A"," ",IF(ISERROR(M178),E166*Inputs!$F$19,M178))</f>
        <v xml:space="preserve"> </v>
      </c>
      <c r="F178" s="238" t="str">
        <f t="shared" si="17"/>
        <v xml:space="preserve"> </v>
      </c>
      <c r="G178" s="237" t="str">
        <f>IF(A178="N/A"," ",IF(ISERROR(N178),G166*Inputs!$F$19,N178))</f>
        <v xml:space="preserve"> </v>
      </c>
      <c r="H178" s="238" t="str">
        <f t="shared" si="18"/>
        <v xml:space="preserve"> </v>
      </c>
      <c r="I178" s="238" t="str">
        <f>IF(A178="N/A"," ",IF(ISERROR(O178),I166*Inputs!$F$19,O178))</f>
        <v xml:space="preserve"> </v>
      </c>
      <c r="J178" s="331" t="str">
        <f>IF(A178="N/A"," ",IF(ISERROR(P178),J166*Inputs!$F$23,P178))</f>
        <v xml:space="preserve"> </v>
      </c>
      <c r="L178" s="349" t="str">
        <f>IF(A178="N/A"," ",VLOOKUP(A178,PeakPowerCurves,(IF('Pricing Inputs'!$AT$3=2,3,IF('Pricing Inputs'!$AT$3=1,2,4))),FALSE))</f>
        <v xml:space="preserve"> </v>
      </c>
      <c r="M178" s="349" t="str">
        <f>IF(A178="N/A"," ",VLOOKUP(A178,SatSunPeakPwr,(IF('Pricing Inputs'!$AT$3=2,3,IF('Pricing Inputs'!$AT$3=1,2,4))),FALSE))</f>
        <v xml:space="preserve"> </v>
      </c>
      <c r="N178" s="349" t="str">
        <f>IF(A178="N/A"," ",VLOOKUP(A178,SatSunPeakPwr,(IF('Pricing Inputs'!$AT$3=2,7,IF('Pricing Inputs'!$AT$3=1,6,8))),FALSE))</f>
        <v xml:space="preserve"> </v>
      </c>
      <c r="O178" s="350" t="str">
        <f>IF(A178="N/A"," ",(VLOOKUP(A178,OPPowerPrices,(IF('Pricing Inputs'!$AT$3=2,7,IF('Pricing Inputs'!$AT$3=1,6,8))),FALSE)))</f>
        <v xml:space="preserve"> </v>
      </c>
      <c r="P178" s="351" t="str">
        <f t="shared" si="19"/>
        <v xml:space="preserve"> </v>
      </c>
      <c r="AF178" s="241">
        <v>41852</v>
      </c>
      <c r="AG178" s="229">
        <v>21</v>
      </c>
      <c r="AH178" s="229">
        <v>5</v>
      </c>
      <c r="AI178" s="229">
        <v>5</v>
      </c>
      <c r="AJ178" s="229">
        <v>0</v>
      </c>
      <c r="AK178" s="229">
        <v>31</v>
      </c>
    </row>
    <row r="179" spans="1:37">
      <c r="A179" s="208" t="str">
        <f>Calculations!A146</f>
        <v>N/A</v>
      </c>
      <c r="B179" s="237" t="str">
        <f>IF(A179="N/A"," ",IF(ISERROR(L179),B167*Inputs!$F$19,L179))</f>
        <v xml:space="preserve"> </v>
      </c>
      <c r="C179" s="239" t="str">
        <f t="shared" si="20"/>
        <v xml:space="preserve"> </v>
      </c>
      <c r="D179" s="238" t="str">
        <f t="shared" si="16"/>
        <v xml:space="preserve"> </v>
      </c>
      <c r="E179" s="237" t="str">
        <f>IF(A179="N/A"," ",IF(ISERROR(M179),E167*Inputs!$F$19,M179))</f>
        <v xml:space="preserve"> </v>
      </c>
      <c r="F179" s="238" t="str">
        <f t="shared" si="17"/>
        <v xml:space="preserve"> </v>
      </c>
      <c r="G179" s="237" t="str">
        <f>IF(A179="N/A"," ",IF(ISERROR(N179),G167*Inputs!$F$19,N179))</f>
        <v xml:space="preserve"> </v>
      </c>
      <c r="H179" s="238" t="str">
        <f t="shared" si="18"/>
        <v xml:space="preserve"> </v>
      </c>
      <c r="I179" s="238" t="str">
        <f>IF(A179="N/A"," ",IF(ISERROR(O179),I167*Inputs!$F$19,O179))</f>
        <v xml:space="preserve"> </v>
      </c>
      <c r="J179" s="331" t="str">
        <f>IF(A179="N/A"," ",IF(ISERROR(P179),J167*Inputs!$F$23,P179))</f>
        <v xml:space="preserve"> </v>
      </c>
      <c r="L179" s="349" t="str">
        <f>IF(A179="N/A"," ",VLOOKUP(A179,PeakPowerCurves,(IF('Pricing Inputs'!$AT$3=2,3,IF('Pricing Inputs'!$AT$3=1,2,4))),FALSE))</f>
        <v xml:space="preserve"> </v>
      </c>
      <c r="M179" s="349" t="str">
        <f>IF(A179="N/A"," ",VLOOKUP(A179,SatSunPeakPwr,(IF('Pricing Inputs'!$AT$3=2,3,IF('Pricing Inputs'!$AT$3=1,2,4))),FALSE))</f>
        <v xml:space="preserve"> </v>
      </c>
      <c r="N179" s="349" t="str">
        <f>IF(A179="N/A"," ",VLOOKUP(A179,SatSunPeakPwr,(IF('Pricing Inputs'!$AT$3=2,7,IF('Pricing Inputs'!$AT$3=1,6,8))),FALSE))</f>
        <v xml:space="preserve"> </v>
      </c>
      <c r="O179" s="350" t="str">
        <f>IF(A179="N/A"," ",(VLOOKUP(A179,OPPowerPrices,(IF('Pricing Inputs'!$AT$3=2,7,IF('Pricing Inputs'!$AT$3=1,6,8))),FALSE)))</f>
        <v xml:space="preserve"> </v>
      </c>
      <c r="P179" s="351" t="str">
        <f t="shared" si="19"/>
        <v xml:space="preserve"> </v>
      </c>
      <c r="AF179" s="241">
        <v>41883</v>
      </c>
      <c r="AG179" s="229">
        <v>21</v>
      </c>
      <c r="AH179" s="229">
        <v>4</v>
      </c>
      <c r="AI179" s="229">
        <v>4</v>
      </c>
      <c r="AJ179" s="229">
        <v>1</v>
      </c>
      <c r="AK179" s="229">
        <v>30</v>
      </c>
    </row>
    <row r="180" spans="1:37">
      <c r="A180" s="208" t="str">
        <f>Calculations!A147</f>
        <v>N/A</v>
      </c>
      <c r="B180" s="237" t="str">
        <f>IF(A180="N/A"," ",IF(ISERROR(L180),B168*Inputs!$F$19,L180))</f>
        <v xml:space="preserve"> </v>
      </c>
      <c r="C180" s="239" t="str">
        <f t="shared" si="20"/>
        <v xml:space="preserve"> </v>
      </c>
      <c r="D180" s="238" t="str">
        <f t="shared" si="16"/>
        <v xml:space="preserve"> </v>
      </c>
      <c r="E180" s="237" t="str">
        <f>IF(A180="N/A"," ",IF(ISERROR(M180),E168*Inputs!$F$19,M180))</f>
        <v xml:space="preserve"> </v>
      </c>
      <c r="F180" s="238" t="str">
        <f t="shared" si="17"/>
        <v xml:space="preserve"> </v>
      </c>
      <c r="G180" s="237" t="str">
        <f>IF(A180="N/A"," ",IF(ISERROR(N180),G168*Inputs!$F$19,N180))</f>
        <v xml:space="preserve"> </v>
      </c>
      <c r="H180" s="238" t="str">
        <f t="shared" si="18"/>
        <v xml:space="preserve"> </v>
      </c>
      <c r="I180" s="238" t="str">
        <f>IF(A180="N/A"," ",IF(ISERROR(O180),I168*Inputs!$F$19,O180))</f>
        <v xml:space="preserve"> </v>
      </c>
      <c r="J180" s="331" t="str">
        <f>IF(A180="N/A"," ",IF(ISERROR(P180),J168*Inputs!$F$23,P180))</f>
        <v xml:space="preserve"> </v>
      </c>
      <c r="L180" s="349" t="str">
        <f>IF(A180="N/A"," ",VLOOKUP(A180,PeakPowerCurves,(IF('Pricing Inputs'!$AT$3=2,3,IF('Pricing Inputs'!$AT$3=1,2,4))),FALSE))</f>
        <v xml:space="preserve"> </v>
      </c>
      <c r="M180" s="349" t="str">
        <f>IF(A180="N/A"," ",VLOOKUP(A180,SatSunPeakPwr,(IF('Pricing Inputs'!$AT$3=2,3,IF('Pricing Inputs'!$AT$3=1,2,4))),FALSE))</f>
        <v xml:space="preserve"> </v>
      </c>
      <c r="N180" s="349" t="str">
        <f>IF(A180="N/A"," ",VLOOKUP(A180,SatSunPeakPwr,(IF('Pricing Inputs'!$AT$3=2,7,IF('Pricing Inputs'!$AT$3=1,6,8))),FALSE))</f>
        <v xml:space="preserve"> </v>
      </c>
      <c r="O180" s="350" t="str">
        <f>IF(A180="N/A"," ",(VLOOKUP(A180,OPPowerPrices,(IF('Pricing Inputs'!$AT$3=2,7,IF('Pricing Inputs'!$AT$3=1,6,8))),FALSE)))</f>
        <v xml:space="preserve"> </v>
      </c>
      <c r="P180" s="351" t="str">
        <f t="shared" si="19"/>
        <v xml:space="preserve"> </v>
      </c>
      <c r="AF180" s="241">
        <v>41913</v>
      </c>
      <c r="AG180" s="229">
        <v>23</v>
      </c>
      <c r="AH180" s="229">
        <v>4</v>
      </c>
      <c r="AI180" s="229">
        <v>4</v>
      </c>
      <c r="AJ180" s="229">
        <v>0</v>
      </c>
      <c r="AK180" s="229">
        <v>31</v>
      </c>
    </row>
    <row r="181" spans="1:37">
      <c r="A181" s="208" t="str">
        <f>Calculations!A148</f>
        <v>N/A</v>
      </c>
      <c r="B181" s="237" t="str">
        <f>IF(A181="N/A"," ",IF(ISERROR(L181),B169*Inputs!$F$19,L181))</f>
        <v xml:space="preserve"> </v>
      </c>
      <c r="C181" s="239" t="str">
        <f t="shared" si="20"/>
        <v xml:space="preserve"> </v>
      </c>
      <c r="D181" s="238" t="str">
        <f t="shared" si="16"/>
        <v xml:space="preserve"> </v>
      </c>
      <c r="E181" s="237" t="str">
        <f>IF(A181="N/A"," ",IF(ISERROR(M181),E169*Inputs!$F$19,M181))</f>
        <v xml:space="preserve"> </v>
      </c>
      <c r="F181" s="238" t="str">
        <f t="shared" si="17"/>
        <v xml:space="preserve"> </v>
      </c>
      <c r="G181" s="237" t="str">
        <f>IF(A181="N/A"," ",IF(ISERROR(N181),G169*Inputs!$F$19,N181))</f>
        <v xml:space="preserve"> </v>
      </c>
      <c r="H181" s="238" t="str">
        <f t="shared" si="18"/>
        <v xml:space="preserve"> </v>
      </c>
      <c r="I181" s="238" t="str">
        <f>IF(A181="N/A"," ",IF(ISERROR(O181),I169*Inputs!$F$19,O181))</f>
        <v xml:space="preserve"> </v>
      </c>
      <c r="J181" s="331" t="str">
        <f>IF(A181="N/A"," ",IF(ISERROR(P181),J169*Inputs!$F$23,P181))</f>
        <v xml:space="preserve"> </v>
      </c>
      <c r="L181" s="349" t="str">
        <f>IF(A181="N/A"," ",VLOOKUP(A181,PeakPowerCurves,(IF('Pricing Inputs'!$AT$3=2,3,IF('Pricing Inputs'!$AT$3=1,2,4))),FALSE))</f>
        <v xml:space="preserve"> </v>
      </c>
      <c r="M181" s="349" t="str">
        <f>IF(A181="N/A"," ",VLOOKUP(A181,SatSunPeakPwr,(IF('Pricing Inputs'!$AT$3=2,3,IF('Pricing Inputs'!$AT$3=1,2,4))),FALSE))</f>
        <v xml:space="preserve"> </v>
      </c>
      <c r="N181" s="349" t="str">
        <f>IF(A181="N/A"," ",VLOOKUP(A181,SatSunPeakPwr,(IF('Pricing Inputs'!$AT$3=2,7,IF('Pricing Inputs'!$AT$3=1,6,8))),FALSE))</f>
        <v xml:space="preserve"> </v>
      </c>
      <c r="O181" s="350" t="str">
        <f>IF(A181="N/A"," ",(VLOOKUP(A181,OPPowerPrices,(IF('Pricing Inputs'!$AT$3=2,7,IF('Pricing Inputs'!$AT$3=1,6,8))),FALSE)))</f>
        <v xml:space="preserve"> </v>
      </c>
      <c r="P181" s="351" t="str">
        <f t="shared" si="19"/>
        <v xml:space="preserve"> </v>
      </c>
      <c r="AF181" s="241">
        <v>41944</v>
      </c>
      <c r="AG181" s="229">
        <v>19</v>
      </c>
      <c r="AH181" s="229">
        <v>5</v>
      </c>
      <c r="AI181" s="229">
        <v>5</v>
      </c>
      <c r="AJ181" s="229">
        <v>1</v>
      </c>
      <c r="AK181" s="229">
        <v>30</v>
      </c>
    </row>
    <row r="182" spans="1:37">
      <c r="A182" s="208" t="str">
        <f>Calculations!A149</f>
        <v>N/A</v>
      </c>
      <c r="B182" s="237" t="str">
        <f>IF(A182="N/A"," ",IF(ISERROR(L182),B170*Inputs!$F$19,L182))</f>
        <v xml:space="preserve"> </v>
      </c>
      <c r="C182" s="239" t="str">
        <f t="shared" si="20"/>
        <v xml:space="preserve"> </v>
      </c>
      <c r="D182" s="238" t="str">
        <f t="shared" si="16"/>
        <v xml:space="preserve"> </v>
      </c>
      <c r="E182" s="237" t="str">
        <f>IF(A182="N/A"," ",IF(ISERROR(M182),E170*Inputs!$F$19,M182))</f>
        <v xml:space="preserve"> </v>
      </c>
      <c r="F182" s="238" t="str">
        <f t="shared" si="17"/>
        <v xml:space="preserve"> </v>
      </c>
      <c r="G182" s="237" t="str">
        <f>IF(A182="N/A"," ",IF(ISERROR(N182),G170*Inputs!$F$19,N182))</f>
        <v xml:space="preserve"> </v>
      </c>
      <c r="H182" s="238" t="str">
        <f t="shared" si="18"/>
        <v xml:space="preserve"> </v>
      </c>
      <c r="I182" s="238" t="str">
        <f>IF(A182="N/A"," ",IF(ISERROR(O182),I170*Inputs!$F$19,O182))</f>
        <v xml:space="preserve"> </v>
      </c>
      <c r="J182" s="331" t="str">
        <f>IF(A182="N/A"," ",IF(ISERROR(P182),J170*Inputs!$F$23,P182))</f>
        <v xml:space="preserve"> </v>
      </c>
      <c r="L182" s="349" t="str">
        <f>IF(A182="N/A"," ",VLOOKUP(A182,PeakPowerCurves,(IF('Pricing Inputs'!$AT$3=2,3,IF('Pricing Inputs'!$AT$3=1,2,4))),FALSE))</f>
        <v xml:space="preserve"> </v>
      </c>
      <c r="M182" s="349" t="str">
        <f>IF(A182="N/A"," ",VLOOKUP(A182,SatSunPeakPwr,(IF('Pricing Inputs'!$AT$3=2,3,IF('Pricing Inputs'!$AT$3=1,2,4))),FALSE))</f>
        <v xml:space="preserve"> </v>
      </c>
      <c r="N182" s="349" t="str">
        <f>IF(A182="N/A"," ",VLOOKUP(A182,SatSunPeakPwr,(IF('Pricing Inputs'!$AT$3=2,7,IF('Pricing Inputs'!$AT$3=1,6,8))),FALSE))</f>
        <v xml:space="preserve"> </v>
      </c>
      <c r="O182" s="350" t="str">
        <f>IF(A182="N/A"," ",(VLOOKUP(A182,OPPowerPrices,(IF('Pricing Inputs'!$AT$3=2,7,IF('Pricing Inputs'!$AT$3=1,6,8))),FALSE)))</f>
        <v xml:space="preserve"> </v>
      </c>
      <c r="P182" s="351" t="str">
        <f t="shared" si="19"/>
        <v xml:space="preserve"> </v>
      </c>
      <c r="AF182" s="241">
        <v>41974</v>
      </c>
      <c r="AG182" s="229">
        <v>22</v>
      </c>
      <c r="AH182" s="229">
        <v>4</v>
      </c>
      <c r="AI182" s="229">
        <v>4</v>
      </c>
      <c r="AJ182" s="229">
        <v>1</v>
      </c>
      <c r="AK182" s="229">
        <v>31</v>
      </c>
    </row>
    <row r="183" spans="1:37">
      <c r="A183" s="208" t="str">
        <f>Calculations!A150</f>
        <v>N/A</v>
      </c>
      <c r="B183" s="237" t="str">
        <f>IF(A183="N/A"," ",IF(ISERROR(L183),B171*Inputs!$F$19,L183))</f>
        <v xml:space="preserve"> </v>
      </c>
      <c r="C183" s="239" t="str">
        <f t="shared" si="20"/>
        <v xml:space="preserve"> </v>
      </c>
      <c r="D183" s="238" t="str">
        <f t="shared" si="16"/>
        <v xml:space="preserve"> </v>
      </c>
      <c r="E183" s="237" t="str">
        <f>IF(A183="N/A"," ",IF(ISERROR(M183),E171*Inputs!$F$19,M183))</f>
        <v xml:space="preserve"> </v>
      </c>
      <c r="F183" s="238" t="str">
        <f t="shared" si="17"/>
        <v xml:space="preserve"> </v>
      </c>
      <c r="G183" s="237" t="str">
        <f>IF(A183="N/A"," ",IF(ISERROR(N183),G171*Inputs!$F$19,N183))</f>
        <v xml:space="preserve"> </v>
      </c>
      <c r="H183" s="238" t="str">
        <f t="shared" si="18"/>
        <v xml:space="preserve"> </v>
      </c>
      <c r="I183" s="238" t="str">
        <f>IF(A183="N/A"," ",IF(ISERROR(O183),I171*Inputs!$F$19,O183))</f>
        <v xml:space="preserve"> </v>
      </c>
      <c r="J183" s="331" t="str">
        <f>IF(A183="N/A"," ",IF(ISERROR(P183),J171*Inputs!$F$23,P183))</f>
        <v xml:space="preserve"> </v>
      </c>
      <c r="L183" s="349" t="str">
        <f>IF(A183="N/A"," ",VLOOKUP(A183,PeakPowerCurves,(IF('Pricing Inputs'!$AT$3=2,3,IF('Pricing Inputs'!$AT$3=1,2,4))),FALSE))</f>
        <v xml:space="preserve"> </v>
      </c>
      <c r="M183" s="349" t="str">
        <f>IF(A183="N/A"," ",VLOOKUP(A183,SatSunPeakPwr,(IF('Pricing Inputs'!$AT$3=2,3,IF('Pricing Inputs'!$AT$3=1,2,4))),FALSE))</f>
        <v xml:space="preserve"> </v>
      </c>
      <c r="N183" s="349" t="str">
        <f>IF(A183="N/A"," ",VLOOKUP(A183,SatSunPeakPwr,(IF('Pricing Inputs'!$AT$3=2,7,IF('Pricing Inputs'!$AT$3=1,6,8))),FALSE))</f>
        <v xml:space="preserve"> </v>
      </c>
      <c r="O183" s="350" t="str">
        <f>IF(A183="N/A"," ",(VLOOKUP(A183,OPPowerPrices,(IF('Pricing Inputs'!$AT$3=2,7,IF('Pricing Inputs'!$AT$3=1,6,8))),FALSE)))</f>
        <v xml:space="preserve"> </v>
      </c>
      <c r="P183" s="351" t="str">
        <f t="shared" si="19"/>
        <v xml:space="preserve"> </v>
      </c>
      <c r="AF183" s="241">
        <v>42005</v>
      </c>
      <c r="AG183" s="229">
        <v>21</v>
      </c>
      <c r="AH183" s="229">
        <v>5</v>
      </c>
      <c r="AI183" s="229">
        <v>4</v>
      </c>
      <c r="AJ183" s="229">
        <v>1</v>
      </c>
      <c r="AK183" s="229">
        <v>31</v>
      </c>
    </row>
    <row r="184" spans="1:37">
      <c r="A184" s="208" t="str">
        <f>Calculations!A151</f>
        <v>N/A</v>
      </c>
      <c r="B184" s="237" t="str">
        <f>IF(A184="N/A"," ",IF(ISERROR(L184),B172*Inputs!$F$19,L184))</f>
        <v xml:space="preserve"> </v>
      </c>
      <c r="C184" s="239" t="str">
        <f t="shared" si="20"/>
        <v xml:space="preserve"> </v>
      </c>
      <c r="D184" s="238" t="str">
        <f t="shared" si="16"/>
        <v xml:space="preserve"> </v>
      </c>
      <c r="E184" s="237" t="str">
        <f>IF(A184="N/A"," ",IF(ISERROR(M184),E172*Inputs!$F$19,M184))</f>
        <v xml:space="preserve"> </v>
      </c>
      <c r="F184" s="238" t="str">
        <f t="shared" si="17"/>
        <v xml:space="preserve"> </v>
      </c>
      <c r="G184" s="237" t="str">
        <f>IF(A184="N/A"," ",IF(ISERROR(N184),G172*Inputs!$F$19,N184))</f>
        <v xml:space="preserve"> </v>
      </c>
      <c r="H184" s="238" t="str">
        <f t="shared" si="18"/>
        <v xml:space="preserve"> </v>
      </c>
      <c r="I184" s="238" t="str">
        <f>IF(A184="N/A"," ",IF(ISERROR(O184),I172*Inputs!$F$19,O184))</f>
        <v xml:space="preserve"> </v>
      </c>
      <c r="J184" s="331" t="str">
        <f>IF(A184="N/A"," ",IF(ISERROR(P184),J172*Inputs!$F$23,P184))</f>
        <v xml:space="preserve"> </v>
      </c>
      <c r="L184" s="349" t="str">
        <f>IF(A184="N/A"," ",VLOOKUP(A184,PeakPowerCurves,(IF('Pricing Inputs'!$AT$3=2,3,IF('Pricing Inputs'!$AT$3=1,2,4))),FALSE))</f>
        <v xml:space="preserve"> </v>
      </c>
      <c r="M184" s="349" t="str">
        <f>IF(A184="N/A"," ",VLOOKUP(A184,SatSunPeakPwr,(IF('Pricing Inputs'!$AT$3=2,3,IF('Pricing Inputs'!$AT$3=1,2,4))),FALSE))</f>
        <v xml:space="preserve"> </v>
      </c>
      <c r="N184" s="349" t="str">
        <f>IF(A184="N/A"," ",VLOOKUP(A184,SatSunPeakPwr,(IF('Pricing Inputs'!$AT$3=2,7,IF('Pricing Inputs'!$AT$3=1,6,8))),FALSE))</f>
        <v xml:space="preserve"> </v>
      </c>
      <c r="O184" s="350" t="str">
        <f>IF(A184="N/A"," ",(VLOOKUP(A184,OPPowerPrices,(IF('Pricing Inputs'!$AT$3=2,7,IF('Pricing Inputs'!$AT$3=1,6,8))),FALSE)))</f>
        <v xml:space="preserve"> </v>
      </c>
      <c r="P184" s="351" t="str">
        <f t="shared" si="19"/>
        <v xml:space="preserve"> </v>
      </c>
      <c r="AF184" s="241">
        <v>42036</v>
      </c>
      <c r="AG184" s="229">
        <v>20</v>
      </c>
      <c r="AH184" s="229">
        <v>4</v>
      </c>
      <c r="AI184" s="229">
        <v>4</v>
      </c>
      <c r="AJ184" s="229">
        <v>0</v>
      </c>
      <c r="AK184" s="229">
        <v>28</v>
      </c>
    </row>
    <row r="185" spans="1:37">
      <c r="A185" s="208" t="str">
        <f>Calculations!A152</f>
        <v>N/A</v>
      </c>
      <c r="B185" s="237" t="str">
        <f>IF(A185="N/A"," ",IF(ISERROR(L185),B173*Inputs!$F$19,L185))</f>
        <v xml:space="preserve"> </v>
      </c>
      <c r="C185" s="239" t="str">
        <f t="shared" si="20"/>
        <v xml:space="preserve"> </v>
      </c>
      <c r="D185" s="238" t="str">
        <f t="shared" si="16"/>
        <v xml:space="preserve"> </v>
      </c>
      <c r="E185" s="237" t="str">
        <f>IF(A185="N/A"," ",IF(ISERROR(M185),E173*Inputs!$F$19,M185))</f>
        <v xml:space="preserve"> </v>
      </c>
      <c r="F185" s="238" t="str">
        <f t="shared" si="17"/>
        <v xml:space="preserve"> </v>
      </c>
      <c r="G185" s="237" t="str">
        <f>IF(A185="N/A"," ",IF(ISERROR(N185),G173*Inputs!$F$19,N185))</f>
        <v xml:space="preserve"> </v>
      </c>
      <c r="H185" s="238" t="str">
        <f t="shared" si="18"/>
        <v xml:space="preserve"> </v>
      </c>
      <c r="I185" s="238" t="str">
        <f>IF(A185="N/A"," ",IF(ISERROR(O185),I173*Inputs!$F$19,O185))</f>
        <v xml:space="preserve"> </v>
      </c>
      <c r="J185" s="331" t="str">
        <f>IF(A185="N/A"," ",IF(ISERROR(P185),J173*Inputs!$F$23,P185))</f>
        <v xml:space="preserve"> </v>
      </c>
      <c r="L185" s="349" t="str">
        <f>IF(A185="N/A"," ",VLOOKUP(A185,PeakPowerCurves,(IF('Pricing Inputs'!$AT$3=2,3,IF('Pricing Inputs'!$AT$3=1,2,4))),FALSE))</f>
        <v xml:space="preserve"> </v>
      </c>
      <c r="M185" s="349" t="str">
        <f>IF(A185="N/A"," ",VLOOKUP(A185,SatSunPeakPwr,(IF('Pricing Inputs'!$AT$3=2,3,IF('Pricing Inputs'!$AT$3=1,2,4))),FALSE))</f>
        <v xml:space="preserve"> </v>
      </c>
      <c r="N185" s="349" t="str">
        <f>IF(A185="N/A"," ",VLOOKUP(A185,SatSunPeakPwr,(IF('Pricing Inputs'!$AT$3=2,7,IF('Pricing Inputs'!$AT$3=1,6,8))),FALSE))</f>
        <v xml:space="preserve"> </v>
      </c>
      <c r="O185" s="350" t="str">
        <f>IF(A185="N/A"," ",(VLOOKUP(A185,OPPowerPrices,(IF('Pricing Inputs'!$AT$3=2,7,IF('Pricing Inputs'!$AT$3=1,6,8))),FALSE)))</f>
        <v xml:space="preserve"> </v>
      </c>
      <c r="P185" s="351" t="str">
        <f t="shared" si="19"/>
        <v xml:space="preserve"> </v>
      </c>
      <c r="AF185" s="241">
        <v>42064</v>
      </c>
      <c r="AG185" s="229">
        <v>22</v>
      </c>
      <c r="AH185" s="229">
        <v>4</v>
      </c>
      <c r="AI185" s="229">
        <v>5</v>
      </c>
      <c r="AJ185" s="229">
        <v>0</v>
      </c>
      <c r="AK185" s="229">
        <v>31</v>
      </c>
    </row>
    <row r="186" spans="1:37">
      <c r="A186" s="208" t="str">
        <f>Calculations!A153</f>
        <v>N/A</v>
      </c>
      <c r="B186" s="237" t="str">
        <f>IF(A186="N/A"," ",IF(ISERROR(L186),B174*Inputs!$F$19,L186))</f>
        <v xml:space="preserve"> </v>
      </c>
      <c r="C186" s="239" t="str">
        <f t="shared" si="20"/>
        <v xml:space="preserve"> </v>
      </c>
      <c r="D186" s="238" t="str">
        <f t="shared" si="16"/>
        <v xml:space="preserve"> </v>
      </c>
      <c r="E186" s="237" t="str">
        <f>IF(A186="N/A"," ",IF(ISERROR(M186),E174*Inputs!$F$19,M186))</f>
        <v xml:space="preserve"> </v>
      </c>
      <c r="F186" s="238" t="str">
        <f t="shared" si="17"/>
        <v xml:space="preserve"> </v>
      </c>
      <c r="G186" s="237" t="str">
        <f>IF(A186="N/A"," ",IF(ISERROR(N186),G174*Inputs!$F$19,N186))</f>
        <v xml:space="preserve"> </v>
      </c>
      <c r="H186" s="238" t="str">
        <f t="shared" si="18"/>
        <v xml:space="preserve"> </v>
      </c>
      <c r="I186" s="238" t="str">
        <f>IF(A186="N/A"," ",IF(ISERROR(O186),I174*Inputs!$F$19,O186))</f>
        <v xml:space="preserve"> </v>
      </c>
      <c r="J186" s="331" t="str">
        <f>IF(A186="N/A"," ",IF(ISERROR(P186),J174*Inputs!$F$23,P186))</f>
        <v xml:space="preserve"> </v>
      </c>
      <c r="L186" s="349" t="str">
        <f>IF(A186="N/A"," ",VLOOKUP(A186,PeakPowerCurves,(IF('Pricing Inputs'!$AT$3=2,3,IF('Pricing Inputs'!$AT$3=1,2,4))),FALSE))</f>
        <v xml:space="preserve"> </v>
      </c>
      <c r="M186" s="349" t="str">
        <f>IF(A186="N/A"," ",VLOOKUP(A186,SatSunPeakPwr,(IF('Pricing Inputs'!$AT$3=2,3,IF('Pricing Inputs'!$AT$3=1,2,4))),FALSE))</f>
        <v xml:space="preserve"> </v>
      </c>
      <c r="N186" s="349" t="str">
        <f>IF(A186="N/A"," ",VLOOKUP(A186,SatSunPeakPwr,(IF('Pricing Inputs'!$AT$3=2,7,IF('Pricing Inputs'!$AT$3=1,6,8))),FALSE))</f>
        <v xml:space="preserve"> </v>
      </c>
      <c r="O186" s="350" t="str">
        <f>IF(A186="N/A"," ",(VLOOKUP(A186,OPPowerPrices,(IF('Pricing Inputs'!$AT$3=2,7,IF('Pricing Inputs'!$AT$3=1,6,8))),FALSE)))</f>
        <v xml:space="preserve"> </v>
      </c>
      <c r="P186" s="351" t="str">
        <f t="shared" si="19"/>
        <v xml:space="preserve"> </v>
      </c>
      <c r="AF186" s="241">
        <v>42095</v>
      </c>
      <c r="AG186" s="229">
        <v>22</v>
      </c>
      <c r="AH186" s="229">
        <v>4</v>
      </c>
      <c r="AI186" s="229">
        <v>4</v>
      </c>
      <c r="AJ186" s="229">
        <v>0</v>
      </c>
      <c r="AK186" s="229">
        <v>30</v>
      </c>
    </row>
    <row r="187" spans="1:37">
      <c r="A187" s="208" t="str">
        <f>Calculations!A154</f>
        <v>N/A</v>
      </c>
      <c r="B187" s="237" t="str">
        <f>IF(A187="N/A"," ",IF(ISERROR(L187),B175*Inputs!$F$19,L187))</f>
        <v xml:space="preserve"> </v>
      </c>
      <c r="C187" s="239" t="str">
        <f t="shared" si="20"/>
        <v xml:space="preserve"> </v>
      </c>
      <c r="D187" s="238" t="str">
        <f t="shared" si="16"/>
        <v xml:space="preserve"> </v>
      </c>
      <c r="E187" s="237" t="str">
        <f>IF(A187="N/A"," ",IF(ISERROR(M187),E175*Inputs!$F$19,M187))</f>
        <v xml:space="preserve"> </v>
      </c>
      <c r="F187" s="238" t="str">
        <f t="shared" si="17"/>
        <v xml:space="preserve"> </v>
      </c>
      <c r="G187" s="237" t="str">
        <f>IF(A187="N/A"," ",IF(ISERROR(N187),G175*Inputs!$F$19,N187))</f>
        <v xml:space="preserve"> </v>
      </c>
      <c r="H187" s="238" t="str">
        <f t="shared" si="18"/>
        <v xml:space="preserve"> </v>
      </c>
      <c r="I187" s="238" t="str">
        <f>IF(A187="N/A"," ",IF(ISERROR(O187),I175*Inputs!$F$19,O187))</f>
        <v xml:space="preserve"> </v>
      </c>
      <c r="J187" s="331" t="str">
        <f>IF(A187="N/A"," ",IF(ISERROR(P187),J175*Inputs!$F$23,P187))</f>
        <v xml:space="preserve"> </v>
      </c>
      <c r="L187" s="349" t="str">
        <f>IF(A187="N/A"," ",VLOOKUP(A187,PeakPowerCurves,(IF('Pricing Inputs'!$AT$3=2,3,IF('Pricing Inputs'!$AT$3=1,2,4))),FALSE))</f>
        <v xml:space="preserve"> </v>
      </c>
      <c r="M187" s="349" t="str">
        <f>IF(A187="N/A"," ",VLOOKUP(A187,SatSunPeakPwr,(IF('Pricing Inputs'!$AT$3=2,3,IF('Pricing Inputs'!$AT$3=1,2,4))),FALSE))</f>
        <v xml:space="preserve"> </v>
      </c>
      <c r="N187" s="349" t="str">
        <f>IF(A187="N/A"," ",VLOOKUP(A187,SatSunPeakPwr,(IF('Pricing Inputs'!$AT$3=2,7,IF('Pricing Inputs'!$AT$3=1,6,8))),FALSE))</f>
        <v xml:space="preserve"> </v>
      </c>
      <c r="O187" s="350" t="str">
        <f>IF(A187="N/A"," ",(VLOOKUP(A187,OPPowerPrices,(IF('Pricing Inputs'!$AT$3=2,7,IF('Pricing Inputs'!$AT$3=1,6,8))),FALSE)))</f>
        <v xml:space="preserve"> </v>
      </c>
      <c r="P187" s="351" t="str">
        <f t="shared" si="19"/>
        <v xml:space="preserve"> </v>
      </c>
      <c r="AF187" s="241">
        <v>42125</v>
      </c>
      <c r="AG187" s="229">
        <v>20</v>
      </c>
      <c r="AH187" s="229">
        <v>5</v>
      </c>
      <c r="AI187" s="229">
        <v>5</v>
      </c>
      <c r="AJ187" s="229">
        <v>1</v>
      </c>
      <c r="AK187" s="229">
        <v>31</v>
      </c>
    </row>
    <row r="188" spans="1:37">
      <c r="A188" s="208" t="str">
        <f>Calculations!A155</f>
        <v>N/A</v>
      </c>
      <c r="B188" s="237" t="str">
        <f>IF(A188="N/A"," ",IF(ISERROR(L188),B176*Inputs!$F$19,L188))</f>
        <v xml:space="preserve"> </v>
      </c>
      <c r="C188" s="239" t="str">
        <f t="shared" si="20"/>
        <v xml:space="preserve"> </v>
      </c>
      <c r="D188" s="238" t="str">
        <f t="shared" si="16"/>
        <v xml:space="preserve"> </v>
      </c>
      <c r="E188" s="237" t="str">
        <f>IF(A188="N/A"," ",IF(ISERROR(M188),E176*Inputs!$F$19,M188))</f>
        <v xml:space="preserve"> </v>
      </c>
      <c r="F188" s="238" t="str">
        <f t="shared" si="17"/>
        <v xml:space="preserve"> </v>
      </c>
      <c r="G188" s="237" t="str">
        <f>IF(A188="N/A"," ",IF(ISERROR(N188),G176*Inputs!$F$19,N188))</f>
        <v xml:space="preserve"> </v>
      </c>
      <c r="H188" s="238" t="str">
        <f t="shared" si="18"/>
        <v xml:space="preserve"> </v>
      </c>
      <c r="I188" s="238" t="str">
        <f>IF(A188="N/A"," ",IF(ISERROR(O188),I176*Inputs!$F$19,O188))</f>
        <v xml:space="preserve"> </v>
      </c>
      <c r="J188" s="331" t="str">
        <f>IF(A188="N/A"," ",IF(ISERROR(P188),J176*Inputs!$F$23,P188))</f>
        <v xml:space="preserve"> </v>
      </c>
      <c r="L188" s="349" t="str">
        <f>IF(A188="N/A"," ",VLOOKUP(A188,PeakPowerCurves,(IF('Pricing Inputs'!$AT$3=2,3,IF('Pricing Inputs'!$AT$3=1,2,4))),FALSE))</f>
        <v xml:space="preserve"> </v>
      </c>
      <c r="M188" s="349" t="str">
        <f>IF(A188="N/A"," ",VLOOKUP(A188,SatSunPeakPwr,(IF('Pricing Inputs'!$AT$3=2,3,IF('Pricing Inputs'!$AT$3=1,2,4))),FALSE))</f>
        <v xml:space="preserve"> </v>
      </c>
      <c r="N188" s="349" t="str">
        <f>IF(A188="N/A"," ",VLOOKUP(A188,SatSunPeakPwr,(IF('Pricing Inputs'!$AT$3=2,7,IF('Pricing Inputs'!$AT$3=1,6,8))),FALSE))</f>
        <v xml:space="preserve"> </v>
      </c>
      <c r="O188" s="350" t="str">
        <f>IF(A188="N/A"," ",(VLOOKUP(A188,OPPowerPrices,(IF('Pricing Inputs'!$AT$3=2,7,IF('Pricing Inputs'!$AT$3=1,6,8))),FALSE)))</f>
        <v xml:space="preserve"> </v>
      </c>
      <c r="P188" s="351" t="str">
        <f t="shared" si="19"/>
        <v xml:space="preserve"> </v>
      </c>
      <c r="AF188" s="241">
        <v>42156</v>
      </c>
      <c r="AG188" s="229">
        <v>22</v>
      </c>
      <c r="AH188" s="229">
        <v>4</v>
      </c>
      <c r="AI188" s="229">
        <v>4</v>
      </c>
      <c r="AJ188" s="229">
        <v>0</v>
      </c>
      <c r="AK188" s="229">
        <v>30</v>
      </c>
    </row>
    <row r="189" spans="1:37">
      <c r="A189" s="208" t="str">
        <f>Calculations!A156</f>
        <v>N/A</v>
      </c>
      <c r="B189" s="237" t="str">
        <f>IF(A189="N/A"," ",IF(ISERROR(L189),B177*Inputs!$F$19,L189))</f>
        <v xml:space="preserve"> </v>
      </c>
      <c r="C189" s="239" t="str">
        <f t="shared" si="20"/>
        <v xml:space="preserve"> </v>
      </c>
      <c r="D189" s="238" t="str">
        <f t="shared" si="16"/>
        <v xml:space="preserve"> </v>
      </c>
      <c r="E189" s="237" t="str">
        <f>IF(A189="N/A"," ",IF(ISERROR(M189),E177*Inputs!$F$19,M189))</f>
        <v xml:space="preserve"> </v>
      </c>
      <c r="F189" s="238" t="str">
        <f t="shared" si="17"/>
        <v xml:space="preserve"> </v>
      </c>
      <c r="G189" s="237" t="str">
        <f>IF(A189="N/A"," ",IF(ISERROR(N189),G177*Inputs!$F$19,N189))</f>
        <v xml:space="preserve"> </v>
      </c>
      <c r="H189" s="238" t="str">
        <f t="shared" si="18"/>
        <v xml:space="preserve"> </v>
      </c>
      <c r="I189" s="238" t="str">
        <f>IF(A189="N/A"," ",IF(ISERROR(O189),I177*Inputs!$F$19,O189))</f>
        <v xml:space="preserve"> </v>
      </c>
      <c r="J189" s="331" t="str">
        <f>IF(A189="N/A"," ",IF(ISERROR(P189),J177*Inputs!$F$23,P189))</f>
        <v xml:space="preserve"> </v>
      </c>
      <c r="L189" s="349" t="str">
        <f>IF(A189="N/A"," ",VLOOKUP(A189,PeakPowerCurves,(IF('Pricing Inputs'!$AT$3=2,3,IF('Pricing Inputs'!$AT$3=1,2,4))),FALSE))</f>
        <v xml:space="preserve"> </v>
      </c>
      <c r="M189" s="349" t="str">
        <f>IF(A189="N/A"," ",VLOOKUP(A189,SatSunPeakPwr,(IF('Pricing Inputs'!$AT$3=2,3,IF('Pricing Inputs'!$AT$3=1,2,4))),FALSE))</f>
        <v xml:space="preserve"> </v>
      </c>
      <c r="N189" s="349" t="str">
        <f>IF(A189="N/A"," ",VLOOKUP(A189,SatSunPeakPwr,(IF('Pricing Inputs'!$AT$3=2,7,IF('Pricing Inputs'!$AT$3=1,6,8))),FALSE))</f>
        <v xml:space="preserve"> </v>
      </c>
      <c r="O189" s="350" t="str">
        <f>IF(A189="N/A"," ",(VLOOKUP(A189,OPPowerPrices,(IF('Pricing Inputs'!$AT$3=2,7,IF('Pricing Inputs'!$AT$3=1,6,8))),FALSE)))</f>
        <v xml:space="preserve"> </v>
      </c>
      <c r="P189" s="351" t="str">
        <f t="shared" si="19"/>
        <v xml:space="preserve"> </v>
      </c>
      <c r="AF189" s="241">
        <v>42186</v>
      </c>
      <c r="AG189" s="229">
        <v>23</v>
      </c>
      <c r="AH189" s="229">
        <v>3</v>
      </c>
      <c r="AI189" s="229">
        <v>4</v>
      </c>
      <c r="AJ189" s="229">
        <v>1</v>
      </c>
      <c r="AK189" s="229">
        <v>31</v>
      </c>
    </row>
    <row r="190" spans="1:37">
      <c r="A190" s="208" t="str">
        <f>Calculations!A157</f>
        <v>N/A</v>
      </c>
      <c r="B190" s="237" t="str">
        <f>IF(A190="N/A"," ",IF(ISERROR(L190),B178*Inputs!$F$19,L190))</f>
        <v xml:space="preserve"> </v>
      </c>
      <c r="C190" s="239" t="str">
        <f t="shared" si="20"/>
        <v xml:space="preserve"> </v>
      </c>
      <c r="D190" s="238" t="str">
        <f t="shared" si="16"/>
        <v xml:space="preserve"> </v>
      </c>
      <c r="E190" s="237" t="str">
        <f>IF(A190="N/A"," ",IF(ISERROR(M190),E178*Inputs!$F$19,M190))</f>
        <v xml:space="preserve"> </v>
      </c>
      <c r="F190" s="238" t="str">
        <f t="shared" si="17"/>
        <v xml:space="preserve"> </v>
      </c>
      <c r="G190" s="237" t="str">
        <f>IF(A190="N/A"," ",IF(ISERROR(N190),G178*Inputs!$F$19,N190))</f>
        <v xml:space="preserve"> </v>
      </c>
      <c r="H190" s="238" t="str">
        <f t="shared" si="18"/>
        <v xml:space="preserve"> </v>
      </c>
      <c r="I190" s="238" t="str">
        <f>IF(A190="N/A"," ",IF(ISERROR(O190),I178*Inputs!$F$19,O190))</f>
        <v xml:space="preserve"> </v>
      </c>
      <c r="J190" s="331" t="str">
        <f>IF(A190="N/A"," ",IF(ISERROR(P190),J178*Inputs!$F$23,P190))</f>
        <v xml:space="preserve"> </v>
      </c>
      <c r="L190" s="349" t="str">
        <f>IF(A190="N/A"," ",VLOOKUP(A190,PeakPowerCurves,(IF('Pricing Inputs'!$AT$3=2,3,IF('Pricing Inputs'!$AT$3=1,2,4))),FALSE))</f>
        <v xml:space="preserve"> </v>
      </c>
      <c r="M190" s="349" t="str">
        <f>IF(A190="N/A"," ",VLOOKUP(A190,SatSunPeakPwr,(IF('Pricing Inputs'!$AT$3=2,3,IF('Pricing Inputs'!$AT$3=1,2,4))),FALSE))</f>
        <v xml:space="preserve"> </v>
      </c>
      <c r="N190" s="349" t="str">
        <f>IF(A190="N/A"," ",VLOOKUP(A190,SatSunPeakPwr,(IF('Pricing Inputs'!$AT$3=2,7,IF('Pricing Inputs'!$AT$3=1,6,8))),FALSE))</f>
        <v xml:space="preserve"> </v>
      </c>
      <c r="O190" s="350" t="str">
        <f>IF(A190="N/A"," ",(VLOOKUP(A190,OPPowerPrices,(IF('Pricing Inputs'!$AT$3=2,7,IF('Pricing Inputs'!$AT$3=1,6,8))),FALSE)))</f>
        <v xml:space="preserve"> </v>
      </c>
      <c r="P190" s="351" t="str">
        <f t="shared" si="19"/>
        <v xml:space="preserve"> </v>
      </c>
      <c r="AF190" s="241">
        <v>42217</v>
      </c>
      <c r="AG190" s="229">
        <v>21</v>
      </c>
      <c r="AH190" s="229">
        <v>5</v>
      </c>
      <c r="AI190" s="229">
        <v>5</v>
      </c>
      <c r="AJ190" s="229">
        <v>0</v>
      </c>
      <c r="AK190" s="229">
        <v>31</v>
      </c>
    </row>
    <row r="191" spans="1:37">
      <c r="A191" s="208" t="str">
        <f>Calculations!A158</f>
        <v>N/A</v>
      </c>
      <c r="B191" s="237" t="str">
        <f>IF(A191="N/A"," ",IF(ISERROR(L191),B179*Inputs!$F$19,L191))</f>
        <v xml:space="preserve"> </v>
      </c>
      <c r="C191" s="239" t="str">
        <f t="shared" si="20"/>
        <v xml:space="preserve"> </v>
      </c>
      <c r="D191" s="238" t="str">
        <f t="shared" si="16"/>
        <v xml:space="preserve"> </v>
      </c>
      <c r="E191" s="237" t="str">
        <f>IF(A191="N/A"," ",IF(ISERROR(M191),E179*Inputs!$F$19,M191))</f>
        <v xml:space="preserve"> </v>
      </c>
      <c r="F191" s="238" t="str">
        <f t="shared" si="17"/>
        <v xml:space="preserve"> </v>
      </c>
      <c r="G191" s="237" t="str">
        <f>IF(A191="N/A"," ",IF(ISERROR(N191),G179*Inputs!$F$19,N191))</f>
        <v xml:space="preserve"> </v>
      </c>
      <c r="H191" s="238" t="str">
        <f t="shared" si="18"/>
        <v xml:space="preserve"> </v>
      </c>
      <c r="I191" s="238" t="str">
        <f>IF(A191="N/A"," ",IF(ISERROR(O191),I179*Inputs!$F$19,O191))</f>
        <v xml:space="preserve"> </v>
      </c>
      <c r="J191" s="331" t="str">
        <f>IF(A191="N/A"," ",IF(ISERROR(P191),J179*Inputs!$F$23,P191))</f>
        <v xml:space="preserve"> </v>
      </c>
      <c r="L191" s="349" t="str">
        <f>IF(A191="N/A"," ",VLOOKUP(A191,PeakPowerCurves,(IF('Pricing Inputs'!$AT$3=2,3,IF('Pricing Inputs'!$AT$3=1,2,4))),FALSE))</f>
        <v xml:space="preserve"> </v>
      </c>
      <c r="M191" s="349" t="str">
        <f>IF(A191="N/A"," ",VLOOKUP(A191,SatSunPeakPwr,(IF('Pricing Inputs'!$AT$3=2,3,IF('Pricing Inputs'!$AT$3=1,2,4))),FALSE))</f>
        <v xml:space="preserve"> </v>
      </c>
      <c r="N191" s="349" t="str">
        <f>IF(A191="N/A"," ",VLOOKUP(A191,SatSunPeakPwr,(IF('Pricing Inputs'!$AT$3=2,7,IF('Pricing Inputs'!$AT$3=1,6,8))),FALSE))</f>
        <v xml:space="preserve"> </v>
      </c>
      <c r="O191" s="350" t="str">
        <f>IF(A191="N/A"," ",(VLOOKUP(A191,OPPowerPrices,(IF('Pricing Inputs'!$AT$3=2,7,IF('Pricing Inputs'!$AT$3=1,6,8))),FALSE)))</f>
        <v xml:space="preserve"> </v>
      </c>
      <c r="P191" s="351" t="str">
        <f t="shared" si="19"/>
        <v xml:space="preserve"> </v>
      </c>
      <c r="AF191" s="241">
        <v>42248</v>
      </c>
      <c r="AG191" s="229">
        <v>21</v>
      </c>
      <c r="AH191" s="229">
        <v>4</v>
      </c>
      <c r="AI191" s="229">
        <v>4</v>
      </c>
      <c r="AJ191" s="229">
        <v>1</v>
      </c>
      <c r="AK191" s="229">
        <v>30</v>
      </c>
    </row>
    <row r="192" spans="1:37">
      <c r="A192" s="208" t="str">
        <f>Calculations!A159</f>
        <v>N/A</v>
      </c>
      <c r="B192" s="237" t="str">
        <f>IF(A192="N/A"," ",IF(ISERROR(L192),B180*Inputs!$F$19,L192))</f>
        <v xml:space="preserve"> </v>
      </c>
      <c r="C192" s="239" t="str">
        <f t="shared" si="20"/>
        <v xml:space="preserve"> </v>
      </c>
      <c r="D192" s="238" t="str">
        <f t="shared" si="16"/>
        <v xml:space="preserve"> </v>
      </c>
      <c r="E192" s="237" t="str">
        <f>IF(A192="N/A"," ",IF(ISERROR(M192),E180*Inputs!$F$19,M192))</f>
        <v xml:space="preserve"> </v>
      </c>
      <c r="F192" s="238" t="str">
        <f t="shared" si="17"/>
        <v xml:space="preserve"> </v>
      </c>
      <c r="G192" s="237" t="str">
        <f>IF(A192="N/A"," ",IF(ISERROR(N192),G180*Inputs!$F$19,N192))</f>
        <v xml:space="preserve"> </v>
      </c>
      <c r="H192" s="238" t="str">
        <f t="shared" si="18"/>
        <v xml:space="preserve"> </v>
      </c>
      <c r="I192" s="238" t="str">
        <f>IF(A192="N/A"," ",IF(ISERROR(O192),I180*Inputs!$F$19,O192))</f>
        <v xml:space="preserve"> </v>
      </c>
      <c r="J192" s="331" t="str">
        <f>IF(A192="N/A"," ",IF(ISERROR(P192),J180*Inputs!$F$23,P192))</f>
        <v xml:space="preserve"> </v>
      </c>
      <c r="L192" s="349" t="str">
        <f>IF(A192="N/A"," ",VLOOKUP(A192,PeakPowerCurves,(IF('Pricing Inputs'!$AT$3=2,3,IF('Pricing Inputs'!$AT$3=1,2,4))),FALSE))</f>
        <v xml:space="preserve"> </v>
      </c>
      <c r="M192" s="349" t="str">
        <f>IF(A192="N/A"," ",VLOOKUP(A192,SatSunPeakPwr,(IF('Pricing Inputs'!$AT$3=2,3,IF('Pricing Inputs'!$AT$3=1,2,4))),FALSE))</f>
        <v xml:space="preserve"> </v>
      </c>
      <c r="N192" s="349" t="str">
        <f>IF(A192="N/A"," ",VLOOKUP(A192,SatSunPeakPwr,(IF('Pricing Inputs'!$AT$3=2,7,IF('Pricing Inputs'!$AT$3=1,6,8))),FALSE))</f>
        <v xml:space="preserve"> </v>
      </c>
      <c r="O192" s="350" t="str">
        <f>IF(A192="N/A"," ",(VLOOKUP(A192,OPPowerPrices,(IF('Pricing Inputs'!$AT$3=2,7,IF('Pricing Inputs'!$AT$3=1,6,8))),FALSE)))</f>
        <v xml:space="preserve"> </v>
      </c>
      <c r="P192" s="351" t="str">
        <f t="shared" si="19"/>
        <v xml:space="preserve"> </v>
      </c>
      <c r="AF192" s="241">
        <v>42278</v>
      </c>
      <c r="AG192" s="229">
        <v>22</v>
      </c>
      <c r="AH192" s="229">
        <v>5</v>
      </c>
      <c r="AI192" s="229">
        <v>4</v>
      </c>
      <c r="AJ192" s="229">
        <v>0</v>
      </c>
      <c r="AK192" s="229">
        <v>31</v>
      </c>
    </row>
    <row r="193" spans="1:37">
      <c r="A193" s="208" t="str">
        <f>Calculations!A160</f>
        <v>N/A</v>
      </c>
      <c r="B193" s="237" t="str">
        <f>IF(A193="N/A"," ",IF(ISERROR(L193),B181*Inputs!$F$19,L193))</f>
        <v xml:space="preserve"> </v>
      </c>
      <c r="C193" s="239" t="str">
        <f t="shared" si="20"/>
        <v xml:space="preserve"> </v>
      </c>
      <c r="D193" s="238" t="str">
        <f t="shared" si="16"/>
        <v xml:space="preserve"> </v>
      </c>
      <c r="E193" s="237" t="str">
        <f>IF(A193="N/A"," ",IF(ISERROR(M193),E181*Inputs!$F$19,M193))</f>
        <v xml:space="preserve"> </v>
      </c>
      <c r="F193" s="238" t="str">
        <f t="shared" si="17"/>
        <v xml:space="preserve"> </v>
      </c>
      <c r="G193" s="237" t="str">
        <f>IF(A193="N/A"," ",IF(ISERROR(N193),G181*Inputs!$F$19,N193))</f>
        <v xml:space="preserve"> </v>
      </c>
      <c r="H193" s="238" t="str">
        <f t="shared" si="18"/>
        <v xml:space="preserve"> </v>
      </c>
      <c r="I193" s="238" t="str">
        <f>IF(A193="N/A"," ",IF(ISERROR(O193),I181*Inputs!$F$19,O193))</f>
        <v xml:space="preserve"> </v>
      </c>
      <c r="J193" s="331" t="str">
        <f>IF(A193="N/A"," ",IF(ISERROR(P193),J181*Inputs!$F$23,P193))</f>
        <v xml:space="preserve"> </v>
      </c>
      <c r="L193" s="349" t="str">
        <f>IF(A193="N/A"," ",VLOOKUP(A193,PeakPowerCurves,(IF('Pricing Inputs'!$AT$3=2,3,IF('Pricing Inputs'!$AT$3=1,2,4))),FALSE))</f>
        <v xml:space="preserve"> </v>
      </c>
      <c r="M193" s="349" t="str">
        <f>IF(A193="N/A"," ",VLOOKUP(A193,SatSunPeakPwr,(IF('Pricing Inputs'!$AT$3=2,3,IF('Pricing Inputs'!$AT$3=1,2,4))),FALSE))</f>
        <v xml:space="preserve"> </v>
      </c>
      <c r="N193" s="349" t="str">
        <f>IF(A193="N/A"," ",VLOOKUP(A193,SatSunPeakPwr,(IF('Pricing Inputs'!$AT$3=2,7,IF('Pricing Inputs'!$AT$3=1,6,8))),FALSE))</f>
        <v xml:space="preserve"> </v>
      </c>
      <c r="O193" s="350" t="str">
        <f>IF(A193="N/A"," ",(VLOOKUP(A193,OPPowerPrices,(IF('Pricing Inputs'!$AT$3=2,7,IF('Pricing Inputs'!$AT$3=1,6,8))),FALSE)))</f>
        <v xml:space="preserve"> </v>
      </c>
      <c r="P193" s="351" t="str">
        <f t="shared" si="19"/>
        <v xml:space="preserve"> </v>
      </c>
      <c r="AF193" s="241">
        <v>42309</v>
      </c>
      <c r="AG193" s="229">
        <v>20</v>
      </c>
      <c r="AH193" s="229">
        <v>4</v>
      </c>
      <c r="AI193" s="229">
        <v>5</v>
      </c>
      <c r="AJ193" s="229">
        <v>1</v>
      </c>
      <c r="AK193" s="229">
        <v>30</v>
      </c>
    </row>
    <row r="194" spans="1:37">
      <c r="A194" s="208" t="str">
        <f>Calculations!A161</f>
        <v>N/A</v>
      </c>
      <c r="B194" s="237" t="str">
        <f>IF(A194="N/A"," ",IF(ISERROR(L194),B182*Inputs!$F$19,L194))</f>
        <v xml:space="preserve"> </v>
      </c>
      <c r="C194" s="239" t="str">
        <f t="shared" si="20"/>
        <v xml:space="preserve"> </v>
      </c>
      <c r="D194" s="238" t="str">
        <f t="shared" si="16"/>
        <v xml:space="preserve"> </v>
      </c>
      <c r="E194" s="237" t="str">
        <f>IF(A194="N/A"," ",IF(ISERROR(M194),E182*Inputs!$F$19,M194))</f>
        <v xml:space="preserve"> </v>
      </c>
      <c r="F194" s="238" t="str">
        <f t="shared" si="17"/>
        <v xml:space="preserve"> </v>
      </c>
      <c r="G194" s="237" t="str">
        <f>IF(A194="N/A"," ",IF(ISERROR(N194),G182*Inputs!$F$19,N194))</f>
        <v xml:space="preserve"> </v>
      </c>
      <c r="H194" s="238" t="str">
        <f t="shared" si="18"/>
        <v xml:space="preserve"> </v>
      </c>
      <c r="I194" s="238" t="str">
        <f>IF(A194="N/A"," ",IF(ISERROR(O194),I182*Inputs!$F$19,O194))</f>
        <v xml:space="preserve"> </v>
      </c>
      <c r="J194" s="331" t="str">
        <f>IF(A194="N/A"," ",IF(ISERROR(P194),J182*Inputs!$F$23,P194))</f>
        <v xml:space="preserve"> </v>
      </c>
      <c r="L194" s="349" t="str">
        <f>IF(A194="N/A"," ",VLOOKUP(A194,PeakPowerCurves,(IF('Pricing Inputs'!$AT$3=2,3,IF('Pricing Inputs'!$AT$3=1,2,4))),FALSE))</f>
        <v xml:space="preserve"> </v>
      </c>
      <c r="M194" s="349" t="str">
        <f>IF(A194="N/A"," ",VLOOKUP(A194,SatSunPeakPwr,(IF('Pricing Inputs'!$AT$3=2,3,IF('Pricing Inputs'!$AT$3=1,2,4))),FALSE))</f>
        <v xml:space="preserve"> </v>
      </c>
      <c r="N194" s="349" t="str">
        <f>IF(A194="N/A"," ",VLOOKUP(A194,SatSunPeakPwr,(IF('Pricing Inputs'!$AT$3=2,7,IF('Pricing Inputs'!$AT$3=1,6,8))),FALSE))</f>
        <v xml:space="preserve"> </v>
      </c>
      <c r="O194" s="350" t="str">
        <f>IF(A194="N/A"," ",(VLOOKUP(A194,OPPowerPrices,(IF('Pricing Inputs'!$AT$3=2,7,IF('Pricing Inputs'!$AT$3=1,6,8))),FALSE)))</f>
        <v xml:space="preserve"> </v>
      </c>
      <c r="P194" s="351" t="str">
        <f t="shared" si="19"/>
        <v xml:space="preserve"> </v>
      </c>
      <c r="AF194" s="241">
        <v>42339</v>
      </c>
      <c r="AG194" s="229">
        <v>22</v>
      </c>
      <c r="AH194" s="229">
        <v>4</v>
      </c>
      <c r="AI194" s="229">
        <v>4</v>
      </c>
      <c r="AJ194" s="229">
        <v>1</v>
      </c>
      <c r="AK194" s="229">
        <v>31</v>
      </c>
    </row>
    <row r="195" spans="1:37">
      <c r="A195" s="208" t="str">
        <f>Calculations!A162</f>
        <v>N/A</v>
      </c>
      <c r="B195" s="237" t="str">
        <f>IF(A195="N/A"," ",IF(ISERROR(L195),B183*Inputs!$F$19,L195))</f>
        <v xml:space="preserve"> </v>
      </c>
      <c r="C195" s="239" t="str">
        <f t="shared" si="20"/>
        <v xml:space="preserve"> </v>
      </c>
      <c r="D195" s="238" t="str">
        <f t="shared" si="16"/>
        <v xml:space="preserve"> </v>
      </c>
      <c r="E195" s="237" t="str">
        <f>IF(A195="N/A"," ",IF(ISERROR(M195),E183*Inputs!$F$19,M195))</f>
        <v xml:space="preserve"> </v>
      </c>
      <c r="F195" s="238" t="str">
        <f t="shared" si="17"/>
        <v xml:space="preserve"> </v>
      </c>
      <c r="G195" s="237" t="str">
        <f>IF(A195="N/A"," ",IF(ISERROR(N195),G183*Inputs!$F$19,N195))</f>
        <v xml:space="preserve"> </v>
      </c>
      <c r="H195" s="238" t="str">
        <f t="shared" si="18"/>
        <v xml:space="preserve"> </v>
      </c>
      <c r="I195" s="238" t="str">
        <f>IF(A195="N/A"," ",IF(ISERROR(O195),I183*Inputs!$F$19,O195))</f>
        <v xml:space="preserve"> </v>
      </c>
      <c r="J195" s="331" t="str">
        <f>IF(A195="N/A"," ",IF(ISERROR(P195),J183*Inputs!$F$23,P195))</f>
        <v xml:space="preserve"> </v>
      </c>
      <c r="L195" s="349" t="str">
        <f>IF(A195="N/A"," ",VLOOKUP(A195,PeakPowerCurves,(IF('Pricing Inputs'!$AT$3=2,3,IF('Pricing Inputs'!$AT$3=1,2,4))),FALSE))</f>
        <v xml:space="preserve"> </v>
      </c>
      <c r="M195" s="349" t="str">
        <f>IF(A195="N/A"," ",VLOOKUP(A195,SatSunPeakPwr,(IF('Pricing Inputs'!$AT$3=2,3,IF('Pricing Inputs'!$AT$3=1,2,4))),FALSE))</f>
        <v xml:space="preserve"> </v>
      </c>
      <c r="N195" s="349" t="str">
        <f>IF(A195="N/A"," ",VLOOKUP(A195,SatSunPeakPwr,(IF('Pricing Inputs'!$AT$3=2,7,IF('Pricing Inputs'!$AT$3=1,6,8))),FALSE))</f>
        <v xml:space="preserve"> </v>
      </c>
      <c r="O195" s="350" t="str">
        <f>IF(A195="N/A"," ",(VLOOKUP(A195,OPPowerPrices,(IF('Pricing Inputs'!$AT$3=2,7,IF('Pricing Inputs'!$AT$3=1,6,8))),FALSE)))</f>
        <v xml:space="preserve"> </v>
      </c>
      <c r="P195" s="351" t="str">
        <f t="shared" si="19"/>
        <v xml:space="preserve"> </v>
      </c>
      <c r="AF195" s="241">
        <v>42370</v>
      </c>
      <c r="AG195" s="229">
        <v>20</v>
      </c>
      <c r="AH195" s="229">
        <v>5</v>
      </c>
      <c r="AI195" s="229">
        <v>5</v>
      </c>
      <c r="AJ195" s="229">
        <v>1</v>
      </c>
      <c r="AK195" s="229">
        <v>31</v>
      </c>
    </row>
    <row r="196" spans="1:37">
      <c r="A196" s="208" t="str">
        <f>Calculations!A163</f>
        <v>N/A</v>
      </c>
      <c r="B196" s="237" t="str">
        <f>IF(A196="N/A"," ",IF(ISERROR(L196),B184*Inputs!$F$19,L196))</f>
        <v xml:space="preserve"> </v>
      </c>
      <c r="C196" s="239" t="str">
        <f t="shared" si="20"/>
        <v xml:space="preserve"> </v>
      </c>
      <c r="D196" s="238" t="str">
        <f t="shared" si="16"/>
        <v xml:space="preserve"> </v>
      </c>
      <c r="E196" s="237" t="str">
        <f>IF(A196="N/A"," ",IF(ISERROR(M196),E184*Inputs!$F$19,M196))</f>
        <v xml:space="preserve"> </v>
      </c>
      <c r="F196" s="238" t="str">
        <f t="shared" si="17"/>
        <v xml:space="preserve"> </v>
      </c>
      <c r="G196" s="237" t="str">
        <f>IF(A196="N/A"," ",IF(ISERROR(N196),G184*Inputs!$F$19,N196))</f>
        <v xml:space="preserve"> </v>
      </c>
      <c r="H196" s="238" t="str">
        <f t="shared" si="18"/>
        <v xml:space="preserve"> </v>
      </c>
      <c r="I196" s="238" t="str">
        <f>IF(A196="N/A"," ",IF(ISERROR(O196),I184*Inputs!$F$19,O196))</f>
        <v xml:space="preserve"> </v>
      </c>
      <c r="J196" s="331" t="str">
        <f>IF(A196="N/A"," ",IF(ISERROR(P196),J184*Inputs!$F$23,P196))</f>
        <v xml:space="preserve"> </v>
      </c>
      <c r="L196" s="349" t="str">
        <f>IF(A196="N/A"," ",VLOOKUP(A196,PeakPowerCurves,(IF('Pricing Inputs'!$AT$3=2,3,IF('Pricing Inputs'!$AT$3=1,2,4))),FALSE))</f>
        <v xml:space="preserve"> </v>
      </c>
      <c r="M196" s="349" t="str">
        <f>IF(A196="N/A"," ",VLOOKUP(A196,SatSunPeakPwr,(IF('Pricing Inputs'!$AT$3=2,3,IF('Pricing Inputs'!$AT$3=1,2,4))),FALSE))</f>
        <v xml:space="preserve"> </v>
      </c>
      <c r="N196" s="349" t="str">
        <f>IF(A196="N/A"," ",VLOOKUP(A196,SatSunPeakPwr,(IF('Pricing Inputs'!$AT$3=2,7,IF('Pricing Inputs'!$AT$3=1,6,8))),FALSE))</f>
        <v xml:space="preserve"> </v>
      </c>
      <c r="O196" s="350" t="str">
        <f>IF(A196="N/A"," ",(VLOOKUP(A196,OPPowerPrices,(IF('Pricing Inputs'!$AT$3=2,7,IF('Pricing Inputs'!$AT$3=1,6,8))),FALSE)))</f>
        <v xml:space="preserve"> </v>
      </c>
      <c r="P196" s="351" t="str">
        <f t="shared" si="19"/>
        <v xml:space="preserve"> </v>
      </c>
      <c r="AF196" s="241">
        <v>42401</v>
      </c>
      <c r="AG196" s="229">
        <v>21</v>
      </c>
      <c r="AH196" s="229">
        <v>4</v>
      </c>
      <c r="AI196" s="229">
        <v>4</v>
      </c>
      <c r="AJ196" s="229">
        <v>0</v>
      </c>
      <c r="AK196" s="229">
        <v>29</v>
      </c>
    </row>
    <row r="197" spans="1:37">
      <c r="A197" s="208" t="str">
        <f>Calculations!A164</f>
        <v>N/A</v>
      </c>
      <c r="B197" s="237" t="str">
        <f>IF(A197="N/A"," ",IF(ISERROR(L197),B185*Inputs!$F$19,L197))</f>
        <v xml:space="preserve"> </v>
      </c>
      <c r="C197" s="239" t="str">
        <f t="shared" si="20"/>
        <v xml:space="preserve"> </v>
      </c>
      <c r="D197" s="238" t="str">
        <f t="shared" si="16"/>
        <v xml:space="preserve"> </v>
      </c>
      <c r="E197" s="237" t="str">
        <f>IF(A197="N/A"," ",IF(ISERROR(M197),E185*Inputs!$F$19,M197))</f>
        <v xml:space="preserve"> </v>
      </c>
      <c r="F197" s="238" t="str">
        <f t="shared" si="17"/>
        <v xml:space="preserve"> </v>
      </c>
      <c r="G197" s="237" t="str">
        <f>IF(A197="N/A"," ",IF(ISERROR(N197),G185*Inputs!$F$19,N197))</f>
        <v xml:space="preserve"> </v>
      </c>
      <c r="H197" s="238" t="str">
        <f t="shared" si="18"/>
        <v xml:space="preserve"> </v>
      </c>
      <c r="I197" s="238" t="str">
        <f>IF(A197="N/A"," ",IF(ISERROR(O197),I185*Inputs!$F$19,O197))</f>
        <v xml:space="preserve"> </v>
      </c>
      <c r="J197" s="331" t="str">
        <f>IF(A197="N/A"," ",IF(ISERROR(P197),J185*Inputs!$F$23,P197))</f>
        <v xml:space="preserve"> </v>
      </c>
      <c r="L197" s="349" t="str">
        <f>IF(A197="N/A"," ",VLOOKUP(A197,PeakPowerCurves,(IF('Pricing Inputs'!$AT$3=2,3,IF('Pricing Inputs'!$AT$3=1,2,4))),FALSE))</f>
        <v xml:space="preserve"> </v>
      </c>
      <c r="M197" s="349" t="str">
        <f>IF(A197="N/A"," ",VLOOKUP(A197,SatSunPeakPwr,(IF('Pricing Inputs'!$AT$3=2,3,IF('Pricing Inputs'!$AT$3=1,2,4))),FALSE))</f>
        <v xml:space="preserve"> </v>
      </c>
      <c r="N197" s="349" t="str">
        <f>IF(A197="N/A"," ",VLOOKUP(A197,SatSunPeakPwr,(IF('Pricing Inputs'!$AT$3=2,7,IF('Pricing Inputs'!$AT$3=1,6,8))),FALSE))</f>
        <v xml:space="preserve"> </v>
      </c>
      <c r="O197" s="350" t="str">
        <f>IF(A197="N/A"," ",(VLOOKUP(A197,OPPowerPrices,(IF('Pricing Inputs'!$AT$3=2,7,IF('Pricing Inputs'!$AT$3=1,6,8))),FALSE)))</f>
        <v xml:space="preserve"> </v>
      </c>
      <c r="P197" s="351" t="str">
        <f t="shared" si="19"/>
        <v xml:space="preserve"> </v>
      </c>
      <c r="AF197" s="241">
        <v>42430</v>
      </c>
      <c r="AG197" s="229">
        <v>23</v>
      </c>
      <c r="AH197" s="229">
        <v>4</v>
      </c>
      <c r="AI197" s="229">
        <v>4</v>
      </c>
      <c r="AJ197" s="229">
        <v>0</v>
      </c>
      <c r="AK197" s="229">
        <v>31</v>
      </c>
    </row>
    <row r="198" spans="1:37">
      <c r="A198" s="208" t="str">
        <f>Calculations!A165</f>
        <v>N/A</v>
      </c>
      <c r="B198" s="237" t="str">
        <f>IF(A198="N/A"," ",IF(ISERROR(L198),B186*Inputs!$F$19,L198))</f>
        <v xml:space="preserve"> </v>
      </c>
      <c r="C198" s="239" t="str">
        <f t="shared" si="20"/>
        <v xml:space="preserve"> </v>
      </c>
      <c r="D198" s="238" t="str">
        <f t="shared" si="16"/>
        <v xml:space="preserve"> </v>
      </c>
      <c r="E198" s="237" t="str">
        <f>IF(A198="N/A"," ",IF(ISERROR(M198),E186*Inputs!$F$19,M198))</f>
        <v xml:space="preserve"> </v>
      </c>
      <c r="F198" s="238" t="str">
        <f t="shared" si="17"/>
        <v xml:space="preserve"> </v>
      </c>
      <c r="G198" s="237" t="str">
        <f>IF(A198="N/A"," ",IF(ISERROR(N198),G186*Inputs!$F$19,N198))</f>
        <v xml:space="preserve"> </v>
      </c>
      <c r="H198" s="238" t="str">
        <f t="shared" si="18"/>
        <v xml:space="preserve"> </v>
      </c>
      <c r="I198" s="238" t="str">
        <f>IF(A198="N/A"," ",IF(ISERROR(O198),I186*Inputs!$F$19,O198))</f>
        <v xml:space="preserve"> </v>
      </c>
      <c r="J198" s="331" t="str">
        <f>IF(A198="N/A"," ",IF(ISERROR(P198),J186*Inputs!$F$23,P198))</f>
        <v xml:space="preserve"> </v>
      </c>
      <c r="L198" s="349" t="str">
        <f>IF(A198="N/A"," ",VLOOKUP(A198,PeakPowerCurves,(IF('Pricing Inputs'!$AT$3=2,3,IF('Pricing Inputs'!$AT$3=1,2,4))),FALSE))</f>
        <v xml:space="preserve"> </v>
      </c>
      <c r="M198" s="349" t="str">
        <f>IF(A198="N/A"," ",VLOOKUP(A198,SatSunPeakPwr,(IF('Pricing Inputs'!$AT$3=2,3,IF('Pricing Inputs'!$AT$3=1,2,4))),FALSE))</f>
        <v xml:space="preserve"> </v>
      </c>
      <c r="N198" s="349" t="str">
        <f>IF(A198="N/A"," ",VLOOKUP(A198,SatSunPeakPwr,(IF('Pricing Inputs'!$AT$3=2,7,IF('Pricing Inputs'!$AT$3=1,6,8))),FALSE))</f>
        <v xml:space="preserve"> </v>
      </c>
      <c r="O198" s="350" t="str">
        <f>IF(A198="N/A"," ",(VLOOKUP(A198,OPPowerPrices,(IF('Pricing Inputs'!$AT$3=2,7,IF('Pricing Inputs'!$AT$3=1,6,8))),FALSE)))</f>
        <v xml:space="preserve"> </v>
      </c>
      <c r="P198" s="351" t="str">
        <f t="shared" si="19"/>
        <v xml:space="preserve"> </v>
      </c>
      <c r="AF198" s="241">
        <v>42461</v>
      </c>
      <c r="AG198" s="229">
        <v>21</v>
      </c>
      <c r="AH198" s="229">
        <v>5</v>
      </c>
      <c r="AI198" s="229">
        <v>4</v>
      </c>
      <c r="AJ198" s="229">
        <v>0</v>
      </c>
      <c r="AK198" s="229">
        <v>30</v>
      </c>
    </row>
    <row r="199" spans="1:37">
      <c r="A199" s="208" t="str">
        <f>Calculations!A166</f>
        <v>N/A</v>
      </c>
      <c r="B199" s="237" t="str">
        <f>IF(A199="N/A"," ",IF(ISERROR(L199),B187*Inputs!$F$19,L199))</f>
        <v xml:space="preserve"> </v>
      </c>
      <c r="C199" s="239" t="str">
        <f t="shared" si="20"/>
        <v xml:space="preserve"> </v>
      </c>
      <c r="D199" s="238" t="str">
        <f t="shared" si="16"/>
        <v xml:space="preserve"> </v>
      </c>
      <c r="E199" s="237" t="str">
        <f>IF(A199="N/A"," ",IF(ISERROR(M199),E187*Inputs!$F$19,M199))</f>
        <v xml:space="preserve"> </v>
      </c>
      <c r="F199" s="238" t="str">
        <f t="shared" si="17"/>
        <v xml:space="preserve"> </v>
      </c>
      <c r="G199" s="237" t="str">
        <f>IF(A199="N/A"," ",IF(ISERROR(N199),G187*Inputs!$F$19,N199))</f>
        <v xml:space="preserve"> </v>
      </c>
      <c r="H199" s="238" t="str">
        <f t="shared" si="18"/>
        <v xml:space="preserve"> </v>
      </c>
      <c r="I199" s="238" t="str">
        <f>IF(A199="N/A"," ",IF(ISERROR(O199),I187*Inputs!$F$19,O199))</f>
        <v xml:space="preserve"> </v>
      </c>
      <c r="J199" s="331" t="str">
        <f>IF(A199="N/A"," ",IF(ISERROR(P199),J187*Inputs!$F$23,P199))</f>
        <v xml:space="preserve"> </v>
      </c>
      <c r="L199" s="349" t="str">
        <f>IF(A199="N/A"," ",VLOOKUP(A199,PeakPowerCurves,(IF('Pricing Inputs'!$AT$3=2,3,IF('Pricing Inputs'!$AT$3=1,2,4))),FALSE))</f>
        <v xml:space="preserve"> </v>
      </c>
      <c r="M199" s="349" t="str">
        <f>IF(A199="N/A"," ",VLOOKUP(A199,SatSunPeakPwr,(IF('Pricing Inputs'!$AT$3=2,3,IF('Pricing Inputs'!$AT$3=1,2,4))),FALSE))</f>
        <v xml:space="preserve"> </v>
      </c>
      <c r="N199" s="349" t="str">
        <f>IF(A199="N/A"," ",VLOOKUP(A199,SatSunPeakPwr,(IF('Pricing Inputs'!$AT$3=2,7,IF('Pricing Inputs'!$AT$3=1,6,8))),FALSE))</f>
        <v xml:space="preserve"> </v>
      </c>
      <c r="O199" s="350" t="str">
        <f>IF(A199="N/A"," ",(VLOOKUP(A199,OPPowerPrices,(IF('Pricing Inputs'!$AT$3=2,7,IF('Pricing Inputs'!$AT$3=1,6,8))),FALSE)))</f>
        <v xml:space="preserve"> </v>
      </c>
      <c r="P199" s="351" t="str">
        <f t="shared" si="19"/>
        <v xml:space="preserve"> </v>
      </c>
      <c r="AF199" s="241">
        <v>42491</v>
      </c>
      <c r="AG199" s="229">
        <v>21</v>
      </c>
      <c r="AH199" s="229">
        <v>4</v>
      </c>
      <c r="AI199" s="229">
        <v>5</v>
      </c>
      <c r="AJ199" s="229">
        <v>1</v>
      </c>
      <c r="AK199" s="229">
        <v>31</v>
      </c>
    </row>
    <row r="200" spans="1:37">
      <c r="A200" s="208" t="str">
        <f>Calculations!A167</f>
        <v>N/A</v>
      </c>
      <c r="B200" s="237" t="str">
        <f>IF(A200="N/A"," ",IF(ISERROR(L200),B188*Inputs!$F$19,L200))</f>
        <v xml:space="preserve"> </v>
      </c>
      <c r="C200" s="239" t="str">
        <f t="shared" si="20"/>
        <v xml:space="preserve"> </v>
      </c>
      <c r="D200" s="238" t="str">
        <f t="shared" si="16"/>
        <v xml:space="preserve"> </v>
      </c>
      <c r="E200" s="237" t="str">
        <f>IF(A200="N/A"," ",IF(ISERROR(M200),E188*Inputs!$F$19,M200))</f>
        <v xml:space="preserve"> </v>
      </c>
      <c r="F200" s="238" t="str">
        <f t="shared" si="17"/>
        <v xml:space="preserve"> </v>
      </c>
      <c r="G200" s="237" t="str">
        <f>IF(A200="N/A"," ",IF(ISERROR(N200),G188*Inputs!$F$19,N200))</f>
        <v xml:space="preserve"> </v>
      </c>
      <c r="H200" s="238" t="str">
        <f t="shared" si="18"/>
        <v xml:space="preserve"> </v>
      </c>
      <c r="I200" s="238" t="str">
        <f>IF(A200="N/A"," ",IF(ISERROR(O200),I188*Inputs!$F$19,O200))</f>
        <v xml:space="preserve"> </v>
      </c>
      <c r="J200" s="331" t="str">
        <f>IF(A200="N/A"," ",IF(ISERROR(P200),J188*Inputs!$F$23,P200))</f>
        <v xml:space="preserve"> </v>
      </c>
      <c r="L200" s="349" t="str">
        <f>IF(A200="N/A"," ",VLOOKUP(A200,PeakPowerCurves,(IF('Pricing Inputs'!$AT$3=2,3,IF('Pricing Inputs'!$AT$3=1,2,4))),FALSE))</f>
        <v xml:space="preserve"> </v>
      </c>
      <c r="M200" s="349" t="str">
        <f>IF(A200="N/A"," ",VLOOKUP(A200,SatSunPeakPwr,(IF('Pricing Inputs'!$AT$3=2,3,IF('Pricing Inputs'!$AT$3=1,2,4))),FALSE))</f>
        <v xml:space="preserve"> </v>
      </c>
      <c r="N200" s="349" t="str">
        <f>IF(A200="N/A"," ",VLOOKUP(A200,SatSunPeakPwr,(IF('Pricing Inputs'!$AT$3=2,7,IF('Pricing Inputs'!$AT$3=1,6,8))),FALSE))</f>
        <v xml:space="preserve"> </v>
      </c>
      <c r="O200" s="350" t="str">
        <f>IF(A200="N/A"," ",(VLOOKUP(A200,OPPowerPrices,(IF('Pricing Inputs'!$AT$3=2,7,IF('Pricing Inputs'!$AT$3=1,6,8))),FALSE)))</f>
        <v xml:space="preserve"> </v>
      </c>
      <c r="P200" s="351" t="str">
        <f t="shared" si="19"/>
        <v xml:space="preserve"> </v>
      </c>
      <c r="AF200" s="241">
        <v>42522</v>
      </c>
      <c r="AG200" s="229">
        <v>22</v>
      </c>
      <c r="AH200" s="229">
        <v>4</v>
      </c>
      <c r="AI200" s="229">
        <v>4</v>
      </c>
      <c r="AJ200" s="229">
        <v>0</v>
      </c>
      <c r="AK200" s="229">
        <v>30</v>
      </c>
    </row>
    <row r="201" spans="1:37">
      <c r="A201" s="208" t="str">
        <f>Calculations!A168</f>
        <v>N/A</v>
      </c>
      <c r="B201" s="237" t="str">
        <f>IF(A201="N/A"," ",IF(ISERROR(L201),B189*Inputs!$F$19,L201))</f>
        <v xml:space="preserve"> </v>
      </c>
      <c r="C201" s="239" t="str">
        <f t="shared" si="20"/>
        <v xml:space="preserve"> </v>
      </c>
      <c r="D201" s="238" t="str">
        <f t="shared" si="16"/>
        <v xml:space="preserve"> </v>
      </c>
      <c r="E201" s="237" t="str">
        <f>IF(A201="N/A"," ",IF(ISERROR(M201),E189*Inputs!$F$19,M201))</f>
        <v xml:space="preserve"> </v>
      </c>
      <c r="F201" s="238" t="str">
        <f t="shared" si="17"/>
        <v xml:space="preserve"> </v>
      </c>
      <c r="G201" s="237" t="str">
        <f>IF(A201="N/A"," ",IF(ISERROR(N201),G189*Inputs!$F$19,N201))</f>
        <v xml:space="preserve"> </v>
      </c>
      <c r="H201" s="238" t="str">
        <f t="shared" si="18"/>
        <v xml:space="preserve"> </v>
      </c>
      <c r="I201" s="238" t="str">
        <f>IF(A201="N/A"," ",IF(ISERROR(O201),I189*Inputs!$F$19,O201))</f>
        <v xml:space="preserve"> </v>
      </c>
      <c r="J201" s="331" t="str">
        <f>IF(A201="N/A"," ",IF(ISERROR(P201),J189*Inputs!$F$23,P201))</f>
        <v xml:space="preserve"> </v>
      </c>
      <c r="L201" s="349" t="str">
        <f>IF(A201="N/A"," ",VLOOKUP(A201,PeakPowerCurves,(IF('Pricing Inputs'!$AT$3=2,3,IF('Pricing Inputs'!$AT$3=1,2,4))),FALSE))</f>
        <v xml:space="preserve"> </v>
      </c>
      <c r="M201" s="349" t="str">
        <f>IF(A201="N/A"," ",VLOOKUP(A201,SatSunPeakPwr,(IF('Pricing Inputs'!$AT$3=2,3,IF('Pricing Inputs'!$AT$3=1,2,4))),FALSE))</f>
        <v xml:space="preserve"> </v>
      </c>
      <c r="N201" s="349" t="str">
        <f>IF(A201="N/A"," ",VLOOKUP(A201,SatSunPeakPwr,(IF('Pricing Inputs'!$AT$3=2,7,IF('Pricing Inputs'!$AT$3=1,6,8))),FALSE))</f>
        <v xml:space="preserve"> </v>
      </c>
      <c r="O201" s="350" t="str">
        <f>IF(A201="N/A"," ",(VLOOKUP(A201,OPPowerPrices,(IF('Pricing Inputs'!$AT$3=2,7,IF('Pricing Inputs'!$AT$3=1,6,8))),FALSE)))</f>
        <v xml:space="preserve"> </v>
      </c>
      <c r="P201" s="351" t="str">
        <f t="shared" si="19"/>
        <v xml:space="preserve"> </v>
      </c>
      <c r="AF201" s="241">
        <v>42552</v>
      </c>
      <c r="AG201" s="229">
        <v>20</v>
      </c>
      <c r="AH201" s="229">
        <v>5</v>
      </c>
      <c r="AI201" s="229">
        <v>5</v>
      </c>
      <c r="AJ201" s="229">
        <v>1</v>
      </c>
      <c r="AK201" s="229">
        <v>31</v>
      </c>
    </row>
    <row r="202" spans="1:37">
      <c r="A202" s="208" t="str">
        <f>Calculations!A169</f>
        <v>N/A</v>
      </c>
      <c r="B202" s="237" t="str">
        <f>IF(A202="N/A"," ",IF(ISERROR(L202),B190*Inputs!$F$19,L202))</f>
        <v xml:space="preserve"> </v>
      </c>
      <c r="C202" s="239" t="str">
        <f t="shared" si="20"/>
        <v xml:space="preserve"> </v>
      </c>
      <c r="D202" s="238" t="str">
        <f t="shared" si="16"/>
        <v xml:space="preserve"> </v>
      </c>
      <c r="E202" s="237" t="str">
        <f>IF(A202="N/A"," ",IF(ISERROR(M202),E190*Inputs!$F$19,M202))</f>
        <v xml:space="preserve"> </v>
      </c>
      <c r="F202" s="238" t="str">
        <f t="shared" si="17"/>
        <v xml:space="preserve"> </v>
      </c>
      <c r="G202" s="237" t="str">
        <f>IF(A202="N/A"," ",IF(ISERROR(N202),G190*Inputs!$F$19,N202))</f>
        <v xml:space="preserve"> </v>
      </c>
      <c r="H202" s="238" t="str">
        <f t="shared" si="18"/>
        <v xml:space="preserve"> </v>
      </c>
      <c r="I202" s="238" t="str">
        <f>IF(A202="N/A"," ",IF(ISERROR(O202),I190*Inputs!$F$19,O202))</f>
        <v xml:space="preserve"> </v>
      </c>
      <c r="J202" s="331" t="str">
        <f>IF(A202="N/A"," ",IF(ISERROR(P202),J190*Inputs!$F$23,P202))</f>
        <v xml:space="preserve"> </v>
      </c>
      <c r="L202" s="349" t="str">
        <f>IF(A202="N/A"," ",VLOOKUP(A202,PeakPowerCurves,(IF('Pricing Inputs'!$AT$3=2,3,IF('Pricing Inputs'!$AT$3=1,2,4))),FALSE))</f>
        <v xml:space="preserve"> </v>
      </c>
      <c r="M202" s="349" t="str">
        <f>IF(A202="N/A"," ",VLOOKUP(A202,SatSunPeakPwr,(IF('Pricing Inputs'!$AT$3=2,3,IF('Pricing Inputs'!$AT$3=1,2,4))),FALSE))</f>
        <v xml:space="preserve"> </v>
      </c>
      <c r="N202" s="349" t="str">
        <f>IF(A202="N/A"," ",VLOOKUP(A202,SatSunPeakPwr,(IF('Pricing Inputs'!$AT$3=2,7,IF('Pricing Inputs'!$AT$3=1,6,8))),FALSE))</f>
        <v xml:space="preserve"> </v>
      </c>
      <c r="O202" s="350" t="str">
        <f>IF(A202="N/A"," ",(VLOOKUP(A202,OPPowerPrices,(IF('Pricing Inputs'!$AT$3=2,7,IF('Pricing Inputs'!$AT$3=1,6,8))),FALSE)))</f>
        <v xml:space="preserve"> </v>
      </c>
      <c r="P202" s="351" t="str">
        <f t="shared" si="19"/>
        <v xml:space="preserve"> </v>
      </c>
      <c r="AF202" s="241">
        <v>42583</v>
      </c>
      <c r="AG202" s="229">
        <v>23</v>
      </c>
      <c r="AH202" s="229">
        <v>4</v>
      </c>
      <c r="AI202" s="229">
        <v>4</v>
      </c>
      <c r="AJ202" s="229">
        <v>0</v>
      </c>
      <c r="AK202" s="229">
        <v>31</v>
      </c>
    </row>
    <row r="203" spans="1:37">
      <c r="A203" s="208" t="str">
        <f>Calculations!A170</f>
        <v>N/A</v>
      </c>
      <c r="B203" s="237" t="str">
        <f>IF(A203="N/A"," ",IF(ISERROR(L203),B191*Inputs!$F$19,L203))</f>
        <v xml:space="preserve"> </v>
      </c>
      <c r="C203" s="239" t="str">
        <f t="shared" si="20"/>
        <v xml:space="preserve"> </v>
      </c>
      <c r="D203" s="238" t="str">
        <f t="shared" si="16"/>
        <v xml:space="preserve"> </v>
      </c>
      <c r="E203" s="237" t="str">
        <f>IF(A203="N/A"," ",IF(ISERROR(M203),E191*Inputs!$F$19,M203))</f>
        <v xml:space="preserve"> </v>
      </c>
      <c r="F203" s="238" t="str">
        <f t="shared" si="17"/>
        <v xml:space="preserve"> </v>
      </c>
      <c r="G203" s="237" t="str">
        <f>IF(A203="N/A"," ",IF(ISERROR(N203),G191*Inputs!$F$19,N203))</f>
        <v xml:space="preserve"> </v>
      </c>
      <c r="H203" s="238" t="str">
        <f t="shared" si="18"/>
        <v xml:space="preserve"> </v>
      </c>
      <c r="I203" s="238" t="str">
        <f>IF(A203="N/A"," ",IF(ISERROR(O203),I191*Inputs!$F$19,O203))</f>
        <v xml:space="preserve"> </v>
      </c>
      <c r="J203" s="331" t="str">
        <f>IF(A203="N/A"," ",IF(ISERROR(P203),J191*Inputs!$F$23,P203))</f>
        <v xml:space="preserve"> </v>
      </c>
      <c r="L203" s="349" t="str">
        <f>IF(A203="N/A"," ",VLOOKUP(A203,PeakPowerCurves,(IF('Pricing Inputs'!$AT$3=2,3,IF('Pricing Inputs'!$AT$3=1,2,4))),FALSE))</f>
        <v xml:space="preserve"> </v>
      </c>
      <c r="M203" s="349" t="str">
        <f>IF(A203="N/A"," ",VLOOKUP(A203,SatSunPeakPwr,(IF('Pricing Inputs'!$AT$3=2,3,IF('Pricing Inputs'!$AT$3=1,2,4))),FALSE))</f>
        <v xml:space="preserve"> </v>
      </c>
      <c r="N203" s="349" t="str">
        <f>IF(A203="N/A"," ",VLOOKUP(A203,SatSunPeakPwr,(IF('Pricing Inputs'!$AT$3=2,7,IF('Pricing Inputs'!$AT$3=1,6,8))),FALSE))</f>
        <v xml:space="preserve"> </v>
      </c>
      <c r="O203" s="350" t="str">
        <f>IF(A203="N/A"," ",(VLOOKUP(A203,OPPowerPrices,(IF('Pricing Inputs'!$AT$3=2,7,IF('Pricing Inputs'!$AT$3=1,6,8))),FALSE)))</f>
        <v xml:space="preserve"> </v>
      </c>
      <c r="P203" s="351" t="str">
        <f t="shared" si="19"/>
        <v xml:space="preserve"> </v>
      </c>
      <c r="AF203" s="241">
        <v>42614</v>
      </c>
      <c r="AG203" s="229">
        <v>21</v>
      </c>
      <c r="AH203" s="229">
        <v>4</v>
      </c>
      <c r="AI203" s="229">
        <v>4</v>
      </c>
      <c r="AJ203" s="229">
        <v>1</v>
      </c>
      <c r="AK203" s="229">
        <v>30</v>
      </c>
    </row>
    <row r="204" spans="1:37">
      <c r="A204" s="208" t="str">
        <f>Calculations!A171</f>
        <v>N/A</v>
      </c>
      <c r="B204" s="237" t="str">
        <f>IF(A204="N/A"," ",IF(ISERROR(L204),B192*Inputs!$F$19,L204))</f>
        <v xml:space="preserve"> </v>
      </c>
      <c r="C204" s="239" t="str">
        <f t="shared" si="20"/>
        <v xml:space="preserve"> </v>
      </c>
      <c r="D204" s="238" t="str">
        <f t="shared" si="16"/>
        <v xml:space="preserve"> </v>
      </c>
      <c r="E204" s="237" t="str">
        <f>IF(A204="N/A"," ",IF(ISERROR(M204),E192*Inputs!$F$19,M204))</f>
        <v xml:space="preserve"> </v>
      </c>
      <c r="F204" s="238" t="str">
        <f t="shared" si="17"/>
        <v xml:space="preserve"> </v>
      </c>
      <c r="G204" s="237" t="str">
        <f>IF(A204="N/A"," ",IF(ISERROR(N204),G192*Inputs!$F$19,N204))</f>
        <v xml:space="preserve"> </v>
      </c>
      <c r="H204" s="238" t="str">
        <f t="shared" si="18"/>
        <v xml:space="preserve"> </v>
      </c>
      <c r="I204" s="238" t="str">
        <f>IF(A204="N/A"," ",IF(ISERROR(O204),I192*Inputs!$F$19,O204))</f>
        <v xml:space="preserve"> </v>
      </c>
      <c r="J204" s="331" t="str">
        <f>IF(A204="N/A"," ",IF(ISERROR(P204),J192*Inputs!$F$23,P204))</f>
        <v xml:space="preserve"> </v>
      </c>
      <c r="L204" s="349" t="str">
        <f>IF(A204="N/A"," ",VLOOKUP(A204,PeakPowerCurves,(IF('Pricing Inputs'!$AT$3=2,3,IF('Pricing Inputs'!$AT$3=1,2,4))),FALSE))</f>
        <v xml:space="preserve"> </v>
      </c>
      <c r="M204" s="349" t="str">
        <f>IF(A204="N/A"," ",VLOOKUP(A204,SatSunPeakPwr,(IF('Pricing Inputs'!$AT$3=2,3,IF('Pricing Inputs'!$AT$3=1,2,4))),FALSE))</f>
        <v xml:space="preserve"> </v>
      </c>
      <c r="N204" s="349" t="str">
        <f>IF(A204="N/A"," ",VLOOKUP(A204,SatSunPeakPwr,(IF('Pricing Inputs'!$AT$3=2,7,IF('Pricing Inputs'!$AT$3=1,6,8))),FALSE))</f>
        <v xml:space="preserve"> </v>
      </c>
      <c r="O204" s="350" t="str">
        <f>IF(A204="N/A"," ",(VLOOKUP(A204,OPPowerPrices,(IF('Pricing Inputs'!$AT$3=2,7,IF('Pricing Inputs'!$AT$3=1,6,8))),FALSE)))</f>
        <v xml:space="preserve"> </v>
      </c>
      <c r="P204" s="351" t="str">
        <f t="shared" si="19"/>
        <v xml:space="preserve"> </v>
      </c>
      <c r="AF204" s="241">
        <v>42644</v>
      </c>
      <c r="AG204" s="229">
        <v>21</v>
      </c>
      <c r="AH204" s="229">
        <v>5</v>
      </c>
      <c r="AI204" s="229">
        <v>5</v>
      </c>
      <c r="AJ204" s="229">
        <v>0</v>
      </c>
      <c r="AK204" s="229">
        <v>31</v>
      </c>
    </row>
    <row r="205" spans="1:37">
      <c r="A205" s="208" t="str">
        <f>Calculations!A172</f>
        <v>N/A</v>
      </c>
      <c r="B205" s="237" t="str">
        <f>IF(A205="N/A"," ",IF(ISERROR(L205),B193*Inputs!$F$19,L205))</f>
        <v xml:space="preserve"> </v>
      </c>
      <c r="C205" s="239" t="str">
        <f t="shared" si="20"/>
        <v xml:space="preserve"> </v>
      </c>
      <c r="D205" s="238" t="str">
        <f t="shared" si="16"/>
        <v xml:space="preserve"> </v>
      </c>
      <c r="E205" s="237" t="str">
        <f>IF(A205="N/A"," ",IF(ISERROR(M205),E193*Inputs!$F$19,M205))</f>
        <v xml:space="preserve"> </v>
      </c>
      <c r="F205" s="238" t="str">
        <f t="shared" si="17"/>
        <v xml:space="preserve"> </v>
      </c>
      <c r="G205" s="237" t="str">
        <f>IF(A205="N/A"," ",IF(ISERROR(N205),G193*Inputs!$F$19,N205))</f>
        <v xml:space="preserve"> </v>
      </c>
      <c r="H205" s="238" t="str">
        <f t="shared" si="18"/>
        <v xml:space="preserve"> </v>
      </c>
      <c r="I205" s="238" t="str">
        <f>IF(A205="N/A"," ",IF(ISERROR(O205),I193*Inputs!$F$19,O205))</f>
        <v xml:space="preserve"> </v>
      </c>
      <c r="J205" s="331" t="str">
        <f>IF(A205="N/A"," ",IF(ISERROR(P205),J193*Inputs!$F$23,P205))</f>
        <v xml:space="preserve"> </v>
      </c>
      <c r="L205" s="349" t="str">
        <f>IF(A205="N/A"," ",VLOOKUP(A205,PeakPowerCurves,(IF('Pricing Inputs'!$AT$3=2,3,IF('Pricing Inputs'!$AT$3=1,2,4))),FALSE))</f>
        <v xml:space="preserve"> </v>
      </c>
      <c r="M205" s="349" t="str">
        <f>IF(A205="N/A"," ",VLOOKUP(A205,SatSunPeakPwr,(IF('Pricing Inputs'!$AT$3=2,3,IF('Pricing Inputs'!$AT$3=1,2,4))),FALSE))</f>
        <v xml:space="preserve"> </v>
      </c>
      <c r="N205" s="349" t="str">
        <f>IF(A205="N/A"," ",VLOOKUP(A205,SatSunPeakPwr,(IF('Pricing Inputs'!$AT$3=2,7,IF('Pricing Inputs'!$AT$3=1,6,8))),FALSE))</f>
        <v xml:space="preserve"> </v>
      </c>
      <c r="O205" s="350" t="str">
        <f>IF(A205="N/A"," ",(VLOOKUP(A205,OPPowerPrices,(IF('Pricing Inputs'!$AT$3=2,7,IF('Pricing Inputs'!$AT$3=1,6,8))),FALSE)))</f>
        <v xml:space="preserve"> </v>
      </c>
      <c r="P205" s="351" t="str">
        <f t="shared" si="19"/>
        <v xml:space="preserve"> </v>
      </c>
      <c r="AF205" s="241">
        <v>42675</v>
      </c>
      <c r="AG205" s="229">
        <v>21</v>
      </c>
      <c r="AH205" s="229">
        <v>4</v>
      </c>
      <c r="AI205" s="229">
        <v>4</v>
      </c>
      <c r="AJ205" s="229">
        <v>1</v>
      </c>
      <c r="AK205" s="229">
        <v>30</v>
      </c>
    </row>
    <row r="206" spans="1:37">
      <c r="A206" s="208" t="str">
        <f>Calculations!A173</f>
        <v>N/A</v>
      </c>
      <c r="B206" s="237" t="str">
        <f>IF(A206="N/A"," ",IF(ISERROR(L206),B194*Inputs!$F$19,L206))</f>
        <v xml:space="preserve"> </v>
      </c>
      <c r="C206" s="239" t="str">
        <f t="shared" si="20"/>
        <v xml:space="preserve"> </v>
      </c>
      <c r="D206" s="238" t="str">
        <f t="shared" si="16"/>
        <v xml:space="preserve"> </v>
      </c>
      <c r="E206" s="237" t="str">
        <f>IF(A206="N/A"," ",IF(ISERROR(M206),E194*Inputs!$F$19,M206))</f>
        <v xml:space="preserve"> </v>
      </c>
      <c r="F206" s="238" t="str">
        <f t="shared" si="17"/>
        <v xml:space="preserve"> </v>
      </c>
      <c r="G206" s="237" t="str">
        <f>IF(A206="N/A"," ",IF(ISERROR(N206),G194*Inputs!$F$19,N206))</f>
        <v xml:space="preserve"> </v>
      </c>
      <c r="H206" s="238" t="str">
        <f t="shared" si="18"/>
        <v xml:space="preserve"> </v>
      </c>
      <c r="I206" s="238" t="str">
        <f>IF(A206="N/A"," ",IF(ISERROR(O206),I194*Inputs!$F$19,O206))</f>
        <v xml:space="preserve"> </v>
      </c>
      <c r="J206" s="331" t="str">
        <f>IF(A206="N/A"," ",IF(ISERROR(P206),J194*Inputs!$F$23,P206))</f>
        <v xml:space="preserve"> </v>
      </c>
      <c r="L206" s="349" t="str">
        <f>IF(A206="N/A"," ",VLOOKUP(A206,PeakPowerCurves,(IF('Pricing Inputs'!$AT$3=2,3,IF('Pricing Inputs'!$AT$3=1,2,4))),FALSE))</f>
        <v xml:space="preserve"> </v>
      </c>
      <c r="M206" s="349" t="str">
        <f>IF(A206="N/A"," ",VLOOKUP(A206,SatSunPeakPwr,(IF('Pricing Inputs'!$AT$3=2,3,IF('Pricing Inputs'!$AT$3=1,2,4))),FALSE))</f>
        <v xml:space="preserve"> </v>
      </c>
      <c r="N206" s="349" t="str">
        <f>IF(A206="N/A"," ",VLOOKUP(A206,SatSunPeakPwr,(IF('Pricing Inputs'!$AT$3=2,7,IF('Pricing Inputs'!$AT$3=1,6,8))),FALSE))</f>
        <v xml:space="preserve"> </v>
      </c>
      <c r="O206" s="350" t="str">
        <f>IF(A206="N/A"," ",(VLOOKUP(A206,OPPowerPrices,(IF('Pricing Inputs'!$AT$3=2,7,IF('Pricing Inputs'!$AT$3=1,6,8))),FALSE)))</f>
        <v xml:space="preserve"> </v>
      </c>
      <c r="P206" s="351" t="str">
        <f t="shared" si="19"/>
        <v xml:space="preserve"> </v>
      </c>
      <c r="AF206" s="241">
        <v>42705</v>
      </c>
      <c r="AG206" s="229">
        <v>21</v>
      </c>
      <c r="AH206" s="229">
        <v>5</v>
      </c>
      <c r="AI206" s="229">
        <v>4</v>
      </c>
      <c r="AJ206" s="229">
        <v>1</v>
      </c>
      <c r="AK206" s="229">
        <v>31</v>
      </c>
    </row>
    <row r="207" spans="1:37">
      <c r="A207" s="208" t="str">
        <f>Calculations!A174</f>
        <v>N/A</v>
      </c>
      <c r="B207" s="237" t="str">
        <f>IF(A207="N/A"," ",IF(ISERROR(L207),B195*Inputs!$F$19,L207))</f>
        <v xml:space="preserve"> </v>
      </c>
      <c r="C207" s="239" t="str">
        <f t="shared" si="20"/>
        <v xml:space="preserve"> </v>
      </c>
      <c r="D207" s="238" t="str">
        <f t="shared" si="16"/>
        <v xml:space="preserve"> </v>
      </c>
      <c r="E207" s="237" t="str">
        <f>IF(A207="N/A"," ",IF(ISERROR(M207),E195*Inputs!$F$19,M207))</f>
        <v xml:space="preserve"> </v>
      </c>
      <c r="F207" s="238" t="str">
        <f t="shared" si="17"/>
        <v xml:space="preserve"> </v>
      </c>
      <c r="G207" s="237" t="str">
        <f>IF(A207="N/A"," ",IF(ISERROR(N207),G195*Inputs!$F$19,N207))</f>
        <v xml:space="preserve"> </v>
      </c>
      <c r="H207" s="238" t="str">
        <f t="shared" si="18"/>
        <v xml:space="preserve"> </v>
      </c>
      <c r="I207" s="238" t="str">
        <f>IF(A207="N/A"," ",IF(ISERROR(O207),I195*Inputs!$F$19,O207))</f>
        <v xml:space="preserve"> </v>
      </c>
      <c r="J207" s="331" t="str">
        <f>IF(A207="N/A"," ",IF(ISERROR(P207),J195*Inputs!$F$23,P207))</f>
        <v xml:space="preserve"> </v>
      </c>
      <c r="L207" s="349" t="str">
        <f>IF(A207="N/A"," ",VLOOKUP(A207,PeakPowerCurves,(IF('Pricing Inputs'!$AT$3=2,3,IF('Pricing Inputs'!$AT$3=1,2,4))),FALSE))</f>
        <v xml:space="preserve"> </v>
      </c>
      <c r="M207" s="349" t="str">
        <f>IF(A207="N/A"," ",VLOOKUP(A207,SatSunPeakPwr,(IF('Pricing Inputs'!$AT$3=2,3,IF('Pricing Inputs'!$AT$3=1,2,4))),FALSE))</f>
        <v xml:space="preserve"> </v>
      </c>
      <c r="N207" s="349" t="str">
        <f>IF(A207="N/A"," ",VLOOKUP(A207,SatSunPeakPwr,(IF('Pricing Inputs'!$AT$3=2,7,IF('Pricing Inputs'!$AT$3=1,6,8))),FALSE))</f>
        <v xml:space="preserve"> </v>
      </c>
      <c r="O207" s="350" t="str">
        <f>IF(A207="N/A"," ",(VLOOKUP(A207,OPPowerPrices,(IF('Pricing Inputs'!$AT$3=2,7,IF('Pricing Inputs'!$AT$3=1,6,8))),FALSE)))</f>
        <v xml:space="preserve"> </v>
      </c>
      <c r="P207" s="351" t="str">
        <f t="shared" si="19"/>
        <v xml:space="preserve"> </v>
      </c>
      <c r="AF207" s="241">
        <v>42736</v>
      </c>
      <c r="AG207" s="229">
        <v>21</v>
      </c>
      <c r="AH207" s="229">
        <v>4</v>
      </c>
      <c r="AI207" s="229">
        <v>5</v>
      </c>
      <c r="AJ207" s="229">
        <v>1</v>
      </c>
      <c r="AK207" s="229">
        <v>31</v>
      </c>
    </row>
    <row r="208" spans="1:37">
      <c r="A208" s="208" t="str">
        <f>Calculations!A175</f>
        <v>N/A</v>
      </c>
      <c r="B208" s="237" t="str">
        <f>IF(A208="N/A"," ",IF(ISERROR(L208),B196*Inputs!$F$19,L208))</f>
        <v xml:space="preserve"> </v>
      </c>
      <c r="C208" s="239" t="str">
        <f t="shared" si="20"/>
        <v xml:space="preserve"> </v>
      </c>
      <c r="D208" s="238" t="str">
        <f t="shared" si="16"/>
        <v xml:space="preserve"> </v>
      </c>
      <c r="E208" s="237" t="str">
        <f>IF(A208="N/A"," ",IF(ISERROR(M208),E196*Inputs!$F$19,M208))</f>
        <v xml:space="preserve"> </v>
      </c>
      <c r="F208" s="238" t="str">
        <f t="shared" si="17"/>
        <v xml:space="preserve"> </v>
      </c>
      <c r="G208" s="237" t="str">
        <f>IF(A208="N/A"," ",IF(ISERROR(N208),G196*Inputs!$F$19,N208))</f>
        <v xml:space="preserve"> </v>
      </c>
      <c r="H208" s="238" t="str">
        <f t="shared" si="18"/>
        <v xml:space="preserve"> </v>
      </c>
      <c r="I208" s="238" t="str">
        <f>IF(A208="N/A"," ",IF(ISERROR(O208),I196*Inputs!$F$19,O208))</f>
        <v xml:space="preserve"> </v>
      </c>
      <c r="J208" s="331" t="str">
        <f>IF(A208="N/A"," ",IF(ISERROR(P208),J196*Inputs!$F$23,P208))</f>
        <v xml:space="preserve"> </v>
      </c>
      <c r="L208" s="349" t="str">
        <f>IF(A208="N/A"," ",VLOOKUP(A208,PeakPowerCurves,(IF('Pricing Inputs'!$AT$3=2,3,IF('Pricing Inputs'!$AT$3=1,2,4))),FALSE))</f>
        <v xml:space="preserve"> </v>
      </c>
      <c r="M208" s="349" t="str">
        <f>IF(A208="N/A"," ",VLOOKUP(A208,SatSunPeakPwr,(IF('Pricing Inputs'!$AT$3=2,3,IF('Pricing Inputs'!$AT$3=1,2,4))),FALSE))</f>
        <v xml:space="preserve"> </v>
      </c>
      <c r="N208" s="349" t="str">
        <f>IF(A208="N/A"," ",VLOOKUP(A208,SatSunPeakPwr,(IF('Pricing Inputs'!$AT$3=2,7,IF('Pricing Inputs'!$AT$3=1,6,8))),FALSE))</f>
        <v xml:space="preserve"> </v>
      </c>
      <c r="O208" s="350" t="str">
        <f>IF(A208="N/A"," ",(VLOOKUP(A208,OPPowerPrices,(IF('Pricing Inputs'!$AT$3=2,7,IF('Pricing Inputs'!$AT$3=1,6,8))),FALSE)))</f>
        <v xml:space="preserve"> </v>
      </c>
      <c r="P208" s="351" t="str">
        <f t="shared" si="19"/>
        <v xml:space="preserve"> </v>
      </c>
      <c r="AF208" s="241">
        <v>42767</v>
      </c>
      <c r="AG208" s="229">
        <v>20</v>
      </c>
      <c r="AH208" s="229">
        <v>4</v>
      </c>
      <c r="AI208" s="229">
        <v>4</v>
      </c>
      <c r="AJ208" s="229">
        <v>0</v>
      </c>
      <c r="AK208" s="229">
        <v>28</v>
      </c>
    </row>
    <row r="209" spans="1:37">
      <c r="A209" s="208" t="str">
        <f>Calculations!A176</f>
        <v>N/A</v>
      </c>
      <c r="B209" s="237" t="str">
        <f>IF(A209="N/A"," ",IF(ISERROR(L209),B197*Inputs!$F$19,L209))</f>
        <v xml:space="preserve"> </v>
      </c>
      <c r="C209" s="239" t="str">
        <f t="shared" si="20"/>
        <v xml:space="preserve"> </v>
      </c>
      <c r="D209" s="238" t="str">
        <f t="shared" si="16"/>
        <v xml:space="preserve"> </v>
      </c>
      <c r="E209" s="237" t="str">
        <f>IF(A209="N/A"," ",IF(ISERROR(M209),E197*Inputs!$F$19,M209))</f>
        <v xml:space="preserve"> </v>
      </c>
      <c r="F209" s="238" t="str">
        <f t="shared" si="17"/>
        <v xml:space="preserve"> </v>
      </c>
      <c r="G209" s="237" t="str">
        <f>IF(A209="N/A"," ",IF(ISERROR(N209),G197*Inputs!$F$19,N209))</f>
        <v xml:space="preserve"> </v>
      </c>
      <c r="H209" s="238" t="str">
        <f t="shared" si="18"/>
        <v xml:space="preserve"> </v>
      </c>
      <c r="I209" s="238" t="str">
        <f>IF(A209="N/A"," ",IF(ISERROR(O209),I197*Inputs!$F$19,O209))</f>
        <v xml:space="preserve"> </v>
      </c>
      <c r="J209" s="331" t="str">
        <f>IF(A209="N/A"," ",IF(ISERROR(P209),J197*Inputs!$F$23,P209))</f>
        <v xml:space="preserve"> </v>
      </c>
      <c r="L209" s="349" t="str">
        <f>IF(A209="N/A"," ",VLOOKUP(A209,PeakPowerCurves,(IF('Pricing Inputs'!$AT$3=2,3,IF('Pricing Inputs'!$AT$3=1,2,4))),FALSE))</f>
        <v xml:space="preserve"> </v>
      </c>
      <c r="M209" s="349" t="str">
        <f>IF(A209="N/A"," ",VLOOKUP(A209,SatSunPeakPwr,(IF('Pricing Inputs'!$AT$3=2,3,IF('Pricing Inputs'!$AT$3=1,2,4))),FALSE))</f>
        <v xml:space="preserve"> </v>
      </c>
      <c r="N209" s="349" t="str">
        <f>IF(A209="N/A"," ",VLOOKUP(A209,SatSunPeakPwr,(IF('Pricing Inputs'!$AT$3=2,7,IF('Pricing Inputs'!$AT$3=1,6,8))),FALSE))</f>
        <v xml:space="preserve"> </v>
      </c>
      <c r="O209" s="350" t="str">
        <f>IF(A209="N/A"," ",(VLOOKUP(A209,OPPowerPrices,(IF('Pricing Inputs'!$AT$3=2,7,IF('Pricing Inputs'!$AT$3=1,6,8))),FALSE)))</f>
        <v xml:space="preserve"> </v>
      </c>
      <c r="P209" s="351" t="str">
        <f t="shared" si="19"/>
        <v xml:space="preserve"> </v>
      </c>
      <c r="AF209" s="241">
        <v>42795</v>
      </c>
      <c r="AG209" s="229">
        <v>23</v>
      </c>
      <c r="AH209" s="229">
        <v>4</v>
      </c>
      <c r="AI209" s="229">
        <v>4</v>
      </c>
      <c r="AJ209" s="229">
        <v>0</v>
      </c>
      <c r="AK209" s="229">
        <v>31</v>
      </c>
    </row>
    <row r="210" spans="1:37">
      <c r="A210" s="208" t="str">
        <f>Calculations!A177</f>
        <v>N/A</v>
      </c>
      <c r="B210" s="237" t="str">
        <f>IF(A210="N/A"," ",IF(ISERROR(L210),B198*Inputs!$F$19,L210))</f>
        <v xml:space="preserve"> </v>
      </c>
      <c r="C210" s="239" t="str">
        <f t="shared" si="20"/>
        <v xml:space="preserve"> </v>
      </c>
      <c r="D210" s="238" t="str">
        <f t="shared" si="16"/>
        <v xml:space="preserve"> </v>
      </c>
      <c r="E210" s="237" t="str">
        <f>IF(A210="N/A"," ",IF(ISERROR(M210),E198*Inputs!$F$19,M210))</f>
        <v xml:space="preserve"> </v>
      </c>
      <c r="F210" s="238" t="str">
        <f t="shared" si="17"/>
        <v xml:space="preserve"> </v>
      </c>
      <c r="G210" s="237" t="str">
        <f>IF(A210="N/A"," ",IF(ISERROR(N210),G198*Inputs!$F$19,N210))</f>
        <v xml:space="preserve"> </v>
      </c>
      <c r="H210" s="238" t="str">
        <f t="shared" si="18"/>
        <v xml:space="preserve"> </v>
      </c>
      <c r="I210" s="238" t="str">
        <f>IF(A210="N/A"," ",IF(ISERROR(O210),I198*Inputs!$F$19,O210))</f>
        <v xml:space="preserve"> </v>
      </c>
      <c r="J210" s="331" t="str">
        <f>IF(A210="N/A"," ",IF(ISERROR(P210),J198*Inputs!$F$23,P210))</f>
        <v xml:space="preserve"> </v>
      </c>
      <c r="L210" s="349" t="str">
        <f>IF(A210="N/A"," ",VLOOKUP(A210,PeakPowerCurves,(IF('Pricing Inputs'!$AT$3=2,3,IF('Pricing Inputs'!$AT$3=1,2,4))),FALSE))</f>
        <v xml:space="preserve"> </v>
      </c>
      <c r="M210" s="349" t="str">
        <f>IF(A210="N/A"," ",VLOOKUP(A210,SatSunPeakPwr,(IF('Pricing Inputs'!$AT$3=2,3,IF('Pricing Inputs'!$AT$3=1,2,4))),FALSE))</f>
        <v xml:space="preserve"> </v>
      </c>
      <c r="N210" s="349" t="str">
        <f>IF(A210="N/A"," ",VLOOKUP(A210,SatSunPeakPwr,(IF('Pricing Inputs'!$AT$3=2,7,IF('Pricing Inputs'!$AT$3=1,6,8))),FALSE))</f>
        <v xml:space="preserve"> </v>
      </c>
      <c r="O210" s="350" t="str">
        <f>IF(A210="N/A"," ",(VLOOKUP(A210,OPPowerPrices,(IF('Pricing Inputs'!$AT$3=2,7,IF('Pricing Inputs'!$AT$3=1,6,8))),FALSE)))</f>
        <v xml:space="preserve"> </v>
      </c>
      <c r="P210" s="351" t="str">
        <f t="shared" si="19"/>
        <v xml:space="preserve"> </v>
      </c>
      <c r="AF210" s="241">
        <v>42826</v>
      </c>
      <c r="AG210" s="229">
        <v>20</v>
      </c>
      <c r="AH210" s="229">
        <v>5</v>
      </c>
      <c r="AI210" s="229">
        <v>5</v>
      </c>
      <c r="AJ210" s="229">
        <v>0</v>
      </c>
      <c r="AK210" s="229">
        <v>30</v>
      </c>
    </row>
    <row r="211" spans="1:37">
      <c r="A211" s="208" t="str">
        <f>Calculations!A178</f>
        <v>N/A</v>
      </c>
      <c r="B211" s="237" t="str">
        <f>IF(A211="N/A"," ",IF(ISERROR(L211),B199*Inputs!$F$19,L211))</f>
        <v xml:space="preserve"> </v>
      </c>
      <c r="C211" s="239" t="str">
        <f t="shared" si="20"/>
        <v xml:space="preserve"> </v>
      </c>
      <c r="D211" s="238" t="str">
        <f t="shared" si="16"/>
        <v xml:space="preserve"> </v>
      </c>
      <c r="E211" s="237" t="str">
        <f>IF(A211="N/A"," ",IF(ISERROR(M211),E199*Inputs!$F$19,M211))</f>
        <v xml:space="preserve"> </v>
      </c>
      <c r="F211" s="238" t="str">
        <f t="shared" si="17"/>
        <v xml:space="preserve"> </v>
      </c>
      <c r="G211" s="237" t="str">
        <f>IF(A211="N/A"," ",IF(ISERROR(N211),G199*Inputs!$F$19,N211))</f>
        <v xml:space="preserve"> </v>
      </c>
      <c r="H211" s="238" t="str">
        <f t="shared" si="18"/>
        <v xml:space="preserve"> </v>
      </c>
      <c r="I211" s="238" t="str">
        <f>IF(A211="N/A"," ",IF(ISERROR(O211),I199*Inputs!$F$19,O211))</f>
        <v xml:space="preserve"> </v>
      </c>
      <c r="J211" s="331" t="str">
        <f>IF(A211="N/A"," ",IF(ISERROR(P211),J199*Inputs!$F$23,P211))</f>
        <v xml:space="preserve"> </v>
      </c>
      <c r="L211" s="349" t="str">
        <f>IF(A211="N/A"," ",VLOOKUP(A211,PeakPowerCurves,(IF('Pricing Inputs'!$AT$3=2,3,IF('Pricing Inputs'!$AT$3=1,2,4))),FALSE))</f>
        <v xml:space="preserve"> </v>
      </c>
      <c r="M211" s="349" t="str">
        <f>IF(A211="N/A"," ",VLOOKUP(A211,SatSunPeakPwr,(IF('Pricing Inputs'!$AT$3=2,3,IF('Pricing Inputs'!$AT$3=1,2,4))),FALSE))</f>
        <v xml:space="preserve"> </v>
      </c>
      <c r="N211" s="349" t="str">
        <f>IF(A211="N/A"," ",VLOOKUP(A211,SatSunPeakPwr,(IF('Pricing Inputs'!$AT$3=2,7,IF('Pricing Inputs'!$AT$3=1,6,8))),FALSE))</f>
        <v xml:space="preserve"> </v>
      </c>
      <c r="O211" s="350" t="str">
        <f>IF(A211="N/A"," ",(VLOOKUP(A211,OPPowerPrices,(IF('Pricing Inputs'!$AT$3=2,7,IF('Pricing Inputs'!$AT$3=1,6,8))),FALSE)))</f>
        <v xml:space="preserve"> </v>
      </c>
      <c r="P211" s="351" t="str">
        <f t="shared" si="19"/>
        <v xml:space="preserve"> </v>
      </c>
      <c r="AF211" s="241">
        <v>42856</v>
      </c>
      <c r="AG211" s="229">
        <v>22</v>
      </c>
      <c r="AH211" s="229">
        <v>4</v>
      </c>
      <c r="AI211" s="229">
        <v>4</v>
      </c>
      <c r="AJ211" s="229">
        <v>1</v>
      </c>
      <c r="AK211" s="229">
        <v>31</v>
      </c>
    </row>
    <row r="212" spans="1:37">
      <c r="A212" s="208" t="str">
        <f>Calculations!A179</f>
        <v>N/A</v>
      </c>
      <c r="B212" s="237" t="str">
        <f>IF(A212="N/A"," ",IF(ISERROR(L212),B200*Inputs!$F$19,L212))</f>
        <v xml:space="preserve"> </v>
      </c>
      <c r="C212" s="239" t="str">
        <f t="shared" si="20"/>
        <v xml:space="preserve"> </v>
      </c>
      <c r="D212" s="238" t="str">
        <f t="shared" si="16"/>
        <v xml:space="preserve"> </v>
      </c>
      <c r="E212" s="237" t="str">
        <f>IF(A212="N/A"," ",IF(ISERROR(M212),E200*Inputs!$F$19,M212))</f>
        <v xml:space="preserve"> </v>
      </c>
      <c r="F212" s="238" t="str">
        <f t="shared" si="17"/>
        <v xml:space="preserve"> </v>
      </c>
      <c r="G212" s="237" t="str">
        <f>IF(A212="N/A"," ",IF(ISERROR(N212),G200*Inputs!$F$19,N212))</f>
        <v xml:space="preserve"> </v>
      </c>
      <c r="H212" s="238" t="str">
        <f t="shared" si="18"/>
        <v xml:space="preserve"> </v>
      </c>
      <c r="I212" s="238" t="str">
        <f>IF(A212="N/A"," ",IF(ISERROR(O212),I200*Inputs!$F$19,O212))</f>
        <v xml:space="preserve"> </v>
      </c>
      <c r="J212" s="331" t="str">
        <f>IF(A212="N/A"," ",IF(ISERROR(P212),J200*Inputs!$F$23,P212))</f>
        <v xml:space="preserve"> </v>
      </c>
      <c r="L212" s="349" t="str">
        <f>IF(A212="N/A"," ",VLOOKUP(A212,PeakPowerCurves,(IF('Pricing Inputs'!$AT$3=2,3,IF('Pricing Inputs'!$AT$3=1,2,4))),FALSE))</f>
        <v xml:space="preserve"> </v>
      </c>
      <c r="M212" s="349" t="str">
        <f>IF(A212="N/A"," ",VLOOKUP(A212,SatSunPeakPwr,(IF('Pricing Inputs'!$AT$3=2,3,IF('Pricing Inputs'!$AT$3=1,2,4))),FALSE))</f>
        <v xml:space="preserve"> </v>
      </c>
      <c r="N212" s="349" t="str">
        <f>IF(A212="N/A"," ",VLOOKUP(A212,SatSunPeakPwr,(IF('Pricing Inputs'!$AT$3=2,7,IF('Pricing Inputs'!$AT$3=1,6,8))),FALSE))</f>
        <v xml:space="preserve"> </v>
      </c>
      <c r="O212" s="350" t="str">
        <f>IF(A212="N/A"," ",(VLOOKUP(A212,OPPowerPrices,(IF('Pricing Inputs'!$AT$3=2,7,IF('Pricing Inputs'!$AT$3=1,6,8))),FALSE)))</f>
        <v xml:space="preserve"> </v>
      </c>
      <c r="P212" s="351" t="str">
        <f t="shared" si="19"/>
        <v xml:space="preserve"> </v>
      </c>
      <c r="AF212" s="241">
        <v>42887</v>
      </c>
      <c r="AG212" s="229">
        <v>22</v>
      </c>
      <c r="AH212" s="229">
        <v>4</v>
      </c>
      <c r="AI212" s="229">
        <v>4</v>
      </c>
      <c r="AJ212" s="229">
        <v>0</v>
      </c>
      <c r="AK212" s="229">
        <v>30</v>
      </c>
    </row>
    <row r="213" spans="1:37">
      <c r="A213" s="208" t="str">
        <f>Calculations!A180</f>
        <v>N/A</v>
      </c>
      <c r="B213" s="237" t="str">
        <f>IF(A213="N/A"," ",IF(ISERROR(L213),B201*Inputs!$F$19,L213))</f>
        <v xml:space="preserve"> </v>
      </c>
      <c r="C213" s="239" t="str">
        <f t="shared" si="20"/>
        <v xml:space="preserve"> </v>
      </c>
      <c r="D213" s="238" t="str">
        <f t="shared" si="16"/>
        <v xml:space="preserve"> </v>
      </c>
      <c r="E213" s="237" t="str">
        <f>IF(A213="N/A"," ",IF(ISERROR(M213),E201*Inputs!$F$19,M213))</f>
        <v xml:space="preserve"> </v>
      </c>
      <c r="F213" s="238" t="str">
        <f t="shared" si="17"/>
        <v xml:space="preserve"> </v>
      </c>
      <c r="G213" s="237" t="str">
        <f>IF(A213="N/A"," ",IF(ISERROR(N213),G201*Inputs!$F$19,N213))</f>
        <v xml:space="preserve"> </v>
      </c>
      <c r="H213" s="238" t="str">
        <f t="shared" si="18"/>
        <v xml:space="preserve"> </v>
      </c>
      <c r="I213" s="238" t="str">
        <f>IF(A213="N/A"," ",IF(ISERROR(O213),I201*Inputs!$F$19,O213))</f>
        <v xml:space="preserve"> </v>
      </c>
      <c r="J213" s="331" t="str">
        <f>IF(A213="N/A"," ",IF(ISERROR(P213),J201*Inputs!$F$23,P213))</f>
        <v xml:space="preserve"> </v>
      </c>
      <c r="L213" s="349" t="str">
        <f>IF(A213="N/A"," ",VLOOKUP(A213,PeakPowerCurves,(IF('Pricing Inputs'!$AT$3=2,3,IF('Pricing Inputs'!$AT$3=1,2,4))),FALSE))</f>
        <v xml:space="preserve"> </v>
      </c>
      <c r="M213" s="349" t="str">
        <f>IF(A213="N/A"," ",VLOOKUP(A213,SatSunPeakPwr,(IF('Pricing Inputs'!$AT$3=2,3,IF('Pricing Inputs'!$AT$3=1,2,4))),FALSE))</f>
        <v xml:space="preserve"> </v>
      </c>
      <c r="N213" s="349" t="str">
        <f>IF(A213="N/A"," ",VLOOKUP(A213,SatSunPeakPwr,(IF('Pricing Inputs'!$AT$3=2,7,IF('Pricing Inputs'!$AT$3=1,6,8))),FALSE))</f>
        <v xml:space="preserve"> </v>
      </c>
      <c r="O213" s="350" t="str">
        <f>IF(A213="N/A"," ",(VLOOKUP(A213,OPPowerPrices,(IF('Pricing Inputs'!$AT$3=2,7,IF('Pricing Inputs'!$AT$3=1,6,8))),FALSE)))</f>
        <v xml:space="preserve"> </v>
      </c>
      <c r="P213" s="351" t="str">
        <f t="shared" si="19"/>
        <v xml:space="preserve"> </v>
      </c>
      <c r="AF213" s="241">
        <v>42917</v>
      </c>
      <c r="AG213" s="229">
        <v>20</v>
      </c>
      <c r="AH213" s="229">
        <v>5</v>
      </c>
      <c r="AI213" s="229">
        <v>5</v>
      </c>
      <c r="AJ213" s="229">
        <v>1</v>
      </c>
      <c r="AK213" s="229">
        <v>31</v>
      </c>
    </row>
    <row r="214" spans="1:37">
      <c r="A214" s="208" t="str">
        <f>Calculations!A181</f>
        <v>N/A</v>
      </c>
      <c r="B214" s="237" t="str">
        <f>IF(A214="N/A"," ",IF(ISERROR(L214),B202*Inputs!$F$19,L214))</f>
        <v xml:space="preserve"> </v>
      </c>
      <c r="C214" s="239" t="str">
        <f t="shared" si="20"/>
        <v xml:space="preserve"> </v>
      </c>
      <c r="D214" s="238" t="str">
        <f t="shared" si="16"/>
        <v xml:space="preserve"> </v>
      </c>
      <c r="E214" s="237" t="str">
        <f>IF(A214="N/A"," ",IF(ISERROR(M214),E202*Inputs!$F$19,M214))</f>
        <v xml:space="preserve"> </v>
      </c>
      <c r="F214" s="238" t="str">
        <f t="shared" si="17"/>
        <v xml:space="preserve"> </v>
      </c>
      <c r="G214" s="237" t="str">
        <f>IF(A214="N/A"," ",IF(ISERROR(N214),G202*Inputs!$F$19,N214))</f>
        <v xml:space="preserve"> </v>
      </c>
      <c r="H214" s="238" t="str">
        <f t="shared" si="18"/>
        <v xml:space="preserve"> </v>
      </c>
      <c r="I214" s="238" t="str">
        <f>IF(A214="N/A"," ",IF(ISERROR(O214),I202*Inputs!$F$19,O214))</f>
        <v xml:space="preserve"> </v>
      </c>
      <c r="J214" s="331" t="str">
        <f>IF(A214="N/A"," ",IF(ISERROR(P214),J202*Inputs!$F$23,P214))</f>
        <v xml:space="preserve"> </v>
      </c>
      <c r="L214" s="349" t="str">
        <f>IF(A214="N/A"," ",VLOOKUP(A214,PeakPowerCurves,(IF('Pricing Inputs'!$AT$3=2,3,IF('Pricing Inputs'!$AT$3=1,2,4))),FALSE))</f>
        <v xml:space="preserve"> </v>
      </c>
      <c r="M214" s="349" t="str">
        <f>IF(A214="N/A"," ",VLOOKUP(A214,SatSunPeakPwr,(IF('Pricing Inputs'!$AT$3=2,3,IF('Pricing Inputs'!$AT$3=1,2,4))),FALSE))</f>
        <v xml:space="preserve"> </v>
      </c>
      <c r="N214" s="349" t="str">
        <f>IF(A214="N/A"," ",VLOOKUP(A214,SatSunPeakPwr,(IF('Pricing Inputs'!$AT$3=2,7,IF('Pricing Inputs'!$AT$3=1,6,8))),FALSE))</f>
        <v xml:space="preserve"> </v>
      </c>
      <c r="O214" s="350" t="str">
        <f>IF(A214="N/A"," ",(VLOOKUP(A214,OPPowerPrices,(IF('Pricing Inputs'!$AT$3=2,7,IF('Pricing Inputs'!$AT$3=1,6,8))),FALSE)))</f>
        <v xml:space="preserve"> </v>
      </c>
      <c r="P214" s="351" t="str">
        <f t="shared" si="19"/>
        <v xml:space="preserve"> </v>
      </c>
      <c r="AF214" s="241">
        <v>42948</v>
      </c>
      <c r="AG214" s="229">
        <v>23</v>
      </c>
      <c r="AH214" s="229">
        <v>4</v>
      </c>
      <c r="AI214" s="229">
        <v>4</v>
      </c>
      <c r="AJ214" s="229">
        <v>0</v>
      </c>
      <c r="AK214" s="229">
        <v>31</v>
      </c>
    </row>
    <row r="215" spans="1:37">
      <c r="A215" s="208" t="str">
        <f>Calculations!A182</f>
        <v>N/A</v>
      </c>
      <c r="B215" s="237" t="str">
        <f>IF(A215="N/A"," ",IF(ISERROR(L215),B203*Inputs!$F$19,L215))</f>
        <v xml:space="preserve"> </v>
      </c>
      <c r="C215" s="239" t="str">
        <f t="shared" si="20"/>
        <v xml:space="preserve"> </v>
      </c>
      <c r="D215" s="238" t="str">
        <f t="shared" si="16"/>
        <v xml:space="preserve"> </v>
      </c>
      <c r="E215" s="237" t="str">
        <f>IF(A215="N/A"," ",IF(ISERROR(M215),E203*Inputs!$F$19,M215))</f>
        <v xml:space="preserve"> </v>
      </c>
      <c r="F215" s="238" t="str">
        <f t="shared" si="17"/>
        <v xml:space="preserve"> </v>
      </c>
      <c r="G215" s="237" t="str">
        <f>IF(A215="N/A"," ",IF(ISERROR(N215),G203*Inputs!$F$19,N215))</f>
        <v xml:space="preserve"> </v>
      </c>
      <c r="H215" s="238" t="str">
        <f t="shared" si="18"/>
        <v xml:space="preserve"> </v>
      </c>
      <c r="I215" s="238" t="str">
        <f>IF(A215="N/A"," ",IF(ISERROR(O215),I203*Inputs!$F$19,O215))</f>
        <v xml:space="preserve"> </v>
      </c>
      <c r="J215" s="331" t="str">
        <f>IF(A215="N/A"," ",IF(ISERROR(P215),J203*Inputs!$F$23,P215))</f>
        <v xml:space="preserve"> </v>
      </c>
      <c r="L215" s="349" t="str">
        <f>IF(A215="N/A"," ",VLOOKUP(A215,PeakPowerCurves,(IF('Pricing Inputs'!$AT$3=2,3,IF('Pricing Inputs'!$AT$3=1,2,4))),FALSE))</f>
        <v xml:space="preserve"> </v>
      </c>
      <c r="M215" s="349" t="str">
        <f>IF(A215="N/A"," ",VLOOKUP(A215,SatSunPeakPwr,(IF('Pricing Inputs'!$AT$3=2,3,IF('Pricing Inputs'!$AT$3=1,2,4))),FALSE))</f>
        <v xml:space="preserve"> </v>
      </c>
      <c r="N215" s="349" t="str">
        <f>IF(A215="N/A"," ",VLOOKUP(A215,SatSunPeakPwr,(IF('Pricing Inputs'!$AT$3=2,7,IF('Pricing Inputs'!$AT$3=1,6,8))),FALSE))</f>
        <v xml:space="preserve"> </v>
      </c>
      <c r="O215" s="350" t="str">
        <f>IF(A215="N/A"," ",(VLOOKUP(A215,OPPowerPrices,(IF('Pricing Inputs'!$AT$3=2,7,IF('Pricing Inputs'!$AT$3=1,6,8))),FALSE)))</f>
        <v xml:space="preserve"> </v>
      </c>
      <c r="P215" s="351" t="str">
        <f t="shared" si="19"/>
        <v xml:space="preserve"> </v>
      </c>
      <c r="AF215" s="241">
        <v>42979</v>
      </c>
      <c r="AG215" s="229">
        <v>20</v>
      </c>
      <c r="AH215" s="229">
        <v>5</v>
      </c>
      <c r="AI215" s="229">
        <v>4</v>
      </c>
      <c r="AJ215" s="229">
        <v>1</v>
      </c>
      <c r="AK215" s="229">
        <v>30</v>
      </c>
    </row>
    <row r="216" spans="1:37">
      <c r="A216" s="208" t="str">
        <f>Calculations!A183</f>
        <v>N/A</v>
      </c>
      <c r="B216" s="237" t="str">
        <f>IF(A216="N/A"," ",IF(ISERROR(L216),B204*Inputs!$F$19,L216))</f>
        <v xml:space="preserve"> </v>
      </c>
      <c r="C216" s="239" t="str">
        <f t="shared" si="20"/>
        <v xml:space="preserve"> </v>
      </c>
      <c r="D216" s="238" t="str">
        <f t="shared" si="16"/>
        <v xml:space="preserve"> </v>
      </c>
      <c r="E216" s="237" t="str">
        <f>IF(A216="N/A"," ",IF(ISERROR(M216),E204*Inputs!$F$19,M216))</f>
        <v xml:space="preserve"> </v>
      </c>
      <c r="F216" s="238" t="str">
        <f t="shared" si="17"/>
        <v xml:space="preserve"> </v>
      </c>
      <c r="G216" s="237" t="str">
        <f>IF(A216="N/A"," ",IF(ISERROR(N216),G204*Inputs!$F$19,N216))</f>
        <v xml:space="preserve"> </v>
      </c>
      <c r="H216" s="238" t="str">
        <f t="shared" si="18"/>
        <v xml:space="preserve"> </v>
      </c>
      <c r="I216" s="238" t="str">
        <f>IF(A216="N/A"," ",IF(ISERROR(O216),I204*Inputs!$F$19,O216))</f>
        <v xml:space="preserve"> </v>
      </c>
      <c r="J216" s="331" t="str">
        <f>IF(A216="N/A"," ",IF(ISERROR(P216),J204*Inputs!$F$23,P216))</f>
        <v xml:space="preserve"> </v>
      </c>
      <c r="L216" s="349" t="str">
        <f>IF(A216="N/A"," ",VLOOKUP(A216,PeakPowerCurves,(IF('Pricing Inputs'!$AT$3=2,3,IF('Pricing Inputs'!$AT$3=1,2,4))),FALSE))</f>
        <v xml:space="preserve"> </v>
      </c>
      <c r="M216" s="349" t="str">
        <f>IF(A216="N/A"," ",VLOOKUP(A216,SatSunPeakPwr,(IF('Pricing Inputs'!$AT$3=2,3,IF('Pricing Inputs'!$AT$3=1,2,4))),FALSE))</f>
        <v xml:space="preserve"> </v>
      </c>
      <c r="N216" s="349" t="str">
        <f>IF(A216="N/A"," ",VLOOKUP(A216,SatSunPeakPwr,(IF('Pricing Inputs'!$AT$3=2,7,IF('Pricing Inputs'!$AT$3=1,6,8))),FALSE))</f>
        <v xml:space="preserve"> </v>
      </c>
      <c r="O216" s="350" t="str">
        <f>IF(A216="N/A"," ",(VLOOKUP(A216,OPPowerPrices,(IF('Pricing Inputs'!$AT$3=2,7,IF('Pricing Inputs'!$AT$3=1,6,8))),FALSE)))</f>
        <v xml:space="preserve"> </v>
      </c>
      <c r="P216" s="351" t="str">
        <f t="shared" si="19"/>
        <v xml:space="preserve"> </v>
      </c>
      <c r="AF216" s="241">
        <v>43009</v>
      </c>
      <c r="AG216" s="229">
        <v>22</v>
      </c>
      <c r="AH216" s="229">
        <v>4</v>
      </c>
      <c r="AI216" s="229">
        <v>5</v>
      </c>
      <c r="AJ216" s="229">
        <v>0</v>
      </c>
      <c r="AK216" s="229">
        <v>31</v>
      </c>
    </row>
    <row r="217" spans="1:37">
      <c r="A217" s="208" t="str">
        <f>Calculations!A184</f>
        <v>N/A</v>
      </c>
      <c r="B217" s="237" t="str">
        <f>IF(A217="N/A"," ",IF(ISERROR(L217),B205*Inputs!$F$19,L217))</f>
        <v xml:space="preserve"> </v>
      </c>
      <c r="C217" s="239" t="str">
        <f t="shared" si="20"/>
        <v xml:space="preserve"> </v>
      </c>
      <c r="D217" s="238" t="str">
        <f t="shared" si="16"/>
        <v xml:space="preserve"> </v>
      </c>
      <c r="E217" s="237" t="str">
        <f>IF(A217="N/A"," ",IF(ISERROR(M217),E205*Inputs!$F$19,M217))</f>
        <v xml:space="preserve"> </v>
      </c>
      <c r="F217" s="238" t="str">
        <f t="shared" si="17"/>
        <v xml:space="preserve"> </v>
      </c>
      <c r="G217" s="237" t="str">
        <f>IF(A217="N/A"," ",IF(ISERROR(N217),G205*Inputs!$F$19,N217))</f>
        <v xml:space="preserve"> </v>
      </c>
      <c r="H217" s="238" t="str">
        <f t="shared" si="18"/>
        <v xml:space="preserve"> </v>
      </c>
      <c r="I217" s="238" t="str">
        <f>IF(A217="N/A"," ",IF(ISERROR(O217),I205*Inputs!$F$19,O217))</f>
        <v xml:space="preserve"> </v>
      </c>
      <c r="J217" s="331" t="str">
        <f>IF(A217="N/A"," ",IF(ISERROR(P217),J205*Inputs!$F$23,P217))</f>
        <v xml:space="preserve"> </v>
      </c>
      <c r="L217" s="349" t="str">
        <f>IF(A217="N/A"," ",VLOOKUP(A217,PeakPowerCurves,(IF('Pricing Inputs'!$AT$3=2,3,IF('Pricing Inputs'!$AT$3=1,2,4))),FALSE))</f>
        <v xml:space="preserve"> </v>
      </c>
      <c r="M217" s="349" t="str">
        <f>IF(A217="N/A"," ",VLOOKUP(A217,SatSunPeakPwr,(IF('Pricing Inputs'!$AT$3=2,3,IF('Pricing Inputs'!$AT$3=1,2,4))),FALSE))</f>
        <v xml:space="preserve"> </v>
      </c>
      <c r="N217" s="349" t="str">
        <f>IF(A217="N/A"," ",VLOOKUP(A217,SatSunPeakPwr,(IF('Pricing Inputs'!$AT$3=2,7,IF('Pricing Inputs'!$AT$3=1,6,8))),FALSE))</f>
        <v xml:space="preserve"> </v>
      </c>
      <c r="O217" s="350" t="str">
        <f>IF(A217="N/A"," ",(VLOOKUP(A217,OPPowerPrices,(IF('Pricing Inputs'!$AT$3=2,7,IF('Pricing Inputs'!$AT$3=1,6,8))),FALSE)))</f>
        <v xml:space="preserve"> </v>
      </c>
      <c r="P217" s="351" t="str">
        <f t="shared" si="19"/>
        <v xml:space="preserve"> </v>
      </c>
      <c r="AF217" s="241">
        <v>43040</v>
      </c>
      <c r="AG217" s="229">
        <v>21</v>
      </c>
      <c r="AH217" s="229">
        <v>4</v>
      </c>
      <c r="AI217" s="229">
        <v>4</v>
      </c>
      <c r="AJ217" s="229">
        <v>1</v>
      </c>
      <c r="AK217" s="229">
        <v>30</v>
      </c>
    </row>
    <row r="218" spans="1:37">
      <c r="A218" s="208" t="str">
        <f>Calculations!A185</f>
        <v>N/A</v>
      </c>
      <c r="B218" s="237" t="str">
        <f>IF(A218="N/A"," ",IF(ISERROR(L218),B206*Inputs!$F$19,L218))</f>
        <v xml:space="preserve"> </v>
      </c>
      <c r="C218" s="239" t="str">
        <f t="shared" si="20"/>
        <v xml:space="preserve"> </v>
      </c>
      <c r="D218" s="238" t="str">
        <f t="shared" si="16"/>
        <v xml:space="preserve"> </v>
      </c>
      <c r="E218" s="237" t="str">
        <f>IF(A218="N/A"," ",IF(ISERROR(M218),E206*Inputs!$F$19,M218))</f>
        <v xml:space="preserve"> </v>
      </c>
      <c r="F218" s="238" t="str">
        <f t="shared" si="17"/>
        <v xml:space="preserve"> </v>
      </c>
      <c r="G218" s="237" t="str">
        <f>IF(A218="N/A"," ",IF(ISERROR(N218),G206*Inputs!$F$19,N218))</f>
        <v xml:space="preserve"> </v>
      </c>
      <c r="H218" s="238" t="str">
        <f t="shared" si="18"/>
        <v xml:space="preserve"> </v>
      </c>
      <c r="I218" s="238" t="str">
        <f>IF(A218="N/A"," ",IF(ISERROR(O218),I206*Inputs!$F$19,O218))</f>
        <v xml:space="preserve"> </v>
      </c>
      <c r="J218" s="331" t="str">
        <f>IF(A218="N/A"," ",IF(ISERROR(P218),J206*Inputs!$F$23,P218))</f>
        <v xml:space="preserve"> </v>
      </c>
      <c r="L218" s="349" t="str">
        <f>IF(A218="N/A"," ",VLOOKUP(A218,PeakPowerCurves,(IF('Pricing Inputs'!$AT$3=2,3,IF('Pricing Inputs'!$AT$3=1,2,4))),FALSE))</f>
        <v xml:space="preserve"> </v>
      </c>
      <c r="M218" s="349" t="str">
        <f>IF(A218="N/A"," ",VLOOKUP(A218,SatSunPeakPwr,(IF('Pricing Inputs'!$AT$3=2,3,IF('Pricing Inputs'!$AT$3=1,2,4))),FALSE))</f>
        <v xml:space="preserve"> </v>
      </c>
      <c r="N218" s="349" t="str">
        <f>IF(A218="N/A"," ",VLOOKUP(A218,SatSunPeakPwr,(IF('Pricing Inputs'!$AT$3=2,7,IF('Pricing Inputs'!$AT$3=1,6,8))),FALSE))</f>
        <v xml:space="preserve"> </v>
      </c>
      <c r="O218" s="350" t="str">
        <f>IF(A218="N/A"," ",(VLOOKUP(A218,OPPowerPrices,(IF('Pricing Inputs'!$AT$3=2,7,IF('Pricing Inputs'!$AT$3=1,6,8))),FALSE)))</f>
        <v xml:space="preserve"> </v>
      </c>
      <c r="P218" s="351" t="str">
        <f t="shared" si="19"/>
        <v xml:space="preserve"> </v>
      </c>
      <c r="AF218" s="241">
        <v>43070</v>
      </c>
      <c r="AG218" s="229">
        <v>20</v>
      </c>
      <c r="AH218" s="229">
        <v>5</v>
      </c>
      <c r="AI218" s="229">
        <v>5</v>
      </c>
      <c r="AJ218" s="229">
        <v>1</v>
      </c>
      <c r="AK218" s="229">
        <v>31</v>
      </c>
    </row>
    <row r="219" spans="1:37">
      <c r="A219" s="208" t="str">
        <f>Calculations!A186</f>
        <v>N/A</v>
      </c>
      <c r="B219" s="237" t="str">
        <f>IF(A219="N/A"," ",IF(ISERROR(L219),B207*Inputs!$F$19,L219))</f>
        <v xml:space="preserve"> </v>
      </c>
      <c r="C219" s="239" t="str">
        <f t="shared" si="20"/>
        <v xml:space="preserve"> </v>
      </c>
      <c r="D219" s="238" t="str">
        <f t="shared" si="16"/>
        <v xml:space="preserve"> </v>
      </c>
      <c r="E219" s="237" t="str">
        <f>IF(A219="N/A"," ",IF(ISERROR(M219),E207*Inputs!$F$19,M219))</f>
        <v xml:space="preserve"> </v>
      </c>
      <c r="F219" s="238" t="str">
        <f t="shared" si="17"/>
        <v xml:space="preserve"> </v>
      </c>
      <c r="G219" s="237" t="str">
        <f>IF(A219="N/A"," ",IF(ISERROR(N219),G207*Inputs!$F$19,N219))</f>
        <v xml:space="preserve"> </v>
      </c>
      <c r="H219" s="238" t="str">
        <f t="shared" si="18"/>
        <v xml:space="preserve"> </v>
      </c>
      <c r="I219" s="238" t="str">
        <f>IF(A219="N/A"," ",IF(ISERROR(O219),I207*Inputs!$F$19,O219))</f>
        <v xml:space="preserve"> </v>
      </c>
      <c r="J219" s="331" t="str">
        <f>IF(A219="N/A"," ",IF(ISERROR(P219),J207*Inputs!$F$23,P219))</f>
        <v xml:space="preserve"> </v>
      </c>
      <c r="L219" s="349" t="str">
        <f>IF(A219="N/A"," ",VLOOKUP(A219,PeakPowerCurves,(IF('Pricing Inputs'!$AT$3=2,3,IF('Pricing Inputs'!$AT$3=1,2,4))),FALSE))</f>
        <v xml:space="preserve"> </v>
      </c>
      <c r="M219" s="349" t="str">
        <f>IF(A219="N/A"," ",VLOOKUP(A219,SatSunPeakPwr,(IF('Pricing Inputs'!$AT$3=2,3,IF('Pricing Inputs'!$AT$3=1,2,4))),FALSE))</f>
        <v xml:space="preserve"> </v>
      </c>
      <c r="N219" s="349" t="str">
        <f>IF(A219="N/A"," ",VLOOKUP(A219,SatSunPeakPwr,(IF('Pricing Inputs'!$AT$3=2,7,IF('Pricing Inputs'!$AT$3=1,6,8))),FALSE))</f>
        <v xml:space="preserve"> </v>
      </c>
      <c r="O219" s="350" t="str">
        <f>IF(A219="N/A"," ",(VLOOKUP(A219,OPPowerPrices,(IF('Pricing Inputs'!$AT$3=2,7,IF('Pricing Inputs'!$AT$3=1,6,8))),FALSE)))</f>
        <v xml:space="preserve"> </v>
      </c>
      <c r="P219" s="351" t="str">
        <f t="shared" si="19"/>
        <v xml:space="preserve"> </v>
      </c>
      <c r="AF219" s="241">
        <v>43101</v>
      </c>
      <c r="AG219" s="229">
        <v>22</v>
      </c>
      <c r="AH219" s="229">
        <v>4</v>
      </c>
      <c r="AI219" s="229">
        <v>4</v>
      </c>
      <c r="AJ219" s="229">
        <v>1</v>
      </c>
      <c r="AK219" s="229">
        <v>31</v>
      </c>
    </row>
    <row r="220" spans="1:37">
      <c r="A220" s="208" t="str">
        <f>Calculations!A187</f>
        <v>N/A</v>
      </c>
      <c r="B220" s="237" t="str">
        <f>IF(A220="N/A"," ",IF(ISERROR(L220),B208*Inputs!$F$19,L220))</f>
        <v xml:space="preserve"> </v>
      </c>
      <c r="C220" s="239" t="str">
        <f t="shared" si="20"/>
        <v xml:space="preserve"> </v>
      </c>
      <c r="D220" s="238" t="str">
        <f t="shared" si="16"/>
        <v xml:space="preserve"> </v>
      </c>
      <c r="E220" s="237" t="str">
        <f>IF(A220="N/A"," ",IF(ISERROR(M220),E208*Inputs!$F$19,M220))</f>
        <v xml:space="preserve"> </v>
      </c>
      <c r="F220" s="238" t="str">
        <f t="shared" si="17"/>
        <v xml:space="preserve"> </v>
      </c>
      <c r="G220" s="237" t="str">
        <f>IF(A220="N/A"," ",IF(ISERROR(N220),G208*Inputs!$F$19,N220))</f>
        <v xml:space="preserve"> </v>
      </c>
      <c r="H220" s="238" t="str">
        <f t="shared" si="18"/>
        <v xml:space="preserve"> </v>
      </c>
      <c r="I220" s="238" t="str">
        <f>IF(A220="N/A"," ",IF(ISERROR(O220),I208*Inputs!$F$19,O220))</f>
        <v xml:space="preserve"> </v>
      </c>
      <c r="J220" s="331" t="str">
        <f>IF(A220="N/A"," ",IF(ISERROR(P220),J208*Inputs!$F$23,P220))</f>
        <v xml:space="preserve"> </v>
      </c>
      <c r="L220" s="349" t="str">
        <f>IF(A220="N/A"," ",VLOOKUP(A220,PeakPowerCurves,(IF('Pricing Inputs'!$AT$3=2,3,IF('Pricing Inputs'!$AT$3=1,2,4))),FALSE))</f>
        <v xml:space="preserve"> </v>
      </c>
      <c r="M220" s="349" t="str">
        <f>IF(A220="N/A"," ",VLOOKUP(A220,SatSunPeakPwr,(IF('Pricing Inputs'!$AT$3=2,3,IF('Pricing Inputs'!$AT$3=1,2,4))),FALSE))</f>
        <v xml:space="preserve"> </v>
      </c>
      <c r="N220" s="349" t="str">
        <f>IF(A220="N/A"," ",VLOOKUP(A220,SatSunPeakPwr,(IF('Pricing Inputs'!$AT$3=2,7,IF('Pricing Inputs'!$AT$3=1,6,8))),FALSE))</f>
        <v xml:space="preserve"> </v>
      </c>
      <c r="O220" s="350" t="str">
        <f>IF(A220="N/A"," ",(VLOOKUP(A220,OPPowerPrices,(IF('Pricing Inputs'!$AT$3=2,7,IF('Pricing Inputs'!$AT$3=1,6,8))),FALSE)))</f>
        <v xml:space="preserve"> </v>
      </c>
      <c r="P220" s="351" t="str">
        <f t="shared" si="19"/>
        <v xml:space="preserve"> </v>
      </c>
      <c r="AF220" s="241">
        <v>43132</v>
      </c>
      <c r="AG220" s="229">
        <v>20</v>
      </c>
      <c r="AH220" s="229">
        <v>4</v>
      </c>
      <c r="AI220" s="229">
        <v>4</v>
      </c>
      <c r="AJ220" s="229">
        <v>0</v>
      </c>
      <c r="AK220" s="229">
        <v>28</v>
      </c>
    </row>
    <row r="221" spans="1:37">
      <c r="A221" s="208" t="str">
        <f>Calculations!A188</f>
        <v>N/A</v>
      </c>
      <c r="B221" s="237" t="str">
        <f>IF(A221="N/A"," ",IF(ISERROR(L221),B209*Inputs!$F$19,L221))</f>
        <v xml:space="preserve"> </v>
      </c>
      <c r="C221" s="239" t="str">
        <f t="shared" si="20"/>
        <v xml:space="preserve"> </v>
      </c>
      <c r="D221" s="238" t="str">
        <f t="shared" si="16"/>
        <v xml:space="preserve"> </v>
      </c>
      <c r="E221" s="237" t="str">
        <f>IF(A221="N/A"," ",IF(ISERROR(M221),E209*Inputs!$F$19,M221))</f>
        <v xml:space="preserve"> </v>
      </c>
      <c r="F221" s="238" t="str">
        <f t="shared" si="17"/>
        <v xml:space="preserve"> </v>
      </c>
      <c r="G221" s="237" t="str">
        <f>IF(A221="N/A"," ",IF(ISERROR(N221),G209*Inputs!$F$19,N221))</f>
        <v xml:space="preserve"> </v>
      </c>
      <c r="H221" s="238" t="str">
        <f t="shared" si="18"/>
        <v xml:space="preserve"> </v>
      </c>
      <c r="I221" s="238" t="str">
        <f>IF(A221="N/A"," ",IF(ISERROR(O221),I209*Inputs!$F$19,O221))</f>
        <v xml:space="preserve"> </v>
      </c>
      <c r="J221" s="331" t="str">
        <f>IF(A221="N/A"," ",IF(ISERROR(P221),J209*Inputs!$F$23,P221))</f>
        <v xml:space="preserve"> </v>
      </c>
      <c r="L221" s="349" t="str">
        <f>IF(A221="N/A"," ",VLOOKUP(A221,PeakPowerCurves,(IF('Pricing Inputs'!$AT$3=2,3,IF('Pricing Inputs'!$AT$3=1,2,4))),FALSE))</f>
        <v xml:space="preserve"> </v>
      </c>
      <c r="M221" s="349" t="str">
        <f>IF(A221="N/A"," ",VLOOKUP(A221,SatSunPeakPwr,(IF('Pricing Inputs'!$AT$3=2,3,IF('Pricing Inputs'!$AT$3=1,2,4))),FALSE))</f>
        <v xml:space="preserve"> </v>
      </c>
      <c r="N221" s="349" t="str">
        <f>IF(A221="N/A"," ",VLOOKUP(A221,SatSunPeakPwr,(IF('Pricing Inputs'!$AT$3=2,7,IF('Pricing Inputs'!$AT$3=1,6,8))),FALSE))</f>
        <v xml:space="preserve"> </v>
      </c>
      <c r="O221" s="350" t="str">
        <f>IF(A221="N/A"," ",(VLOOKUP(A221,OPPowerPrices,(IF('Pricing Inputs'!$AT$3=2,7,IF('Pricing Inputs'!$AT$3=1,6,8))),FALSE)))</f>
        <v xml:space="preserve"> </v>
      </c>
      <c r="P221" s="351" t="str">
        <f t="shared" si="19"/>
        <v xml:space="preserve"> </v>
      </c>
      <c r="AF221" s="241">
        <v>43160</v>
      </c>
      <c r="AG221" s="229">
        <v>22</v>
      </c>
      <c r="AH221" s="229">
        <v>5</v>
      </c>
      <c r="AI221" s="229">
        <v>4</v>
      </c>
      <c r="AJ221" s="229">
        <v>0</v>
      </c>
      <c r="AK221" s="229">
        <v>31</v>
      </c>
    </row>
    <row r="222" spans="1:37">
      <c r="A222" s="208" t="str">
        <f>Calculations!A189</f>
        <v>N/A</v>
      </c>
      <c r="B222" s="237" t="str">
        <f>IF(A222="N/A"," ",IF(ISERROR(L222),B210*Inputs!$F$19,L222))</f>
        <v xml:space="preserve"> </v>
      </c>
      <c r="C222" s="239" t="str">
        <f t="shared" si="20"/>
        <v xml:space="preserve"> </v>
      </c>
      <c r="D222" s="238" t="str">
        <f t="shared" si="16"/>
        <v xml:space="preserve"> </v>
      </c>
      <c r="E222" s="237" t="str">
        <f>IF(A222="N/A"," ",IF(ISERROR(M222),E210*Inputs!$F$19,M222))</f>
        <v xml:space="preserve"> </v>
      </c>
      <c r="F222" s="238" t="str">
        <f t="shared" si="17"/>
        <v xml:space="preserve"> </v>
      </c>
      <c r="G222" s="237" t="str">
        <f>IF(A222="N/A"," ",IF(ISERROR(N222),G210*Inputs!$F$19,N222))</f>
        <v xml:space="preserve"> </v>
      </c>
      <c r="H222" s="238" t="str">
        <f t="shared" si="18"/>
        <v xml:space="preserve"> </v>
      </c>
      <c r="I222" s="238" t="str">
        <f>IF(A222="N/A"," ",IF(ISERROR(O222),I210*Inputs!$F$19,O222))</f>
        <v xml:space="preserve"> </v>
      </c>
      <c r="J222" s="331" t="str">
        <f>IF(A222="N/A"," ",IF(ISERROR(P222),J210*Inputs!$F$23,P222))</f>
        <v xml:space="preserve"> </v>
      </c>
      <c r="L222" s="349" t="str">
        <f>IF(A222="N/A"," ",VLOOKUP(A222,PeakPowerCurves,(IF('Pricing Inputs'!$AT$3=2,3,IF('Pricing Inputs'!$AT$3=1,2,4))),FALSE))</f>
        <v xml:space="preserve"> </v>
      </c>
      <c r="M222" s="349" t="str">
        <f>IF(A222="N/A"," ",VLOOKUP(A222,SatSunPeakPwr,(IF('Pricing Inputs'!$AT$3=2,3,IF('Pricing Inputs'!$AT$3=1,2,4))),FALSE))</f>
        <v xml:space="preserve"> </v>
      </c>
      <c r="N222" s="349" t="str">
        <f>IF(A222="N/A"," ",VLOOKUP(A222,SatSunPeakPwr,(IF('Pricing Inputs'!$AT$3=2,7,IF('Pricing Inputs'!$AT$3=1,6,8))),FALSE))</f>
        <v xml:space="preserve"> </v>
      </c>
      <c r="O222" s="350" t="str">
        <f>IF(A222="N/A"," ",(VLOOKUP(A222,OPPowerPrices,(IF('Pricing Inputs'!$AT$3=2,7,IF('Pricing Inputs'!$AT$3=1,6,8))),FALSE)))</f>
        <v xml:space="preserve"> </v>
      </c>
      <c r="P222" s="351" t="str">
        <f t="shared" si="19"/>
        <v xml:space="preserve"> </v>
      </c>
      <c r="AF222" s="241">
        <v>43191</v>
      </c>
      <c r="AG222" s="229">
        <v>21</v>
      </c>
      <c r="AH222" s="229">
        <v>4</v>
      </c>
      <c r="AI222" s="229">
        <v>5</v>
      </c>
      <c r="AJ222" s="229">
        <v>0</v>
      </c>
      <c r="AK222" s="229">
        <v>30</v>
      </c>
    </row>
    <row r="223" spans="1:37">
      <c r="A223" s="208" t="str">
        <f>Calculations!A190</f>
        <v>N/A</v>
      </c>
      <c r="B223" s="237" t="str">
        <f>IF(A223="N/A"," ",IF(ISERROR(L223),B211*Inputs!$F$19,L223))</f>
        <v xml:space="preserve"> </v>
      </c>
      <c r="C223" s="239" t="str">
        <f t="shared" si="20"/>
        <v xml:space="preserve"> </v>
      </c>
      <c r="D223" s="238" t="str">
        <f t="shared" si="16"/>
        <v xml:space="preserve"> </v>
      </c>
      <c r="E223" s="237" t="str">
        <f>IF(A223="N/A"," ",IF(ISERROR(M223),E211*Inputs!$F$19,M223))</f>
        <v xml:space="preserve"> </v>
      </c>
      <c r="F223" s="238" t="str">
        <f t="shared" si="17"/>
        <v xml:space="preserve"> </v>
      </c>
      <c r="G223" s="237" t="str">
        <f>IF(A223="N/A"," ",IF(ISERROR(N223),G211*Inputs!$F$19,N223))</f>
        <v xml:space="preserve"> </v>
      </c>
      <c r="H223" s="238" t="str">
        <f t="shared" si="18"/>
        <v xml:space="preserve"> </v>
      </c>
      <c r="I223" s="238" t="str">
        <f>IF(A223="N/A"," ",IF(ISERROR(O223),I211*Inputs!$F$19,O223))</f>
        <v xml:space="preserve"> </v>
      </c>
      <c r="J223" s="331" t="str">
        <f>IF(A223="N/A"," ",IF(ISERROR(P223),J211*Inputs!$F$23,P223))</f>
        <v xml:space="preserve"> </v>
      </c>
      <c r="L223" s="349" t="str">
        <f>IF(A223="N/A"," ",VLOOKUP(A223,PeakPowerCurves,(IF('Pricing Inputs'!$AT$3=2,3,IF('Pricing Inputs'!$AT$3=1,2,4))),FALSE))</f>
        <v xml:space="preserve"> </v>
      </c>
      <c r="M223" s="349" t="str">
        <f>IF(A223="N/A"," ",VLOOKUP(A223,SatSunPeakPwr,(IF('Pricing Inputs'!$AT$3=2,3,IF('Pricing Inputs'!$AT$3=1,2,4))),FALSE))</f>
        <v xml:space="preserve"> </v>
      </c>
      <c r="N223" s="349" t="str">
        <f>IF(A223="N/A"," ",VLOOKUP(A223,SatSunPeakPwr,(IF('Pricing Inputs'!$AT$3=2,7,IF('Pricing Inputs'!$AT$3=1,6,8))),FALSE))</f>
        <v xml:space="preserve"> </v>
      </c>
      <c r="O223" s="350" t="str">
        <f>IF(A223="N/A"," ",(VLOOKUP(A223,OPPowerPrices,(IF('Pricing Inputs'!$AT$3=2,7,IF('Pricing Inputs'!$AT$3=1,6,8))),FALSE)))</f>
        <v xml:space="preserve"> </v>
      </c>
      <c r="P223" s="351" t="str">
        <f t="shared" si="19"/>
        <v xml:space="preserve"> </v>
      </c>
      <c r="AF223" s="241">
        <v>43221</v>
      </c>
      <c r="AG223" s="229">
        <v>22</v>
      </c>
      <c r="AH223" s="229">
        <v>4</v>
      </c>
      <c r="AI223" s="229">
        <v>4</v>
      </c>
      <c r="AJ223" s="229">
        <v>1</v>
      </c>
      <c r="AK223" s="229">
        <v>31</v>
      </c>
    </row>
    <row r="224" spans="1:37">
      <c r="A224" s="208" t="str">
        <f>Calculations!A191</f>
        <v>N/A</v>
      </c>
      <c r="B224" s="237" t="str">
        <f>IF(A224="N/A"," ",IF(ISERROR(L224),B212*Inputs!$F$19,L224))</f>
        <v xml:space="preserve"> </v>
      </c>
      <c r="C224" s="239" t="str">
        <f t="shared" si="20"/>
        <v xml:space="preserve"> </v>
      </c>
      <c r="D224" s="238" t="str">
        <f t="shared" si="16"/>
        <v xml:space="preserve"> </v>
      </c>
      <c r="E224" s="237" t="str">
        <f>IF(A224="N/A"," ",IF(ISERROR(M224),E212*Inputs!$F$19,M224))</f>
        <v xml:space="preserve"> </v>
      </c>
      <c r="F224" s="238" t="str">
        <f t="shared" si="17"/>
        <v xml:space="preserve"> </v>
      </c>
      <c r="G224" s="237" t="str">
        <f>IF(A224="N/A"," ",IF(ISERROR(N224),G212*Inputs!$F$19,N224))</f>
        <v xml:space="preserve"> </v>
      </c>
      <c r="H224" s="238" t="str">
        <f t="shared" si="18"/>
        <v xml:space="preserve"> </v>
      </c>
      <c r="I224" s="238" t="str">
        <f>IF(A224="N/A"," ",IF(ISERROR(O224),I212*Inputs!$F$19,O224))</f>
        <v xml:space="preserve"> </v>
      </c>
      <c r="J224" s="331" t="str">
        <f>IF(A224="N/A"," ",IF(ISERROR(P224),J212*Inputs!$F$23,P224))</f>
        <v xml:space="preserve"> </v>
      </c>
      <c r="L224" s="349" t="str">
        <f>IF(A224="N/A"," ",VLOOKUP(A224,PeakPowerCurves,(IF('Pricing Inputs'!$AT$3=2,3,IF('Pricing Inputs'!$AT$3=1,2,4))),FALSE))</f>
        <v xml:space="preserve"> </v>
      </c>
      <c r="M224" s="349" t="str">
        <f>IF(A224="N/A"," ",VLOOKUP(A224,SatSunPeakPwr,(IF('Pricing Inputs'!$AT$3=2,3,IF('Pricing Inputs'!$AT$3=1,2,4))),FALSE))</f>
        <v xml:space="preserve"> </v>
      </c>
      <c r="N224" s="349" t="str">
        <f>IF(A224="N/A"," ",VLOOKUP(A224,SatSunPeakPwr,(IF('Pricing Inputs'!$AT$3=2,7,IF('Pricing Inputs'!$AT$3=1,6,8))),FALSE))</f>
        <v xml:space="preserve"> </v>
      </c>
      <c r="O224" s="350" t="str">
        <f>IF(A224="N/A"," ",(VLOOKUP(A224,OPPowerPrices,(IF('Pricing Inputs'!$AT$3=2,7,IF('Pricing Inputs'!$AT$3=1,6,8))),FALSE)))</f>
        <v xml:space="preserve"> </v>
      </c>
      <c r="P224" s="351" t="str">
        <f t="shared" si="19"/>
        <v xml:space="preserve"> </v>
      </c>
      <c r="AF224" s="241">
        <v>43252</v>
      </c>
      <c r="AG224" s="229">
        <v>21</v>
      </c>
      <c r="AH224" s="229">
        <v>5</v>
      </c>
      <c r="AI224" s="229">
        <v>4</v>
      </c>
      <c r="AJ224" s="229">
        <v>0</v>
      </c>
      <c r="AK224" s="229">
        <v>30</v>
      </c>
    </row>
    <row r="225" spans="1:37">
      <c r="A225" s="208" t="str">
        <f>Calculations!A192</f>
        <v>N/A</v>
      </c>
      <c r="B225" s="237" t="str">
        <f>IF(A225="N/A"," ",IF(ISERROR(L225),B213*Inputs!$F$19,L225))</f>
        <v xml:space="preserve"> </v>
      </c>
      <c r="C225" s="239" t="str">
        <f t="shared" si="20"/>
        <v xml:space="preserve"> </v>
      </c>
      <c r="D225" s="238" t="str">
        <f t="shared" si="16"/>
        <v xml:space="preserve"> </v>
      </c>
      <c r="E225" s="237" t="str">
        <f>IF(A225="N/A"," ",IF(ISERROR(M225),E213*Inputs!$F$19,M225))</f>
        <v xml:space="preserve"> </v>
      </c>
      <c r="F225" s="238" t="str">
        <f t="shared" si="17"/>
        <v xml:space="preserve"> </v>
      </c>
      <c r="G225" s="237" t="str">
        <f>IF(A225="N/A"," ",IF(ISERROR(N225),G213*Inputs!$F$19,N225))</f>
        <v xml:space="preserve"> </v>
      </c>
      <c r="H225" s="238" t="str">
        <f t="shared" si="18"/>
        <v xml:space="preserve"> </v>
      </c>
      <c r="I225" s="238" t="str">
        <f>IF(A225="N/A"," ",IF(ISERROR(O225),I213*Inputs!$F$19,O225))</f>
        <v xml:space="preserve"> </v>
      </c>
      <c r="J225" s="331" t="str">
        <f>IF(A225="N/A"," ",IF(ISERROR(P225),J213*Inputs!$F$23,P225))</f>
        <v xml:space="preserve"> </v>
      </c>
      <c r="L225" s="349" t="str">
        <f>IF(A225="N/A"," ",VLOOKUP(A225,PeakPowerCurves,(IF('Pricing Inputs'!$AT$3=2,3,IF('Pricing Inputs'!$AT$3=1,2,4))),FALSE))</f>
        <v xml:space="preserve"> </v>
      </c>
      <c r="M225" s="349" t="str">
        <f>IF(A225="N/A"," ",VLOOKUP(A225,SatSunPeakPwr,(IF('Pricing Inputs'!$AT$3=2,3,IF('Pricing Inputs'!$AT$3=1,2,4))),FALSE))</f>
        <v xml:space="preserve"> </v>
      </c>
      <c r="N225" s="349" t="str">
        <f>IF(A225="N/A"," ",VLOOKUP(A225,SatSunPeakPwr,(IF('Pricing Inputs'!$AT$3=2,7,IF('Pricing Inputs'!$AT$3=1,6,8))),FALSE))</f>
        <v xml:space="preserve"> </v>
      </c>
      <c r="O225" s="350" t="str">
        <f>IF(A225="N/A"," ",(VLOOKUP(A225,OPPowerPrices,(IF('Pricing Inputs'!$AT$3=2,7,IF('Pricing Inputs'!$AT$3=1,6,8))),FALSE)))</f>
        <v xml:space="preserve"> </v>
      </c>
      <c r="P225" s="351" t="str">
        <f t="shared" si="19"/>
        <v xml:space="preserve"> </v>
      </c>
      <c r="AF225" s="241">
        <v>43282</v>
      </c>
      <c r="AG225" s="229">
        <v>21</v>
      </c>
      <c r="AH225" s="229">
        <v>4</v>
      </c>
      <c r="AI225" s="229">
        <v>5</v>
      </c>
      <c r="AJ225" s="229">
        <v>1</v>
      </c>
      <c r="AK225" s="229">
        <v>31</v>
      </c>
    </row>
    <row r="226" spans="1:37">
      <c r="A226" s="208" t="str">
        <f>Calculations!A193</f>
        <v>N/A</v>
      </c>
      <c r="B226" s="237" t="str">
        <f>IF(A226="N/A"," ",IF(ISERROR(L226),B214*Inputs!$F$19,L226))</f>
        <v xml:space="preserve"> </v>
      </c>
      <c r="C226" s="239" t="str">
        <f t="shared" si="20"/>
        <v xml:space="preserve"> </v>
      </c>
      <c r="D226" s="238" t="str">
        <f t="shared" si="16"/>
        <v xml:space="preserve"> </v>
      </c>
      <c r="E226" s="237" t="str">
        <f>IF(A226="N/A"," ",IF(ISERROR(M226),E214*Inputs!$F$19,M226))</f>
        <v xml:space="preserve"> </v>
      </c>
      <c r="F226" s="238" t="str">
        <f t="shared" si="17"/>
        <v xml:space="preserve"> </v>
      </c>
      <c r="G226" s="237" t="str">
        <f>IF(A226="N/A"," ",IF(ISERROR(N226),G214*Inputs!$F$19,N226))</f>
        <v xml:space="preserve"> </v>
      </c>
      <c r="H226" s="238" t="str">
        <f t="shared" si="18"/>
        <v xml:space="preserve"> </v>
      </c>
      <c r="I226" s="238" t="str">
        <f>IF(A226="N/A"," ",IF(ISERROR(O226),I214*Inputs!$F$19,O226))</f>
        <v xml:space="preserve"> </v>
      </c>
      <c r="J226" s="331" t="str">
        <f>IF(A226="N/A"," ",IF(ISERROR(P226),J214*Inputs!$F$23,P226))</f>
        <v xml:space="preserve"> </v>
      </c>
      <c r="L226" s="349" t="str">
        <f>IF(A226="N/A"," ",VLOOKUP(A226,PeakPowerCurves,(IF('Pricing Inputs'!$AT$3=2,3,IF('Pricing Inputs'!$AT$3=1,2,4))),FALSE))</f>
        <v xml:space="preserve"> </v>
      </c>
      <c r="M226" s="349" t="str">
        <f>IF(A226="N/A"," ",VLOOKUP(A226,SatSunPeakPwr,(IF('Pricing Inputs'!$AT$3=2,3,IF('Pricing Inputs'!$AT$3=1,2,4))),FALSE))</f>
        <v xml:space="preserve"> </v>
      </c>
      <c r="N226" s="349" t="str">
        <f>IF(A226="N/A"," ",VLOOKUP(A226,SatSunPeakPwr,(IF('Pricing Inputs'!$AT$3=2,7,IF('Pricing Inputs'!$AT$3=1,6,8))),FALSE))</f>
        <v xml:space="preserve"> </v>
      </c>
      <c r="O226" s="350" t="str">
        <f>IF(A226="N/A"," ",(VLOOKUP(A226,OPPowerPrices,(IF('Pricing Inputs'!$AT$3=2,7,IF('Pricing Inputs'!$AT$3=1,6,8))),FALSE)))</f>
        <v xml:space="preserve"> </v>
      </c>
      <c r="P226" s="351" t="str">
        <f t="shared" si="19"/>
        <v xml:space="preserve"> </v>
      </c>
      <c r="AF226" s="241">
        <v>43313</v>
      </c>
      <c r="AG226" s="229">
        <v>23</v>
      </c>
      <c r="AH226" s="229">
        <v>4</v>
      </c>
      <c r="AI226" s="229">
        <v>4</v>
      </c>
      <c r="AJ226" s="229">
        <v>0</v>
      </c>
      <c r="AK226" s="229">
        <v>31</v>
      </c>
    </row>
    <row r="227" spans="1:37">
      <c r="A227" s="208" t="str">
        <f>Calculations!A194</f>
        <v>N/A</v>
      </c>
      <c r="B227" s="237" t="str">
        <f>IF(A227="N/A"," ",IF(ISERROR(L227),B215*Inputs!$F$19,L227))</f>
        <v xml:space="preserve"> </v>
      </c>
      <c r="C227" s="239" t="str">
        <f t="shared" si="20"/>
        <v xml:space="preserve"> </v>
      </c>
      <c r="D227" s="238" t="str">
        <f t="shared" si="16"/>
        <v xml:space="preserve"> </v>
      </c>
      <c r="E227" s="237" t="str">
        <f>IF(A227="N/A"," ",IF(ISERROR(M227),E215*Inputs!$F$19,M227))</f>
        <v xml:space="preserve"> </v>
      </c>
      <c r="F227" s="238" t="str">
        <f t="shared" si="17"/>
        <v xml:space="preserve"> </v>
      </c>
      <c r="G227" s="237" t="str">
        <f>IF(A227="N/A"," ",IF(ISERROR(N227),G215*Inputs!$F$19,N227))</f>
        <v xml:space="preserve"> </v>
      </c>
      <c r="H227" s="238" t="str">
        <f t="shared" si="18"/>
        <v xml:space="preserve"> </v>
      </c>
      <c r="I227" s="238" t="str">
        <f>IF(A227="N/A"," ",IF(ISERROR(O227),I215*Inputs!$F$19,O227))</f>
        <v xml:space="preserve"> </v>
      </c>
      <c r="J227" s="331" t="str">
        <f>IF(A227="N/A"," ",IF(ISERROR(P227),J215*Inputs!$F$23,P227))</f>
        <v xml:space="preserve"> </v>
      </c>
      <c r="L227" s="349" t="str">
        <f>IF(A227="N/A"," ",VLOOKUP(A227,PeakPowerCurves,(IF('Pricing Inputs'!$AT$3=2,3,IF('Pricing Inputs'!$AT$3=1,2,4))),FALSE))</f>
        <v xml:space="preserve"> </v>
      </c>
      <c r="M227" s="349" t="str">
        <f>IF(A227="N/A"," ",VLOOKUP(A227,SatSunPeakPwr,(IF('Pricing Inputs'!$AT$3=2,3,IF('Pricing Inputs'!$AT$3=1,2,4))),FALSE))</f>
        <v xml:space="preserve"> </v>
      </c>
      <c r="N227" s="349" t="str">
        <f>IF(A227="N/A"," ",VLOOKUP(A227,SatSunPeakPwr,(IF('Pricing Inputs'!$AT$3=2,7,IF('Pricing Inputs'!$AT$3=1,6,8))),FALSE))</f>
        <v xml:space="preserve"> </v>
      </c>
      <c r="O227" s="350" t="str">
        <f>IF(A227="N/A"," ",(VLOOKUP(A227,OPPowerPrices,(IF('Pricing Inputs'!$AT$3=2,7,IF('Pricing Inputs'!$AT$3=1,6,8))),FALSE)))</f>
        <v xml:space="preserve"> </v>
      </c>
      <c r="P227" s="351" t="str">
        <f t="shared" si="19"/>
        <v xml:space="preserve"> </v>
      </c>
      <c r="AF227" s="241">
        <v>43344</v>
      </c>
      <c r="AG227" s="229">
        <v>19</v>
      </c>
      <c r="AH227" s="229">
        <v>5</v>
      </c>
      <c r="AI227" s="229">
        <v>5</v>
      </c>
      <c r="AJ227" s="229">
        <v>1</v>
      </c>
      <c r="AK227" s="229">
        <v>30</v>
      </c>
    </row>
    <row r="228" spans="1:37">
      <c r="A228" s="208" t="str">
        <f>Calculations!A195</f>
        <v>N/A</v>
      </c>
      <c r="B228" s="237" t="str">
        <f>IF(A228="N/A"," ",IF(ISERROR(L228),B216*Inputs!$F$19,L228))</f>
        <v xml:space="preserve"> </v>
      </c>
      <c r="C228" s="239" t="str">
        <f t="shared" si="20"/>
        <v xml:space="preserve"> </v>
      </c>
      <c r="D228" s="238" t="str">
        <f t="shared" si="16"/>
        <v xml:space="preserve"> </v>
      </c>
      <c r="E228" s="237" t="str">
        <f>IF(A228="N/A"," ",IF(ISERROR(M228),E216*Inputs!$F$19,M228))</f>
        <v xml:space="preserve"> </v>
      </c>
      <c r="F228" s="238" t="str">
        <f t="shared" si="17"/>
        <v xml:space="preserve"> </v>
      </c>
      <c r="G228" s="237" t="str">
        <f>IF(A228="N/A"," ",IF(ISERROR(N228),G216*Inputs!$F$19,N228))</f>
        <v xml:space="preserve"> </v>
      </c>
      <c r="H228" s="238" t="str">
        <f t="shared" si="18"/>
        <v xml:space="preserve"> </v>
      </c>
      <c r="I228" s="238" t="str">
        <f>IF(A228="N/A"," ",IF(ISERROR(O228),I216*Inputs!$F$19,O228))</f>
        <v xml:space="preserve"> </v>
      </c>
      <c r="J228" s="331" t="str">
        <f>IF(A228="N/A"," ",IF(ISERROR(P228),J216*Inputs!$F$23,P228))</f>
        <v xml:space="preserve"> </v>
      </c>
      <c r="L228" s="349" t="str">
        <f>IF(A228="N/A"," ",VLOOKUP(A228,PeakPowerCurves,(IF('Pricing Inputs'!$AT$3=2,3,IF('Pricing Inputs'!$AT$3=1,2,4))),FALSE))</f>
        <v xml:space="preserve"> </v>
      </c>
      <c r="M228" s="349" t="str">
        <f>IF(A228="N/A"," ",VLOOKUP(A228,SatSunPeakPwr,(IF('Pricing Inputs'!$AT$3=2,3,IF('Pricing Inputs'!$AT$3=1,2,4))),FALSE))</f>
        <v xml:space="preserve"> </v>
      </c>
      <c r="N228" s="349" t="str">
        <f>IF(A228="N/A"," ",VLOOKUP(A228,SatSunPeakPwr,(IF('Pricing Inputs'!$AT$3=2,7,IF('Pricing Inputs'!$AT$3=1,6,8))),FALSE))</f>
        <v xml:space="preserve"> </v>
      </c>
      <c r="O228" s="350" t="str">
        <f>IF(A228="N/A"," ",(VLOOKUP(A228,OPPowerPrices,(IF('Pricing Inputs'!$AT$3=2,7,IF('Pricing Inputs'!$AT$3=1,6,8))),FALSE)))</f>
        <v xml:space="preserve"> </v>
      </c>
      <c r="P228" s="351" t="str">
        <f t="shared" si="19"/>
        <v xml:space="preserve"> </v>
      </c>
      <c r="AF228" s="241">
        <v>43374</v>
      </c>
      <c r="AG228" s="229">
        <v>23</v>
      </c>
      <c r="AH228" s="229">
        <v>4</v>
      </c>
      <c r="AI228" s="229">
        <v>4</v>
      </c>
      <c r="AJ228" s="229">
        <v>0</v>
      </c>
      <c r="AK228" s="229">
        <v>31</v>
      </c>
    </row>
    <row r="229" spans="1:37">
      <c r="A229" s="208" t="str">
        <f>Calculations!A196</f>
        <v>N/A</v>
      </c>
      <c r="B229" s="237" t="str">
        <f>IF(A229="N/A"," ",IF(ISERROR(L229),B217*Inputs!$F$19,L229))</f>
        <v xml:space="preserve"> </v>
      </c>
      <c r="C229" s="239" t="str">
        <f t="shared" si="20"/>
        <v xml:space="preserve"> </v>
      </c>
      <c r="D229" s="238" t="str">
        <f t="shared" si="16"/>
        <v xml:space="preserve"> </v>
      </c>
      <c r="E229" s="237" t="str">
        <f>IF(A229="N/A"," ",IF(ISERROR(M229),E217*Inputs!$F$19,M229))</f>
        <v xml:space="preserve"> </v>
      </c>
      <c r="F229" s="238" t="str">
        <f t="shared" si="17"/>
        <v xml:space="preserve"> </v>
      </c>
      <c r="G229" s="237" t="str">
        <f>IF(A229="N/A"," ",IF(ISERROR(N229),G217*Inputs!$F$19,N229))</f>
        <v xml:space="preserve"> </v>
      </c>
      <c r="H229" s="238" t="str">
        <f t="shared" si="18"/>
        <v xml:space="preserve"> </v>
      </c>
      <c r="I229" s="238" t="str">
        <f>IF(A229="N/A"," ",IF(ISERROR(O229),I217*Inputs!$F$19,O229))</f>
        <v xml:space="preserve"> </v>
      </c>
      <c r="J229" s="331" t="str">
        <f>IF(A229="N/A"," ",IF(ISERROR(P229),J217*Inputs!$F$23,P229))</f>
        <v xml:space="preserve"> </v>
      </c>
      <c r="L229" s="349" t="str">
        <f>IF(A229="N/A"," ",VLOOKUP(A229,PeakPowerCurves,(IF('Pricing Inputs'!$AT$3=2,3,IF('Pricing Inputs'!$AT$3=1,2,4))),FALSE))</f>
        <v xml:space="preserve"> </v>
      </c>
      <c r="M229" s="349" t="str">
        <f>IF(A229="N/A"," ",VLOOKUP(A229,SatSunPeakPwr,(IF('Pricing Inputs'!$AT$3=2,3,IF('Pricing Inputs'!$AT$3=1,2,4))),FALSE))</f>
        <v xml:space="preserve"> </v>
      </c>
      <c r="N229" s="349" t="str">
        <f>IF(A229="N/A"," ",VLOOKUP(A229,SatSunPeakPwr,(IF('Pricing Inputs'!$AT$3=2,7,IF('Pricing Inputs'!$AT$3=1,6,8))),FALSE))</f>
        <v xml:space="preserve"> </v>
      </c>
      <c r="O229" s="350" t="str">
        <f>IF(A229="N/A"," ",(VLOOKUP(A229,OPPowerPrices,(IF('Pricing Inputs'!$AT$3=2,7,IF('Pricing Inputs'!$AT$3=1,6,8))),FALSE)))</f>
        <v xml:space="preserve"> </v>
      </c>
      <c r="P229" s="351" t="str">
        <f t="shared" si="19"/>
        <v xml:space="preserve"> </v>
      </c>
      <c r="AF229" s="241">
        <v>43405</v>
      </c>
      <c r="AG229" s="229">
        <v>21</v>
      </c>
      <c r="AH229" s="229">
        <v>4</v>
      </c>
      <c r="AI229" s="229">
        <v>4</v>
      </c>
      <c r="AJ229" s="229">
        <v>1</v>
      </c>
      <c r="AK229" s="229">
        <v>30</v>
      </c>
    </row>
    <row r="230" spans="1:37">
      <c r="A230" s="208" t="str">
        <f>Calculations!A197</f>
        <v>N/A</v>
      </c>
      <c r="B230" s="237" t="str">
        <f>IF(A230="N/A"," ",IF(ISERROR(L230),B218*Inputs!$F$19,L230))</f>
        <v xml:space="preserve"> </v>
      </c>
      <c r="C230" s="239" t="str">
        <f t="shared" si="20"/>
        <v xml:space="preserve"> </v>
      </c>
      <c r="D230" s="238" t="str">
        <f t="shared" ref="D230:D293" si="21">IF(A230="N/A"," ",C230*B230)</f>
        <v xml:space="preserve"> </v>
      </c>
      <c r="E230" s="237" t="str">
        <f>IF(A230="N/A"," ",IF(ISERROR(M230),E218*Inputs!$F$19,M230))</f>
        <v xml:space="preserve"> </v>
      </c>
      <c r="F230" s="238" t="str">
        <f t="shared" ref="F230:F293" si="22">IF(A230="N/A"," ",E230*C230)</f>
        <v xml:space="preserve"> </v>
      </c>
      <c r="G230" s="237" t="str">
        <f>IF(A230="N/A"," ",IF(ISERROR(N230),G218*Inputs!$F$19,N230))</f>
        <v xml:space="preserve"> </v>
      </c>
      <c r="H230" s="238" t="str">
        <f t="shared" ref="H230:H293" si="23">IF(A230="N/A"," ",G230*C230)</f>
        <v xml:space="preserve"> </v>
      </c>
      <c r="I230" s="238" t="str">
        <f>IF(A230="N/A"," ",IF(ISERROR(O230),I218*Inputs!$F$19,O230))</f>
        <v xml:space="preserve"> </v>
      </c>
      <c r="J230" s="331" t="str">
        <f>IF(A230="N/A"," ",IF(ISERROR(P230),J218*Inputs!$F$23,P230))</f>
        <v xml:space="preserve"> </v>
      </c>
      <c r="L230" s="349" t="str">
        <f>IF(A230="N/A"," ",VLOOKUP(A230,PeakPowerCurves,(IF('Pricing Inputs'!$AT$3=2,3,IF('Pricing Inputs'!$AT$3=1,2,4))),FALSE))</f>
        <v xml:space="preserve"> </v>
      </c>
      <c r="M230" s="349" t="str">
        <f>IF(A230="N/A"," ",VLOOKUP(A230,SatSunPeakPwr,(IF('Pricing Inputs'!$AT$3=2,3,IF('Pricing Inputs'!$AT$3=1,2,4))),FALSE))</f>
        <v xml:space="preserve"> </v>
      </c>
      <c r="N230" s="349" t="str">
        <f>IF(A230="N/A"," ",VLOOKUP(A230,SatSunPeakPwr,(IF('Pricing Inputs'!$AT$3=2,7,IF('Pricing Inputs'!$AT$3=1,6,8))),FALSE))</f>
        <v xml:space="preserve"> </v>
      </c>
      <c r="O230" s="350" t="str">
        <f>IF(A230="N/A"," ",(VLOOKUP(A230,OPPowerPrices,(IF('Pricing Inputs'!$AT$3=2,7,IF('Pricing Inputs'!$AT$3=1,6,8))),FALSE)))</f>
        <v xml:space="preserve"> </v>
      </c>
      <c r="P230" s="351" t="str">
        <f t="shared" ref="P230:P293" si="24">IF(A230="N/A"," ",(VLOOKUP(A230,GasCurves,15,FALSE)))</f>
        <v xml:space="preserve"> </v>
      </c>
      <c r="AF230" s="241">
        <v>43435</v>
      </c>
      <c r="AG230" s="229">
        <v>20</v>
      </c>
      <c r="AH230" s="229">
        <v>5</v>
      </c>
      <c r="AI230" s="229">
        <v>5</v>
      </c>
      <c r="AJ230" s="229">
        <v>1</v>
      </c>
      <c r="AK230" s="229">
        <v>31</v>
      </c>
    </row>
    <row r="231" spans="1:37">
      <c r="A231" s="208" t="str">
        <f>Calculations!A198</f>
        <v>N/A</v>
      </c>
      <c r="B231" s="237" t="str">
        <f>IF(A231="N/A"," ",IF(ISERROR(L231),B219*Inputs!$F$19,L231))</f>
        <v xml:space="preserve"> </v>
      </c>
      <c r="C231" s="239" t="str">
        <f t="shared" si="20"/>
        <v xml:space="preserve"> </v>
      </c>
      <c r="D231" s="238" t="str">
        <f t="shared" si="21"/>
        <v xml:space="preserve"> </v>
      </c>
      <c r="E231" s="237" t="str">
        <f>IF(A231="N/A"," ",IF(ISERROR(M231),E219*Inputs!$F$19,M231))</f>
        <v xml:space="preserve"> </v>
      </c>
      <c r="F231" s="238" t="str">
        <f t="shared" si="22"/>
        <v xml:space="preserve"> </v>
      </c>
      <c r="G231" s="237" t="str">
        <f>IF(A231="N/A"," ",IF(ISERROR(N231),G219*Inputs!$F$19,N231))</f>
        <v xml:space="preserve"> </v>
      </c>
      <c r="H231" s="238" t="str">
        <f t="shared" si="23"/>
        <v xml:space="preserve"> </v>
      </c>
      <c r="I231" s="238" t="str">
        <f>IF(A231="N/A"," ",IF(ISERROR(O231),I219*Inputs!$F$19,O231))</f>
        <v xml:space="preserve"> </v>
      </c>
      <c r="J231" s="331" t="str">
        <f>IF(A231="N/A"," ",IF(ISERROR(P231),J219*Inputs!$F$23,P231))</f>
        <v xml:space="preserve"> </v>
      </c>
      <c r="L231" s="349" t="str">
        <f>IF(A231="N/A"," ",VLOOKUP(A231,PeakPowerCurves,(IF('Pricing Inputs'!$AT$3=2,3,IF('Pricing Inputs'!$AT$3=1,2,4))),FALSE))</f>
        <v xml:space="preserve"> </v>
      </c>
      <c r="M231" s="349" t="str">
        <f>IF(A231="N/A"," ",VLOOKUP(A231,SatSunPeakPwr,(IF('Pricing Inputs'!$AT$3=2,3,IF('Pricing Inputs'!$AT$3=1,2,4))),FALSE))</f>
        <v xml:space="preserve"> </v>
      </c>
      <c r="N231" s="349" t="str">
        <f>IF(A231="N/A"," ",VLOOKUP(A231,SatSunPeakPwr,(IF('Pricing Inputs'!$AT$3=2,7,IF('Pricing Inputs'!$AT$3=1,6,8))),FALSE))</f>
        <v xml:space="preserve"> </v>
      </c>
      <c r="O231" s="350" t="str">
        <f>IF(A231="N/A"," ",(VLOOKUP(A231,OPPowerPrices,(IF('Pricing Inputs'!$AT$3=2,7,IF('Pricing Inputs'!$AT$3=1,6,8))),FALSE)))</f>
        <v xml:space="preserve"> </v>
      </c>
      <c r="P231" s="351" t="str">
        <f t="shared" si="24"/>
        <v xml:space="preserve"> </v>
      </c>
      <c r="AF231" s="241">
        <v>43466</v>
      </c>
      <c r="AG231" s="229">
        <v>22</v>
      </c>
      <c r="AH231" s="229">
        <v>4</v>
      </c>
      <c r="AI231" s="229">
        <v>4</v>
      </c>
      <c r="AJ231" s="229">
        <v>1</v>
      </c>
      <c r="AK231" s="229">
        <v>31</v>
      </c>
    </row>
    <row r="232" spans="1:37">
      <c r="A232" s="208" t="str">
        <f>Calculations!A199</f>
        <v>N/A</v>
      </c>
      <c r="B232" s="237" t="str">
        <f>IF(A232="N/A"," ",IF(ISERROR(L232),B220*Inputs!$F$19,L232))</f>
        <v xml:space="preserve"> </v>
      </c>
      <c r="C232" s="239" t="str">
        <f t="shared" si="20"/>
        <v xml:space="preserve"> </v>
      </c>
      <c r="D232" s="238" t="str">
        <f t="shared" si="21"/>
        <v xml:space="preserve"> </v>
      </c>
      <c r="E232" s="237" t="str">
        <f>IF(A232="N/A"," ",IF(ISERROR(M232),E220*Inputs!$F$19,M232))</f>
        <v xml:space="preserve"> </v>
      </c>
      <c r="F232" s="238" t="str">
        <f t="shared" si="22"/>
        <v xml:space="preserve"> </v>
      </c>
      <c r="G232" s="237" t="str">
        <f>IF(A232="N/A"," ",IF(ISERROR(N232),G220*Inputs!$F$19,N232))</f>
        <v xml:space="preserve"> </v>
      </c>
      <c r="H232" s="238" t="str">
        <f t="shared" si="23"/>
        <v xml:space="preserve"> </v>
      </c>
      <c r="I232" s="238" t="str">
        <f>IF(A232="N/A"," ",IF(ISERROR(O232),I220*Inputs!$F$19,O232))</f>
        <v xml:space="preserve"> </v>
      </c>
      <c r="J232" s="331" t="str">
        <f>IF(A232="N/A"," ",IF(ISERROR(P232),J220*Inputs!$F$23,P232))</f>
        <v xml:space="preserve"> </v>
      </c>
      <c r="L232" s="349" t="str">
        <f>IF(A232="N/A"," ",VLOOKUP(A232,PeakPowerCurves,(IF('Pricing Inputs'!$AT$3=2,3,IF('Pricing Inputs'!$AT$3=1,2,4))),FALSE))</f>
        <v xml:space="preserve"> </v>
      </c>
      <c r="M232" s="349" t="str">
        <f>IF(A232="N/A"," ",VLOOKUP(A232,SatSunPeakPwr,(IF('Pricing Inputs'!$AT$3=2,3,IF('Pricing Inputs'!$AT$3=1,2,4))),FALSE))</f>
        <v xml:space="preserve"> </v>
      </c>
      <c r="N232" s="349" t="str">
        <f>IF(A232="N/A"," ",VLOOKUP(A232,SatSunPeakPwr,(IF('Pricing Inputs'!$AT$3=2,7,IF('Pricing Inputs'!$AT$3=1,6,8))),FALSE))</f>
        <v xml:space="preserve"> </v>
      </c>
      <c r="O232" s="350" t="str">
        <f>IF(A232="N/A"," ",(VLOOKUP(A232,OPPowerPrices,(IF('Pricing Inputs'!$AT$3=2,7,IF('Pricing Inputs'!$AT$3=1,6,8))),FALSE)))</f>
        <v xml:space="preserve"> </v>
      </c>
      <c r="P232" s="351" t="str">
        <f t="shared" si="24"/>
        <v xml:space="preserve"> </v>
      </c>
      <c r="AF232" s="241">
        <v>43497</v>
      </c>
      <c r="AG232" s="229">
        <v>20</v>
      </c>
      <c r="AH232" s="229">
        <v>4</v>
      </c>
      <c r="AI232" s="229">
        <v>4</v>
      </c>
      <c r="AJ232" s="229">
        <v>0</v>
      </c>
      <c r="AK232" s="229">
        <v>28</v>
      </c>
    </row>
    <row r="233" spans="1:37">
      <c r="A233" s="208" t="str">
        <f>Calculations!A200</f>
        <v>N/A</v>
      </c>
      <c r="B233" s="237" t="str">
        <f>IF(A233="N/A"," ",IF(ISERROR(L233),B221*Inputs!$F$19,L233))</f>
        <v xml:space="preserve"> </v>
      </c>
      <c r="C233" s="239" t="str">
        <f t="shared" si="20"/>
        <v xml:space="preserve"> </v>
      </c>
      <c r="D233" s="238" t="str">
        <f t="shared" si="21"/>
        <v xml:space="preserve"> </v>
      </c>
      <c r="E233" s="237" t="str">
        <f>IF(A233="N/A"," ",IF(ISERROR(M233),E221*Inputs!$F$19,M233))</f>
        <v xml:space="preserve"> </v>
      </c>
      <c r="F233" s="238" t="str">
        <f t="shared" si="22"/>
        <v xml:space="preserve"> </v>
      </c>
      <c r="G233" s="237" t="str">
        <f>IF(A233="N/A"," ",IF(ISERROR(N233),G221*Inputs!$F$19,N233))</f>
        <v xml:space="preserve"> </v>
      </c>
      <c r="H233" s="238" t="str">
        <f t="shared" si="23"/>
        <v xml:space="preserve"> </v>
      </c>
      <c r="I233" s="238" t="str">
        <f>IF(A233="N/A"," ",IF(ISERROR(O233),I221*Inputs!$F$19,O233))</f>
        <v xml:space="preserve"> </v>
      </c>
      <c r="J233" s="331" t="str">
        <f>IF(A233="N/A"," ",IF(ISERROR(P233),J221*Inputs!$F$23,P233))</f>
        <v xml:space="preserve"> </v>
      </c>
      <c r="L233" s="349" t="str">
        <f>IF(A233="N/A"," ",VLOOKUP(A233,PeakPowerCurves,(IF('Pricing Inputs'!$AT$3=2,3,IF('Pricing Inputs'!$AT$3=1,2,4))),FALSE))</f>
        <v xml:space="preserve"> </v>
      </c>
      <c r="M233" s="349" t="str">
        <f>IF(A233="N/A"," ",VLOOKUP(A233,SatSunPeakPwr,(IF('Pricing Inputs'!$AT$3=2,3,IF('Pricing Inputs'!$AT$3=1,2,4))),FALSE))</f>
        <v xml:space="preserve"> </v>
      </c>
      <c r="N233" s="349" t="str">
        <f>IF(A233="N/A"," ",VLOOKUP(A233,SatSunPeakPwr,(IF('Pricing Inputs'!$AT$3=2,7,IF('Pricing Inputs'!$AT$3=1,6,8))),FALSE))</f>
        <v xml:space="preserve"> </v>
      </c>
      <c r="O233" s="350" t="str">
        <f>IF(A233="N/A"," ",(VLOOKUP(A233,OPPowerPrices,(IF('Pricing Inputs'!$AT$3=2,7,IF('Pricing Inputs'!$AT$3=1,6,8))),FALSE)))</f>
        <v xml:space="preserve"> </v>
      </c>
      <c r="P233" s="351" t="str">
        <f t="shared" si="24"/>
        <v xml:space="preserve"> </v>
      </c>
      <c r="AF233" s="241">
        <v>43525</v>
      </c>
      <c r="AG233" s="229">
        <v>21</v>
      </c>
      <c r="AH233" s="229">
        <v>5</v>
      </c>
      <c r="AI233" s="229">
        <v>5</v>
      </c>
      <c r="AJ233" s="229">
        <v>0</v>
      </c>
      <c r="AK233" s="229">
        <v>31</v>
      </c>
    </row>
    <row r="234" spans="1:37">
      <c r="A234" s="208" t="str">
        <f>Calculations!A201</f>
        <v>N/A</v>
      </c>
      <c r="B234" s="237" t="str">
        <f>IF(A234="N/A"," ",IF(ISERROR(L234),B222*Inputs!$F$19,L234))</f>
        <v xml:space="preserve"> </v>
      </c>
      <c r="C234" s="239" t="str">
        <f t="shared" si="20"/>
        <v xml:space="preserve"> </v>
      </c>
      <c r="D234" s="238" t="str">
        <f t="shared" si="21"/>
        <v xml:space="preserve"> </v>
      </c>
      <c r="E234" s="237" t="str">
        <f>IF(A234="N/A"," ",IF(ISERROR(M234),E222*Inputs!$F$19,M234))</f>
        <v xml:space="preserve"> </v>
      </c>
      <c r="F234" s="238" t="str">
        <f t="shared" si="22"/>
        <v xml:space="preserve"> </v>
      </c>
      <c r="G234" s="237" t="str">
        <f>IF(A234="N/A"," ",IF(ISERROR(N234),G222*Inputs!$F$19,N234))</f>
        <v xml:space="preserve"> </v>
      </c>
      <c r="H234" s="238" t="str">
        <f t="shared" si="23"/>
        <v xml:space="preserve"> </v>
      </c>
      <c r="I234" s="238" t="str">
        <f>IF(A234="N/A"," ",IF(ISERROR(O234),I222*Inputs!$F$19,O234))</f>
        <v xml:space="preserve"> </v>
      </c>
      <c r="J234" s="331" t="str">
        <f>IF(A234="N/A"," ",IF(ISERROR(P234),J222*Inputs!$F$23,P234))</f>
        <v xml:space="preserve"> </v>
      </c>
      <c r="L234" s="349" t="str">
        <f>IF(A234="N/A"," ",VLOOKUP(A234,PeakPowerCurves,(IF('Pricing Inputs'!$AT$3=2,3,IF('Pricing Inputs'!$AT$3=1,2,4))),FALSE))</f>
        <v xml:space="preserve"> </v>
      </c>
      <c r="M234" s="349" t="str">
        <f>IF(A234="N/A"," ",VLOOKUP(A234,SatSunPeakPwr,(IF('Pricing Inputs'!$AT$3=2,3,IF('Pricing Inputs'!$AT$3=1,2,4))),FALSE))</f>
        <v xml:space="preserve"> </v>
      </c>
      <c r="N234" s="349" t="str">
        <f>IF(A234="N/A"," ",VLOOKUP(A234,SatSunPeakPwr,(IF('Pricing Inputs'!$AT$3=2,7,IF('Pricing Inputs'!$AT$3=1,6,8))),FALSE))</f>
        <v xml:space="preserve"> </v>
      </c>
      <c r="O234" s="350" t="str">
        <f>IF(A234="N/A"," ",(VLOOKUP(A234,OPPowerPrices,(IF('Pricing Inputs'!$AT$3=2,7,IF('Pricing Inputs'!$AT$3=1,6,8))),FALSE)))</f>
        <v xml:space="preserve"> </v>
      </c>
      <c r="P234" s="351" t="str">
        <f t="shared" si="24"/>
        <v xml:space="preserve"> </v>
      </c>
      <c r="AF234" s="241">
        <v>43556</v>
      </c>
      <c r="AG234" s="229">
        <v>22</v>
      </c>
      <c r="AH234" s="229">
        <v>4</v>
      </c>
      <c r="AI234" s="229">
        <v>4</v>
      </c>
      <c r="AJ234" s="229">
        <v>0</v>
      </c>
      <c r="AK234" s="229">
        <v>30</v>
      </c>
    </row>
    <row r="235" spans="1:37">
      <c r="A235" s="208" t="str">
        <f>Calculations!A202</f>
        <v>N/A</v>
      </c>
      <c r="B235" s="237" t="str">
        <f>IF(A235="N/A"," ",IF(ISERROR(L235),B223*Inputs!$F$19,L235))</f>
        <v xml:space="preserve"> </v>
      </c>
      <c r="C235" s="239" t="str">
        <f t="shared" ref="C235:C298" si="25">IF(A235="N/A"," ",(IF(AND(MONTH(A235)&gt;=6,MONTH(A235)&lt;=8,OR($K$37="REGION 2",$K$37="REGION 2A",$K$37="REGION 2B",$K$37="REGION 3",$K$37="REGION 3A",$K$37="REGION 3B",$K$37="REGION 4",$K$37="REGION 4B",$K$37="REGION 4C",$K$37="REGION 5",$K$37="REGION 5A")),((0.059228/(B235/100))-(0.4980013/(SQRT(B235/100)))+2.137988),HLOOKUP(MONTH(A235),ScalarTable,28))))</f>
        <v xml:space="preserve"> </v>
      </c>
      <c r="D235" s="238" t="str">
        <f t="shared" si="21"/>
        <v xml:space="preserve"> </v>
      </c>
      <c r="E235" s="237" t="str">
        <f>IF(A235="N/A"," ",IF(ISERROR(M235),E223*Inputs!$F$19,M235))</f>
        <v xml:space="preserve"> </v>
      </c>
      <c r="F235" s="238" t="str">
        <f t="shared" si="22"/>
        <v xml:space="preserve"> </v>
      </c>
      <c r="G235" s="237" t="str">
        <f>IF(A235="N/A"," ",IF(ISERROR(N235),G223*Inputs!$F$19,N235))</f>
        <v xml:space="preserve"> </v>
      </c>
      <c r="H235" s="238" t="str">
        <f t="shared" si="23"/>
        <v xml:space="preserve"> </v>
      </c>
      <c r="I235" s="238" t="str">
        <f>IF(A235="N/A"," ",IF(ISERROR(O235),I223*Inputs!$F$19,O235))</f>
        <v xml:space="preserve"> </v>
      </c>
      <c r="J235" s="331" t="str">
        <f>IF(A235="N/A"," ",IF(ISERROR(P235),J223*Inputs!$F$23,P235))</f>
        <v xml:space="preserve"> </v>
      </c>
      <c r="L235" s="349" t="str">
        <f>IF(A235="N/A"," ",VLOOKUP(A235,PeakPowerCurves,(IF('Pricing Inputs'!$AT$3=2,3,IF('Pricing Inputs'!$AT$3=1,2,4))),FALSE))</f>
        <v xml:space="preserve"> </v>
      </c>
      <c r="M235" s="349" t="str">
        <f>IF(A235="N/A"," ",VLOOKUP(A235,SatSunPeakPwr,(IF('Pricing Inputs'!$AT$3=2,3,IF('Pricing Inputs'!$AT$3=1,2,4))),FALSE))</f>
        <v xml:space="preserve"> </v>
      </c>
      <c r="N235" s="349" t="str">
        <f>IF(A235="N/A"," ",VLOOKUP(A235,SatSunPeakPwr,(IF('Pricing Inputs'!$AT$3=2,7,IF('Pricing Inputs'!$AT$3=1,6,8))),FALSE))</f>
        <v xml:space="preserve"> </v>
      </c>
      <c r="O235" s="350" t="str">
        <f>IF(A235="N/A"," ",(VLOOKUP(A235,OPPowerPrices,(IF('Pricing Inputs'!$AT$3=2,7,IF('Pricing Inputs'!$AT$3=1,6,8))),FALSE)))</f>
        <v xml:space="preserve"> </v>
      </c>
      <c r="P235" s="351" t="str">
        <f t="shared" si="24"/>
        <v xml:space="preserve"> </v>
      </c>
      <c r="AF235" s="241">
        <v>43586</v>
      </c>
      <c r="AG235" s="229">
        <v>22</v>
      </c>
      <c r="AH235" s="229">
        <v>4</v>
      </c>
      <c r="AI235" s="229">
        <v>4</v>
      </c>
      <c r="AJ235" s="229">
        <v>1</v>
      </c>
      <c r="AK235" s="229">
        <v>31</v>
      </c>
    </row>
    <row r="236" spans="1:37">
      <c r="A236" s="208" t="str">
        <f>Calculations!A203</f>
        <v>N/A</v>
      </c>
      <c r="B236" s="237" t="str">
        <f>IF(A236="N/A"," ",IF(ISERROR(L236),B224*Inputs!$F$19,L236))</f>
        <v xml:space="preserve"> </v>
      </c>
      <c r="C236" s="239" t="str">
        <f t="shared" si="25"/>
        <v xml:space="preserve"> </v>
      </c>
      <c r="D236" s="238" t="str">
        <f t="shared" si="21"/>
        <v xml:space="preserve"> </v>
      </c>
      <c r="E236" s="237" t="str">
        <f>IF(A236="N/A"," ",IF(ISERROR(M236),E224*Inputs!$F$19,M236))</f>
        <v xml:space="preserve"> </v>
      </c>
      <c r="F236" s="238" t="str">
        <f t="shared" si="22"/>
        <v xml:space="preserve"> </v>
      </c>
      <c r="G236" s="237" t="str">
        <f>IF(A236="N/A"," ",IF(ISERROR(N236),G224*Inputs!$F$19,N236))</f>
        <v xml:space="preserve"> </v>
      </c>
      <c r="H236" s="238" t="str">
        <f t="shared" si="23"/>
        <v xml:space="preserve"> </v>
      </c>
      <c r="I236" s="238" t="str">
        <f>IF(A236="N/A"," ",IF(ISERROR(O236),I224*Inputs!$F$19,O236))</f>
        <v xml:space="preserve"> </v>
      </c>
      <c r="J236" s="331" t="str">
        <f>IF(A236="N/A"," ",IF(ISERROR(P236),J224*Inputs!$F$23,P236))</f>
        <v xml:space="preserve"> </v>
      </c>
      <c r="L236" s="349" t="str">
        <f>IF(A236="N/A"," ",VLOOKUP(A236,PeakPowerCurves,(IF('Pricing Inputs'!$AT$3=2,3,IF('Pricing Inputs'!$AT$3=1,2,4))),FALSE))</f>
        <v xml:space="preserve"> </v>
      </c>
      <c r="M236" s="349" t="str">
        <f>IF(A236="N/A"," ",VLOOKUP(A236,SatSunPeakPwr,(IF('Pricing Inputs'!$AT$3=2,3,IF('Pricing Inputs'!$AT$3=1,2,4))),FALSE))</f>
        <v xml:space="preserve"> </v>
      </c>
      <c r="N236" s="349" t="str">
        <f>IF(A236="N/A"," ",VLOOKUP(A236,SatSunPeakPwr,(IF('Pricing Inputs'!$AT$3=2,7,IF('Pricing Inputs'!$AT$3=1,6,8))),FALSE))</f>
        <v xml:space="preserve"> </v>
      </c>
      <c r="O236" s="350" t="str">
        <f>IF(A236="N/A"," ",(VLOOKUP(A236,OPPowerPrices,(IF('Pricing Inputs'!$AT$3=2,7,IF('Pricing Inputs'!$AT$3=1,6,8))),FALSE)))</f>
        <v xml:space="preserve"> </v>
      </c>
      <c r="P236" s="351" t="str">
        <f t="shared" si="24"/>
        <v xml:space="preserve"> </v>
      </c>
      <c r="AF236" s="241">
        <v>43617</v>
      </c>
      <c r="AG236" s="229">
        <v>20</v>
      </c>
      <c r="AH236" s="229">
        <v>5</v>
      </c>
      <c r="AI236" s="229">
        <v>5</v>
      </c>
      <c r="AJ236" s="229">
        <v>0</v>
      </c>
      <c r="AK236" s="229">
        <v>30</v>
      </c>
    </row>
    <row r="237" spans="1:37">
      <c r="A237" s="208" t="str">
        <f>Calculations!A204</f>
        <v>N/A</v>
      </c>
      <c r="B237" s="237" t="str">
        <f>IF(A237="N/A"," ",IF(ISERROR(L237),B225*Inputs!$F$19,L237))</f>
        <v xml:space="preserve"> </v>
      </c>
      <c r="C237" s="239" t="str">
        <f t="shared" si="25"/>
        <v xml:space="preserve"> </v>
      </c>
      <c r="D237" s="238" t="str">
        <f t="shared" si="21"/>
        <v xml:space="preserve"> </v>
      </c>
      <c r="E237" s="237" t="str">
        <f>IF(A237="N/A"," ",IF(ISERROR(M237),E225*Inputs!$F$19,M237))</f>
        <v xml:space="preserve"> </v>
      </c>
      <c r="F237" s="238" t="str">
        <f t="shared" si="22"/>
        <v xml:space="preserve"> </v>
      </c>
      <c r="G237" s="237" t="str">
        <f>IF(A237="N/A"," ",IF(ISERROR(N237),G225*Inputs!$F$19,N237))</f>
        <v xml:space="preserve"> </v>
      </c>
      <c r="H237" s="238" t="str">
        <f t="shared" si="23"/>
        <v xml:space="preserve"> </v>
      </c>
      <c r="I237" s="238" t="str">
        <f>IF(A237="N/A"," ",IF(ISERROR(O237),I225*Inputs!$F$19,O237))</f>
        <v xml:space="preserve"> </v>
      </c>
      <c r="J237" s="331" t="str">
        <f>IF(A237="N/A"," ",IF(ISERROR(P237),J225*Inputs!$F$23,P237))</f>
        <v xml:space="preserve"> </v>
      </c>
      <c r="L237" s="349" t="str">
        <f>IF(A237="N/A"," ",VLOOKUP(A237,PeakPowerCurves,(IF('Pricing Inputs'!$AT$3=2,3,IF('Pricing Inputs'!$AT$3=1,2,4))),FALSE))</f>
        <v xml:space="preserve"> </v>
      </c>
      <c r="M237" s="349" t="str">
        <f>IF(A237="N/A"," ",VLOOKUP(A237,SatSunPeakPwr,(IF('Pricing Inputs'!$AT$3=2,3,IF('Pricing Inputs'!$AT$3=1,2,4))),FALSE))</f>
        <v xml:space="preserve"> </v>
      </c>
      <c r="N237" s="349" t="str">
        <f>IF(A237="N/A"," ",VLOOKUP(A237,SatSunPeakPwr,(IF('Pricing Inputs'!$AT$3=2,7,IF('Pricing Inputs'!$AT$3=1,6,8))),FALSE))</f>
        <v xml:space="preserve"> </v>
      </c>
      <c r="O237" s="350" t="str">
        <f>IF(A237="N/A"," ",(VLOOKUP(A237,OPPowerPrices,(IF('Pricing Inputs'!$AT$3=2,7,IF('Pricing Inputs'!$AT$3=1,6,8))),FALSE)))</f>
        <v xml:space="preserve"> </v>
      </c>
      <c r="P237" s="351" t="str">
        <f t="shared" si="24"/>
        <v xml:space="preserve"> </v>
      </c>
      <c r="AF237" s="241">
        <v>43647</v>
      </c>
      <c r="AG237" s="229">
        <v>22</v>
      </c>
      <c r="AH237" s="229">
        <v>4</v>
      </c>
      <c r="AI237" s="229">
        <v>4</v>
      </c>
      <c r="AJ237" s="229">
        <v>1</v>
      </c>
      <c r="AK237" s="229">
        <v>31</v>
      </c>
    </row>
    <row r="238" spans="1:37">
      <c r="A238" s="208" t="str">
        <f>Calculations!A205</f>
        <v>N/A</v>
      </c>
      <c r="B238" s="237" t="str">
        <f>IF(A238="N/A"," ",IF(ISERROR(L238),B226*Inputs!$F$19,L238))</f>
        <v xml:space="preserve"> </v>
      </c>
      <c r="C238" s="239" t="str">
        <f t="shared" si="25"/>
        <v xml:space="preserve"> </v>
      </c>
      <c r="D238" s="238" t="str">
        <f t="shared" si="21"/>
        <v xml:space="preserve"> </v>
      </c>
      <c r="E238" s="237" t="str">
        <f>IF(A238="N/A"," ",IF(ISERROR(M238),E226*Inputs!$F$19,M238))</f>
        <v xml:space="preserve"> </v>
      </c>
      <c r="F238" s="238" t="str">
        <f t="shared" si="22"/>
        <v xml:space="preserve"> </v>
      </c>
      <c r="G238" s="237" t="str">
        <f>IF(A238="N/A"," ",IF(ISERROR(N238),G226*Inputs!$F$19,N238))</f>
        <v xml:space="preserve"> </v>
      </c>
      <c r="H238" s="238" t="str">
        <f t="shared" si="23"/>
        <v xml:space="preserve"> </v>
      </c>
      <c r="I238" s="238" t="str">
        <f>IF(A238="N/A"," ",IF(ISERROR(O238),I226*Inputs!$F$19,O238))</f>
        <v xml:space="preserve"> </v>
      </c>
      <c r="J238" s="331" t="str">
        <f>IF(A238="N/A"," ",IF(ISERROR(P238),J226*Inputs!$F$23,P238))</f>
        <v xml:space="preserve"> </v>
      </c>
      <c r="L238" s="349" t="str">
        <f>IF(A238="N/A"," ",VLOOKUP(A238,PeakPowerCurves,(IF('Pricing Inputs'!$AT$3=2,3,IF('Pricing Inputs'!$AT$3=1,2,4))),FALSE))</f>
        <v xml:space="preserve"> </v>
      </c>
      <c r="M238" s="349" t="str">
        <f>IF(A238="N/A"," ",VLOOKUP(A238,SatSunPeakPwr,(IF('Pricing Inputs'!$AT$3=2,3,IF('Pricing Inputs'!$AT$3=1,2,4))),FALSE))</f>
        <v xml:space="preserve"> </v>
      </c>
      <c r="N238" s="349" t="str">
        <f>IF(A238="N/A"," ",VLOOKUP(A238,SatSunPeakPwr,(IF('Pricing Inputs'!$AT$3=2,7,IF('Pricing Inputs'!$AT$3=1,6,8))),FALSE))</f>
        <v xml:space="preserve"> </v>
      </c>
      <c r="O238" s="350" t="str">
        <f>IF(A238="N/A"," ",(VLOOKUP(A238,OPPowerPrices,(IF('Pricing Inputs'!$AT$3=2,7,IF('Pricing Inputs'!$AT$3=1,6,8))),FALSE)))</f>
        <v xml:space="preserve"> </v>
      </c>
      <c r="P238" s="351" t="str">
        <f t="shared" si="24"/>
        <v xml:space="preserve"> </v>
      </c>
      <c r="AF238" s="241">
        <v>43678</v>
      </c>
      <c r="AG238" s="229">
        <v>22</v>
      </c>
      <c r="AH238" s="229">
        <v>5</v>
      </c>
      <c r="AI238" s="229">
        <v>4</v>
      </c>
      <c r="AJ238" s="229">
        <v>0</v>
      </c>
      <c r="AK238" s="229">
        <v>31</v>
      </c>
    </row>
    <row r="239" spans="1:37">
      <c r="A239" s="208" t="str">
        <f>Calculations!A206</f>
        <v>N/A</v>
      </c>
      <c r="B239" s="237" t="str">
        <f>IF(A239="N/A"," ",IF(ISERROR(L239),B227*Inputs!$F$19,L239))</f>
        <v xml:space="preserve"> </v>
      </c>
      <c r="C239" s="239" t="str">
        <f t="shared" si="25"/>
        <v xml:space="preserve"> </v>
      </c>
      <c r="D239" s="238" t="str">
        <f t="shared" si="21"/>
        <v xml:space="preserve"> </v>
      </c>
      <c r="E239" s="237" t="str">
        <f>IF(A239="N/A"," ",IF(ISERROR(M239),E227*Inputs!$F$19,M239))</f>
        <v xml:space="preserve"> </v>
      </c>
      <c r="F239" s="238" t="str">
        <f t="shared" si="22"/>
        <v xml:space="preserve"> </v>
      </c>
      <c r="G239" s="237" t="str">
        <f>IF(A239="N/A"," ",IF(ISERROR(N239),G227*Inputs!$F$19,N239))</f>
        <v xml:space="preserve"> </v>
      </c>
      <c r="H239" s="238" t="str">
        <f t="shared" si="23"/>
        <v xml:space="preserve"> </v>
      </c>
      <c r="I239" s="238" t="str">
        <f>IF(A239="N/A"," ",IF(ISERROR(O239),I227*Inputs!$F$19,O239))</f>
        <v xml:space="preserve"> </v>
      </c>
      <c r="J239" s="331" t="str">
        <f>IF(A239="N/A"," ",IF(ISERROR(P239),J227*Inputs!$F$23,P239))</f>
        <v xml:space="preserve"> </v>
      </c>
      <c r="L239" s="349" t="str">
        <f>IF(A239="N/A"," ",VLOOKUP(A239,PeakPowerCurves,(IF('Pricing Inputs'!$AT$3=2,3,IF('Pricing Inputs'!$AT$3=1,2,4))),FALSE))</f>
        <v xml:space="preserve"> </v>
      </c>
      <c r="M239" s="349" t="str">
        <f>IF(A239="N/A"," ",VLOOKUP(A239,SatSunPeakPwr,(IF('Pricing Inputs'!$AT$3=2,3,IF('Pricing Inputs'!$AT$3=1,2,4))),FALSE))</f>
        <v xml:space="preserve"> </v>
      </c>
      <c r="N239" s="349" t="str">
        <f>IF(A239="N/A"," ",VLOOKUP(A239,SatSunPeakPwr,(IF('Pricing Inputs'!$AT$3=2,7,IF('Pricing Inputs'!$AT$3=1,6,8))),FALSE))</f>
        <v xml:space="preserve"> </v>
      </c>
      <c r="O239" s="350" t="str">
        <f>IF(A239="N/A"," ",(VLOOKUP(A239,OPPowerPrices,(IF('Pricing Inputs'!$AT$3=2,7,IF('Pricing Inputs'!$AT$3=1,6,8))),FALSE)))</f>
        <v xml:space="preserve"> </v>
      </c>
      <c r="P239" s="351" t="str">
        <f t="shared" si="24"/>
        <v xml:space="preserve"> </v>
      </c>
      <c r="AF239" s="241">
        <v>43709</v>
      </c>
      <c r="AG239" s="229">
        <v>20</v>
      </c>
      <c r="AH239" s="229">
        <v>4</v>
      </c>
      <c r="AI239" s="229">
        <v>5</v>
      </c>
      <c r="AJ239" s="229">
        <v>1</v>
      </c>
      <c r="AK239" s="229">
        <v>30</v>
      </c>
    </row>
    <row r="240" spans="1:37">
      <c r="A240" s="208" t="str">
        <f>Calculations!A207</f>
        <v>N/A</v>
      </c>
      <c r="B240" s="237" t="str">
        <f>IF(A240="N/A"," ",IF(ISERROR(L240),B228*Inputs!$F$19,L240))</f>
        <v xml:space="preserve"> </v>
      </c>
      <c r="C240" s="239" t="str">
        <f t="shared" si="25"/>
        <v xml:space="preserve"> </v>
      </c>
      <c r="D240" s="238" t="str">
        <f t="shared" si="21"/>
        <v xml:space="preserve"> </v>
      </c>
      <c r="E240" s="237" t="str">
        <f>IF(A240="N/A"," ",IF(ISERROR(M240),E228*Inputs!$F$19,M240))</f>
        <v xml:space="preserve"> </v>
      </c>
      <c r="F240" s="238" t="str">
        <f t="shared" si="22"/>
        <v xml:space="preserve"> </v>
      </c>
      <c r="G240" s="237" t="str">
        <f>IF(A240="N/A"," ",IF(ISERROR(N240),G228*Inputs!$F$19,N240))</f>
        <v xml:space="preserve"> </v>
      </c>
      <c r="H240" s="238" t="str">
        <f t="shared" si="23"/>
        <v xml:space="preserve"> </v>
      </c>
      <c r="I240" s="238" t="str">
        <f>IF(A240="N/A"," ",IF(ISERROR(O240),I228*Inputs!$F$19,O240))</f>
        <v xml:space="preserve"> </v>
      </c>
      <c r="J240" s="331" t="str">
        <f>IF(A240="N/A"," ",IF(ISERROR(P240),J228*Inputs!$F$23,P240))</f>
        <v xml:space="preserve"> </v>
      </c>
      <c r="L240" s="349" t="str">
        <f>IF(A240="N/A"," ",VLOOKUP(A240,PeakPowerCurves,(IF('Pricing Inputs'!$AT$3=2,3,IF('Pricing Inputs'!$AT$3=1,2,4))),FALSE))</f>
        <v xml:space="preserve"> </v>
      </c>
      <c r="M240" s="349" t="str">
        <f>IF(A240="N/A"," ",VLOOKUP(A240,SatSunPeakPwr,(IF('Pricing Inputs'!$AT$3=2,3,IF('Pricing Inputs'!$AT$3=1,2,4))),FALSE))</f>
        <v xml:space="preserve"> </v>
      </c>
      <c r="N240" s="349" t="str">
        <f>IF(A240="N/A"," ",VLOOKUP(A240,SatSunPeakPwr,(IF('Pricing Inputs'!$AT$3=2,7,IF('Pricing Inputs'!$AT$3=1,6,8))),FALSE))</f>
        <v xml:space="preserve"> </v>
      </c>
      <c r="O240" s="350" t="str">
        <f>IF(A240="N/A"," ",(VLOOKUP(A240,OPPowerPrices,(IF('Pricing Inputs'!$AT$3=2,7,IF('Pricing Inputs'!$AT$3=1,6,8))),FALSE)))</f>
        <v xml:space="preserve"> </v>
      </c>
      <c r="P240" s="351" t="str">
        <f t="shared" si="24"/>
        <v xml:space="preserve"> </v>
      </c>
      <c r="AF240" s="241">
        <v>43739</v>
      </c>
      <c r="AG240" s="229">
        <v>23</v>
      </c>
      <c r="AH240" s="229">
        <v>4</v>
      </c>
      <c r="AI240" s="229">
        <v>4</v>
      </c>
      <c r="AJ240" s="229">
        <v>0</v>
      </c>
      <c r="AK240" s="229">
        <v>31</v>
      </c>
    </row>
    <row r="241" spans="1:37">
      <c r="A241" s="208" t="str">
        <f>Calculations!A208</f>
        <v>N/A</v>
      </c>
      <c r="B241" s="237" t="str">
        <f>IF(A241="N/A"," ",IF(ISERROR(L241),B229*Inputs!$F$19,L241))</f>
        <v xml:space="preserve"> </v>
      </c>
      <c r="C241" s="239" t="str">
        <f t="shared" si="25"/>
        <v xml:space="preserve"> </v>
      </c>
      <c r="D241" s="238" t="str">
        <f t="shared" si="21"/>
        <v xml:space="preserve"> </v>
      </c>
      <c r="E241" s="237" t="str">
        <f>IF(A241="N/A"," ",IF(ISERROR(M241),E229*Inputs!$F$19,M241))</f>
        <v xml:space="preserve"> </v>
      </c>
      <c r="F241" s="238" t="str">
        <f t="shared" si="22"/>
        <v xml:space="preserve"> </v>
      </c>
      <c r="G241" s="237" t="str">
        <f>IF(A241="N/A"," ",IF(ISERROR(N241),G229*Inputs!$F$19,N241))</f>
        <v xml:space="preserve"> </v>
      </c>
      <c r="H241" s="238" t="str">
        <f t="shared" si="23"/>
        <v xml:space="preserve"> </v>
      </c>
      <c r="I241" s="238" t="str">
        <f>IF(A241="N/A"," ",IF(ISERROR(O241),I229*Inputs!$F$19,O241))</f>
        <v xml:space="preserve"> </v>
      </c>
      <c r="J241" s="331" t="str">
        <f>IF(A241="N/A"," ",IF(ISERROR(P241),J229*Inputs!$F$23,P241))</f>
        <v xml:space="preserve"> </v>
      </c>
      <c r="L241" s="349" t="str">
        <f>IF(A241="N/A"," ",VLOOKUP(A241,PeakPowerCurves,(IF('Pricing Inputs'!$AT$3=2,3,IF('Pricing Inputs'!$AT$3=1,2,4))),FALSE))</f>
        <v xml:space="preserve"> </v>
      </c>
      <c r="M241" s="349" t="str">
        <f>IF(A241="N/A"," ",VLOOKUP(A241,SatSunPeakPwr,(IF('Pricing Inputs'!$AT$3=2,3,IF('Pricing Inputs'!$AT$3=1,2,4))),FALSE))</f>
        <v xml:space="preserve"> </v>
      </c>
      <c r="N241" s="349" t="str">
        <f>IF(A241="N/A"," ",VLOOKUP(A241,SatSunPeakPwr,(IF('Pricing Inputs'!$AT$3=2,7,IF('Pricing Inputs'!$AT$3=1,6,8))),FALSE))</f>
        <v xml:space="preserve"> </v>
      </c>
      <c r="O241" s="350" t="str">
        <f>IF(A241="N/A"," ",(VLOOKUP(A241,OPPowerPrices,(IF('Pricing Inputs'!$AT$3=2,7,IF('Pricing Inputs'!$AT$3=1,6,8))),FALSE)))</f>
        <v xml:space="preserve"> </v>
      </c>
      <c r="P241" s="351" t="str">
        <f t="shared" si="24"/>
        <v xml:space="preserve"> </v>
      </c>
      <c r="AF241" s="241">
        <v>43770</v>
      </c>
      <c r="AG241" s="229">
        <v>20</v>
      </c>
      <c r="AH241" s="229">
        <v>5</v>
      </c>
      <c r="AI241" s="229">
        <v>4</v>
      </c>
      <c r="AJ241" s="229">
        <v>1</v>
      </c>
      <c r="AK241" s="229">
        <v>30</v>
      </c>
    </row>
    <row r="242" spans="1:37">
      <c r="A242" s="208" t="str">
        <f>Calculations!A209</f>
        <v>N/A</v>
      </c>
      <c r="B242" s="237" t="str">
        <f>IF(A242="N/A"," ",IF(ISERROR(L242),B230*Inputs!$F$19,L242))</f>
        <v xml:space="preserve"> </v>
      </c>
      <c r="C242" s="239" t="str">
        <f t="shared" si="25"/>
        <v xml:space="preserve"> </v>
      </c>
      <c r="D242" s="238" t="str">
        <f t="shared" si="21"/>
        <v xml:space="preserve"> </v>
      </c>
      <c r="E242" s="237" t="str">
        <f>IF(A242="N/A"," ",IF(ISERROR(M242),E230*Inputs!$F$19,M242))</f>
        <v xml:space="preserve"> </v>
      </c>
      <c r="F242" s="238" t="str">
        <f t="shared" si="22"/>
        <v xml:space="preserve"> </v>
      </c>
      <c r="G242" s="237" t="str">
        <f>IF(A242="N/A"," ",IF(ISERROR(N242),G230*Inputs!$F$19,N242))</f>
        <v xml:space="preserve"> </v>
      </c>
      <c r="H242" s="238" t="str">
        <f t="shared" si="23"/>
        <v xml:space="preserve"> </v>
      </c>
      <c r="I242" s="238" t="str">
        <f>IF(A242="N/A"," ",IF(ISERROR(O242),I230*Inputs!$F$19,O242))</f>
        <v xml:space="preserve"> </v>
      </c>
      <c r="J242" s="331" t="str">
        <f>IF(A242="N/A"," ",IF(ISERROR(P242),J230*Inputs!$F$23,P242))</f>
        <v xml:space="preserve"> </v>
      </c>
      <c r="L242" s="349" t="str">
        <f>IF(A242="N/A"," ",VLOOKUP(A242,PeakPowerCurves,(IF('Pricing Inputs'!$AT$3=2,3,IF('Pricing Inputs'!$AT$3=1,2,4))),FALSE))</f>
        <v xml:space="preserve"> </v>
      </c>
      <c r="M242" s="349" t="str">
        <f>IF(A242="N/A"," ",VLOOKUP(A242,SatSunPeakPwr,(IF('Pricing Inputs'!$AT$3=2,3,IF('Pricing Inputs'!$AT$3=1,2,4))),FALSE))</f>
        <v xml:space="preserve"> </v>
      </c>
      <c r="N242" s="349" t="str">
        <f>IF(A242="N/A"," ",VLOOKUP(A242,SatSunPeakPwr,(IF('Pricing Inputs'!$AT$3=2,7,IF('Pricing Inputs'!$AT$3=1,6,8))),FALSE))</f>
        <v xml:space="preserve"> </v>
      </c>
      <c r="O242" s="350" t="str">
        <f>IF(A242="N/A"," ",(VLOOKUP(A242,OPPowerPrices,(IF('Pricing Inputs'!$AT$3=2,7,IF('Pricing Inputs'!$AT$3=1,6,8))),FALSE)))</f>
        <v xml:space="preserve"> </v>
      </c>
      <c r="P242" s="351" t="str">
        <f t="shared" si="24"/>
        <v xml:space="preserve"> </v>
      </c>
      <c r="AF242" s="241">
        <v>43800</v>
      </c>
      <c r="AG242" s="229">
        <v>21</v>
      </c>
      <c r="AH242" s="229">
        <v>4</v>
      </c>
      <c r="AI242" s="229">
        <v>5</v>
      </c>
      <c r="AJ242" s="229">
        <v>1</v>
      </c>
      <c r="AK242" s="229">
        <v>31</v>
      </c>
    </row>
    <row r="243" spans="1:37">
      <c r="A243" s="208" t="str">
        <f>Calculations!A210</f>
        <v>N/A</v>
      </c>
      <c r="B243" s="237" t="str">
        <f>IF(A243="N/A"," ",IF(ISERROR(L243),B231*Inputs!$F$19,L243))</f>
        <v xml:space="preserve"> </v>
      </c>
      <c r="C243" s="239" t="str">
        <f t="shared" si="25"/>
        <v xml:space="preserve"> </v>
      </c>
      <c r="D243" s="238" t="str">
        <f t="shared" si="21"/>
        <v xml:space="preserve"> </v>
      </c>
      <c r="E243" s="237" t="str">
        <f>IF(A243="N/A"," ",IF(ISERROR(M243),E231*Inputs!$F$19,M243))</f>
        <v xml:space="preserve"> </v>
      </c>
      <c r="F243" s="238" t="str">
        <f t="shared" si="22"/>
        <v xml:space="preserve"> </v>
      </c>
      <c r="G243" s="237" t="str">
        <f>IF(A243="N/A"," ",IF(ISERROR(N243),G231*Inputs!$F$19,N243))</f>
        <v xml:space="preserve"> </v>
      </c>
      <c r="H243" s="238" t="str">
        <f t="shared" si="23"/>
        <v xml:space="preserve"> </v>
      </c>
      <c r="I243" s="238" t="str">
        <f>IF(A243="N/A"," ",IF(ISERROR(O243),I231*Inputs!$F$19,O243))</f>
        <v xml:space="preserve"> </v>
      </c>
      <c r="J243" s="331" t="str">
        <f>IF(A243="N/A"," ",IF(ISERROR(P243),J231*Inputs!$F$23,P243))</f>
        <v xml:space="preserve"> </v>
      </c>
      <c r="L243" s="349" t="str">
        <f>IF(A243="N/A"," ",VLOOKUP(A243,PeakPowerCurves,(IF('Pricing Inputs'!$AT$3=2,3,IF('Pricing Inputs'!$AT$3=1,2,4))),FALSE))</f>
        <v xml:space="preserve"> </v>
      </c>
      <c r="M243" s="349" t="str">
        <f>IF(A243="N/A"," ",VLOOKUP(A243,SatSunPeakPwr,(IF('Pricing Inputs'!$AT$3=2,3,IF('Pricing Inputs'!$AT$3=1,2,4))),FALSE))</f>
        <v xml:space="preserve"> </v>
      </c>
      <c r="N243" s="349" t="str">
        <f>IF(A243="N/A"," ",VLOOKUP(A243,SatSunPeakPwr,(IF('Pricing Inputs'!$AT$3=2,7,IF('Pricing Inputs'!$AT$3=1,6,8))),FALSE))</f>
        <v xml:space="preserve"> </v>
      </c>
      <c r="O243" s="350" t="str">
        <f>IF(A243="N/A"," ",(VLOOKUP(A243,OPPowerPrices,(IF('Pricing Inputs'!$AT$3=2,7,IF('Pricing Inputs'!$AT$3=1,6,8))),FALSE)))</f>
        <v xml:space="preserve"> </v>
      </c>
      <c r="P243" s="351" t="str">
        <f t="shared" si="24"/>
        <v xml:space="preserve"> </v>
      </c>
      <c r="AF243" s="241">
        <v>43831</v>
      </c>
      <c r="AG243" s="229">
        <v>22</v>
      </c>
      <c r="AH243" s="229">
        <v>4</v>
      </c>
      <c r="AI243" s="229">
        <v>4</v>
      </c>
      <c r="AJ243" s="229">
        <v>1</v>
      </c>
      <c r="AK243" s="229">
        <v>31</v>
      </c>
    </row>
    <row r="244" spans="1:37">
      <c r="A244" s="208" t="str">
        <f>Calculations!A211</f>
        <v>N/A</v>
      </c>
      <c r="B244" s="237" t="str">
        <f>IF(A244="N/A"," ",IF(ISERROR(L244),B232*Inputs!$F$19,L244))</f>
        <v xml:space="preserve"> </v>
      </c>
      <c r="C244" s="239" t="str">
        <f t="shared" si="25"/>
        <v xml:space="preserve"> </v>
      </c>
      <c r="D244" s="238" t="str">
        <f t="shared" si="21"/>
        <v xml:space="preserve"> </v>
      </c>
      <c r="E244" s="237" t="str">
        <f>IF(A244="N/A"," ",IF(ISERROR(M244),E232*Inputs!$F$19,M244))</f>
        <v xml:space="preserve"> </v>
      </c>
      <c r="F244" s="238" t="str">
        <f t="shared" si="22"/>
        <v xml:space="preserve"> </v>
      </c>
      <c r="G244" s="237" t="str">
        <f>IF(A244="N/A"," ",IF(ISERROR(N244),G232*Inputs!$F$19,N244))</f>
        <v xml:space="preserve"> </v>
      </c>
      <c r="H244" s="238" t="str">
        <f t="shared" si="23"/>
        <v xml:space="preserve"> </v>
      </c>
      <c r="I244" s="238" t="str">
        <f>IF(A244="N/A"," ",IF(ISERROR(O244),I232*Inputs!$F$19,O244))</f>
        <v xml:space="preserve"> </v>
      </c>
      <c r="J244" s="331" t="str">
        <f>IF(A244="N/A"," ",IF(ISERROR(P244),J232*Inputs!$F$23,P244))</f>
        <v xml:space="preserve"> </v>
      </c>
      <c r="L244" s="349" t="str">
        <f>IF(A244="N/A"," ",VLOOKUP(A244,PeakPowerCurves,(IF('Pricing Inputs'!$AT$3=2,3,IF('Pricing Inputs'!$AT$3=1,2,4))),FALSE))</f>
        <v xml:space="preserve"> </v>
      </c>
      <c r="M244" s="349" t="str">
        <f>IF(A244="N/A"," ",VLOOKUP(A244,SatSunPeakPwr,(IF('Pricing Inputs'!$AT$3=2,3,IF('Pricing Inputs'!$AT$3=1,2,4))),FALSE))</f>
        <v xml:space="preserve"> </v>
      </c>
      <c r="N244" s="349" t="str">
        <f>IF(A244="N/A"," ",VLOOKUP(A244,SatSunPeakPwr,(IF('Pricing Inputs'!$AT$3=2,7,IF('Pricing Inputs'!$AT$3=1,6,8))),FALSE))</f>
        <v xml:space="preserve"> </v>
      </c>
      <c r="O244" s="350" t="str">
        <f>IF(A244="N/A"," ",(VLOOKUP(A244,OPPowerPrices,(IF('Pricing Inputs'!$AT$3=2,7,IF('Pricing Inputs'!$AT$3=1,6,8))),FALSE)))</f>
        <v xml:space="preserve"> </v>
      </c>
      <c r="P244" s="351" t="str">
        <f t="shared" si="24"/>
        <v xml:space="preserve"> </v>
      </c>
      <c r="AF244" s="241">
        <v>43862</v>
      </c>
      <c r="AG244" s="229">
        <v>20</v>
      </c>
      <c r="AH244" s="229">
        <v>5</v>
      </c>
      <c r="AI244" s="229">
        <v>4</v>
      </c>
      <c r="AJ244" s="229">
        <v>0</v>
      </c>
      <c r="AK244" s="229">
        <v>29</v>
      </c>
    </row>
    <row r="245" spans="1:37">
      <c r="A245" s="208" t="str">
        <f>Calculations!A212</f>
        <v>N/A</v>
      </c>
      <c r="B245" s="237" t="str">
        <f>IF(A245="N/A"," ",IF(ISERROR(L245),B233*Inputs!$F$19,L245))</f>
        <v xml:space="preserve"> </v>
      </c>
      <c r="C245" s="239" t="str">
        <f t="shared" si="25"/>
        <v xml:space="preserve"> </v>
      </c>
      <c r="D245" s="238" t="str">
        <f t="shared" si="21"/>
        <v xml:space="preserve"> </v>
      </c>
      <c r="E245" s="237" t="str">
        <f>IF(A245="N/A"," ",IF(ISERROR(M245),E233*Inputs!$F$19,M245))</f>
        <v xml:space="preserve"> </v>
      </c>
      <c r="F245" s="238" t="str">
        <f t="shared" si="22"/>
        <v xml:space="preserve"> </v>
      </c>
      <c r="G245" s="237" t="str">
        <f>IF(A245="N/A"," ",IF(ISERROR(N245),G233*Inputs!$F$19,N245))</f>
        <v xml:space="preserve"> </v>
      </c>
      <c r="H245" s="238" t="str">
        <f t="shared" si="23"/>
        <v xml:space="preserve"> </v>
      </c>
      <c r="I245" s="238" t="str">
        <f>IF(A245="N/A"," ",IF(ISERROR(O245),I233*Inputs!$F$19,O245))</f>
        <v xml:space="preserve"> </v>
      </c>
      <c r="J245" s="331" t="str">
        <f>IF(A245="N/A"," ",IF(ISERROR(P245),J233*Inputs!$F$23,P245))</f>
        <v xml:space="preserve"> </v>
      </c>
      <c r="L245" s="349" t="str">
        <f>IF(A245="N/A"," ",VLOOKUP(A245,PeakPowerCurves,(IF('Pricing Inputs'!$AT$3=2,3,IF('Pricing Inputs'!$AT$3=1,2,4))),FALSE))</f>
        <v xml:space="preserve"> </v>
      </c>
      <c r="M245" s="349" t="str">
        <f>IF(A245="N/A"," ",VLOOKUP(A245,SatSunPeakPwr,(IF('Pricing Inputs'!$AT$3=2,3,IF('Pricing Inputs'!$AT$3=1,2,4))),FALSE))</f>
        <v xml:space="preserve"> </v>
      </c>
      <c r="N245" s="349" t="str">
        <f>IF(A245="N/A"," ",VLOOKUP(A245,SatSunPeakPwr,(IF('Pricing Inputs'!$AT$3=2,7,IF('Pricing Inputs'!$AT$3=1,6,8))),FALSE))</f>
        <v xml:space="preserve"> </v>
      </c>
      <c r="O245" s="350" t="str">
        <f>IF(A245="N/A"," ",(VLOOKUP(A245,OPPowerPrices,(IF('Pricing Inputs'!$AT$3=2,7,IF('Pricing Inputs'!$AT$3=1,6,8))),FALSE)))</f>
        <v xml:space="preserve"> </v>
      </c>
      <c r="P245" s="351" t="str">
        <f t="shared" si="24"/>
        <v xml:space="preserve"> </v>
      </c>
      <c r="AF245" s="241">
        <v>43891</v>
      </c>
      <c r="AG245" s="229">
        <v>22</v>
      </c>
      <c r="AH245" s="229">
        <v>4</v>
      </c>
      <c r="AI245" s="229">
        <v>5</v>
      </c>
      <c r="AJ245" s="229">
        <v>0</v>
      </c>
      <c r="AK245" s="229">
        <v>31</v>
      </c>
    </row>
    <row r="246" spans="1:37">
      <c r="A246" s="208" t="str">
        <f>Calculations!A213</f>
        <v>N/A</v>
      </c>
      <c r="B246" s="237" t="str">
        <f>IF(A246="N/A"," ",IF(ISERROR(L246),B234*Inputs!$F$19,L246))</f>
        <v xml:space="preserve"> </v>
      </c>
      <c r="C246" s="239" t="str">
        <f t="shared" si="25"/>
        <v xml:space="preserve"> </v>
      </c>
      <c r="D246" s="238" t="str">
        <f t="shared" si="21"/>
        <v xml:space="preserve"> </v>
      </c>
      <c r="E246" s="237" t="str">
        <f>IF(A246="N/A"," ",IF(ISERROR(M246),E234*Inputs!$F$19,M246))</f>
        <v xml:space="preserve"> </v>
      </c>
      <c r="F246" s="238" t="str">
        <f t="shared" si="22"/>
        <v xml:space="preserve"> </v>
      </c>
      <c r="G246" s="237" t="str">
        <f>IF(A246="N/A"," ",IF(ISERROR(N246),G234*Inputs!$F$19,N246))</f>
        <v xml:space="preserve"> </v>
      </c>
      <c r="H246" s="238" t="str">
        <f t="shared" si="23"/>
        <v xml:space="preserve"> </v>
      </c>
      <c r="I246" s="238" t="str">
        <f>IF(A246="N/A"," ",IF(ISERROR(O246),I234*Inputs!$F$19,O246))</f>
        <v xml:space="preserve"> </v>
      </c>
      <c r="J246" s="331" t="str">
        <f>IF(A246="N/A"," ",IF(ISERROR(P246),J234*Inputs!$F$23,P246))</f>
        <v xml:space="preserve"> </v>
      </c>
      <c r="L246" s="349" t="str">
        <f>IF(A246="N/A"," ",VLOOKUP(A246,PeakPowerCurves,(IF('Pricing Inputs'!$AT$3=2,3,IF('Pricing Inputs'!$AT$3=1,2,4))),FALSE))</f>
        <v xml:space="preserve"> </v>
      </c>
      <c r="M246" s="349" t="str">
        <f>IF(A246="N/A"," ",VLOOKUP(A246,SatSunPeakPwr,(IF('Pricing Inputs'!$AT$3=2,3,IF('Pricing Inputs'!$AT$3=1,2,4))),FALSE))</f>
        <v xml:space="preserve"> </v>
      </c>
      <c r="N246" s="349" t="str">
        <f>IF(A246="N/A"," ",VLOOKUP(A246,SatSunPeakPwr,(IF('Pricing Inputs'!$AT$3=2,7,IF('Pricing Inputs'!$AT$3=1,6,8))),FALSE))</f>
        <v xml:space="preserve"> </v>
      </c>
      <c r="O246" s="350" t="str">
        <f>IF(A246="N/A"," ",(VLOOKUP(A246,OPPowerPrices,(IF('Pricing Inputs'!$AT$3=2,7,IF('Pricing Inputs'!$AT$3=1,6,8))),FALSE)))</f>
        <v xml:space="preserve"> </v>
      </c>
      <c r="P246" s="351" t="str">
        <f t="shared" si="24"/>
        <v xml:space="preserve"> </v>
      </c>
      <c r="AF246" s="241">
        <v>43922</v>
      </c>
      <c r="AG246" s="229">
        <v>22</v>
      </c>
      <c r="AH246" s="229">
        <v>4</v>
      </c>
      <c r="AI246" s="229">
        <v>4</v>
      </c>
      <c r="AJ246" s="229">
        <v>0</v>
      </c>
      <c r="AK246" s="229">
        <v>30</v>
      </c>
    </row>
    <row r="247" spans="1:37">
      <c r="A247" s="208" t="str">
        <f>Calculations!A214</f>
        <v>N/A</v>
      </c>
      <c r="B247" s="237" t="str">
        <f>IF(A247="N/A"," ",IF(ISERROR(L247),B235*Inputs!$F$19,L247))</f>
        <v xml:space="preserve"> </v>
      </c>
      <c r="C247" s="239" t="str">
        <f t="shared" si="25"/>
        <v xml:space="preserve"> </v>
      </c>
      <c r="D247" s="238" t="str">
        <f t="shared" si="21"/>
        <v xml:space="preserve"> </v>
      </c>
      <c r="E247" s="237" t="str">
        <f>IF(A247="N/A"," ",IF(ISERROR(M247),E235*Inputs!$F$19,M247))</f>
        <v xml:space="preserve"> </v>
      </c>
      <c r="F247" s="238" t="str">
        <f t="shared" si="22"/>
        <v xml:space="preserve"> </v>
      </c>
      <c r="G247" s="237" t="str">
        <f>IF(A247="N/A"," ",IF(ISERROR(N247),G235*Inputs!$F$19,N247))</f>
        <v xml:space="preserve"> </v>
      </c>
      <c r="H247" s="238" t="str">
        <f t="shared" si="23"/>
        <v xml:space="preserve"> </v>
      </c>
      <c r="I247" s="238" t="str">
        <f>IF(A247="N/A"," ",IF(ISERROR(O247),I235*Inputs!$F$19,O247))</f>
        <v xml:space="preserve"> </v>
      </c>
      <c r="J247" s="331" t="str">
        <f>IF(A247="N/A"," ",IF(ISERROR(P247),J235*Inputs!$F$23,P247))</f>
        <v xml:space="preserve"> </v>
      </c>
      <c r="L247" s="349" t="str">
        <f>IF(A247="N/A"," ",VLOOKUP(A247,PeakPowerCurves,(IF('Pricing Inputs'!$AT$3=2,3,IF('Pricing Inputs'!$AT$3=1,2,4))),FALSE))</f>
        <v xml:space="preserve"> </v>
      </c>
      <c r="M247" s="349" t="str">
        <f>IF(A247="N/A"," ",VLOOKUP(A247,SatSunPeakPwr,(IF('Pricing Inputs'!$AT$3=2,3,IF('Pricing Inputs'!$AT$3=1,2,4))),FALSE))</f>
        <v xml:space="preserve"> </v>
      </c>
      <c r="N247" s="349" t="str">
        <f>IF(A247="N/A"," ",VLOOKUP(A247,SatSunPeakPwr,(IF('Pricing Inputs'!$AT$3=2,7,IF('Pricing Inputs'!$AT$3=1,6,8))),FALSE))</f>
        <v xml:space="preserve"> </v>
      </c>
      <c r="O247" s="350" t="str">
        <f>IF(A247="N/A"," ",(VLOOKUP(A247,OPPowerPrices,(IF('Pricing Inputs'!$AT$3=2,7,IF('Pricing Inputs'!$AT$3=1,6,8))),FALSE)))</f>
        <v xml:space="preserve"> </v>
      </c>
      <c r="P247" s="351" t="str">
        <f t="shared" si="24"/>
        <v xml:space="preserve"> </v>
      </c>
      <c r="AF247" s="241">
        <v>43952</v>
      </c>
      <c r="AG247" s="229">
        <v>20</v>
      </c>
      <c r="AH247" s="229">
        <v>5</v>
      </c>
      <c r="AI247" s="229">
        <v>5</v>
      </c>
      <c r="AJ247" s="229">
        <v>1</v>
      </c>
      <c r="AK247" s="229">
        <v>31</v>
      </c>
    </row>
    <row r="248" spans="1:37">
      <c r="A248" s="208" t="str">
        <f>Calculations!A215</f>
        <v>N/A</v>
      </c>
      <c r="B248" s="237" t="str">
        <f>IF(A248="N/A"," ",IF(ISERROR(L248),B236*Inputs!$F$19,L248))</f>
        <v xml:space="preserve"> </v>
      </c>
      <c r="C248" s="239" t="str">
        <f t="shared" si="25"/>
        <v xml:space="preserve"> </v>
      </c>
      <c r="D248" s="238" t="str">
        <f t="shared" si="21"/>
        <v xml:space="preserve"> </v>
      </c>
      <c r="E248" s="237" t="str">
        <f>IF(A248="N/A"," ",IF(ISERROR(M248),E236*Inputs!$F$19,M248))</f>
        <v xml:space="preserve"> </v>
      </c>
      <c r="F248" s="238" t="str">
        <f t="shared" si="22"/>
        <v xml:space="preserve"> </v>
      </c>
      <c r="G248" s="237" t="str">
        <f>IF(A248="N/A"," ",IF(ISERROR(N248),G236*Inputs!$F$19,N248))</f>
        <v xml:space="preserve"> </v>
      </c>
      <c r="H248" s="238" t="str">
        <f t="shared" si="23"/>
        <v xml:space="preserve"> </v>
      </c>
      <c r="I248" s="238" t="str">
        <f>IF(A248="N/A"," ",IF(ISERROR(O248),I236*Inputs!$F$19,O248))</f>
        <v xml:space="preserve"> </v>
      </c>
      <c r="J248" s="331" t="str">
        <f>IF(A248="N/A"," ",IF(ISERROR(P248),J236*Inputs!$F$23,P248))</f>
        <v xml:space="preserve"> </v>
      </c>
      <c r="L248" s="349" t="str">
        <f>IF(A248="N/A"," ",VLOOKUP(A248,PeakPowerCurves,(IF('Pricing Inputs'!$AT$3=2,3,IF('Pricing Inputs'!$AT$3=1,2,4))),FALSE))</f>
        <v xml:space="preserve"> </v>
      </c>
      <c r="M248" s="349" t="str">
        <f>IF(A248="N/A"," ",VLOOKUP(A248,SatSunPeakPwr,(IF('Pricing Inputs'!$AT$3=2,3,IF('Pricing Inputs'!$AT$3=1,2,4))),FALSE))</f>
        <v xml:space="preserve"> </v>
      </c>
      <c r="N248" s="349" t="str">
        <f>IF(A248="N/A"," ",VLOOKUP(A248,SatSunPeakPwr,(IF('Pricing Inputs'!$AT$3=2,7,IF('Pricing Inputs'!$AT$3=1,6,8))),FALSE))</f>
        <v xml:space="preserve"> </v>
      </c>
      <c r="O248" s="350" t="str">
        <f>IF(A248="N/A"," ",(VLOOKUP(A248,OPPowerPrices,(IF('Pricing Inputs'!$AT$3=2,7,IF('Pricing Inputs'!$AT$3=1,6,8))),FALSE)))</f>
        <v xml:space="preserve"> </v>
      </c>
      <c r="P248" s="351" t="str">
        <f t="shared" si="24"/>
        <v xml:space="preserve"> </v>
      </c>
      <c r="AF248" s="241">
        <v>43983</v>
      </c>
      <c r="AG248" s="229">
        <v>22</v>
      </c>
      <c r="AH248" s="229">
        <v>4</v>
      </c>
      <c r="AI248" s="229">
        <v>4</v>
      </c>
      <c r="AJ248" s="229">
        <v>0</v>
      </c>
      <c r="AK248" s="229">
        <v>30</v>
      </c>
    </row>
    <row r="249" spans="1:37">
      <c r="A249" s="208" t="str">
        <f>Calculations!A216</f>
        <v>N/A</v>
      </c>
      <c r="B249" s="237" t="str">
        <f>IF(A249="N/A"," ",IF(ISERROR(L249),B237*Inputs!$F$19,L249))</f>
        <v xml:space="preserve"> </v>
      </c>
      <c r="C249" s="239" t="str">
        <f t="shared" si="25"/>
        <v xml:space="preserve"> </v>
      </c>
      <c r="D249" s="238" t="str">
        <f t="shared" si="21"/>
        <v xml:space="preserve"> </v>
      </c>
      <c r="E249" s="237" t="str">
        <f>IF(A249="N/A"," ",IF(ISERROR(M249),E237*Inputs!$F$19,M249))</f>
        <v xml:space="preserve"> </v>
      </c>
      <c r="F249" s="238" t="str">
        <f t="shared" si="22"/>
        <v xml:space="preserve"> </v>
      </c>
      <c r="G249" s="237" t="str">
        <f>IF(A249="N/A"," ",IF(ISERROR(N249),G237*Inputs!$F$19,N249))</f>
        <v xml:space="preserve"> </v>
      </c>
      <c r="H249" s="238" t="str">
        <f t="shared" si="23"/>
        <v xml:space="preserve"> </v>
      </c>
      <c r="I249" s="238" t="str">
        <f>IF(A249="N/A"," ",IF(ISERROR(O249),I237*Inputs!$F$19,O249))</f>
        <v xml:space="preserve"> </v>
      </c>
      <c r="J249" s="331" t="str">
        <f>IF(A249="N/A"," ",IF(ISERROR(P249),J237*Inputs!$F$23,P249))</f>
        <v xml:space="preserve"> </v>
      </c>
      <c r="L249" s="349" t="str">
        <f>IF(A249="N/A"," ",VLOOKUP(A249,PeakPowerCurves,(IF('Pricing Inputs'!$AT$3=2,3,IF('Pricing Inputs'!$AT$3=1,2,4))),FALSE))</f>
        <v xml:space="preserve"> </v>
      </c>
      <c r="M249" s="349" t="str">
        <f>IF(A249="N/A"," ",VLOOKUP(A249,SatSunPeakPwr,(IF('Pricing Inputs'!$AT$3=2,3,IF('Pricing Inputs'!$AT$3=1,2,4))),FALSE))</f>
        <v xml:space="preserve"> </v>
      </c>
      <c r="N249" s="349" t="str">
        <f>IF(A249="N/A"," ",VLOOKUP(A249,SatSunPeakPwr,(IF('Pricing Inputs'!$AT$3=2,7,IF('Pricing Inputs'!$AT$3=1,6,8))),FALSE))</f>
        <v xml:space="preserve"> </v>
      </c>
      <c r="O249" s="350" t="str">
        <f>IF(A249="N/A"," ",(VLOOKUP(A249,OPPowerPrices,(IF('Pricing Inputs'!$AT$3=2,7,IF('Pricing Inputs'!$AT$3=1,6,8))),FALSE)))</f>
        <v xml:space="preserve"> </v>
      </c>
      <c r="P249" s="351" t="str">
        <f t="shared" si="24"/>
        <v xml:space="preserve"> </v>
      </c>
      <c r="AF249" s="241">
        <v>44013</v>
      </c>
      <c r="AG249" s="229">
        <v>23</v>
      </c>
      <c r="AH249" s="229">
        <v>3</v>
      </c>
      <c r="AI249" s="229">
        <v>4</v>
      </c>
      <c r="AJ249" s="229">
        <v>1</v>
      </c>
      <c r="AK249" s="229">
        <v>31</v>
      </c>
    </row>
    <row r="250" spans="1:37">
      <c r="A250" s="208" t="str">
        <f>Calculations!A217</f>
        <v>N/A</v>
      </c>
      <c r="B250" s="237" t="str">
        <f>IF(A250="N/A"," ",IF(ISERROR(L250),B238*Inputs!$F$19,L250))</f>
        <v xml:space="preserve"> </v>
      </c>
      <c r="C250" s="239" t="str">
        <f t="shared" si="25"/>
        <v xml:space="preserve"> </v>
      </c>
      <c r="D250" s="238" t="str">
        <f t="shared" si="21"/>
        <v xml:space="preserve"> </v>
      </c>
      <c r="E250" s="237" t="str">
        <f>IF(A250="N/A"," ",IF(ISERROR(M250),E238*Inputs!$F$19,M250))</f>
        <v xml:space="preserve"> </v>
      </c>
      <c r="F250" s="238" t="str">
        <f t="shared" si="22"/>
        <v xml:space="preserve"> </v>
      </c>
      <c r="G250" s="237" t="str">
        <f>IF(A250="N/A"," ",IF(ISERROR(N250),G238*Inputs!$F$19,N250))</f>
        <v xml:space="preserve"> </v>
      </c>
      <c r="H250" s="238" t="str">
        <f t="shared" si="23"/>
        <v xml:space="preserve"> </v>
      </c>
      <c r="I250" s="238" t="str">
        <f>IF(A250="N/A"," ",IF(ISERROR(O250),I238*Inputs!$F$19,O250))</f>
        <v xml:space="preserve"> </v>
      </c>
      <c r="J250" s="331" t="str">
        <f>IF(A250="N/A"," ",IF(ISERROR(P250),J238*Inputs!$F$23,P250))</f>
        <v xml:space="preserve"> </v>
      </c>
      <c r="L250" s="349" t="str">
        <f>IF(A250="N/A"," ",VLOOKUP(A250,PeakPowerCurves,(IF('Pricing Inputs'!$AT$3=2,3,IF('Pricing Inputs'!$AT$3=1,2,4))),FALSE))</f>
        <v xml:space="preserve"> </v>
      </c>
      <c r="M250" s="349" t="str">
        <f>IF(A250="N/A"," ",VLOOKUP(A250,SatSunPeakPwr,(IF('Pricing Inputs'!$AT$3=2,3,IF('Pricing Inputs'!$AT$3=1,2,4))),FALSE))</f>
        <v xml:space="preserve"> </v>
      </c>
      <c r="N250" s="349" t="str">
        <f>IF(A250="N/A"," ",VLOOKUP(A250,SatSunPeakPwr,(IF('Pricing Inputs'!$AT$3=2,7,IF('Pricing Inputs'!$AT$3=1,6,8))),FALSE))</f>
        <v xml:space="preserve"> </v>
      </c>
      <c r="O250" s="350" t="str">
        <f>IF(A250="N/A"," ",(VLOOKUP(A250,OPPowerPrices,(IF('Pricing Inputs'!$AT$3=2,7,IF('Pricing Inputs'!$AT$3=1,6,8))),FALSE)))</f>
        <v xml:space="preserve"> </v>
      </c>
      <c r="P250" s="351" t="str">
        <f t="shared" si="24"/>
        <v xml:space="preserve"> </v>
      </c>
      <c r="AF250" s="241">
        <v>44044</v>
      </c>
      <c r="AG250" s="229">
        <v>21</v>
      </c>
      <c r="AH250" s="229">
        <v>5</v>
      </c>
      <c r="AI250" s="229">
        <v>5</v>
      </c>
      <c r="AJ250" s="229">
        <v>0</v>
      </c>
      <c r="AK250" s="229">
        <v>31</v>
      </c>
    </row>
    <row r="251" spans="1:37">
      <c r="A251" s="208" t="str">
        <f>Calculations!A218</f>
        <v>N/A</v>
      </c>
      <c r="B251" s="237" t="str">
        <f>IF(A251="N/A"," ",IF(ISERROR(L251),B239*Inputs!$F$19,L251))</f>
        <v xml:space="preserve"> </v>
      </c>
      <c r="C251" s="239" t="str">
        <f t="shared" si="25"/>
        <v xml:space="preserve"> </v>
      </c>
      <c r="D251" s="238" t="str">
        <f t="shared" si="21"/>
        <v xml:space="preserve"> </v>
      </c>
      <c r="E251" s="237" t="str">
        <f>IF(A251="N/A"," ",IF(ISERROR(M251),E239*Inputs!$F$19,M251))</f>
        <v xml:space="preserve"> </v>
      </c>
      <c r="F251" s="238" t="str">
        <f t="shared" si="22"/>
        <v xml:space="preserve"> </v>
      </c>
      <c r="G251" s="237" t="str">
        <f>IF(A251="N/A"," ",IF(ISERROR(N251),G239*Inputs!$F$19,N251))</f>
        <v xml:space="preserve"> </v>
      </c>
      <c r="H251" s="238" t="str">
        <f t="shared" si="23"/>
        <v xml:space="preserve"> </v>
      </c>
      <c r="I251" s="238" t="str">
        <f>IF(A251="N/A"," ",IF(ISERROR(O251),I239*Inputs!$F$19,O251))</f>
        <v xml:space="preserve"> </v>
      </c>
      <c r="J251" s="331" t="str">
        <f>IF(A251="N/A"," ",IF(ISERROR(P251),J239*Inputs!$F$23,P251))</f>
        <v xml:space="preserve"> </v>
      </c>
      <c r="L251" s="349" t="str">
        <f>IF(A251="N/A"," ",VLOOKUP(A251,PeakPowerCurves,(IF('Pricing Inputs'!$AT$3=2,3,IF('Pricing Inputs'!$AT$3=1,2,4))),FALSE))</f>
        <v xml:space="preserve"> </v>
      </c>
      <c r="M251" s="349" t="str">
        <f>IF(A251="N/A"," ",VLOOKUP(A251,SatSunPeakPwr,(IF('Pricing Inputs'!$AT$3=2,3,IF('Pricing Inputs'!$AT$3=1,2,4))),FALSE))</f>
        <v xml:space="preserve"> </v>
      </c>
      <c r="N251" s="349" t="str">
        <f>IF(A251="N/A"," ",VLOOKUP(A251,SatSunPeakPwr,(IF('Pricing Inputs'!$AT$3=2,7,IF('Pricing Inputs'!$AT$3=1,6,8))),FALSE))</f>
        <v xml:space="preserve"> </v>
      </c>
      <c r="O251" s="350" t="str">
        <f>IF(A251="N/A"," ",(VLOOKUP(A251,OPPowerPrices,(IF('Pricing Inputs'!$AT$3=2,7,IF('Pricing Inputs'!$AT$3=1,6,8))),FALSE)))</f>
        <v xml:space="preserve"> </v>
      </c>
      <c r="P251" s="351" t="str">
        <f t="shared" si="24"/>
        <v xml:space="preserve"> </v>
      </c>
      <c r="AF251" s="241">
        <v>44075</v>
      </c>
      <c r="AG251" s="229">
        <v>21</v>
      </c>
      <c r="AH251" s="229">
        <v>4</v>
      </c>
      <c r="AI251" s="229">
        <v>4</v>
      </c>
      <c r="AJ251" s="229">
        <v>1</v>
      </c>
      <c r="AK251" s="229">
        <v>30</v>
      </c>
    </row>
    <row r="252" spans="1:37">
      <c r="A252" s="208" t="str">
        <f>Calculations!A219</f>
        <v>N/A</v>
      </c>
      <c r="B252" s="237" t="str">
        <f>IF(A252="N/A"," ",IF(ISERROR(L252),B240*Inputs!$F$19,L252))</f>
        <v xml:space="preserve"> </v>
      </c>
      <c r="C252" s="239" t="str">
        <f t="shared" si="25"/>
        <v xml:space="preserve"> </v>
      </c>
      <c r="D252" s="238" t="str">
        <f t="shared" si="21"/>
        <v xml:space="preserve"> </v>
      </c>
      <c r="E252" s="237" t="str">
        <f>IF(A252="N/A"," ",IF(ISERROR(M252),E240*Inputs!$F$19,M252))</f>
        <v xml:space="preserve"> </v>
      </c>
      <c r="F252" s="238" t="str">
        <f t="shared" si="22"/>
        <v xml:space="preserve"> </v>
      </c>
      <c r="G252" s="237" t="str">
        <f>IF(A252="N/A"," ",IF(ISERROR(N252),G240*Inputs!$F$19,N252))</f>
        <v xml:space="preserve"> </v>
      </c>
      <c r="H252" s="238" t="str">
        <f t="shared" si="23"/>
        <v xml:space="preserve"> </v>
      </c>
      <c r="I252" s="238" t="str">
        <f>IF(A252="N/A"," ",IF(ISERROR(O252),I240*Inputs!$F$19,O252))</f>
        <v xml:space="preserve"> </v>
      </c>
      <c r="J252" s="331" t="str">
        <f>IF(A252="N/A"," ",IF(ISERROR(P252),J240*Inputs!$F$23,P252))</f>
        <v xml:space="preserve"> </v>
      </c>
      <c r="L252" s="349" t="str">
        <f>IF(A252="N/A"," ",VLOOKUP(A252,PeakPowerCurves,(IF('Pricing Inputs'!$AT$3=2,3,IF('Pricing Inputs'!$AT$3=1,2,4))),FALSE))</f>
        <v xml:space="preserve"> </v>
      </c>
      <c r="M252" s="349" t="str">
        <f>IF(A252="N/A"," ",VLOOKUP(A252,SatSunPeakPwr,(IF('Pricing Inputs'!$AT$3=2,3,IF('Pricing Inputs'!$AT$3=1,2,4))),FALSE))</f>
        <v xml:space="preserve"> </v>
      </c>
      <c r="N252" s="349" t="str">
        <f>IF(A252="N/A"," ",VLOOKUP(A252,SatSunPeakPwr,(IF('Pricing Inputs'!$AT$3=2,7,IF('Pricing Inputs'!$AT$3=1,6,8))),FALSE))</f>
        <v xml:space="preserve"> </v>
      </c>
      <c r="O252" s="350" t="str">
        <f>IF(A252="N/A"," ",(VLOOKUP(A252,OPPowerPrices,(IF('Pricing Inputs'!$AT$3=2,7,IF('Pricing Inputs'!$AT$3=1,6,8))),FALSE)))</f>
        <v xml:space="preserve"> </v>
      </c>
      <c r="P252" s="351" t="str">
        <f t="shared" si="24"/>
        <v xml:space="preserve"> </v>
      </c>
      <c r="AF252" s="241">
        <v>44105</v>
      </c>
      <c r="AG252" s="229">
        <v>22</v>
      </c>
      <c r="AH252" s="229">
        <v>5</v>
      </c>
      <c r="AI252" s="229">
        <v>4</v>
      </c>
      <c r="AJ252" s="229">
        <v>0</v>
      </c>
      <c r="AK252" s="229">
        <v>31</v>
      </c>
    </row>
    <row r="253" spans="1:37">
      <c r="A253" s="208" t="str">
        <f>Calculations!A220</f>
        <v>N/A</v>
      </c>
      <c r="B253" s="237" t="str">
        <f>IF(A253="N/A"," ",IF(ISERROR(L253),B241*Inputs!$F$19,L253))</f>
        <v xml:space="preserve"> </v>
      </c>
      <c r="C253" s="239" t="str">
        <f t="shared" si="25"/>
        <v xml:space="preserve"> </v>
      </c>
      <c r="D253" s="238" t="str">
        <f t="shared" si="21"/>
        <v xml:space="preserve"> </v>
      </c>
      <c r="E253" s="237" t="str">
        <f>IF(A253="N/A"," ",IF(ISERROR(M253),E241*Inputs!$F$19,M253))</f>
        <v xml:space="preserve"> </v>
      </c>
      <c r="F253" s="238" t="str">
        <f t="shared" si="22"/>
        <v xml:space="preserve"> </v>
      </c>
      <c r="G253" s="237" t="str">
        <f>IF(A253="N/A"," ",IF(ISERROR(N253),G241*Inputs!$F$19,N253))</f>
        <v xml:space="preserve"> </v>
      </c>
      <c r="H253" s="238" t="str">
        <f t="shared" si="23"/>
        <v xml:space="preserve"> </v>
      </c>
      <c r="I253" s="238" t="str">
        <f>IF(A253="N/A"," ",IF(ISERROR(O253),I241*Inputs!$F$19,O253))</f>
        <v xml:space="preserve"> </v>
      </c>
      <c r="J253" s="331" t="str">
        <f>IF(A253="N/A"," ",IF(ISERROR(P253),J241*Inputs!$F$23,P253))</f>
        <v xml:space="preserve"> </v>
      </c>
      <c r="L253" s="349" t="str">
        <f>IF(A253="N/A"," ",VLOOKUP(A253,PeakPowerCurves,(IF('Pricing Inputs'!$AT$3=2,3,IF('Pricing Inputs'!$AT$3=1,2,4))),FALSE))</f>
        <v xml:space="preserve"> </v>
      </c>
      <c r="M253" s="349" t="str">
        <f>IF(A253="N/A"," ",VLOOKUP(A253,SatSunPeakPwr,(IF('Pricing Inputs'!$AT$3=2,3,IF('Pricing Inputs'!$AT$3=1,2,4))),FALSE))</f>
        <v xml:space="preserve"> </v>
      </c>
      <c r="N253" s="349" t="str">
        <f>IF(A253="N/A"," ",VLOOKUP(A253,SatSunPeakPwr,(IF('Pricing Inputs'!$AT$3=2,7,IF('Pricing Inputs'!$AT$3=1,6,8))),FALSE))</f>
        <v xml:space="preserve"> </v>
      </c>
      <c r="O253" s="350" t="str">
        <f>IF(A253="N/A"," ",(VLOOKUP(A253,OPPowerPrices,(IF('Pricing Inputs'!$AT$3=2,7,IF('Pricing Inputs'!$AT$3=1,6,8))),FALSE)))</f>
        <v xml:space="preserve"> </v>
      </c>
      <c r="P253" s="351" t="str">
        <f t="shared" si="24"/>
        <v xml:space="preserve"> </v>
      </c>
      <c r="AF253" s="241">
        <v>44136</v>
      </c>
      <c r="AG253" s="229">
        <v>20</v>
      </c>
      <c r="AH253" s="229">
        <v>4</v>
      </c>
      <c r="AI253" s="229">
        <v>5</v>
      </c>
      <c r="AJ253" s="229">
        <v>1</v>
      </c>
      <c r="AK253" s="229">
        <v>30</v>
      </c>
    </row>
    <row r="254" spans="1:37">
      <c r="A254" s="208" t="str">
        <f>Calculations!A221</f>
        <v>N/A</v>
      </c>
      <c r="B254" s="237" t="str">
        <f>IF(A254="N/A"," ",IF(ISERROR(L254),B242*Inputs!$F$19,L254))</f>
        <v xml:space="preserve"> </v>
      </c>
      <c r="C254" s="239" t="str">
        <f t="shared" si="25"/>
        <v xml:space="preserve"> </v>
      </c>
      <c r="D254" s="238" t="str">
        <f t="shared" si="21"/>
        <v xml:space="preserve"> </v>
      </c>
      <c r="E254" s="237" t="str">
        <f>IF(A254="N/A"," ",IF(ISERROR(M254),E242*Inputs!$F$19,M254))</f>
        <v xml:space="preserve"> </v>
      </c>
      <c r="F254" s="238" t="str">
        <f t="shared" si="22"/>
        <v xml:space="preserve"> </v>
      </c>
      <c r="G254" s="237" t="str">
        <f>IF(A254="N/A"," ",IF(ISERROR(N254),G242*Inputs!$F$19,N254))</f>
        <v xml:space="preserve"> </v>
      </c>
      <c r="H254" s="238" t="str">
        <f t="shared" si="23"/>
        <v xml:space="preserve"> </v>
      </c>
      <c r="I254" s="238" t="str">
        <f>IF(A254="N/A"," ",IF(ISERROR(O254),I242*Inputs!$F$19,O254))</f>
        <v xml:space="preserve"> </v>
      </c>
      <c r="J254" s="331" t="str">
        <f>IF(A254="N/A"," ",IF(ISERROR(P254),J242*Inputs!$F$23,P254))</f>
        <v xml:space="preserve"> </v>
      </c>
      <c r="L254" s="349" t="str">
        <f>IF(A254="N/A"," ",VLOOKUP(A254,PeakPowerCurves,(IF('Pricing Inputs'!$AT$3=2,3,IF('Pricing Inputs'!$AT$3=1,2,4))),FALSE))</f>
        <v xml:space="preserve"> </v>
      </c>
      <c r="M254" s="349" t="str">
        <f>IF(A254="N/A"," ",VLOOKUP(A254,SatSunPeakPwr,(IF('Pricing Inputs'!$AT$3=2,3,IF('Pricing Inputs'!$AT$3=1,2,4))),FALSE))</f>
        <v xml:space="preserve"> </v>
      </c>
      <c r="N254" s="349" t="str">
        <f>IF(A254="N/A"," ",VLOOKUP(A254,SatSunPeakPwr,(IF('Pricing Inputs'!$AT$3=2,7,IF('Pricing Inputs'!$AT$3=1,6,8))),FALSE))</f>
        <v xml:space="preserve"> </v>
      </c>
      <c r="O254" s="350" t="str">
        <f>IF(A254="N/A"," ",(VLOOKUP(A254,OPPowerPrices,(IF('Pricing Inputs'!$AT$3=2,7,IF('Pricing Inputs'!$AT$3=1,6,8))),FALSE)))</f>
        <v xml:space="preserve"> </v>
      </c>
      <c r="P254" s="351" t="str">
        <f t="shared" si="24"/>
        <v xml:space="preserve"> </v>
      </c>
      <c r="AF254" s="241">
        <v>44166</v>
      </c>
      <c r="AG254" s="229">
        <v>22</v>
      </c>
      <c r="AH254" s="229">
        <v>4</v>
      </c>
      <c r="AI254" s="229">
        <v>4</v>
      </c>
      <c r="AJ254" s="229">
        <v>1</v>
      </c>
      <c r="AK254" s="229">
        <v>31</v>
      </c>
    </row>
    <row r="255" spans="1:37">
      <c r="A255" s="208" t="str">
        <f>Calculations!A222</f>
        <v>N/A</v>
      </c>
      <c r="B255" s="237" t="str">
        <f>IF(A255="N/A"," ",IF(ISERROR(L255),B243*Inputs!$F$19,L255))</f>
        <v xml:space="preserve"> </v>
      </c>
      <c r="C255" s="239" t="str">
        <f t="shared" si="25"/>
        <v xml:space="preserve"> </v>
      </c>
      <c r="D255" s="238" t="str">
        <f t="shared" si="21"/>
        <v xml:space="preserve"> </v>
      </c>
      <c r="E255" s="237" t="str">
        <f>IF(A255="N/A"," ",IF(ISERROR(M255),E243*Inputs!$F$19,M255))</f>
        <v xml:space="preserve"> </v>
      </c>
      <c r="F255" s="238" t="str">
        <f t="shared" si="22"/>
        <v xml:space="preserve"> </v>
      </c>
      <c r="G255" s="237" t="str">
        <f>IF(A255="N/A"," ",IF(ISERROR(N255),G243*Inputs!$F$19,N255))</f>
        <v xml:space="preserve"> </v>
      </c>
      <c r="H255" s="238" t="str">
        <f t="shared" si="23"/>
        <v xml:space="preserve"> </v>
      </c>
      <c r="I255" s="238" t="str">
        <f>IF(A255="N/A"," ",IF(ISERROR(O255),I243*Inputs!$F$19,O255))</f>
        <v xml:space="preserve"> </v>
      </c>
      <c r="J255" s="331" t="str">
        <f>IF(A255="N/A"," ",IF(ISERROR(P255),J243*Inputs!$F$23,P255))</f>
        <v xml:space="preserve"> </v>
      </c>
      <c r="L255" s="349" t="str">
        <f>IF(A255="N/A"," ",VLOOKUP(A255,PeakPowerCurves,(IF('Pricing Inputs'!$AT$3=2,3,IF('Pricing Inputs'!$AT$3=1,2,4))),FALSE))</f>
        <v xml:space="preserve"> </v>
      </c>
      <c r="M255" s="349" t="str">
        <f>IF(A255="N/A"," ",VLOOKUP(A255,SatSunPeakPwr,(IF('Pricing Inputs'!$AT$3=2,3,IF('Pricing Inputs'!$AT$3=1,2,4))),FALSE))</f>
        <v xml:space="preserve"> </v>
      </c>
      <c r="N255" s="349" t="str">
        <f>IF(A255="N/A"," ",VLOOKUP(A255,SatSunPeakPwr,(IF('Pricing Inputs'!$AT$3=2,7,IF('Pricing Inputs'!$AT$3=1,6,8))),FALSE))</f>
        <v xml:space="preserve"> </v>
      </c>
      <c r="O255" s="350" t="str">
        <f>IF(A255="N/A"," ",(VLOOKUP(A255,OPPowerPrices,(IF('Pricing Inputs'!$AT$3=2,7,IF('Pricing Inputs'!$AT$3=1,6,8))),FALSE)))</f>
        <v xml:space="preserve"> </v>
      </c>
      <c r="P255" s="351" t="str">
        <f t="shared" si="24"/>
        <v xml:space="preserve"> </v>
      </c>
    </row>
    <row r="256" spans="1:37">
      <c r="A256" s="208" t="str">
        <f>Calculations!A223</f>
        <v>N/A</v>
      </c>
      <c r="B256" s="237" t="str">
        <f>IF(A256="N/A"," ",IF(ISERROR(L256),B244*Inputs!$F$19,L256))</f>
        <v xml:space="preserve"> </v>
      </c>
      <c r="C256" s="239" t="str">
        <f t="shared" si="25"/>
        <v xml:space="preserve"> </v>
      </c>
      <c r="D256" s="238" t="str">
        <f t="shared" si="21"/>
        <v xml:space="preserve"> </v>
      </c>
      <c r="E256" s="237" t="str">
        <f>IF(A256="N/A"," ",IF(ISERROR(M256),E244*Inputs!$F$19,M256))</f>
        <v xml:space="preserve"> </v>
      </c>
      <c r="F256" s="238" t="str">
        <f t="shared" si="22"/>
        <v xml:space="preserve"> </v>
      </c>
      <c r="G256" s="237" t="str">
        <f>IF(A256="N/A"," ",IF(ISERROR(N256),G244*Inputs!$F$19,N256))</f>
        <v xml:space="preserve"> </v>
      </c>
      <c r="H256" s="238" t="str">
        <f t="shared" si="23"/>
        <v xml:space="preserve"> </v>
      </c>
      <c r="I256" s="238" t="str">
        <f>IF(A256="N/A"," ",IF(ISERROR(O256),I244*Inputs!$F$19,O256))</f>
        <v xml:space="preserve"> </v>
      </c>
      <c r="J256" s="331" t="str">
        <f>IF(A256="N/A"," ",IF(ISERROR(P256),J244*Inputs!$F$23,P256))</f>
        <v xml:space="preserve"> </v>
      </c>
      <c r="L256" s="349" t="str">
        <f>IF(A256="N/A"," ",VLOOKUP(A256,PeakPowerCurves,(IF('Pricing Inputs'!$AT$3=2,3,IF('Pricing Inputs'!$AT$3=1,2,4))),FALSE))</f>
        <v xml:space="preserve"> </v>
      </c>
      <c r="M256" s="349" t="str">
        <f>IF(A256="N/A"," ",VLOOKUP(A256,SatSunPeakPwr,(IF('Pricing Inputs'!$AT$3=2,3,IF('Pricing Inputs'!$AT$3=1,2,4))),FALSE))</f>
        <v xml:space="preserve"> </v>
      </c>
      <c r="N256" s="349" t="str">
        <f>IF(A256="N/A"," ",VLOOKUP(A256,SatSunPeakPwr,(IF('Pricing Inputs'!$AT$3=2,7,IF('Pricing Inputs'!$AT$3=1,6,8))),FALSE))</f>
        <v xml:space="preserve"> </v>
      </c>
      <c r="O256" s="350" t="str">
        <f>IF(A256="N/A"," ",(VLOOKUP(A256,OPPowerPrices,(IF('Pricing Inputs'!$AT$3=2,7,IF('Pricing Inputs'!$AT$3=1,6,8))),FALSE)))</f>
        <v xml:space="preserve"> </v>
      </c>
      <c r="P256" s="351" t="str">
        <f t="shared" si="24"/>
        <v xml:space="preserve"> </v>
      </c>
    </row>
    <row r="257" spans="1:16">
      <c r="A257" s="208" t="str">
        <f>Calculations!A224</f>
        <v>N/A</v>
      </c>
      <c r="B257" s="237" t="str">
        <f>IF(A257="N/A"," ",IF(ISERROR(L257),B245*Inputs!$F$19,L257))</f>
        <v xml:space="preserve"> </v>
      </c>
      <c r="C257" s="239" t="str">
        <f t="shared" si="25"/>
        <v xml:space="preserve"> </v>
      </c>
      <c r="D257" s="238" t="str">
        <f t="shared" si="21"/>
        <v xml:space="preserve"> </v>
      </c>
      <c r="E257" s="237" t="str">
        <f>IF(A257="N/A"," ",IF(ISERROR(M257),E245*Inputs!$F$19,M257))</f>
        <v xml:space="preserve"> </v>
      </c>
      <c r="F257" s="238" t="str">
        <f t="shared" si="22"/>
        <v xml:space="preserve"> </v>
      </c>
      <c r="G257" s="237" t="str">
        <f>IF(A257="N/A"," ",IF(ISERROR(N257),G245*Inputs!$F$19,N257))</f>
        <v xml:space="preserve"> </v>
      </c>
      <c r="H257" s="238" t="str">
        <f t="shared" si="23"/>
        <v xml:space="preserve"> </v>
      </c>
      <c r="I257" s="238" t="str">
        <f>IF(A257="N/A"," ",IF(ISERROR(O257),I245*Inputs!$F$19,O257))</f>
        <v xml:space="preserve"> </v>
      </c>
      <c r="J257" s="331" t="str">
        <f>IF(A257="N/A"," ",IF(ISERROR(P257),J245*Inputs!$F$23,P257))</f>
        <v xml:space="preserve"> </v>
      </c>
      <c r="L257" s="349" t="str">
        <f>IF(A257="N/A"," ",VLOOKUP(A257,PeakPowerCurves,(IF('Pricing Inputs'!$AT$3=2,3,IF('Pricing Inputs'!$AT$3=1,2,4))),FALSE))</f>
        <v xml:space="preserve"> </v>
      </c>
      <c r="M257" s="349" t="str">
        <f>IF(A257="N/A"," ",VLOOKUP(A257,SatSunPeakPwr,(IF('Pricing Inputs'!$AT$3=2,3,IF('Pricing Inputs'!$AT$3=1,2,4))),FALSE))</f>
        <v xml:space="preserve"> </v>
      </c>
      <c r="N257" s="349" t="str">
        <f>IF(A257="N/A"," ",VLOOKUP(A257,SatSunPeakPwr,(IF('Pricing Inputs'!$AT$3=2,7,IF('Pricing Inputs'!$AT$3=1,6,8))),FALSE))</f>
        <v xml:space="preserve"> </v>
      </c>
      <c r="O257" s="350" t="str">
        <f>IF(A257="N/A"," ",(VLOOKUP(A257,OPPowerPrices,(IF('Pricing Inputs'!$AT$3=2,7,IF('Pricing Inputs'!$AT$3=1,6,8))),FALSE)))</f>
        <v xml:space="preserve"> </v>
      </c>
      <c r="P257" s="351" t="str">
        <f t="shared" si="24"/>
        <v xml:space="preserve"> </v>
      </c>
    </row>
    <row r="258" spans="1:16">
      <c r="A258" s="208" t="str">
        <f>Calculations!A225</f>
        <v>N/A</v>
      </c>
      <c r="B258" s="237" t="str">
        <f>IF(A258="N/A"," ",IF(ISERROR(L258),B246*Inputs!$F$19,L258))</f>
        <v xml:space="preserve"> </v>
      </c>
      <c r="C258" s="239" t="str">
        <f t="shared" si="25"/>
        <v xml:space="preserve"> </v>
      </c>
      <c r="D258" s="238" t="str">
        <f t="shared" si="21"/>
        <v xml:space="preserve"> </v>
      </c>
      <c r="E258" s="237" t="str">
        <f>IF(A258="N/A"," ",IF(ISERROR(M258),E246*Inputs!$F$19,M258))</f>
        <v xml:space="preserve"> </v>
      </c>
      <c r="F258" s="238" t="str">
        <f t="shared" si="22"/>
        <v xml:space="preserve"> </v>
      </c>
      <c r="G258" s="237" t="str">
        <f>IF(A258="N/A"," ",IF(ISERROR(N258),G246*Inputs!$F$19,N258))</f>
        <v xml:space="preserve"> </v>
      </c>
      <c r="H258" s="238" t="str">
        <f t="shared" si="23"/>
        <v xml:space="preserve"> </v>
      </c>
      <c r="I258" s="238" t="str">
        <f>IF(A258="N/A"," ",IF(ISERROR(O258),I246*Inputs!$F$19,O258))</f>
        <v xml:space="preserve"> </v>
      </c>
      <c r="J258" s="331" t="str">
        <f>IF(A258="N/A"," ",IF(ISERROR(P258),J246*Inputs!$F$23,P258))</f>
        <v xml:space="preserve"> </v>
      </c>
      <c r="L258" s="349" t="str">
        <f>IF(A258="N/A"," ",VLOOKUP(A258,PeakPowerCurves,(IF('Pricing Inputs'!$AT$3=2,3,IF('Pricing Inputs'!$AT$3=1,2,4))),FALSE))</f>
        <v xml:space="preserve"> </v>
      </c>
      <c r="M258" s="349" t="str">
        <f>IF(A258="N/A"," ",VLOOKUP(A258,SatSunPeakPwr,(IF('Pricing Inputs'!$AT$3=2,3,IF('Pricing Inputs'!$AT$3=1,2,4))),FALSE))</f>
        <v xml:space="preserve"> </v>
      </c>
      <c r="N258" s="349" t="str">
        <f>IF(A258="N/A"," ",VLOOKUP(A258,SatSunPeakPwr,(IF('Pricing Inputs'!$AT$3=2,7,IF('Pricing Inputs'!$AT$3=1,6,8))),FALSE))</f>
        <v xml:space="preserve"> </v>
      </c>
      <c r="O258" s="350" t="str">
        <f>IF(A258="N/A"," ",(VLOOKUP(A258,OPPowerPrices,(IF('Pricing Inputs'!$AT$3=2,7,IF('Pricing Inputs'!$AT$3=1,6,8))),FALSE)))</f>
        <v xml:space="preserve"> </v>
      </c>
      <c r="P258" s="351" t="str">
        <f t="shared" si="24"/>
        <v xml:space="preserve"> </v>
      </c>
    </row>
    <row r="259" spans="1:16">
      <c r="A259" s="208" t="str">
        <f>Calculations!A226</f>
        <v>N/A</v>
      </c>
      <c r="B259" s="237" t="str">
        <f>IF(A259="N/A"," ",IF(ISERROR(L259),B247*Inputs!$F$19,L259))</f>
        <v xml:space="preserve"> </v>
      </c>
      <c r="C259" s="239" t="str">
        <f t="shared" si="25"/>
        <v xml:space="preserve"> </v>
      </c>
      <c r="D259" s="238" t="str">
        <f t="shared" si="21"/>
        <v xml:space="preserve"> </v>
      </c>
      <c r="E259" s="237" t="str">
        <f>IF(A259="N/A"," ",IF(ISERROR(M259),E247*Inputs!$F$19,M259))</f>
        <v xml:space="preserve"> </v>
      </c>
      <c r="F259" s="238" t="str">
        <f t="shared" si="22"/>
        <v xml:space="preserve"> </v>
      </c>
      <c r="G259" s="237" t="str">
        <f>IF(A259="N/A"," ",IF(ISERROR(N259),G247*Inputs!$F$19,N259))</f>
        <v xml:space="preserve"> </v>
      </c>
      <c r="H259" s="238" t="str">
        <f t="shared" si="23"/>
        <v xml:space="preserve"> </v>
      </c>
      <c r="I259" s="238" t="str">
        <f>IF(A259="N/A"," ",IF(ISERROR(O259),I247*Inputs!$F$19,O259))</f>
        <v xml:space="preserve"> </v>
      </c>
      <c r="J259" s="331" t="str">
        <f>IF(A259="N/A"," ",IF(ISERROR(P259),J247*Inputs!$F$23,P259))</f>
        <v xml:space="preserve"> </v>
      </c>
      <c r="L259" s="349" t="str">
        <f>IF(A259="N/A"," ",VLOOKUP(A259,PeakPowerCurves,(IF('Pricing Inputs'!$AT$3=2,3,IF('Pricing Inputs'!$AT$3=1,2,4))),FALSE))</f>
        <v xml:space="preserve"> </v>
      </c>
      <c r="M259" s="349" t="str">
        <f>IF(A259="N/A"," ",VLOOKUP(A259,SatSunPeakPwr,(IF('Pricing Inputs'!$AT$3=2,3,IF('Pricing Inputs'!$AT$3=1,2,4))),FALSE))</f>
        <v xml:space="preserve"> </v>
      </c>
      <c r="N259" s="349" t="str">
        <f>IF(A259="N/A"," ",VLOOKUP(A259,SatSunPeakPwr,(IF('Pricing Inputs'!$AT$3=2,7,IF('Pricing Inputs'!$AT$3=1,6,8))),FALSE))</f>
        <v xml:space="preserve"> </v>
      </c>
      <c r="O259" s="350" t="str">
        <f>IF(A259="N/A"," ",(VLOOKUP(A259,OPPowerPrices,(IF('Pricing Inputs'!$AT$3=2,7,IF('Pricing Inputs'!$AT$3=1,6,8))),FALSE)))</f>
        <v xml:space="preserve"> </v>
      </c>
      <c r="P259" s="351" t="str">
        <f t="shared" si="24"/>
        <v xml:space="preserve"> </v>
      </c>
    </row>
    <row r="260" spans="1:16">
      <c r="A260" s="208" t="str">
        <f>Calculations!A227</f>
        <v>N/A</v>
      </c>
      <c r="B260" s="237" t="str">
        <f>IF(A260="N/A"," ",IF(ISERROR(L260),B248*Inputs!$F$19,L260))</f>
        <v xml:space="preserve"> </v>
      </c>
      <c r="C260" s="239" t="str">
        <f t="shared" si="25"/>
        <v xml:space="preserve"> </v>
      </c>
      <c r="D260" s="238" t="str">
        <f t="shared" si="21"/>
        <v xml:space="preserve"> </v>
      </c>
      <c r="E260" s="237" t="str">
        <f>IF(A260="N/A"," ",IF(ISERROR(M260),E248*Inputs!$F$19,M260))</f>
        <v xml:space="preserve"> </v>
      </c>
      <c r="F260" s="238" t="str">
        <f t="shared" si="22"/>
        <v xml:space="preserve"> </v>
      </c>
      <c r="G260" s="237" t="str">
        <f>IF(A260="N/A"," ",IF(ISERROR(N260),G248*Inputs!$F$19,N260))</f>
        <v xml:space="preserve"> </v>
      </c>
      <c r="H260" s="238" t="str">
        <f t="shared" si="23"/>
        <v xml:space="preserve"> </v>
      </c>
      <c r="I260" s="238" t="str">
        <f>IF(A260="N/A"," ",IF(ISERROR(O260),I248*Inputs!$F$19,O260))</f>
        <v xml:space="preserve"> </v>
      </c>
      <c r="J260" s="331" t="str">
        <f>IF(A260="N/A"," ",IF(ISERROR(P260),J248*Inputs!$F$23,P260))</f>
        <v xml:space="preserve"> </v>
      </c>
      <c r="L260" s="349" t="str">
        <f>IF(A260="N/A"," ",VLOOKUP(A260,PeakPowerCurves,(IF('Pricing Inputs'!$AT$3=2,3,IF('Pricing Inputs'!$AT$3=1,2,4))),FALSE))</f>
        <v xml:space="preserve"> </v>
      </c>
      <c r="M260" s="349" t="str">
        <f>IF(A260="N/A"," ",VLOOKUP(A260,SatSunPeakPwr,(IF('Pricing Inputs'!$AT$3=2,3,IF('Pricing Inputs'!$AT$3=1,2,4))),FALSE))</f>
        <v xml:space="preserve"> </v>
      </c>
      <c r="N260" s="349" t="str">
        <f>IF(A260="N/A"," ",VLOOKUP(A260,SatSunPeakPwr,(IF('Pricing Inputs'!$AT$3=2,7,IF('Pricing Inputs'!$AT$3=1,6,8))),FALSE))</f>
        <v xml:space="preserve"> </v>
      </c>
      <c r="O260" s="350" t="str">
        <f>IF(A260="N/A"," ",(VLOOKUP(A260,OPPowerPrices,(IF('Pricing Inputs'!$AT$3=2,7,IF('Pricing Inputs'!$AT$3=1,6,8))),FALSE)))</f>
        <v xml:space="preserve"> </v>
      </c>
      <c r="P260" s="351" t="str">
        <f t="shared" si="24"/>
        <v xml:space="preserve"> </v>
      </c>
    </row>
    <row r="261" spans="1:16">
      <c r="A261" s="208" t="str">
        <f>Calculations!A228</f>
        <v>N/A</v>
      </c>
      <c r="B261" s="237" t="str">
        <f>IF(A261="N/A"," ",IF(ISERROR(L261),B249*Inputs!$F$19,L261))</f>
        <v xml:space="preserve"> </v>
      </c>
      <c r="C261" s="239" t="str">
        <f t="shared" si="25"/>
        <v xml:space="preserve"> </v>
      </c>
      <c r="D261" s="238" t="str">
        <f t="shared" si="21"/>
        <v xml:space="preserve"> </v>
      </c>
      <c r="E261" s="237" t="str">
        <f>IF(A261="N/A"," ",IF(ISERROR(M261),E249*Inputs!$F$19,M261))</f>
        <v xml:space="preserve"> </v>
      </c>
      <c r="F261" s="238" t="str">
        <f t="shared" si="22"/>
        <v xml:space="preserve"> </v>
      </c>
      <c r="G261" s="237" t="str">
        <f>IF(A261="N/A"," ",IF(ISERROR(N261),G249*Inputs!$F$19,N261))</f>
        <v xml:space="preserve"> </v>
      </c>
      <c r="H261" s="238" t="str">
        <f t="shared" si="23"/>
        <v xml:space="preserve"> </v>
      </c>
      <c r="I261" s="238" t="str">
        <f>IF(A261="N/A"," ",IF(ISERROR(O261),I249*Inputs!$F$19,O261))</f>
        <v xml:space="preserve"> </v>
      </c>
      <c r="J261" s="331" t="str">
        <f>IF(A261="N/A"," ",IF(ISERROR(P261),J249*Inputs!$F$23,P261))</f>
        <v xml:space="preserve"> </v>
      </c>
      <c r="L261" s="349" t="str">
        <f>IF(A261="N/A"," ",VLOOKUP(A261,PeakPowerCurves,(IF('Pricing Inputs'!$AT$3=2,3,IF('Pricing Inputs'!$AT$3=1,2,4))),FALSE))</f>
        <v xml:space="preserve"> </v>
      </c>
      <c r="M261" s="349" t="str">
        <f>IF(A261="N/A"," ",VLOOKUP(A261,SatSunPeakPwr,(IF('Pricing Inputs'!$AT$3=2,3,IF('Pricing Inputs'!$AT$3=1,2,4))),FALSE))</f>
        <v xml:space="preserve"> </v>
      </c>
      <c r="N261" s="349" t="str">
        <f>IF(A261="N/A"," ",VLOOKUP(A261,SatSunPeakPwr,(IF('Pricing Inputs'!$AT$3=2,7,IF('Pricing Inputs'!$AT$3=1,6,8))),FALSE))</f>
        <v xml:space="preserve"> </v>
      </c>
      <c r="O261" s="350" t="str">
        <f>IF(A261="N/A"," ",(VLOOKUP(A261,OPPowerPrices,(IF('Pricing Inputs'!$AT$3=2,7,IF('Pricing Inputs'!$AT$3=1,6,8))),FALSE)))</f>
        <v xml:space="preserve"> </v>
      </c>
      <c r="P261" s="351" t="str">
        <f t="shared" si="24"/>
        <v xml:space="preserve"> </v>
      </c>
    </row>
    <row r="262" spans="1:16">
      <c r="A262" s="208" t="str">
        <f>Calculations!A229</f>
        <v>N/A</v>
      </c>
      <c r="B262" s="237" t="str">
        <f>IF(A262="N/A"," ",IF(ISERROR(L262),B250*Inputs!$F$19,L262))</f>
        <v xml:space="preserve"> </v>
      </c>
      <c r="C262" s="239" t="str">
        <f t="shared" si="25"/>
        <v xml:space="preserve"> </v>
      </c>
      <c r="D262" s="238" t="str">
        <f t="shared" si="21"/>
        <v xml:space="preserve"> </v>
      </c>
      <c r="E262" s="237" t="str">
        <f>IF(A262="N/A"," ",IF(ISERROR(M262),E250*Inputs!$F$19,M262))</f>
        <v xml:space="preserve"> </v>
      </c>
      <c r="F262" s="238" t="str">
        <f t="shared" si="22"/>
        <v xml:space="preserve"> </v>
      </c>
      <c r="G262" s="237" t="str">
        <f>IF(A262="N/A"," ",IF(ISERROR(N262),G250*Inputs!$F$19,N262))</f>
        <v xml:space="preserve"> </v>
      </c>
      <c r="H262" s="238" t="str">
        <f t="shared" si="23"/>
        <v xml:space="preserve"> </v>
      </c>
      <c r="I262" s="238" t="str">
        <f>IF(A262="N/A"," ",IF(ISERROR(O262),I250*Inputs!$F$19,O262))</f>
        <v xml:space="preserve"> </v>
      </c>
      <c r="J262" s="331" t="str">
        <f>IF(A262="N/A"," ",IF(ISERROR(P262),J250*Inputs!$F$23,P262))</f>
        <v xml:space="preserve"> </v>
      </c>
      <c r="L262" s="349" t="str">
        <f>IF(A262="N/A"," ",VLOOKUP(A262,PeakPowerCurves,(IF('Pricing Inputs'!$AT$3=2,3,IF('Pricing Inputs'!$AT$3=1,2,4))),FALSE))</f>
        <v xml:space="preserve"> </v>
      </c>
      <c r="M262" s="349" t="str">
        <f>IF(A262="N/A"," ",VLOOKUP(A262,SatSunPeakPwr,(IF('Pricing Inputs'!$AT$3=2,3,IF('Pricing Inputs'!$AT$3=1,2,4))),FALSE))</f>
        <v xml:space="preserve"> </v>
      </c>
      <c r="N262" s="349" t="str">
        <f>IF(A262="N/A"," ",VLOOKUP(A262,SatSunPeakPwr,(IF('Pricing Inputs'!$AT$3=2,7,IF('Pricing Inputs'!$AT$3=1,6,8))),FALSE))</f>
        <v xml:space="preserve"> </v>
      </c>
      <c r="O262" s="350" t="str">
        <f>IF(A262="N/A"," ",(VLOOKUP(A262,OPPowerPrices,(IF('Pricing Inputs'!$AT$3=2,7,IF('Pricing Inputs'!$AT$3=1,6,8))),FALSE)))</f>
        <v xml:space="preserve"> </v>
      </c>
      <c r="P262" s="351" t="str">
        <f t="shared" si="24"/>
        <v xml:space="preserve"> </v>
      </c>
    </row>
    <row r="263" spans="1:16">
      <c r="A263" s="208" t="str">
        <f>Calculations!A230</f>
        <v>N/A</v>
      </c>
      <c r="B263" s="237" t="str">
        <f>IF(A263="N/A"," ",IF(ISERROR(L263),B251*Inputs!$F$19,L263))</f>
        <v xml:space="preserve"> </v>
      </c>
      <c r="C263" s="239" t="str">
        <f t="shared" si="25"/>
        <v xml:space="preserve"> </v>
      </c>
      <c r="D263" s="238" t="str">
        <f t="shared" si="21"/>
        <v xml:space="preserve"> </v>
      </c>
      <c r="E263" s="237" t="str">
        <f>IF(A263="N/A"," ",IF(ISERROR(M263),E251*Inputs!$F$19,M263))</f>
        <v xml:space="preserve"> </v>
      </c>
      <c r="F263" s="238" t="str">
        <f t="shared" si="22"/>
        <v xml:space="preserve"> </v>
      </c>
      <c r="G263" s="237" t="str">
        <f>IF(A263="N/A"," ",IF(ISERROR(N263),G251*Inputs!$F$19,N263))</f>
        <v xml:space="preserve"> </v>
      </c>
      <c r="H263" s="238" t="str">
        <f t="shared" si="23"/>
        <v xml:space="preserve"> </v>
      </c>
      <c r="I263" s="238" t="str">
        <f>IF(A263="N/A"," ",IF(ISERROR(O263),I251*Inputs!$F$19,O263))</f>
        <v xml:space="preserve"> </v>
      </c>
      <c r="J263" s="331" t="str">
        <f>IF(A263="N/A"," ",IF(ISERROR(P263),J251*Inputs!$F$23,P263))</f>
        <v xml:space="preserve"> </v>
      </c>
      <c r="L263" s="349" t="str">
        <f>IF(A263="N/A"," ",VLOOKUP(A263,PeakPowerCurves,(IF('Pricing Inputs'!$AT$3=2,3,IF('Pricing Inputs'!$AT$3=1,2,4))),FALSE))</f>
        <v xml:space="preserve"> </v>
      </c>
      <c r="M263" s="349" t="str">
        <f>IF(A263="N/A"," ",VLOOKUP(A263,SatSunPeakPwr,(IF('Pricing Inputs'!$AT$3=2,3,IF('Pricing Inputs'!$AT$3=1,2,4))),FALSE))</f>
        <v xml:space="preserve"> </v>
      </c>
      <c r="N263" s="349" t="str">
        <f>IF(A263="N/A"," ",VLOOKUP(A263,SatSunPeakPwr,(IF('Pricing Inputs'!$AT$3=2,7,IF('Pricing Inputs'!$AT$3=1,6,8))),FALSE))</f>
        <v xml:space="preserve"> </v>
      </c>
      <c r="O263" s="350" t="str">
        <f>IF(A263="N/A"," ",(VLOOKUP(A263,OPPowerPrices,(IF('Pricing Inputs'!$AT$3=2,7,IF('Pricing Inputs'!$AT$3=1,6,8))),FALSE)))</f>
        <v xml:space="preserve"> </v>
      </c>
      <c r="P263" s="351" t="str">
        <f t="shared" si="24"/>
        <v xml:space="preserve"> </v>
      </c>
    </row>
    <row r="264" spans="1:16">
      <c r="A264" s="208" t="str">
        <f>Calculations!A231</f>
        <v>N/A</v>
      </c>
      <c r="B264" s="237" t="str">
        <f>IF(A264="N/A"," ",IF(ISERROR(L264),B252*Inputs!$F$19,L264))</f>
        <v xml:space="preserve"> </v>
      </c>
      <c r="C264" s="239" t="str">
        <f t="shared" si="25"/>
        <v xml:space="preserve"> </v>
      </c>
      <c r="D264" s="238" t="str">
        <f t="shared" si="21"/>
        <v xml:space="preserve"> </v>
      </c>
      <c r="E264" s="237" t="str">
        <f>IF(A264="N/A"," ",IF(ISERROR(M264),E252*Inputs!$F$19,M264))</f>
        <v xml:space="preserve"> </v>
      </c>
      <c r="F264" s="238" t="str">
        <f t="shared" si="22"/>
        <v xml:space="preserve"> </v>
      </c>
      <c r="G264" s="237" t="str">
        <f>IF(A264="N/A"," ",IF(ISERROR(N264),G252*Inputs!$F$19,N264))</f>
        <v xml:space="preserve"> </v>
      </c>
      <c r="H264" s="238" t="str">
        <f t="shared" si="23"/>
        <v xml:space="preserve"> </v>
      </c>
      <c r="I264" s="238" t="str">
        <f>IF(A264="N/A"," ",IF(ISERROR(O264),I252*Inputs!$F$19,O264))</f>
        <v xml:space="preserve"> </v>
      </c>
      <c r="J264" s="331" t="str">
        <f>IF(A264="N/A"," ",IF(ISERROR(P264),J252*Inputs!$F$23,P264))</f>
        <v xml:space="preserve"> </v>
      </c>
      <c r="L264" s="349" t="str">
        <f>IF(A264="N/A"," ",VLOOKUP(A264,PeakPowerCurves,(IF('Pricing Inputs'!$AT$3=2,3,IF('Pricing Inputs'!$AT$3=1,2,4))),FALSE))</f>
        <v xml:space="preserve"> </v>
      </c>
      <c r="M264" s="349" t="str">
        <f>IF(A264="N/A"," ",VLOOKUP(A264,SatSunPeakPwr,(IF('Pricing Inputs'!$AT$3=2,3,IF('Pricing Inputs'!$AT$3=1,2,4))),FALSE))</f>
        <v xml:space="preserve"> </v>
      </c>
      <c r="N264" s="349" t="str">
        <f>IF(A264="N/A"," ",VLOOKUP(A264,SatSunPeakPwr,(IF('Pricing Inputs'!$AT$3=2,7,IF('Pricing Inputs'!$AT$3=1,6,8))),FALSE))</f>
        <v xml:space="preserve"> </v>
      </c>
      <c r="O264" s="350" t="str">
        <f>IF(A264="N/A"," ",(VLOOKUP(A264,OPPowerPrices,(IF('Pricing Inputs'!$AT$3=2,7,IF('Pricing Inputs'!$AT$3=1,6,8))),FALSE)))</f>
        <v xml:space="preserve"> </v>
      </c>
      <c r="P264" s="351" t="str">
        <f t="shared" si="24"/>
        <v xml:space="preserve"> </v>
      </c>
    </row>
    <row r="265" spans="1:16">
      <c r="A265" s="208" t="str">
        <f>Calculations!A232</f>
        <v>N/A</v>
      </c>
      <c r="B265" s="237" t="str">
        <f>IF(A265="N/A"," ",IF(ISERROR(L265),B253*Inputs!$F$19,L265))</f>
        <v xml:space="preserve"> </v>
      </c>
      <c r="C265" s="239" t="str">
        <f t="shared" si="25"/>
        <v xml:space="preserve"> </v>
      </c>
      <c r="D265" s="238" t="str">
        <f t="shared" si="21"/>
        <v xml:space="preserve"> </v>
      </c>
      <c r="E265" s="237" t="str">
        <f>IF(A265="N/A"," ",IF(ISERROR(M265),E253*Inputs!$F$19,M265))</f>
        <v xml:space="preserve"> </v>
      </c>
      <c r="F265" s="238" t="str">
        <f t="shared" si="22"/>
        <v xml:space="preserve"> </v>
      </c>
      <c r="G265" s="237" t="str">
        <f>IF(A265="N/A"," ",IF(ISERROR(N265),G253*Inputs!$F$19,N265))</f>
        <v xml:space="preserve"> </v>
      </c>
      <c r="H265" s="238" t="str">
        <f t="shared" si="23"/>
        <v xml:space="preserve"> </v>
      </c>
      <c r="I265" s="238" t="str">
        <f>IF(A265="N/A"," ",IF(ISERROR(O265),I253*Inputs!$F$19,O265))</f>
        <v xml:space="preserve"> </v>
      </c>
      <c r="J265" s="331" t="str">
        <f>IF(A265="N/A"," ",IF(ISERROR(P265),J253*Inputs!$F$23,P265))</f>
        <v xml:space="preserve"> </v>
      </c>
      <c r="L265" s="349" t="str">
        <f>IF(A265="N/A"," ",VLOOKUP(A265,PeakPowerCurves,(IF('Pricing Inputs'!$AT$3=2,3,IF('Pricing Inputs'!$AT$3=1,2,4))),FALSE))</f>
        <v xml:space="preserve"> </v>
      </c>
      <c r="M265" s="349" t="str">
        <f>IF(A265="N/A"," ",VLOOKUP(A265,SatSunPeakPwr,(IF('Pricing Inputs'!$AT$3=2,3,IF('Pricing Inputs'!$AT$3=1,2,4))),FALSE))</f>
        <v xml:space="preserve"> </v>
      </c>
      <c r="N265" s="349" t="str">
        <f>IF(A265="N/A"," ",VLOOKUP(A265,SatSunPeakPwr,(IF('Pricing Inputs'!$AT$3=2,7,IF('Pricing Inputs'!$AT$3=1,6,8))),FALSE))</f>
        <v xml:space="preserve"> </v>
      </c>
      <c r="O265" s="350" t="str">
        <f>IF(A265="N/A"," ",(VLOOKUP(A265,OPPowerPrices,(IF('Pricing Inputs'!$AT$3=2,7,IF('Pricing Inputs'!$AT$3=1,6,8))),FALSE)))</f>
        <v xml:space="preserve"> </v>
      </c>
      <c r="P265" s="351" t="str">
        <f t="shared" si="24"/>
        <v xml:space="preserve"> </v>
      </c>
    </row>
    <row r="266" spans="1:16">
      <c r="A266" s="208" t="str">
        <f>Calculations!A233</f>
        <v>N/A</v>
      </c>
      <c r="B266" s="237" t="str">
        <f>IF(A266="N/A"," ",IF(ISERROR(L266),B254*Inputs!$F$19,L266))</f>
        <v xml:space="preserve"> </v>
      </c>
      <c r="C266" s="239" t="str">
        <f t="shared" si="25"/>
        <v xml:space="preserve"> </v>
      </c>
      <c r="D266" s="238" t="str">
        <f t="shared" si="21"/>
        <v xml:space="preserve"> </v>
      </c>
      <c r="E266" s="237" t="str">
        <f>IF(A266="N/A"," ",IF(ISERROR(M266),E254*Inputs!$F$19,M266))</f>
        <v xml:space="preserve"> </v>
      </c>
      <c r="F266" s="238" t="str">
        <f t="shared" si="22"/>
        <v xml:space="preserve"> </v>
      </c>
      <c r="G266" s="237" t="str">
        <f>IF(A266="N/A"," ",IF(ISERROR(N266),G254*Inputs!$F$19,N266))</f>
        <v xml:space="preserve"> </v>
      </c>
      <c r="H266" s="238" t="str">
        <f t="shared" si="23"/>
        <v xml:space="preserve"> </v>
      </c>
      <c r="I266" s="238" t="str">
        <f>IF(A266="N/A"," ",IF(ISERROR(O266),I254*Inputs!$F$19,O266))</f>
        <v xml:space="preserve"> </v>
      </c>
      <c r="J266" s="331" t="str">
        <f>IF(A266="N/A"," ",IF(ISERROR(P266),J254*Inputs!$F$23,P266))</f>
        <v xml:space="preserve"> </v>
      </c>
      <c r="L266" s="349" t="str">
        <f>IF(A266="N/A"," ",VLOOKUP(A266,PeakPowerCurves,(IF('Pricing Inputs'!$AT$3=2,3,IF('Pricing Inputs'!$AT$3=1,2,4))),FALSE))</f>
        <v xml:space="preserve"> </v>
      </c>
      <c r="M266" s="349" t="str">
        <f>IF(A266="N/A"," ",VLOOKUP(A266,SatSunPeakPwr,(IF('Pricing Inputs'!$AT$3=2,3,IF('Pricing Inputs'!$AT$3=1,2,4))),FALSE))</f>
        <v xml:space="preserve"> </v>
      </c>
      <c r="N266" s="349" t="str">
        <f>IF(A266="N/A"," ",VLOOKUP(A266,SatSunPeakPwr,(IF('Pricing Inputs'!$AT$3=2,7,IF('Pricing Inputs'!$AT$3=1,6,8))),FALSE))</f>
        <v xml:space="preserve"> </v>
      </c>
      <c r="O266" s="350" t="str">
        <f>IF(A266="N/A"," ",(VLOOKUP(A266,OPPowerPrices,(IF('Pricing Inputs'!$AT$3=2,7,IF('Pricing Inputs'!$AT$3=1,6,8))),FALSE)))</f>
        <v xml:space="preserve"> </v>
      </c>
      <c r="P266" s="351" t="str">
        <f t="shared" si="24"/>
        <v xml:space="preserve"> </v>
      </c>
    </row>
    <row r="267" spans="1:16">
      <c r="A267" s="208" t="str">
        <f>Calculations!A234</f>
        <v>N/A</v>
      </c>
      <c r="B267" s="237" t="str">
        <f>IF(A267="N/A"," ",IF(ISERROR(L267),B255*Inputs!$F$19,L267))</f>
        <v xml:space="preserve"> </v>
      </c>
      <c r="C267" s="239" t="str">
        <f t="shared" si="25"/>
        <v xml:space="preserve"> </v>
      </c>
      <c r="D267" s="238" t="str">
        <f t="shared" si="21"/>
        <v xml:space="preserve"> </v>
      </c>
      <c r="E267" s="237" t="str">
        <f>IF(A267="N/A"," ",IF(ISERROR(M267),E255*Inputs!$F$19,M267))</f>
        <v xml:space="preserve"> </v>
      </c>
      <c r="F267" s="238" t="str">
        <f t="shared" si="22"/>
        <v xml:space="preserve"> </v>
      </c>
      <c r="G267" s="237" t="str">
        <f>IF(A267="N/A"," ",IF(ISERROR(N267),G255*Inputs!$F$19,N267))</f>
        <v xml:space="preserve"> </v>
      </c>
      <c r="H267" s="238" t="str">
        <f t="shared" si="23"/>
        <v xml:space="preserve"> </v>
      </c>
      <c r="I267" s="238" t="str">
        <f>IF(A267="N/A"," ",IF(ISERROR(O267),I255*Inputs!$F$19,O267))</f>
        <v xml:space="preserve"> </v>
      </c>
      <c r="J267" s="331" t="str">
        <f>IF(A267="N/A"," ",IF(ISERROR(P267),J255*Inputs!$F$23,P267))</f>
        <v xml:space="preserve"> </v>
      </c>
      <c r="L267" s="349" t="str">
        <f>IF(A267="N/A"," ",VLOOKUP(A267,PeakPowerCurves,(IF('Pricing Inputs'!$AT$3=2,3,IF('Pricing Inputs'!$AT$3=1,2,4))),FALSE))</f>
        <v xml:space="preserve"> </v>
      </c>
      <c r="M267" s="349" t="str">
        <f>IF(A267="N/A"," ",VLOOKUP(A267,SatSunPeakPwr,(IF('Pricing Inputs'!$AT$3=2,3,IF('Pricing Inputs'!$AT$3=1,2,4))),FALSE))</f>
        <v xml:space="preserve"> </v>
      </c>
      <c r="N267" s="349" t="str">
        <f>IF(A267="N/A"," ",VLOOKUP(A267,SatSunPeakPwr,(IF('Pricing Inputs'!$AT$3=2,7,IF('Pricing Inputs'!$AT$3=1,6,8))),FALSE))</f>
        <v xml:space="preserve"> </v>
      </c>
      <c r="O267" s="350" t="str">
        <f>IF(A267="N/A"," ",(VLOOKUP(A267,OPPowerPrices,(IF('Pricing Inputs'!$AT$3=2,7,IF('Pricing Inputs'!$AT$3=1,6,8))),FALSE)))</f>
        <v xml:space="preserve"> </v>
      </c>
      <c r="P267" s="351" t="str">
        <f t="shared" si="24"/>
        <v xml:space="preserve"> </v>
      </c>
    </row>
    <row r="268" spans="1:16">
      <c r="A268" s="208" t="str">
        <f>Calculations!A235</f>
        <v>N/A</v>
      </c>
      <c r="B268" s="237" t="str">
        <f>IF(A268="N/A"," ",IF(ISERROR(L268),B256*Inputs!$F$19,L268))</f>
        <v xml:space="preserve"> </v>
      </c>
      <c r="C268" s="239" t="str">
        <f t="shared" si="25"/>
        <v xml:space="preserve"> </v>
      </c>
      <c r="D268" s="238" t="str">
        <f t="shared" si="21"/>
        <v xml:space="preserve"> </v>
      </c>
      <c r="E268" s="237" t="str">
        <f>IF(A268="N/A"," ",IF(ISERROR(M268),E256*Inputs!$F$19,M268))</f>
        <v xml:space="preserve"> </v>
      </c>
      <c r="F268" s="238" t="str">
        <f t="shared" si="22"/>
        <v xml:space="preserve"> </v>
      </c>
      <c r="G268" s="237" t="str">
        <f>IF(A268="N/A"," ",IF(ISERROR(N268),G256*Inputs!$F$19,N268))</f>
        <v xml:space="preserve"> </v>
      </c>
      <c r="H268" s="238" t="str">
        <f t="shared" si="23"/>
        <v xml:space="preserve"> </v>
      </c>
      <c r="I268" s="238" t="str">
        <f>IF(A268="N/A"," ",IF(ISERROR(O268),I256*Inputs!$F$19,O268))</f>
        <v xml:space="preserve"> </v>
      </c>
      <c r="J268" s="331" t="str">
        <f>IF(A268="N/A"," ",IF(ISERROR(P268),J256*Inputs!$F$23,P268))</f>
        <v xml:space="preserve"> </v>
      </c>
      <c r="L268" s="349" t="str">
        <f>IF(A268="N/A"," ",VLOOKUP(A268,PeakPowerCurves,(IF('Pricing Inputs'!$AT$3=2,3,IF('Pricing Inputs'!$AT$3=1,2,4))),FALSE))</f>
        <v xml:space="preserve"> </v>
      </c>
      <c r="M268" s="349" t="str">
        <f>IF(A268="N/A"," ",VLOOKUP(A268,SatSunPeakPwr,(IF('Pricing Inputs'!$AT$3=2,3,IF('Pricing Inputs'!$AT$3=1,2,4))),FALSE))</f>
        <v xml:space="preserve"> </v>
      </c>
      <c r="N268" s="349" t="str">
        <f>IF(A268="N/A"," ",VLOOKUP(A268,SatSunPeakPwr,(IF('Pricing Inputs'!$AT$3=2,7,IF('Pricing Inputs'!$AT$3=1,6,8))),FALSE))</f>
        <v xml:space="preserve"> </v>
      </c>
      <c r="O268" s="350" t="str">
        <f>IF(A268="N/A"," ",(VLOOKUP(A268,OPPowerPrices,(IF('Pricing Inputs'!$AT$3=2,7,IF('Pricing Inputs'!$AT$3=1,6,8))),FALSE)))</f>
        <v xml:space="preserve"> </v>
      </c>
      <c r="P268" s="351" t="str">
        <f t="shared" si="24"/>
        <v xml:space="preserve"> </v>
      </c>
    </row>
    <row r="269" spans="1:16">
      <c r="A269" s="208" t="str">
        <f>Calculations!A236</f>
        <v>N/A</v>
      </c>
      <c r="B269" s="237" t="str">
        <f>IF(A269="N/A"," ",IF(ISERROR(L269),B257*Inputs!$F$19,L269))</f>
        <v xml:space="preserve"> </v>
      </c>
      <c r="C269" s="239" t="str">
        <f t="shared" si="25"/>
        <v xml:space="preserve"> </v>
      </c>
      <c r="D269" s="238" t="str">
        <f t="shared" si="21"/>
        <v xml:space="preserve"> </v>
      </c>
      <c r="E269" s="237" t="str">
        <f>IF(A269="N/A"," ",IF(ISERROR(M269),E257*Inputs!$F$19,M269))</f>
        <v xml:space="preserve"> </v>
      </c>
      <c r="F269" s="238" t="str">
        <f t="shared" si="22"/>
        <v xml:space="preserve"> </v>
      </c>
      <c r="G269" s="237" t="str">
        <f>IF(A269="N/A"," ",IF(ISERROR(N269),G257*Inputs!$F$19,N269))</f>
        <v xml:space="preserve"> </v>
      </c>
      <c r="H269" s="238" t="str">
        <f t="shared" si="23"/>
        <v xml:space="preserve"> </v>
      </c>
      <c r="I269" s="238" t="str">
        <f>IF(A269="N/A"," ",IF(ISERROR(O269),I257*Inputs!$F$19,O269))</f>
        <v xml:space="preserve"> </v>
      </c>
      <c r="J269" s="331" t="str">
        <f>IF(A269="N/A"," ",IF(ISERROR(P269),J257*Inputs!$F$23,P269))</f>
        <v xml:space="preserve"> </v>
      </c>
      <c r="L269" s="349" t="str">
        <f>IF(A269="N/A"," ",VLOOKUP(A269,PeakPowerCurves,(IF('Pricing Inputs'!$AT$3=2,3,IF('Pricing Inputs'!$AT$3=1,2,4))),FALSE))</f>
        <v xml:space="preserve"> </v>
      </c>
      <c r="M269" s="349" t="str">
        <f>IF(A269="N/A"," ",VLOOKUP(A269,SatSunPeakPwr,(IF('Pricing Inputs'!$AT$3=2,3,IF('Pricing Inputs'!$AT$3=1,2,4))),FALSE))</f>
        <v xml:space="preserve"> </v>
      </c>
      <c r="N269" s="349" t="str">
        <f>IF(A269="N/A"," ",VLOOKUP(A269,SatSunPeakPwr,(IF('Pricing Inputs'!$AT$3=2,7,IF('Pricing Inputs'!$AT$3=1,6,8))),FALSE))</f>
        <v xml:space="preserve"> </v>
      </c>
      <c r="O269" s="350" t="str">
        <f>IF(A269="N/A"," ",(VLOOKUP(A269,OPPowerPrices,(IF('Pricing Inputs'!$AT$3=2,7,IF('Pricing Inputs'!$AT$3=1,6,8))),FALSE)))</f>
        <v xml:space="preserve"> </v>
      </c>
      <c r="P269" s="351" t="str">
        <f t="shared" si="24"/>
        <v xml:space="preserve"> </v>
      </c>
    </row>
    <row r="270" spans="1:16">
      <c r="A270" s="208" t="str">
        <f>Calculations!A237</f>
        <v>N/A</v>
      </c>
      <c r="B270" s="237" t="str">
        <f>IF(A270="N/A"," ",IF(ISERROR(L270),B258*Inputs!$F$19,L270))</f>
        <v xml:space="preserve"> </v>
      </c>
      <c r="C270" s="239" t="str">
        <f t="shared" si="25"/>
        <v xml:space="preserve"> </v>
      </c>
      <c r="D270" s="238" t="str">
        <f t="shared" si="21"/>
        <v xml:space="preserve"> </v>
      </c>
      <c r="E270" s="237" t="str">
        <f>IF(A270="N/A"," ",IF(ISERROR(M270),E258*Inputs!$F$19,M270))</f>
        <v xml:space="preserve"> </v>
      </c>
      <c r="F270" s="238" t="str">
        <f t="shared" si="22"/>
        <v xml:space="preserve"> </v>
      </c>
      <c r="G270" s="237" t="str">
        <f>IF(A270="N/A"," ",IF(ISERROR(N270),G258*Inputs!$F$19,N270))</f>
        <v xml:space="preserve"> </v>
      </c>
      <c r="H270" s="238" t="str">
        <f t="shared" si="23"/>
        <v xml:space="preserve"> </v>
      </c>
      <c r="I270" s="238" t="str">
        <f>IF(A270="N/A"," ",IF(ISERROR(O270),I258*Inputs!$F$19,O270))</f>
        <v xml:space="preserve"> </v>
      </c>
      <c r="J270" s="331" t="str">
        <f>IF(A270="N/A"," ",IF(ISERROR(P270),J258*Inputs!$F$23,P270))</f>
        <v xml:space="preserve"> </v>
      </c>
      <c r="L270" s="349" t="str">
        <f>IF(A270="N/A"," ",VLOOKUP(A270,PeakPowerCurves,(IF('Pricing Inputs'!$AT$3=2,3,IF('Pricing Inputs'!$AT$3=1,2,4))),FALSE))</f>
        <v xml:space="preserve"> </v>
      </c>
      <c r="M270" s="349" t="str">
        <f>IF(A270="N/A"," ",VLOOKUP(A270,SatSunPeakPwr,(IF('Pricing Inputs'!$AT$3=2,3,IF('Pricing Inputs'!$AT$3=1,2,4))),FALSE))</f>
        <v xml:space="preserve"> </v>
      </c>
      <c r="N270" s="349" t="str">
        <f>IF(A270="N/A"," ",VLOOKUP(A270,SatSunPeakPwr,(IF('Pricing Inputs'!$AT$3=2,7,IF('Pricing Inputs'!$AT$3=1,6,8))),FALSE))</f>
        <v xml:space="preserve"> </v>
      </c>
      <c r="O270" s="350" t="str">
        <f>IF(A270="N/A"," ",(VLOOKUP(A270,OPPowerPrices,(IF('Pricing Inputs'!$AT$3=2,7,IF('Pricing Inputs'!$AT$3=1,6,8))),FALSE)))</f>
        <v xml:space="preserve"> </v>
      </c>
      <c r="P270" s="351" t="str">
        <f t="shared" si="24"/>
        <v xml:space="preserve"> </v>
      </c>
    </row>
    <row r="271" spans="1:16">
      <c r="A271" s="208" t="str">
        <f>Calculations!A238</f>
        <v>N/A</v>
      </c>
      <c r="B271" s="237" t="str">
        <f>IF(A271="N/A"," ",IF(ISERROR(L271),B259*Inputs!$F$19,L271))</f>
        <v xml:space="preserve"> </v>
      </c>
      <c r="C271" s="239" t="str">
        <f t="shared" si="25"/>
        <v xml:space="preserve"> </v>
      </c>
      <c r="D271" s="238" t="str">
        <f t="shared" si="21"/>
        <v xml:space="preserve"> </v>
      </c>
      <c r="E271" s="237" t="str">
        <f>IF(A271="N/A"," ",IF(ISERROR(M271),E259*Inputs!$F$19,M271))</f>
        <v xml:space="preserve"> </v>
      </c>
      <c r="F271" s="238" t="str">
        <f t="shared" si="22"/>
        <v xml:space="preserve"> </v>
      </c>
      <c r="G271" s="237" t="str">
        <f>IF(A271="N/A"," ",IF(ISERROR(N271),G259*Inputs!$F$19,N271))</f>
        <v xml:space="preserve"> </v>
      </c>
      <c r="H271" s="238" t="str">
        <f t="shared" si="23"/>
        <v xml:space="preserve"> </v>
      </c>
      <c r="I271" s="238" t="str">
        <f>IF(A271="N/A"," ",IF(ISERROR(O271),I259*Inputs!$F$19,O271))</f>
        <v xml:space="preserve"> </v>
      </c>
      <c r="J271" s="331" t="str">
        <f>IF(A271="N/A"," ",IF(ISERROR(P271),J259*Inputs!$F$23,P271))</f>
        <v xml:space="preserve"> </v>
      </c>
      <c r="L271" s="349" t="str">
        <f>IF(A271="N/A"," ",VLOOKUP(A271,PeakPowerCurves,(IF('Pricing Inputs'!$AT$3=2,3,IF('Pricing Inputs'!$AT$3=1,2,4))),FALSE))</f>
        <v xml:space="preserve"> </v>
      </c>
      <c r="M271" s="349" t="str">
        <f>IF(A271="N/A"," ",VLOOKUP(A271,SatSunPeakPwr,(IF('Pricing Inputs'!$AT$3=2,3,IF('Pricing Inputs'!$AT$3=1,2,4))),FALSE))</f>
        <v xml:space="preserve"> </v>
      </c>
      <c r="N271" s="349" t="str">
        <f>IF(A271="N/A"," ",VLOOKUP(A271,SatSunPeakPwr,(IF('Pricing Inputs'!$AT$3=2,7,IF('Pricing Inputs'!$AT$3=1,6,8))),FALSE))</f>
        <v xml:space="preserve"> </v>
      </c>
      <c r="O271" s="350" t="str">
        <f>IF(A271="N/A"," ",(VLOOKUP(A271,OPPowerPrices,(IF('Pricing Inputs'!$AT$3=2,7,IF('Pricing Inputs'!$AT$3=1,6,8))),FALSE)))</f>
        <v xml:space="preserve"> </v>
      </c>
      <c r="P271" s="351" t="str">
        <f t="shared" si="24"/>
        <v xml:space="preserve"> </v>
      </c>
    </row>
    <row r="272" spans="1:16">
      <c r="A272" s="208" t="str">
        <f>Calculations!A239</f>
        <v>N/A</v>
      </c>
      <c r="B272" s="237" t="str">
        <f>IF(A272="N/A"," ",IF(ISERROR(L272),B260*Inputs!$F$19,L272))</f>
        <v xml:space="preserve"> </v>
      </c>
      <c r="C272" s="239" t="str">
        <f t="shared" si="25"/>
        <v xml:space="preserve"> </v>
      </c>
      <c r="D272" s="238" t="str">
        <f t="shared" si="21"/>
        <v xml:space="preserve"> </v>
      </c>
      <c r="E272" s="237" t="str">
        <f>IF(A272="N/A"," ",IF(ISERROR(M272),E260*Inputs!$F$19,M272))</f>
        <v xml:space="preserve"> </v>
      </c>
      <c r="F272" s="238" t="str">
        <f t="shared" si="22"/>
        <v xml:space="preserve"> </v>
      </c>
      <c r="G272" s="237" t="str">
        <f>IF(A272="N/A"," ",IF(ISERROR(N272),G260*Inputs!$F$19,N272))</f>
        <v xml:space="preserve"> </v>
      </c>
      <c r="H272" s="238" t="str">
        <f t="shared" si="23"/>
        <v xml:space="preserve"> </v>
      </c>
      <c r="I272" s="238" t="str">
        <f>IF(A272="N/A"," ",IF(ISERROR(O272),I260*Inputs!$F$19,O272))</f>
        <v xml:space="preserve"> </v>
      </c>
      <c r="J272" s="331" t="str">
        <f>IF(A272="N/A"," ",IF(ISERROR(P272),J260*Inputs!$F$23,P272))</f>
        <v xml:space="preserve"> </v>
      </c>
      <c r="L272" s="349" t="str">
        <f>IF(A272="N/A"," ",VLOOKUP(A272,PeakPowerCurves,(IF('Pricing Inputs'!$AT$3=2,3,IF('Pricing Inputs'!$AT$3=1,2,4))),FALSE))</f>
        <v xml:space="preserve"> </v>
      </c>
      <c r="M272" s="349" t="str">
        <f>IF(A272="N/A"," ",VLOOKUP(A272,SatSunPeakPwr,(IF('Pricing Inputs'!$AT$3=2,3,IF('Pricing Inputs'!$AT$3=1,2,4))),FALSE))</f>
        <v xml:space="preserve"> </v>
      </c>
      <c r="N272" s="349" t="str">
        <f>IF(A272="N/A"," ",VLOOKUP(A272,SatSunPeakPwr,(IF('Pricing Inputs'!$AT$3=2,7,IF('Pricing Inputs'!$AT$3=1,6,8))),FALSE))</f>
        <v xml:space="preserve"> </v>
      </c>
      <c r="O272" s="350" t="str">
        <f>IF(A272="N/A"," ",(VLOOKUP(A272,OPPowerPrices,(IF('Pricing Inputs'!$AT$3=2,7,IF('Pricing Inputs'!$AT$3=1,6,8))),FALSE)))</f>
        <v xml:space="preserve"> </v>
      </c>
      <c r="P272" s="351" t="str">
        <f t="shared" si="24"/>
        <v xml:space="preserve"> </v>
      </c>
    </row>
    <row r="273" spans="1:16">
      <c r="A273" s="208" t="str">
        <f>Calculations!A240</f>
        <v>N/A</v>
      </c>
      <c r="B273" s="237" t="str">
        <f>IF(A273="N/A"," ",IF(ISERROR(L273),B261*Inputs!$F$19,L273))</f>
        <v xml:space="preserve"> </v>
      </c>
      <c r="C273" s="239" t="str">
        <f t="shared" si="25"/>
        <v xml:space="preserve"> </v>
      </c>
      <c r="D273" s="238" t="str">
        <f t="shared" si="21"/>
        <v xml:space="preserve"> </v>
      </c>
      <c r="E273" s="237" t="str">
        <f>IF(A273="N/A"," ",IF(ISERROR(M273),E261*Inputs!$F$19,M273))</f>
        <v xml:space="preserve"> </v>
      </c>
      <c r="F273" s="238" t="str">
        <f t="shared" si="22"/>
        <v xml:space="preserve"> </v>
      </c>
      <c r="G273" s="237" t="str">
        <f>IF(A273="N/A"," ",IF(ISERROR(N273),G261*Inputs!$F$19,N273))</f>
        <v xml:space="preserve"> </v>
      </c>
      <c r="H273" s="238" t="str">
        <f t="shared" si="23"/>
        <v xml:space="preserve"> </v>
      </c>
      <c r="I273" s="238" t="str">
        <f>IF(A273="N/A"," ",IF(ISERROR(O273),I261*Inputs!$F$19,O273))</f>
        <v xml:space="preserve"> </v>
      </c>
      <c r="J273" s="331" t="str">
        <f>IF(A273="N/A"," ",IF(ISERROR(P273),J261*Inputs!$F$23,P273))</f>
        <v xml:space="preserve"> </v>
      </c>
      <c r="L273" s="349" t="str">
        <f>IF(A273="N/A"," ",VLOOKUP(A273,PeakPowerCurves,(IF('Pricing Inputs'!$AT$3=2,3,IF('Pricing Inputs'!$AT$3=1,2,4))),FALSE))</f>
        <v xml:space="preserve"> </v>
      </c>
      <c r="M273" s="349" t="str">
        <f>IF(A273="N/A"," ",VLOOKUP(A273,SatSunPeakPwr,(IF('Pricing Inputs'!$AT$3=2,3,IF('Pricing Inputs'!$AT$3=1,2,4))),FALSE))</f>
        <v xml:space="preserve"> </v>
      </c>
      <c r="N273" s="349" t="str">
        <f>IF(A273="N/A"," ",VLOOKUP(A273,SatSunPeakPwr,(IF('Pricing Inputs'!$AT$3=2,7,IF('Pricing Inputs'!$AT$3=1,6,8))),FALSE))</f>
        <v xml:space="preserve"> </v>
      </c>
      <c r="O273" s="350" t="str">
        <f>IF(A273="N/A"," ",(VLOOKUP(A273,OPPowerPrices,(IF('Pricing Inputs'!$AT$3=2,7,IF('Pricing Inputs'!$AT$3=1,6,8))),FALSE)))</f>
        <v xml:space="preserve"> </v>
      </c>
      <c r="P273" s="351" t="str">
        <f t="shared" si="24"/>
        <v xml:space="preserve"> </v>
      </c>
    </row>
    <row r="274" spans="1:16">
      <c r="A274" s="208" t="str">
        <f>Calculations!A241</f>
        <v>N/A</v>
      </c>
      <c r="B274" s="237" t="str">
        <f>IF(A274="N/A"," ",IF(ISERROR(L274),B262*Inputs!$F$19,L274))</f>
        <v xml:space="preserve"> </v>
      </c>
      <c r="C274" s="239" t="str">
        <f t="shared" si="25"/>
        <v xml:space="preserve"> </v>
      </c>
      <c r="D274" s="238" t="str">
        <f t="shared" si="21"/>
        <v xml:space="preserve"> </v>
      </c>
      <c r="E274" s="237" t="str">
        <f>IF(A274="N/A"," ",IF(ISERROR(M274),E262*Inputs!$F$19,M274))</f>
        <v xml:space="preserve"> </v>
      </c>
      <c r="F274" s="238" t="str">
        <f t="shared" si="22"/>
        <v xml:space="preserve"> </v>
      </c>
      <c r="G274" s="237" t="str">
        <f>IF(A274="N/A"," ",IF(ISERROR(N274),G262*Inputs!$F$19,N274))</f>
        <v xml:space="preserve"> </v>
      </c>
      <c r="H274" s="238" t="str">
        <f t="shared" si="23"/>
        <v xml:space="preserve"> </v>
      </c>
      <c r="I274" s="238" t="str">
        <f>IF(A274="N/A"," ",IF(ISERROR(O274),I262*Inputs!$F$19,O274))</f>
        <v xml:space="preserve"> </v>
      </c>
      <c r="J274" s="331" t="str">
        <f>IF(A274="N/A"," ",IF(ISERROR(P274),J262*Inputs!$F$23,P274))</f>
        <v xml:space="preserve"> </v>
      </c>
      <c r="L274" s="349" t="str">
        <f>IF(A274="N/A"," ",VLOOKUP(A274,PeakPowerCurves,(IF('Pricing Inputs'!$AT$3=2,3,IF('Pricing Inputs'!$AT$3=1,2,4))),FALSE))</f>
        <v xml:space="preserve"> </v>
      </c>
      <c r="M274" s="349" t="str">
        <f>IF(A274="N/A"," ",VLOOKUP(A274,SatSunPeakPwr,(IF('Pricing Inputs'!$AT$3=2,3,IF('Pricing Inputs'!$AT$3=1,2,4))),FALSE))</f>
        <v xml:space="preserve"> </v>
      </c>
      <c r="N274" s="349" t="str">
        <f>IF(A274="N/A"," ",VLOOKUP(A274,SatSunPeakPwr,(IF('Pricing Inputs'!$AT$3=2,7,IF('Pricing Inputs'!$AT$3=1,6,8))),FALSE))</f>
        <v xml:space="preserve"> </v>
      </c>
      <c r="O274" s="350" t="str">
        <f>IF(A274="N/A"," ",(VLOOKUP(A274,OPPowerPrices,(IF('Pricing Inputs'!$AT$3=2,7,IF('Pricing Inputs'!$AT$3=1,6,8))),FALSE)))</f>
        <v xml:space="preserve"> </v>
      </c>
      <c r="P274" s="351" t="str">
        <f t="shared" si="24"/>
        <v xml:space="preserve"> </v>
      </c>
    </row>
    <row r="275" spans="1:16">
      <c r="A275" s="208" t="str">
        <f>Calculations!A242</f>
        <v>N/A</v>
      </c>
      <c r="B275" s="237" t="str">
        <f>IF(A275="N/A"," ",IF(ISERROR(L275),B263*Inputs!$F$19,L275))</f>
        <v xml:space="preserve"> </v>
      </c>
      <c r="C275" s="239" t="str">
        <f t="shared" si="25"/>
        <v xml:space="preserve"> </v>
      </c>
      <c r="D275" s="238" t="str">
        <f t="shared" si="21"/>
        <v xml:space="preserve"> </v>
      </c>
      <c r="E275" s="237" t="str">
        <f>IF(A275="N/A"," ",IF(ISERROR(M275),E263*Inputs!$F$19,M275))</f>
        <v xml:space="preserve"> </v>
      </c>
      <c r="F275" s="238" t="str">
        <f t="shared" si="22"/>
        <v xml:space="preserve"> </v>
      </c>
      <c r="G275" s="237" t="str">
        <f>IF(A275="N/A"," ",IF(ISERROR(N275),G263*Inputs!$F$19,N275))</f>
        <v xml:space="preserve"> </v>
      </c>
      <c r="H275" s="238" t="str">
        <f t="shared" si="23"/>
        <v xml:space="preserve"> </v>
      </c>
      <c r="I275" s="238" t="str">
        <f>IF(A275="N/A"," ",IF(ISERROR(O275),I263*Inputs!$F$19,O275))</f>
        <v xml:space="preserve"> </v>
      </c>
      <c r="J275" s="331" t="str">
        <f>IF(A275="N/A"," ",IF(ISERROR(P275),J263*Inputs!$F$23,P275))</f>
        <v xml:space="preserve"> </v>
      </c>
      <c r="L275" s="349" t="str">
        <f>IF(A275="N/A"," ",VLOOKUP(A275,PeakPowerCurves,(IF('Pricing Inputs'!$AT$3=2,3,IF('Pricing Inputs'!$AT$3=1,2,4))),FALSE))</f>
        <v xml:space="preserve"> </v>
      </c>
      <c r="M275" s="349" t="str">
        <f>IF(A275="N/A"," ",VLOOKUP(A275,SatSunPeakPwr,(IF('Pricing Inputs'!$AT$3=2,3,IF('Pricing Inputs'!$AT$3=1,2,4))),FALSE))</f>
        <v xml:space="preserve"> </v>
      </c>
      <c r="N275" s="349" t="str">
        <f>IF(A275="N/A"," ",VLOOKUP(A275,SatSunPeakPwr,(IF('Pricing Inputs'!$AT$3=2,7,IF('Pricing Inputs'!$AT$3=1,6,8))),FALSE))</f>
        <v xml:space="preserve"> </v>
      </c>
      <c r="O275" s="350" t="str">
        <f>IF(A275="N/A"," ",(VLOOKUP(A275,OPPowerPrices,(IF('Pricing Inputs'!$AT$3=2,7,IF('Pricing Inputs'!$AT$3=1,6,8))),FALSE)))</f>
        <v xml:space="preserve"> </v>
      </c>
      <c r="P275" s="351" t="str">
        <f t="shared" si="24"/>
        <v xml:space="preserve"> </v>
      </c>
    </row>
    <row r="276" spans="1:16">
      <c r="A276" s="208" t="str">
        <f>Calculations!A243</f>
        <v>N/A</v>
      </c>
      <c r="B276" s="237" t="str">
        <f>IF(A276="N/A"," ",IF(ISERROR(L276),B264*Inputs!$F$19,L276))</f>
        <v xml:space="preserve"> </v>
      </c>
      <c r="C276" s="239" t="str">
        <f t="shared" si="25"/>
        <v xml:space="preserve"> </v>
      </c>
      <c r="D276" s="238" t="str">
        <f t="shared" si="21"/>
        <v xml:space="preserve"> </v>
      </c>
      <c r="E276" s="237" t="str">
        <f>IF(A276="N/A"," ",IF(ISERROR(M276),E264*Inputs!$F$19,M276))</f>
        <v xml:space="preserve"> </v>
      </c>
      <c r="F276" s="238" t="str">
        <f t="shared" si="22"/>
        <v xml:space="preserve"> </v>
      </c>
      <c r="G276" s="237" t="str">
        <f>IF(A276="N/A"," ",IF(ISERROR(N276),G264*Inputs!$F$19,N276))</f>
        <v xml:space="preserve"> </v>
      </c>
      <c r="H276" s="238" t="str">
        <f t="shared" si="23"/>
        <v xml:space="preserve"> </v>
      </c>
      <c r="I276" s="238" t="str">
        <f>IF(A276="N/A"," ",IF(ISERROR(O276),I264*Inputs!$F$19,O276))</f>
        <v xml:space="preserve"> </v>
      </c>
      <c r="J276" s="331" t="str">
        <f>IF(A276="N/A"," ",IF(ISERROR(P276),J264*Inputs!$F$23,P276))</f>
        <v xml:space="preserve"> </v>
      </c>
      <c r="L276" s="349" t="str">
        <f>IF(A276="N/A"," ",VLOOKUP(A276,PeakPowerCurves,(IF('Pricing Inputs'!$AT$3=2,3,IF('Pricing Inputs'!$AT$3=1,2,4))),FALSE))</f>
        <v xml:space="preserve"> </v>
      </c>
      <c r="M276" s="349" t="str">
        <f>IF(A276="N/A"," ",VLOOKUP(A276,SatSunPeakPwr,(IF('Pricing Inputs'!$AT$3=2,3,IF('Pricing Inputs'!$AT$3=1,2,4))),FALSE))</f>
        <v xml:space="preserve"> </v>
      </c>
      <c r="N276" s="349" t="str">
        <f>IF(A276="N/A"," ",VLOOKUP(A276,SatSunPeakPwr,(IF('Pricing Inputs'!$AT$3=2,7,IF('Pricing Inputs'!$AT$3=1,6,8))),FALSE))</f>
        <v xml:space="preserve"> </v>
      </c>
      <c r="O276" s="350" t="str">
        <f>IF(A276="N/A"," ",(VLOOKUP(A276,OPPowerPrices,(IF('Pricing Inputs'!$AT$3=2,7,IF('Pricing Inputs'!$AT$3=1,6,8))),FALSE)))</f>
        <v xml:space="preserve"> </v>
      </c>
      <c r="P276" s="351" t="str">
        <f t="shared" si="24"/>
        <v xml:space="preserve"> </v>
      </c>
    </row>
    <row r="277" spans="1:16">
      <c r="A277" s="208" t="str">
        <f>Calculations!A244</f>
        <v>N/A</v>
      </c>
      <c r="B277" s="237" t="str">
        <f>IF(A277="N/A"," ",IF(ISERROR(L277),B265*Inputs!$F$19,L277))</f>
        <v xml:space="preserve"> </v>
      </c>
      <c r="C277" s="239" t="str">
        <f t="shared" si="25"/>
        <v xml:space="preserve"> </v>
      </c>
      <c r="D277" s="238" t="str">
        <f t="shared" si="21"/>
        <v xml:space="preserve"> </v>
      </c>
      <c r="E277" s="237" t="str">
        <f>IF(A277="N/A"," ",IF(ISERROR(M277),E265*Inputs!$F$19,M277))</f>
        <v xml:space="preserve"> </v>
      </c>
      <c r="F277" s="238" t="str">
        <f t="shared" si="22"/>
        <v xml:space="preserve"> </v>
      </c>
      <c r="G277" s="237" t="str">
        <f>IF(A277="N/A"," ",IF(ISERROR(N277),G265*Inputs!$F$19,N277))</f>
        <v xml:space="preserve"> </v>
      </c>
      <c r="H277" s="238" t="str">
        <f t="shared" si="23"/>
        <v xml:space="preserve"> </v>
      </c>
      <c r="I277" s="238" t="str">
        <f>IF(A277="N/A"," ",IF(ISERROR(O277),I265*Inputs!$F$19,O277))</f>
        <v xml:space="preserve"> </v>
      </c>
      <c r="J277" s="331" t="str">
        <f>IF(A277="N/A"," ",IF(ISERROR(P277),J265*Inputs!$F$23,P277))</f>
        <v xml:space="preserve"> </v>
      </c>
      <c r="L277" s="349" t="str">
        <f>IF(A277="N/A"," ",VLOOKUP(A277,PeakPowerCurves,(IF('Pricing Inputs'!$AT$3=2,3,IF('Pricing Inputs'!$AT$3=1,2,4))),FALSE))</f>
        <v xml:space="preserve"> </v>
      </c>
      <c r="M277" s="349" t="str">
        <f>IF(A277="N/A"," ",VLOOKUP(A277,SatSunPeakPwr,(IF('Pricing Inputs'!$AT$3=2,3,IF('Pricing Inputs'!$AT$3=1,2,4))),FALSE))</f>
        <v xml:space="preserve"> </v>
      </c>
      <c r="N277" s="349" t="str">
        <f>IF(A277="N/A"," ",VLOOKUP(A277,SatSunPeakPwr,(IF('Pricing Inputs'!$AT$3=2,7,IF('Pricing Inputs'!$AT$3=1,6,8))),FALSE))</f>
        <v xml:space="preserve"> </v>
      </c>
      <c r="O277" s="350" t="str">
        <f>IF(A277="N/A"," ",(VLOOKUP(A277,OPPowerPrices,(IF('Pricing Inputs'!$AT$3=2,7,IF('Pricing Inputs'!$AT$3=1,6,8))),FALSE)))</f>
        <v xml:space="preserve"> </v>
      </c>
      <c r="P277" s="351" t="str">
        <f t="shared" si="24"/>
        <v xml:space="preserve"> </v>
      </c>
    </row>
    <row r="278" spans="1:16">
      <c r="A278" s="208" t="str">
        <f>Calculations!A245</f>
        <v>N/A</v>
      </c>
      <c r="B278" s="237" t="str">
        <f>IF(A278="N/A"," ",IF(ISERROR(L278),B266*Inputs!$F$19,L278))</f>
        <v xml:space="preserve"> </v>
      </c>
      <c r="C278" s="239" t="str">
        <f t="shared" si="25"/>
        <v xml:space="preserve"> </v>
      </c>
      <c r="D278" s="238" t="str">
        <f t="shared" si="21"/>
        <v xml:space="preserve"> </v>
      </c>
      <c r="E278" s="237" t="str">
        <f>IF(A278="N/A"," ",IF(ISERROR(M278),E266*Inputs!$F$19,M278))</f>
        <v xml:space="preserve"> </v>
      </c>
      <c r="F278" s="238" t="str">
        <f t="shared" si="22"/>
        <v xml:space="preserve"> </v>
      </c>
      <c r="G278" s="237" t="str">
        <f>IF(A278="N/A"," ",IF(ISERROR(N278),G266*Inputs!$F$19,N278))</f>
        <v xml:space="preserve"> </v>
      </c>
      <c r="H278" s="238" t="str">
        <f t="shared" si="23"/>
        <v xml:space="preserve"> </v>
      </c>
      <c r="I278" s="238" t="str">
        <f>IF(A278="N/A"," ",IF(ISERROR(O278),I266*Inputs!$F$19,O278))</f>
        <v xml:space="preserve"> </v>
      </c>
      <c r="J278" s="331" t="str">
        <f>IF(A278="N/A"," ",IF(ISERROR(P278),J266*Inputs!$F$23,P278))</f>
        <v xml:space="preserve"> </v>
      </c>
      <c r="L278" s="349" t="str">
        <f>IF(A278="N/A"," ",VLOOKUP(A278,PeakPowerCurves,(IF('Pricing Inputs'!$AT$3=2,3,IF('Pricing Inputs'!$AT$3=1,2,4))),FALSE))</f>
        <v xml:space="preserve"> </v>
      </c>
      <c r="M278" s="349" t="str">
        <f>IF(A278="N/A"," ",VLOOKUP(A278,SatSunPeakPwr,(IF('Pricing Inputs'!$AT$3=2,3,IF('Pricing Inputs'!$AT$3=1,2,4))),FALSE))</f>
        <v xml:space="preserve"> </v>
      </c>
      <c r="N278" s="349" t="str">
        <f>IF(A278="N/A"," ",VLOOKUP(A278,SatSunPeakPwr,(IF('Pricing Inputs'!$AT$3=2,7,IF('Pricing Inputs'!$AT$3=1,6,8))),FALSE))</f>
        <v xml:space="preserve"> </v>
      </c>
      <c r="O278" s="350" t="str">
        <f>IF(A278="N/A"," ",(VLOOKUP(A278,OPPowerPrices,(IF('Pricing Inputs'!$AT$3=2,7,IF('Pricing Inputs'!$AT$3=1,6,8))),FALSE)))</f>
        <v xml:space="preserve"> </v>
      </c>
      <c r="P278" s="351" t="str">
        <f t="shared" si="24"/>
        <v xml:space="preserve"> </v>
      </c>
    </row>
    <row r="279" spans="1:16">
      <c r="A279" s="208" t="str">
        <f>Calculations!A246</f>
        <v>N/A</v>
      </c>
      <c r="B279" s="237" t="str">
        <f>IF(A279="N/A"," ",IF(ISERROR(L279),B267*Inputs!$F$19,L279))</f>
        <v xml:space="preserve"> </v>
      </c>
      <c r="C279" s="239" t="str">
        <f t="shared" si="25"/>
        <v xml:space="preserve"> </v>
      </c>
      <c r="D279" s="238" t="str">
        <f t="shared" si="21"/>
        <v xml:space="preserve"> </v>
      </c>
      <c r="E279" s="237" t="str">
        <f>IF(A279="N/A"," ",IF(ISERROR(M279),E267*Inputs!$F$19,M279))</f>
        <v xml:space="preserve"> </v>
      </c>
      <c r="F279" s="238" t="str">
        <f t="shared" si="22"/>
        <v xml:space="preserve"> </v>
      </c>
      <c r="G279" s="237" t="str">
        <f>IF(A279="N/A"," ",IF(ISERROR(N279),G267*Inputs!$F$19,N279))</f>
        <v xml:space="preserve"> </v>
      </c>
      <c r="H279" s="238" t="str">
        <f t="shared" si="23"/>
        <v xml:space="preserve"> </v>
      </c>
      <c r="I279" s="238" t="str">
        <f>IF(A279="N/A"," ",IF(ISERROR(O279),I267*Inputs!$F$19,O279))</f>
        <v xml:space="preserve"> </v>
      </c>
      <c r="J279" s="331" t="str">
        <f>IF(A279="N/A"," ",IF(ISERROR(P279),J267*Inputs!$F$23,P279))</f>
        <v xml:space="preserve"> </v>
      </c>
      <c r="L279" s="349" t="str">
        <f>IF(A279="N/A"," ",VLOOKUP(A279,PeakPowerCurves,(IF('Pricing Inputs'!$AT$3=2,3,IF('Pricing Inputs'!$AT$3=1,2,4))),FALSE))</f>
        <v xml:space="preserve"> </v>
      </c>
      <c r="M279" s="349" t="str">
        <f>IF(A279="N/A"," ",VLOOKUP(A279,SatSunPeakPwr,(IF('Pricing Inputs'!$AT$3=2,3,IF('Pricing Inputs'!$AT$3=1,2,4))),FALSE))</f>
        <v xml:space="preserve"> </v>
      </c>
      <c r="N279" s="349" t="str">
        <f>IF(A279="N/A"," ",VLOOKUP(A279,SatSunPeakPwr,(IF('Pricing Inputs'!$AT$3=2,7,IF('Pricing Inputs'!$AT$3=1,6,8))),FALSE))</f>
        <v xml:space="preserve"> </v>
      </c>
      <c r="O279" s="350" t="str">
        <f>IF(A279="N/A"," ",(VLOOKUP(A279,OPPowerPrices,(IF('Pricing Inputs'!$AT$3=2,7,IF('Pricing Inputs'!$AT$3=1,6,8))),FALSE)))</f>
        <v xml:space="preserve"> </v>
      </c>
      <c r="P279" s="351" t="str">
        <f t="shared" si="24"/>
        <v xml:space="preserve"> </v>
      </c>
    </row>
    <row r="280" spans="1:16">
      <c r="A280" s="208" t="str">
        <f>Calculations!A247</f>
        <v>N/A</v>
      </c>
      <c r="B280" s="237" t="str">
        <f>IF(A280="N/A"," ",IF(ISERROR(L280),B268*Inputs!$F$19,L280))</f>
        <v xml:space="preserve"> </v>
      </c>
      <c r="C280" s="239" t="str">
        <f t="shared" si="25"/>
        <v xml:space="preserve"> </v>
      </c>
      <c r="D280" s="238" t="str">
        <f t="shared" si="21"/>
        <v xml:space="preserve"> </v>
      </c>
      <c r="E280" s="237" t="str">
        <f>IF(A280="N/A"," ",IF(ISERROR(M280),E268*Inputs!$F$19,M280))</f>
        <v xml:space="preserve"> </v>
      </c>
      <c r="F280" s="238" t="str">
        <f t="shared" si="22"/>
        <v xml:space="preserve"> </v>
      </c>
      <c r="G280" s="237" t="str">
        <f>IF(A280="N/A"," ",IF(ISERROR(N280),G268*Inputs!$F$19,N280))</f>
        <v xml:space="preserve"> </v>
      </c>
      <c r="H280" s="238" t="str">
        <f t="shared" si="23"/>
        <v xml:space="preserve"> </v>
      </c>
      <c r="I280" s="238" t="str">
        <f>IF(A280="N/A"," ",IF(ISERROR(O280),I268*Inputs!$F$19,O280))</f>
        <v xml:space="preserve"> </v>
      </c>
      <c r="J280" s="331" t="str">
        <f>IF(A280="N/A"," ",IF(ISERROR(P280),J268*Inputs!$F$23,P280))</f>
        <v xml:space="preserve"> </v>
      </c>
      <c r="L280" s="349" t="str">
        <f>IF(A280="N/A"," ",VLOOKUP(A280,PeakPowerCurves,(IF('Pricing Inputs'!$AT$3=2,3,IF('Pricing Inputs'!$AT$3=1,2,4))),FALSE))</f>
        <v xml:space="preserve"> </v>
      </c>
      <c r="M280" s="349" t="str">
        <f>IF(A280="N/A"," ",VLOOKUP(A280,SatSunPeakPwr,(IF('Pricing Inputs'!$AT$3=2,3,IF('Pricing Inputs'!$AT$3=1,2,4))),FALSE))</f>
        <v xml:space="preserve"> </v>
      </c>
      <c r="N280" s="349" t="str">
        <f>IF(A280="N/A"," ",VLOOKUP(A280,SatSunPeakPwr,(IF('Pricing Inputs'!$AT$3=2,7,IF('Pricing Inputs'!$AT$3=1,6,8))),FALSE))</f>
        <v xml:space="preserve"> </v>
      </c>
      <c r="O280" s="350" t="str">
        <f>IF(A280="N/A"," ",(VLOOKUP(A280,OPPowerPrices,(IF('Pricing Inputs'!$AT$3=2,7,IF('Pricing Inputs'!$AT$3=1,6,8))),FALSE)))</f>
        <v xml:space="preserve"> </v>
      </c>
      <c r="P280" s="351" t="str">
        <f t="shared" si="24"/>
        <v xml:space="preserve"> </v>
      </c>
    </row>
    <row r="281" spans="1:16">
      <c r="A281" s="208" t="str">
        <f>Calculations!A248</f>
        <v>N/A</v>
      </c>
      <c r="B281" s="237" t="str">
        <f>IF(A281="N/A"," ",IF(ISERROR(L281),B269*Inputs!$F$19,L281))</f>
        <v xml:space="preserve"> </v>
      </c>
      <c r="C281" s="239" t="str">
        <f t="shared" si="25"/>
        <v xml:space="preserve"> </v>
      </c>
      <c r="D281" s="238" t="str">
        <f t="shared" si="21"/>
        <v xml:space="preserve"> </v>
      </c>
      <c r="E281" s="237" t="str">
        <f>IF(A281="N/A"," ",IF(ISERROR(M281),E269*Inputs!$F$19,M281))</f>
        <v xml:space="preserve"> </v>
      </c>
      <c r="F281" s="238" t="str">
        <f t="shared" si="22"/>
        <v xml:space="preserve"> </v>
      </c>
      <c r="G281" s="237" t="str">
        <f>IF(A281="N/A"," ",IF(ISERROR(N281),G269*Inputs!$F$19,N281))</f>
        <v xml:space="preserve"> </v>
      </c>
      <c r="H281" s="238" t="str">
        <f t="shared" si="23"/>
        <v xml:space="preserve"> </v>
      </c>
      <c r="I281" s="238" t="str">
        <f>IF(A281="N/A"," ",IF(ISERROR(O281),I269*Inputs!$F$19,O281))</f>
        <v xml:space="preserve"> </v>
      </c>
      <c r="J281" s="331" t="str">
        <f>IF(A281="N/A"," ",IF(ISERROR(P281),J269*Inputs!$F$23,P281))</f>
        <v xml:space="preserve"> </v>
      </c>
      <c r="L281" s="349" t="str">
        <f>IF(A281="N/A"," ",VLOOKUP(A281,PeakPowerCurves,(IF('Pricing Inputs'!$AT$3=2,3,IF('Pricing Inputs'!$AT$3=1,2,4))),FALSE))</f>
        <v xml:space="preserve"> </v>
      </c>
      <c r="M281" s="349" t="str">
        <f>IF(A281="N/A"," ",VLOOKUP(A281,SatSunPeakPwr,(IF('Pricing Inputs'!$AT$3=2,3,IF('Pricing Inputs'!$AT$3=1,2,4))),FALSE))</f>
        <v xml:space="preserve"> </v>
      </c>
      <c r="N281" s="349" t="str">
        <f>IF(A281="N/A"," ",VLOOKUP(A281,SatSunPeakPwr,(IF('Pricing Inputs'!$AT$3=2,7,IF('Pricing Inputs'!$AT$3=1,6,8))),FALSE))</f>
        <v xml:space="preserve"> </v>
      </c>
      <c r="O281" s="350" t="str">
        <f>IF(A281="N/A"," ",(VLOOKUP(A281,OPPowerPrices,(IF('Pricing Inputs'!$AT$3=2,7,IF('Pricing Inputs'!$AT$3=1,6,8))),FALSE)))</f>
        <v xml:space="preserve"> </v>
      </c>
      <c r="P281" s="351" t="str">
        <f t="shared" si="24"/>
        <v xml:space="preserve"> </v>
      </c>
    </row>
    <row r="282" spans="1:16">
      <c r="A282" s="208" t="str">
        <f>Calculations!A249</f>
        <v>N/A</v>
      </c>
      <c r="B282" s="237" t="str">
        <f>IF(A282="N/A"," ",IF(ISERROR(L282),B270*Inputs!$F$19,L282))</f>
        <v xml:space="preserve"> </v>
      </c>
      <c r="C282" s="239" t="str">
        <f t="shared" si="25"/>
        <v xml:space="preserve"> </v>
      </c>
      <c r="D282" s="238" t="str">
        <f t="shared" si="21"/>
        <v xml:space="preserve"> </v>
      </c>
      <c r="E282" s="237" t="str">
        <f>IF(A282="N/A"," ",IF(ISERROR(M282),E270*Inputs!$F$19,M282))</f>
        <v xml:space="preserve"> </v>
      </c>
      <c r="F282" s="238" t="str">
        <f t="shared" si="22"/>
        <v xml:space="preserve"> </v>
      </c>
      <c r="G282" s="237" t="str">
        <f>IF(A282="N/A"," ",IF(ISERROR(N282),G270*Inputs!$F$19,N282))</f>
        <v xml:space="preserve"> </v>
      </c>
      <c r="H282" s="238" t="str">
        <f t="shared" si="23"/>
        <v xml:space="preserve"> </v>
      </c>
      <c r="I282" s="238" t="str">
        <f>IF(A282="N/A"," ",IF(ISERROR(O282),I270*Inputs!$F$19,O282))</f>
        <v xml:space="preserve"> </v>
      </c>
      <c r="J282" s="331" t="str">
        <f>IF(A282="N/A"," ",IF(ISERROR(P282),J270*Inputs!$F$23,P282))</f>
        <v xml:space="preserve"> </v>
      </c>
      <c r="L282" s="349" t="str">
        <f>IF(A282="N/A"," ",VLOOKUP(A282,PeakPowerCurves,(IF('Pricing Inputs'!$AT$3=2,3,IF('Pricing Inputs'!$AT$3=1,2,4))),FALSE))</f>
        <v xml:space="preserve"> </v>
      </c>
      <c r="M282" s="349" t="str">
        <f>IF(A282="N/A"," ",VLOOKUP(A282,SatSunPeakPwr,(IF('Pricing Inputs'!$AT$3=2,3,IF('Pricing Inputs'!$AT$3=1,2,4))),FALSE))</f>
        <v xml:space="preserve"> </v>
      </c>
      <c r="N282" s="349" t="str">
        <f>IF(A282="N/A"," ",VLOOKUP(A282,SatSunPeakPwr,(IF('Pricing Inputs'!$AT$3=2,7,IF('Pricing Inputs'!$AT$3=1,6,8))),FALSE))</f>
        <v xml:space="preserve"> </v>
      </c>
      <c r="O282" s="350" t="str">
        <f>IF(A282="N/A"," ",(VLOOKUP(A282,OPPowerPrices,(IF('Pricing Inputs'!$AT$3=2,7,IF('Pricing Inputs'!$AT$3=1,6,8))),FALSE)))</f>
        <v xml:space="preserve"> </v>
      </c>
      <c r="P282" s="351" t="str">
        <f t="shared" si="24"/>
        <v xml:space="preserve"> </v>
      </c>
    </row>
    <row r="283" spans="1:16">
      <c r="A283" s="208" t="str">
        <f>Calculations!A250</f>
        <v>N/A</v>
      </c>
      <c r="B283" s="237" t="str">
        <f>IF(A283="N/A"," ",IF(ISERROR(L283),B271*Inputs!$F$19,L283))</f>
        <v xml:space="preserve"> </v>
      </c>
      <c r="C283" s="239" t="str">
        <f t="shared" si="25"/>
        <v xml:space="preserve"> </v>
      </c>
      <c r="D283" s="238" t="str">
        <f t="shared" si="21"/>
        <v xml:space="preserve"> </v>
      </c>
      <c r="E283" s="237" t="str">
        <f>IF(A283="N/A"," ",IF(ISERROR(M283),E271*Inputs!$F$19,M283))</f>
        <v xml:space="preserve"> </v>
      </c>
      <c r="F283" s="238" t="str">
        <f t="shared" si="22"/>
        <v xml:space="preserve"> </v>
      </c>
      <c r="G283" s="237" t="str">
        <f>IF(A283="N/A"," ",IF(ISERROR(N283),G271*Inputs!$F$19,N283))</f>
        <v xml:space="preserve"> </v>
      </c>
      <c r="H283" s="238" t="str">
        <f t="shared" si="23"/>
        <v xml:space="preserve"> </v>
      </c>
      <c r="I283" s="238" t="str">
        <f>IF(A283="N/A"," ",IF(ISERROR(O283),I271*Inputs!$F$19,O283))</f>
        <v xml:space="preserve"> </v>
      </c>
      <c r="J283" s="331" t="str">
        <f>IF(A283="N/A"," ",IF(ISERROR(P283),J271*Inputs!$F$23,P283))</f>
        <v xml:space="preserve"> </v>
      </c>
      <c r="L283" s="349" t="str">
        <f>IF(A283="N/A"," ",VLOOKUP(A283,PeakPowerCurves,(IF('Pricing Inputs'!$AT$3=2,3,IF('Pricing Inputs'!$AT$3=1,2,4))),FALSE))</f>
        <v xml:space="preserve"> </v>
      </c>
      <c r="M283" s="349" t="str">
        <f>IF(A283="N/A"," ",VLOOKUP(A283,SatSunPeakPwr,(IF('Pricing Inputs'!$AT$3=2,3,IF('Pricing Inputs'!$AT$3=1,2,4))),FALSE))</f>
        <v xml:space="preserve"> </v>
      </c>
      <c r="N283" s="349" t="str">
        <f>IF(A283="N/A"," ",VLOOKUP(A283,SatSunPeakPwr,(IF('Pricing Inputs'!$AT$3=2,7,IF('Pricing Inputs'!$AT$3=1,6,8))),FALSE))</f>
        <v xml:space="preserve"> </v>
      </c>
      <c r="O283" s="350" t="str">
        <f>IF(A283="N/A"," ",(VLOOKUP(A283,OPPowerPrices,(IF('Pricing Inputs'!$AT$3=2,7,IF('Pricing Inputs'!$AT$3=1,6,8))),FALSE)))</f>
        <v xml:space="preserve"> </v>
      </c>
      <c r="P283" s="351" t="str">
        <f t="shared" si="24"/>
        <v xml:space="preserve"> </v>
      </c>
    </row>
    <row r="284" spans="1:16">
      <c r="A284" s="208" t="str">
        <f>Calculations!A251</f>
        <v>N/A</v>
      </c>
      <c r="B284" s="237" t="str">
        <f>IF(A284="N/A"," ",IF(ISERROR(L284),B272*Inputs!$F$19,L284))</f>
        <v xml:space="preserve"> </v>
      </c>
      <c r="C284" s="239" t="str">
        <f t="shared" si="25"/>
        <v xml:space="preserve"> </v>
      </c>
      <c r="D284" s="238" t="str">
        <f t="shared" si="21"/>
        <v xml:space="preserve"> </v>
      </c>
      <c r="E284" s="237" t="str">
        <f>IF(A284="N/A"," ",IF(ISERROR(M284),E272*Inputs!$F$19,M284))</f>
        <v xml:space="preserve"> </v>
      </c>
      <c r="F284" s="238" t="str">
        <f t="shared" si="22"/>
        <v xml:space="preserve"> </v>
      </c>
      <c r="G284" s="237" t="str">
        <f>IF(A284="N/A"," ",IF(ISERROR(N284),G272*Inputs!$F$19,N284))</f>
        <v xml:space="preserve"> </v>
      </c>
      <c r="H284" s="238" t="str">
        <f t="shared" si="23"/>
        <v xml:space="preserve"> </v>
      </c>
      <c r="I284" s="238" t="str">
        <f>IF(A284="N/A"," ",IF(ISERROR(O284),I272*Inputs!$F$19,O284))</f>
        <v xml:space="preserve"> </v>
      </c>
      <c r="J284" s="331" t="str">
        <f>IF(A284="N/A"," ",IF(ISERROR(P284),J272*Inputs!$F$23,P284))</f>
        <v xml:space="preserve"> </v>
      </c>
      <c r="L284" s="349" t="str">
        <f>IF(A284="N/A"," ",VLOOKUP(A284,PeakPowerCurves,(IF('Pricing Inputs'!$AT$3=2,3,IF('Pricing Inputs'!$AT$3=1,2,4))),FALSE))</f>
        <v xml:space="preserve"> </v>
      </c>
      <c r="M284" s="349" t="str">
        <f>IF(A284="N/A"," ",VLOOKUP(A284,SatSunPeakPwr,(IF('Pricing Inputs'!$AT$3=2,3,IF('Pricing Inputs'!$AT$3=1,2,4))),FALSE))</f>
        <v xml:space="preserve"> </v>
      </c>
      <c r="N284" s="349" t="str">
        <f>IF(A284="N/A"," ",VLOOKUP(A284,SatSunPeakPwr,(IF('Pricing Inputs'!$AT$3=2,7,IF('Pricing Inputs'!$AT$3=1,6,8))),FALSE))</f>
        <v xml:space="preserve"> </v>
      </c>
      <c r="O284" s="350" t="str">
        <f>IF(A284="N/A"," ",(VLOOKUP(A284,OPPowerPrices,(IF('Pricing Inputs'!$AT$3=2,7,IF('Pricing Inputs'!$AT$3=1,6,8))),FALSE)))</f>
        <v xml:space="preserve"> </v>
      </c>
      <c r="P284" s="351" t="str">
        <f t="shared" si="24"/>
        <v xml:space="preserve"> </v>
      </c>
    </row>
    <row r="285" spans="1:16">
      <c r="A285" s="208" t="str">
        <f>Calculations!A252</f>
        <v>N/A</v>
      </c>
      <c r="B285" s="237" t="str">
        <f>IF(A285="N/A"," ",IF(ISERROR(L285),B273*Inputs!$F$19,L285))</f>
        <v xml:space="preserve"> </v>
      </c>
      <c r="C285" s="239" t="str">
        <f t="shared" si="25"/>
        <v xml:space="preserve"> </v>
      </c>
      <c r="D285" s="238" t="str">
        <f t="shared" si="21"/>
        <v xml:space="preserve"> </v>
      </c>
      <c r="E285" s="237" t="str">
        <f>IF(A285="N/A"," ",IF(ISERROR(M285),E273*Inputs!$F$19,M285))</f>
        <v xml:space="preserve"> </v>
      </c>
      <c r="F285" s="238" t="str">
        <f t="shared" si="22"/>
        <v xml:space="preserve"> </v>
      </c>
      <c r="G285" s="237" t="str">
        <f>IF(A285="N/A"," ",IF(ISERROR(N285),G273*Inputs!$F$19,N285))</f>
        <v xml:space="preserve"> </v>
      </c>
      <c r="H285" s="238" t="str">
        <f t="shared" si="23"/>
        <v xml:space="preserve"> </v>
      </c>
      <c r="I285" s="238" t="str">
        <f>IF(A285="N/A"," ",IF(ISERROR(O285),I273*Inputs!$F$19,O285))</f>
        <v xml:space="preserve"> </v>
      </c>
      <c r="J285" s="331" t="str">
        <f>IF(A285="N/A"," ",IF(ISERROR(P285),J273*Inputs!$F$23,P285))</f>
        <v xml:space="preserve"> </v>
      </c>
      <c r="L285" s="349" t="str">
        <f>IF(A285="N/A"," ",VLOOKUP(A285,PeakPowerCurves,(IF('Pricing Inputs'!$AT$3=2,3,IF('Pricing Inputs'!$AT$3=1,2,4))),FALSE))</f>
        <v xml:space="preserve"> </v>
      </c>
      <c r="M285" s="349" t="str">
        <f>IF(A285="N/A"," ",VLOOKUP(A285,SatSunPeakPwr,(IF('Pricing Inputs'!$AT$3=2,3,IF('Pricing Inputs'!$AT$3=1,2,4))),FALSE))</f>
        <v xml:space="preserve"> </v>
      </c>
      <c r="N285" s="349" t="str">
        <f>IF(A285="N/A"," ",VLOOKUP(A285,SatSunPeakPwr,(IF('Pricing Inputs'!$AT$3=2,7,IF('Pricing Inputs'!$AT$3=1,6,8))),FALSE))</f>
        <v xml:space="preserve"> </v>
      </c>
      <c r="O285" s="350" t="str">
        <f>IF(A285="N/A"," ",(VLOOKUP(A285,OPPowerPrices,(IF('Pricing Inputs'!$AT$3=2,7,IF('Pricing Inputs'!$AT$3=1,6,8))),FALSE)))</f>
        <v xml:space="preserve"> </v>
      </c>
      <c r="P285" s="351" t="str">
        <f t="shared" si="24"/>
        <v xml:space="preserve"> </v>
      </c>
    </row>
    <row r="286" spans="1:16">
      <c r="A286" s="208" t="str">
        <f>Calculations!A253</f>
        <v>N/A</v>
      </c>
      <c r="B286" s="237" t="str">
        <f>IF(A286="N/A"," ",IF(ISERROR(L286),B274*Inputs!$F$19,L286))</f>
        <v xml:space="preserve"> </v>
      </c>
      <c r="C286" s="239" t="str">
        <f t="shared" si="25"/>
        <v xml:space="preserve"> </v>
      </c>
      <c r="D286" s="238" t="str">
        <f t="shared" si="21"/>
        <v xml:space="preserve"> </v>
      </c>
      <c r="E286" s="237" t="str">
        <f>IF(A286="N/A"," ",IF(ISERROR(M286),E274*Inputs!$F$19,M286))</f>
        <v xml:space="preserve"> </v>
      </c>
      <c r="F286" s="238" t="str">
        <f t="shared" si="22"/>
        <v xml:space="preserve"> </v>
      </c>
      <c r="G286" s="237" t="str">
        <f>IF(A286="N/A"," ",IF(ISERROR(N286),G274*Inputs!$F$19,N286))</f>
        <v xml:space="preserve"> </v>
      </c>
      <c r="H286" s="238" t="str">
        <f t="shared" si="23"/>
        <v xml:space="preserve"> </v>
      </c>
      <c r="I286" s="238" t="str">
        <f>IF(A286="N/A"," ",IF(ISERROR(O286),I274*Inputs!$F$19,O286))</f>
        <v xml:space="preserve"> </v>
      </c>
      <c r="J286" s="331" t="str">
        <f>IF(A286="N/A"," ",IF(ISERROR(P286),J274*Inputs!$F$23,P286))</f>
        <v xml:space="preserve"> </v>
      </c>
      <c r="L286" s="349" t="str">
        <f>IF(A286="N/A"," ",VLOOKUP(A286,PeakPowerCurves,(IF('Pricing Inputs'!$AT$3=2,3,IF('Pricing Inputs'!$AT$3=1,2,4))),FALSE))</f>
        <v xml:space="preserve"> </v>
      </c>
      <c r="M286" s="349" t="str">
        <f>IF(A286="N/A"," ",VLOOKUP(A286,SatSunPeakPwr,(IF('Pricing Inputs'!$AT$3=2,3,IF('Pricing Inputs'!$AT$3=1,2,4))),FALSE))</f>
        <v xml:space="preserve"> </v>
      </c>
      <c r="N286" s="349" t="str">
        <f>IF(A286="N/A"," ",VLOOKUP(A286,SatSunPeakPwr,(IF('Pricing Inputs'!$AT$3=2,7,IF('Pricing Inputs'!$AT$3=1,6,8))),FALSE))</f>
        <v xml:space="preserve"> </v>
      </c>
      <c r="O286" s="350" t="str">
        <f>IF(A286="N/A"," ",(VLOOKUP(A286,OPPowerPrices,(IF('Pricing Inputs'!$AT$3=2,7,IF('Pricing Inputs'!$AT$3=1,6,8))),FALSE)))</f>
        <v xml:space="preserve"> </v>
      </c>
      <c r="P286" s="351" t="str">
        <f t="shared" si="24"/>
        <v xml:space="preserve"> </v>
      </c>
    </row>
    <row r="287" spans="1:16">
      <c r="A287" s="208" t="str">
        <f>Calculations!A254</f>
        <v>N/A</v>
      </c>
      <c r="B287" s="237" t="str">
        <f>IF(A287="N/A"," ",IF(ISERROR(L287),B275*Inputs!$F$19,L287))</f>
        <v xml:space="preserve"> </v>
      </c>
      <c r="C287" s="239" t="str">
        <f t="shared" si="25"/>
        <v xml:space="preserve"> </v>
      </c>
      <c r="D287" s="238" t="str">
        <f t="shared" si="21"/>
        <v xml:space="preserve"> </v>
      </c>
      <c r="E287" s="237" t="str">
        <f>IF(A287="N/A"," ",IF(ISERROR(M287),E275*Inputs!$F$19,M287))</f>
        <v xml:space="preserve"> </v>
      </c>
      <c r="F287" s="238" t="str">
        <f t="shared" si="22"/>
        <v xml:space="preserve"> </v>
      </c>
      <c r="G287" s="237" t="str">
        <f>IF(A287="N/A"," ",IF(ISERROR(N287),G275*Inputs!$F$19,N287))</f>
        <v xml:space="preserve"> </v>
      </c>
      <c r="H287" s="238" t="str">
        <f t="shared" si="23"/>
        <v xml:space="preserve"> </v>
      </c>
      <c r="I287" s="238" t="str">
        <f>IF(A287="N/A"," ",IF(ISERROR(O287),I275*Inputs!$F$19,O287))</f>
        <v xml:space="preserve"> </v>
      </c>
      <c r="J287" s="331" t="str">
        <f>IF(A287="N/A"," ",IF(ISERROR(P287),J275*Inputs!$F$23,P287))</f>
        <v xml:space="preserve"> </v>
      </c>
      <c r="L287" s="349" t="str">
        <f>IF(A287="N/A"," ",VLOOKUP(A287,PeakPowerCurves,(IF('Pricing Inputs'!$AT$3=2,3,IF('Pricing Inputs'!$AT$3=1,2,4))),FALSE))</f>
        <v xml:space="preserve"> </v>
      </c>
      <c r="M287" s="349" t="str">
        <f>IF(A287="N/A"," ",VLOOKUP(A287,SatSunPeakPwr,(IF('Pricing Inputs'!$AT$3=2,3,IF('Pricing Inputs'!$AT$3=1,2,4))),FALSE))</f>
        <v xml:space="preserve"> </v>
      </c>
      <c r="N287" s="349" t="str">
        <f>IF(A287="N/A"," ",VLOOKUP(A287,SatSunPeakPwr,(IF('Pricing Inputs'!$AT$3=2,7,IF('Pricing Inputs'!$AT$3=1,6,8))),FALSE))</f>
        <v xml:space="preserve"> </v>
      </c>
      <c r="O287" s="350" t="str">
        <f>IF(A287="N/A"," ",(VLOOKUP(A287,OPPowerPrices,(IF('Pricing Inputs'!$AT$3=2,7,IF('Pricing Inputs'!$AT$3=1,6,8))),FALSE)))</f>
        <v xml:space="preserve"> </v>
      </c>
      <c r="P287" s="351" t="str">
        <f t="shared" si="24"/>
        <v xml:space="preserve"> </v>
      </c>
    </row>
    <row r="288" spans="1:16">
      <c r="A288" s="208" t="str">
        <f>Calculations!A255</f>
        <v>N/A</v>
      </c>
      <c r="B288" s="237" t="str">
        <f>IF(A288="N/A"," ",IF(ISERROR(L288),B276*Inputs!$F$19,L288))</f>
        <v xml:space="preserve"> </v>
      </c>
      <c r="C288" s="239" t="str">
        <f t="shared" si="25"/>
        <v xml:space="preserve"> </v>
      </c>
      <c r="D288" s="238" t="str">
        <f t="shared" si="21"/>
        <v xml:space="preserve"> </v>
      </c>
      <c r="E288" s="237" t="str">
        <f>IF(A288="N/A"," ",IF(ISERROR(M288),E276*Inputs!$F$19,M288))</f>
        <v xml:space="preserve"> </v>
      </c>
      <c r="F288" s="238" t="str">
        <f t="shared" si="22"/>
        <v xml:space="preserve"> </v>
      </c>
      <c r="G288" s="237" t="str">
        <f>IF(A288="N/A"," ",IF(ISERROR(N288),G276*Inputs!$F$19,N288))</f>
        <v xml:space="preserve"> </v>
      </c>
      <c r="H288" s="238" t="str">
        <f t="shared" si="23"/>
        <v xml:space="preserve"> </v>
      </c>
      <c r="I288" s="238" t="str">
        <f>IF(A288="N/A"," ",IF(ISERROR(O288),I276*Inputs!$F$19,O288))</f>
        <v xml:space="preserve"> </v>
      </c>
      <c r="J288" s="331" t="str">
        <f>IF(A288="N/A"," ",IF(ISERROR(P288),J276*Inputs!$F$23,P288))</f>
        <v xml:space="preserve"> </v>
      </c>
      <c r="L288" s="349" t="str">
        <f>IF(A288="N/A"," ",VLOOKUP(A288,PeakPowerCurves,(IF('Pricing Inputs'!$AT$3=2,3,IF('Pricing Inputs'!$AT$3=1,2,4))),FALSE))</f>
        <v xml:space="preserve"> </v>
      </c>
      <c r="M288" s="349" t="str">
        <f>IF(A288="N/A"," ",VLOOKUP(A288,SatSunPeakPwr,(IF('Pricing Inputs'!$AT$3=2,3,IF('Pricing Inputs'!$AT$3=1,2,4))),FALSE))</f>
        <v xml:space="preserve"> </v>
      </c>
      <c r="N288" s="349" t="str">
        <f>IF(A288="N/A"," ",VLOOKUP(A288,SatSunPeakPwr,(IF('Pricing Inputs'!$AT$3=2,7,IF('Pricing Inputs'!$AT$3=1,6,8))),FALSE))</f>
        <v xml:space="preserve"> </v>
      </c>
      <c r="O288" s="350" t="str">
        <f>IF(A288="N/A"," ",(VLOOKUP(A288,OPPowerPrices,(IF('Pricing Inputs'!$AT$3=2,7,IF('Pricing Inputs'!$AT$3=1,6,8))),FALSE)))</f>
        <v xml:space="preserve"> </v>
      </c>
      <c r="P288" s="351" t="str">
        <f t="shared" si="24"/>
        <v xml:space="preserve"> </v>
      </c>
    </row>
    <row r="289" spans="1:16">
      <c r="A289" s="208" t="str">
        <f>Calculations!A256</f>
        <v>N/A</v>
      </c>
      <c r="B289" s="237" t="str">
        <f>IF(A289="N/A"," ",IF(ISERROR(L289),B277*Inputs!$F$19,L289))</f>
        <v xml:space="preserve"> </v>
      </c>
      <c r="C289" s="239" t="str">
        <f t="shared" si="25"/>
        <v xml:space="preserve"> </v>
      </c>
      <c r="D289" s="238" t="str">
        <f t="shared" si="21"/>
        <v xml:space="preserve"> </v>
      </c>
      <c r="E289" s="237" t="str">
        <f>IF(A289="N/A"," ",IF(ISERROR(M289),E277*Inputs!$F$19,M289))</f>
        <v xml:space="preserve"> </v>
      </c>
      <c r="F289" s="238" t="str">
        <f t="shared" si="22"/>
        <v xml:space="preserve"> </v>
      </c>
      <c r="G289" s="237" t="str">
        <f>IF(A289="N/A"," ",IF(ISERROR(N289),G277*Inputs!$F$19,N289))</f>
        <v xml:space="preserve"> </v>
      </c>
      <c r="H289" s="238" t="str">
        <f t="shared" si="23"/>
        <v xml:space="preserve"> </v>
      </c>
      <c r="I289" s="238" t="str">
        <f>IF(A289="N/A"," ",IF(ISERROR(O289),I277*Inputs!$F$19,O289))</f>
        <v xml:space="preserve"> </v>
      </c>
      <c r="J289" s="331" t="str">
        <f>IF(A289="N/A"," ",IF(ISERROR(P289),J277*Inputs!$F$23,P289))</f>
        <v xml:space="preserve"> </v>
      </c>
      <c r="L289" s="349" t="str">
        <f>IF(A289="N/A"," ",VLOOKUP(A289,PeakPowerCurves,(IF('Pricing Inputs'!$AT$3=2,3,IF('Pricing Inputs'!$AT$3=1,2,4))),FALSE))</f>
        <v xml:space="preserve"> </v>
      </c>
      <c r="M289" s="349" t="str">
        <f>IF(A289="N/A"," ",VLOOKUP(A289,SatSunPeakPwr,(IF('Pricing Inputs'!$AT$3=2,3,IF('Pricing Inputs'!$AT$3=1,2,4))),FALSE))</f>
        <v xml:space="preserve"> </v>
      </c>
      <c r="N289" s="349" t="str">
        <f>IF(A289="N/A"," ",VLOOKUP(A289,SatSunPeakPwr,(IF('Pricing Inputs'!$AT$3=2,7,IF('Pricing Inputs'!$AT$3=1,6,8))),FALSE))</f>
        <v xml:space="preserve"> </v>
      </c>
      <c r="O289" s="350" t="str">
        <f>IF(A289="N/A"," ",(VLOOKUP(A289,OPPowerPrices,(IF('Pricing Inputs'!$AT$3=2,7,IF('Pricing Inputs'!$AT$3=1,6,8))),FALSE)))</f>
        <v xml:space="preserve"> </v>
      </c>
      <c r="P289" s="351" t="str">
        <f t="shared" si="24"/>
        <v xml:space="preserve"> </v>
      </c>
    </row>
    <row r="290" spans="1:16">
      <c r="A290" s="208" t="str">
        <f>Calculations!A257</f>
        <v>N/A</v>
      </c>
      <c r="B290" s="237" t="str">
        <f>IF(A290="N/A"," ",IF(ISERROR(L290),B278*Inputs!$F$19,L290))</f>
        <v xml:space="preserve"> </v>
      </c>
      <c r="C290" s="239" t="str">
        <f t="shared" si="25"/>
        <v xml:space="preserve"> </v>
      </c>
      <c r="D290" s="238" t="str">
        <f t="shared" si="21"/>
        <v xml:space="preserve"> </v>
      </c>
      <c r="E290" s="237" t="str">
        <f>IF(A290="N/A"," ",IF(ISERROR(M290),E278*Inputs!$F$19,M290))</f>
        <v xml:space="preserve"> </v>
      </c>
      <c r="F290" s="238" t="str">
        <f t="shared" si="22"/>
        <v xml:space="preserve"> </v>
      </c>
      <c r="G290" s="237" t="str">
        <f>IF(A290="N/A"," ",IF(ISERROR(N290),G278*Inputs!$F$19,N290))</f>
        <v xml:space="preserve"> </v>
      </c>
      <c r="H290" s="238" t="str">
        <f t="shared" si="23"/>
        <v xml:space="preserve"> </v>
      </c>
      <c r="I290" s="238" t="str">
        <f>IF(A290="N/A"," ",IF(ISERROR(O290),I278*Inputs!$F$19,O290))</f>
        <v xml:space="preserve"> </v>
      </c>
      <c r="J290" s="331" t="str">
        <f>IF(A290="N/A"," ",IF(ISERROR(P290),J278*Inputs!$F$23,P290))</f>
        <v xml:space="preserve"> </v>
      </c>
      <c r="L290" s="349" t="str">
        <f>IF(A290="N/A"," ",VLOOKUP(A290,PeakPowerCurves,(IF('Pricing Inputs'!$AT$3=2,3,IF('Pricing Inputs'!$AT$3=1,2,4))),FALSE))</f>
        <v xml:space="preserve"> </v>
      </c>
      <c r="M290" s="349" t="str">
        <f>IF(A290="N/A"," ",VLOOKUP(A290,SatSunPeakPwr,(IF('Pricing Inputs'!$AT$3=2,3,IF('Pricing Inputs'!$AT$3=1,2,4))),FALSE))</f>
        <v xml:space="preserve"> </v>
      </c>
      <c r="N290" s="349" t="str">
        <f>IF(A290="N/A"," ",VLOOKUP(A290,SatSunPeakPwr,(IF('Pricing Inputs'!$AT$3=2,7,IF('Pricing Inputs'!$AT$3=1,6,8))),FALSE))</f>
        <v xml:space="preserve"> </v>
      </c>
      <c r="O290" s="350" t="str">
        <f>IF(A290="N/A"," ",(VLOOKUP(A290,OPPowerPrices,(IF('Pricing Inputs'!$AT$3=2,7,IF('Pricing Inputs'!$AT$3=1,6,8))),FALSE)))</f>
        <v xml:space="preserve"> </v>
      </c>
      <c r="P290" s="351" t="str">
        <f t="shared" si="24"/>
        <v xml:space="preserve"> </v>
      </c>
    </row>
    <row r="291" spans="1:16">
      <c r="A291" s="208" t="str">
        <f>Calculations!A258</f>
        <v>N/A</v>
      </c>
      <c r="B291" s="237" t="str">
        <f>IF(A291="N/A"," ",IF(ISERROR(L291),B279*Inputs!$F$19,L291))</f>
        <v xml:space="preserve"> </v>
      </c>
      <c r="C291" s="239" t="str">
        <f t="shared" si="25"/>
        <v xml:space="preserve"> </v>
      </c>
      <c r="D291" s="238" t="str">
        <f t="shared" si="21"/>
        <v xml:space="preserve"> </v>
      </c>
      <c r="E291" s="237" t="str">
        <f>IF(A291="N/A"," ",IF(ISERROR(M291),E279*Inputs!$F$19,M291))</f>
        <v xml:space="preserve"> </v>
      </c>
      <c r="F291" s="238" t="str">
        <f t="shared" si="22"/>
        <v xml:space="preserve"> </v>
      </c>
      <c r="G291" s="237" t="str">
        <f>IF(A291="N/A"," ",IF(ISERROR(N291),G279*Inputs!$F$19,N291))</f>
        <v xml:space="preserve"> </v>
      </c>
      <c r="H291" s="238" t="str">
        <f t="shared" si="23"/>
        <v xml:space="preserve"> </v>
      </c>
      <c r="I291" s="238" t="str">
        <f>IF(A291="N/A"," ",IF(ISERROR(O291),I279*Inputs!$F$19,O291))</f>
        <v xml:space="preserve"> </v>
      </c>
      <c r="J291" s="331" t="str">
        <f>IF(A291="N/A"," ",IF(ISERROR(P291),J279*Inputs!$F$23,P291))</f>
        <v xml:space="preserve"> </v>
      </c>
      <c r="L291" s="349" t="str">
        <f>IF(A291="N/A"," ",VLOOKUP(A291,PeakPowerCurves,(IF('Pricing Inputs'!$AT$3=2,3,IF('Pricing Inputs'!$AT$3=1,2,4))),FALSE))</f>
        <v xml:space="preserve"> </v>
      </c>
      <c r="M291" s="349" t="str">
        <f>IF(A291="N/A"," ",VLOOKUP(A291,SatSunPeakPwr,(IF('Pricing Inputs'!$AT$3=2,3,IF('Pricing Inputs'!$AT$3=1,2,4))),FALSE))</f>
        <v xml:space="preserve"> </v>
      </c>
      <c r="N291" s="349" t="str">
        <f>IF(A291="N/A"," ",VLOOKUP(A291,SatSunPeakPwr,(IF('Pricing Inputs'!$AT$3=2,7,IF('Pricing Inputs'!$AT$3=1,6,8))),FALSE))</f>
        <v xml:space="preserve"> </v>
      </c>
      <c r="O291" s="350" t="str">
        <f>IF(A291="N/A"," ",(VLOOKUP(A291,OPPowerPrices,(IF('Pricing Inputs'!$AT$3=2,7,IF('Pricing Inputs'!$AT$3=1,6,8))),FALSE)))</f>
        <v xml:space="preserve"> </v>
      </c>
      <c r="P291" s="351" t="str">
        <f t="shared" si="24"/>
        <v xml:space="preserve"> </v>
      </c>
    </row>
    <row r="292" spans="1:16">
      <c r="A292" s="208" t="str">
        <f>Calculations!A259</f>
        <v>N/A</v>
      </c>
      <c r="B292" s="237" t="str">
        <f>IF(A292="N/A"," ",IF(ISERROR(L292),B280*Inputs!$F$19,L292))</f>
        <v xml:space="preserve"> </v>
      </c>
      <c r="C292" s="239" t="str">
        <f t="shared" si="25"/>
        <v xml:space="preserve"> </v>
      </c>
      <c r="D292" s="238" t="str">
        <f t="shared" si="21"/>
        <v xml:space="preserve"> </v>
      </c>
      <c r="E292" s="237" t="str">
        <f>IF(A292="N/A"," ",IF(ISERROR(M292),E280*Inputs!$F$19,M292))</f>
        <v xml:space="preserve"> </v>
      </c>
      <c r="F292" s="238" t="str">
        <f t="shared" si="22"/>
        <v xml:space="preserve"> </v>
      </c>
      <c r="G292" s="237" t="str">
        <f>IF(A292="N/A"," ",IF(ISERROR(N292),G280*Inputs!$F$19,N292))</f>
        <v xml:space="preserve"> </v>
      </c>
      <c r="H292" s="238" t="str">
        <f t="shared" si="23"/>
        <v xml:space="preserve"> </v>
      </c>
      <c r="I292" s="238" t="str">
        <f>IF(A292="N/A"," ",IF(ISERROR(O292),I280*Inputs!$F$19,O292))</f>
        <v xml:space="preserve"> </v>
      </c>
      <c r="J292" s="331" t="str">
        <f>IF(A292="N/A"," ",IF(ISERROR(P292),J280*Inputs!$F$23,P292))</f>
        <v xml:space="preserve"> </v>
      </c>
      <c r="L292" s="349" t="str">
        <f>IF(A292="N/A"," ",VLOOKUP(A292,PeakPowerCurves,(IF('Pricing Inputs'!$AT$3=2,3,IF('Pricing Inputs'!$AT$3=1,2,4))),FALSE))</f>
        <v xml:space="preserve"> </v>
      </c>
      <c r="M292" s="349" t="str">
        <f>IF(A292="N/A"," ",VLOOKUP(A292,SatSunPeakPwr,(IF('Pricing Inputs'!$AT$3=2,3,IF('Pricing Inputs'!$AT$3=1,2,4))),FALSE))</f>
        <v xml:space="preserve"> </v>
      </c>
      <c r="N292" s="349" t="str">
        <f>IF(A292="N/A"," ",VLOOKUP(A292,SatSunPeakPwr,(IF('Pricing Inputs'!$AT$3=2,7,IF('Pricing Inputs'!$AT$3=1,6,8))),FALSE))</f>
        <v xml:space="preserve"> </v>
      </c>
      <c r="O292" s="350" t="str">
        <f>IF(A292="N/A"," ",(VLOOKUP(A292,OPPowerPrices,(IF('Pricing Inputs'!$AT$3=2,7,IF('Pricing Inputs'!$AT$3=1,6,8))),FALSE)))</f>
        <v xml:space="preserve"> </v>
      </c>
      <c r="P292" s="351" t="str">
        <f t="shared" si="24"/>
        <v xml:space="preserve"> </v>
      </c>
    </row>
    <row r="293" spans="1:16">
      <c r="A293" s="208" t="str">
        <f>Calculations!A260</f>
        <v>N/A</v>
      </c>
      <c r="B293" s="237" t="str">
        <f>IF(A293="N/A"," ",IF(ISERROR(L293),B281*Inputs!$F$19,L293))</f>
        <v xml:space="preserve"> </v>
      </c>
      <c r="C293" s="239" t="str">
        <f t="shared" si="25"/>
        <v xml:space="preserve"> </v>
      </c>
      <c r="D293" s="238" t="str">
        <f t="shared" si="21"/>
        <v xml:space="preserve"> </v>
      </c>
      <c r="E293" s="237" t="str">
        <f>IF(A293="N/A"," ",IF(ISERROR(M293),E281*Inputs!$F$19,M293))</f>
        <v xml:space="preserve"> </v>
      </c>
      <c r="F293" s="238" t="str">
        <f t="shared" si="22"/>
        <v xml:space="preserve"> </v>
      </c>
      <c r="G293" s="237" t="str">
        <f>IF(A293="N/A"," ",IF(ISERROR(N293),G281*Inputs!$F$19,N293))</f>
        <v xml:space="preserve"> </v>
      </c>
      <c r="H293" s="238" t="str">
        <f t="shared" si="23"/>
        <v xml:space="preserve"> </v>
      </c>
      <c r="I293" s="238" t="str">
        <f>IF(A293="N/A"," ",IF(ISERROR(O293),I281*Inputs!$F$19,O293))</f>
        <v xml:space="preserve"> </v>
      </c>
      <c r="J293" s="331" t="str">
        <f>IF(A293="N/A"," ",IF(ISERROR(P293),J281*Inputs!$F$23,P293))</f>
        <v xml:space="preserve"> </v>
      </c>
      <c r="L293" s="349" t="str">
        <f>IF(A293="N/A"," ",VLOOKUP(A293,PeakPowerCurves,(IF('Pricing Inputs'!$AT$3=2,3,IF('Pricing Inputs'!$AT$3=1,2,4))),FALSE))</f>
        <v xml:space="preserve"> </v>
      </c>
      <c r="M293" s="349" t="str">
        <f>IF(A293="N/A"," ",VLOOKUP(A293,SatSunPeakPwr,(IF('Pricing Inputs'!$AT$3=2,3,IF('Pricing Inputs'!$AT$3=1,2,4))),FALSE))</f>
        <v xml:space="preserve"> </v>
      </c>
      <c r="N293" s="349" t="str">
        <f>IF(A293="N/A"," ",VLOOKUP(A293,SatSunPeakPwr,(IF('Pricing Inputs'!$AT$3=2,7,IF('Pricing Inputs'!$AT$3=1,6,8))),FALSE))</f>
        <v xml:space="preserve"> </v>
      </c>
      <c r="O293" s="350" t="str">
        <f>IF(A293="N/A"," ",(VLOOKUP(A293,OPPowerPrices,(IF('Pricing Inputs'!$AT$3=2,7,IF('Pricing Inputs'!$AT$3=1,6,8))),FALSE)))</f>
        <v xml:space="preserve"> </v>
      </c>
      <c r="P293" s="351" t="str">
        <f t="shared" si="24"/>
        <v xml:space="preserve"> </v>
      </c>
    </row>
    <row r="294" spans="1:16">
      <c r="A294" s="208" t="str">
        <f>Calculations!A261</f>
        <v>N/A</v>
      </c>
      <c r="B294" s="237" t="str">
        <f>IF(A294="N/A"," ",IF(ISERROR(L294),B282*Inputs!$F$19,L294))</f>
        <v xml:space="preserve"> </v>
      </c>
      <c r="C294" s="239" t="str">
        <f t="shared" si="25"/>
        <v xml:space="preserve"> </v>
      </c>
      <c r="D294" s="238" t="str">
        <f t="shared" ref="D294:D357" si="26">IF(A294="N/A"," ",C294*B294)</f>
        <v xml:space="preserve"> </v>
      </c>
      <c r="E294" s="237" t="str">
        <f>IF(A294="N/A"," ",IF(ISERROR(M294),E282*Inputs!$F$19,M294))</f>
        <v xml:space="preserve"> </v>
      </c>
      <c r="F294" s="238" t="str">
        <f t="shared" ref="F294:F357" si="27">IF(A294="N/A"," ",E294*C294)</f>
        <v xml:space="preserve"> </v>
      </c>
      <c r="G294" s="237" t="str">
        <f>IF(A294="N/A"," ",IF(ISERROR(N294),G282*Inputs!$F$19,N294))</f>
        <v xml:space="preserve"> </v>
      </c>
      <c r="H294" s="238" t="str">
        <f t="shared" ref="H294:H357" si="28">IF(A294="N/A"," ",G294*C294)</f>
        <v xml:space="preserve"> </v>
      </c>
      <c r="I294" s="238" t="str">
        <f>IF(A294="N/A"," ",IF(ISERROR(O294),I282*Inputs!$F$19,O294))</f>
        <v xml:space="preserve"> </v>
      </c>
      <c r="J294" s="331" t="str">
        <f>IF(A294="N/A"," ",IF(ISERROR(P294),J282*Inputs!$F$23,P294))</f>
        <v xml:space="preserve"> </v>
      </c>
      <c r="L294" s="349" t="str">
        <f>IF(A294="N/A"," ",VLOOKUP(A294,PeakPowerCurves,(IF('Pricing Inputs'!$AT$3=2,3,IF('Pricing Inputs'!$AT$3=1,2,4))),FALSE))</f>
        <v xml:space="preserve"> </v>
      </c>
      <c r="M294" s="349" t="str">
        <f>IF(A294="N/A"," ",VLOOKUP(A294,SatSunPeakPwr,(IF('Pricing Inputs'!$AT$3=2,3,IF('Pricing Inputs'!$AT$3=1,2,4))),FALSE))</f>
        <v xml:space="preserve"> </v>
      </c>
      <c r="N294" s="349" t="str">
        <f>IF(A294="N/A"," ",VLOOKUP(A294,SatSunPeakPwr,(IF('Pricing Inputs'!$AT$3=2,7,IF('Pricing Inputs'!$AT$3=1,6,8))),FALSE))</f>
        <v xml:space="preserve"> </v>
      </c>
      <c r="O294" s="350" t="str">
        <f>IF(A294="N/A"," ",(VLOOKUP(A294,OPPowerPrices,(IF('Pricing Inputs'!$AT$3=2,7,IF('Pricing Inputs'!$AT$3=1,6,8))),FALSE)))</f>
        <v xml:space="preserve"> </v>
      </c>
      <c r="P294" s="351" t="str">
        <f t="shared" ref="P294:P357" si="29">IF(A294="N/A"," ",(VLOOKUP(A294,GasCurves,15,FALSE)))</f>
        <v xml:space="preserve"> </v>
      </c>
    </row>
    <row r="295" spans="1:16">
      <c r="A295" s="208" t="str">
        <f>Calculations!A262</f>
        <v>N/A</v>
      </c>
      <c r="B295" s="237" t="str">
        <f>IF(A295="N/A"," ",IF(ISERROR(L295),B283*Inputs!$F$19,L295))</f>
        <v xml:space="preserve"> </v>
      </c>
      <c r="C295" s="239" t="str">
        <f t="shared" si="25"/>
        <v xml:space="preserve"> </v>
      </c>
      <c r="D295" s="238" t="str">
        <f t="shared" si="26"/>
        <v xml:space="preserve"> </v>
      </c>
      <c r="E295" s="237" t="str">
        <f>IF(A295="N/A"," ",IF(ISERROR(M295),E283*Inputs!$F$19,M295))</f>
        <v xml:space="preserve"> </v>
      </c>
      <c r="F295" s="238" t="str">
        <f t="shared" si="27"/>
        <v xml:space="preserve"> </v>
      </c>
      <c r="G295" s="237" t="str">
        <f>IF(A295="N/A"," ",IF(ISERROR(N295),G283*Inputs!$F$19,N295))</f>
        <v xml:space="preserve"> </v>
      </c>
      <c r="H295" s="238" t="str">
        <f t="shared" si="28"/>
        <v xml:space="preserve"> </v>
      </c>
      <c r="I295" s="238" t="str">
        <f>IF(A295="N/A"," ",IF(ISERROR(O295),I283*Inputs!$F$19,O295))</f>
        <v xml:space="preserve"> </v>
      </c>
      <c r="J295" s="331" t="str">
        <f>IF(A295="N/A"," ",IF(ISERROR(P295),J283*Inputs!$F$23,P295))</f>
        <v xml:space="preserve"> </v>
      </c>
      <c r="L295" s="349" t="str">
        <f>IF(A295="N/A"," ",VLOOKUP(A295,PeakPowerCurves,(IF('Pricing Inputs'!$AT$3=2,3,IF('Pricing Inputs'!$AT$3=1,2,4))),FALSE))</f>
        <v xml:space="preserve"> </v>
      </c>
      <c r="M295" s="349" t="str">
        <f>IF(A295="N/A"," ",VLOOKUP(A295,SatSunPeakPwr,(IF('Pricing Inputs'!$AT$3=2,3,IF('Pricing Inputs'!$AT$3=1,2,4))),FALSE))</f>
        <v xml:space="preserve"> </v>
      </c>
      <c r="N295" s="349" t="str">
        <f>IF(A295="N/A"," ",VLOOKUP(A295,SatSunPeakPwr,(IF('Pricing Inputs'!$AT$3=2,7,IF('Pricing Inputs'!$AT$3=1,6,8))),FALSE))</f>
        <v xml:space="preserve"> </v>
      </c>
      <c r="O295" s="350" t="str">
        <f>IF(A295="N/A"," ",(VLOOKUP(A295,OPPowerPrices,(IF('Pricing Inputs'!$AT$3=2,7,IF('Pricing Inputs'!$AT$3=1,6,8))),FALSE)))</f>
        <v xml:space="preserve"> </v>
      </c>
      <c r="P295" s="351" t="str">
        <f t="shared" si="29"/>
        <v xml:space="preserve"> </v>
      </c>
    </row>
    <row r="296" spans="1:16">
      <c r="A296" s="208" t="str">
        <f>Calculations!A263</f>
        <v>N/A</v>
      </c>
      <c r="B296" s="237" t="str">
        <f>IF(A296="N/A"," ",IF(ISERROR(L296),B284*Inputs!$F$19,L296))</f>
        <v xml:space="preserve"> </v>
      </c>
      <c r="C296" s="239" t="str">
        <f t="shared" si="25"/>
        <v xml:space="preserve"> </v>
      </c>
      <c r="D296" s="238" t="str">
        <f t="shared" si="26"/>
        <v xml:space="preserve"> </v>
      </c>
      <c r="E296" s="237" t="str">
        <f>IF(A296="N/A"," ",IF(ISERROR(M296),E284*Inputs!$F$19,M296))</f>
        <v xml:space="preserve"> </v>
      </c>
      <c r="F296" s="238" t="str">
        <f t="shared" si="27"/>
        <v xml:space="preserve"> </v>
      </c>
      <c r="G296" s="237" t="str">
        <f>IF(A296="N/A"," ",IF(ISERROR(N296),G284*Inputs!$F$19,N296))</f>
        <v xml:space="preserve"> </v>
      </c>
      <c r="H296" s="238" t="str">
        <f t="shared" si="28"/>
        <v xml:space="preserve"> </v>
      </c>
      <c r="I296" s="238" t="str">
        <f>IF(A296="N/A"," ",IF(ISERROR(O296),I284*Inputs!$F$19,O296))</f>
        <v xml:space="preserve"> </v>
      </c>
      <c r="J296" s="331" t="str">
        <f>IF(A296="N/A"," ",IF(ISERROR(P296),J284*Inputs!$F$23,P296))</f>
        <v xml:space="preserve"> </v>
      </c>
      <c r="L296" s="349" t="str">
        <f>IF(A296="N/A"," ",VLOOKUP(A296,PeakPowerCurves,(IF('Pricing Inputs'!$AT$3=2,3,IF('Pricing Inputs'!$AT$3=1,2,4))),FALSE))</f>
        <v xml:space="preserve"> </v>
      </c>
      <c r="M296" s="349" t="str">
        <f>IF(A296="N/A"," ",VLOOKUP(A296,SatSunPeakPwr,(IF('Pricing Inputs'!$AT$3=2,3,IF('Pricing Inputs'!$AT$3=1,2,4))),FALSE))</f>
        <v xml:space="preserve"> </v>
      </c>
      <c r="N296" s="349" t="str">
        <f>IF(A296="N/A"," ",VLOOKUP(A296,SatSunPeakPwr,(IF('Pricing Inputs'!$AT$3=2,7,IF('Pricing Inputs'!$AT$3=1,6,8))),FALSE))</f>
        <v xml:space="preserve"> </v>
      </c>
      <c r="O296" s="350" t="str">
        <f>IF(A296="N/A"," ",(VLOOKUP(A296,OPPowerPrices,(IF('Pricing Inputs'!$AT$3=2,7,IF('Pricing Inputs'!$AT$3=1,6,8))),FALSE)))</f>
        <v xml:space="preserve"> </v>
      </c>
      <c r="P296" s="351" t="str">
        <f t="shared" si="29"/>
        <v xml:space="preserve"> </v>
      </c>
    </row>
    <row r="297" spans="1:16">
      <c r="A297" s="208" t="str">
        <f>Calculations!A264</f>
        <v>N/A</v>
      </c>
      <c r="B297" s="237" t="str">
        <f>IF(A297="N/A"," ",IF(ISERROR(L297),B285*Inputs!$F$19,L297))</f>
        <v xml:space="preserve"> </v>
      </c>
      <c r="C297" s="239" t="str">
        <f t="shared" si="25"/>
        <v xml:space="preserve"> </v>
      </c>
      <c r="D297" s="238" t="str">
        <f t="shared" si="26"/>
        <v xml:space="preserve"> </v>
      </c>
      <c r="E297" s="237" t="str">
        <f>IF(A297="N/A"," ",IF(ISERROR(M297),E285*Inputs!$F$19,M297))</f>
        <v xml:space="preserve"> </v>
      </c>
      <c r="F297" s="238" t="str">
        <f t="shared" si="27"/>
        <v xml:space="preserve"> </v>
      </c>
      <c r="G297" s="237" t="str">
        <f>IF(A297="N/A"," ",IF(ISERROR(N297),G285*Inputs!$F$19,N297))</f>
        <v xml:space="preserve"> </v>
      </c>
      <c r="H297" s="238" t="str">
        <f t="shared" si="28"/>
        <v xml:space="preserve"> </v>
      </c>
      <c r="I297" s="238" t="str">
        <f>IF(A297="N/A"," ",IF(ISERROR(O297),I285*Inputs!$F$19,O297))</f>
        <v xml:space="preserve"> </v>
      </c>
      <c r="J297" s="331" t="str">
        <f>IF(A297="N/A"," ",IF(ISERROR(P297),J285*Inputs!$F$23,P297))</f>
        <v xml:space="preserve"> </v>
      </c>
      <c r="L297" s="349" t="str">
        <f>IF(A297="N/A"," ",VLOOKUP(A297,PeakPowerCurves,(IF('Pricing Inputs'!$AT$3=2,3,IF('Pricing Inputs'!$AT$3=1,2,4))),FALSE))</f>
        <v xml:space="preserve"> </v>
      </c>
      <c r="M297" s="349" t="str">
        <f>IF(A297="N/A"," ",VLOOKUP(A297,SatSunPeakPwr,(IF('Pricing Inputs'!$AT$3=2,3,IF('Pricing Inputs'!$AT$3=1,2,4))),FALSE))</f>
        <v xml:space="preserve"> </v>
      </c>
      <c r="N297" s="349" t="str">
        <f>IF(A297="N/A"," ",VLOOKUP(A297,SatSunPeakPwr,(IF('Pricing Inputs'!$AT$3=2,7,IF('Pricing Inputs'!$AT$3=1,6,8))),FALSE))</f>
        <v xml:space="preserve"> </v>
      </c>
      <c r="O297" s="350" t="str">
        <f>IF(A297="N/A"," ",(VLOOKUP(A297,OPPowerPrices,(IF('Pricing Inputs'!$AT$3=2,7,IF('Pricing Inputs'!$AT$3=1,6,8))),FALSE)))</f>
        <v xml:space="preserve"> </v>
      </c>
      <c r="P297" s="351" t="str">
        <f t="shared" si="29"/>
        <v xml:space="preserve"> </v>
      </c>
    </row>
    <row r="298" spans="1:16">
      <c r="A298" s="208" t="str">
        <f>Calculations!A265</f>
        <v>N/A</v>
      </c>
      <c r="B298" s="237" t="str">
        <f>IF(A298="N/A"," ",IF(ISERROR(L298),B286*Inputs!$F$19,L298))</f>
        <v xml:space="preserve"> </v>
      </c>
      <c r="C298" s="239" t="str">
        <f t="shared" si="25"/>
        <v xml:space="preserve"> </v>
      </c>
      <c r="D298" s="238" t="str">
        <f t="shared" si="26"/>
        <v xml:space="preserve"> </v>
      </c>
      <c r="E298" s="237" t="str">
        <f>IF(A298="N/A"," ",IF(ISERROR(M298),E286*Inputs!$F$19,M298))</f>
        <v xml:space="preserve"> </v>
      </c>
      <c r="F298" s="238" t="str">
        <f t="shared" si="27"/>
        <v xml:space="preserve"> </v>
      </c>
      <c r="G298" s="237" t="str">
        <f>IF(A298="N/A"," ",IF(ISERROR(N298),G286*Inputs!$F$19,N298))</f>
        <v xml:space="preserve"> </v>
      </c>
      <c r="H298" s="238" t="str">
        <f t="shared" si="28"/>
        <v xml:space="preserve"> </v>
      </c>
      <c r="I298" s="238" t="str">
        <f>IF(A298="N/A"," ",IF(ISERROR(O298),I286*Inputs!$F$19,O298))</f>
        <v xml:space="preserve"> </v>
      </c>
      <c r="J298" s="331" t="str">
        <f>IF(A298="N/A"," ",IF(ISERROR(P298),J286*Inputs!$F$23,P298))</f>
        <v xml:space="preserve"> </v>
      </c>
      <c r="L298" s="349" t="str">
        <f>IF(A298="N/A"," ",VLOOKUP(A298,PeakPowerCurves,(IF('Pricing Inputs'!$AT$3=2,3,IF('Pricing Inputs'!$AT$3=1,2,4))),FALSE))</f>
        <v xml:space="preserve"> </v>
      </c>
      <c r="M298" s="349" t="str">
        <f>IF(A298="N/A"," ",VLOOKUP(A298,SatSunPeakPwr,(IF('Pricing Inputs'!$AT$3=2,3,IF('Pricing Inputs'!$AT$3=1,2,4))),FALSE))</f>
        <v xml:space="preserve"> </v>
      </c>
      <c r="N298" s="349" t="str">
        <f>IF(A298="N/A"," ",VLOOKUP(A298,SatSunPeakPwr,(IF('Pricing Inputs'!$AT$3=2,7,IF('Pricing Inputs'!$AT$3=1,6,8))),FALSE))</f>
        <v xml:space="preserve"> </v>
      </c>
      <c r="O298" s="350" t="str">
        <f>IF(A298="N/A"," ",(VLOOKUP(A298,OPPowerPrices,(IF('Pricing Inputs'!$AT$3=2,7,IF('Pricing Inputs'!$AT$3=1,6,8))),FALSE)))</f>
        <v xml:space="preserve"> </v>
      </c>
      <c r="P298" s="351" t="str">
        <f t="shared" si="29"/>
        <v xml:space="preserve"> </v>
      </c>
    </row>
    <row r="299" spans="1:16">
      <c r="A299" s="208" t="str">
        <f>Calculations!A266</f>
        <v>N/A</v>
      </c>
      <c r="B299" s="237" t="str">
        <f>IF(A299="N/A"," ",IF(ISERROR(L299),B287*Inputs!$F$19,L299))</f>
        <v xml:space="preserve"> </v>
      </c>
      <c r="C299" s="239" t="str">
        <f t="shared" ref="C299:C362" si="30">IF(A299="N/A"," ",(IF(AND(MONTH(A299)&gt;=6,MONTH(A299)&lt;=8,OR($K$37="REGION 2",$K$37="REGION 2A",$K$37="REGION 2B",$K$37="REGION 3",$K$37="REGION 3A",$K$37="REGION 3B",$K$37="REGION 4",$K$37="REGION 4B",$K$37="REGION 4C",$K$37="REGION 5",$K$37="REGION 5A")),((0.059228/(B299/100))-(0.4980013/(SQRT(B299/100)))+2.137988),HLOOKUP(MONTH(A299),ScalarTable,28))))</f>
        <v xml:space="preserve"> </v>
      </c>
      <c r="D299" s="238" t="str">
        <f t="shared" si="26"/>
        <v xml:space="preserve"> </v>
      </c>
      <c r="E299" s="237" t="str">
        <f>IF(A299="N/A"," ",IF(ISERROR(M299),E287*Inputs!$F$19,M299))</f>
        <v xml:space="preserve"> </v>
      </c>
      <c r="F299" s="238" t="str">
        <f t="shared" si="27"/>
        <v xml:space="preserve"> </v>
      </c>
      <c r="G299" s="237" t="str">
        <f>IF(A299="N/A"," ",IF(ISERROR(N299),G287*Inputs!$F$19,N299))</f>
        <v xml:space="preserve"> </v>
      </c>
      <c r="H299" s="238" t="str">
        <f t="shared" si="28"/>
        <v xml:space="preserve"> </v>
      </c>
      <c r="I299" s="238" t="str">
        <f>IF(A299="N/A"," ",IF(ISERROR(O299),I287*Inputs!$F$19,O299))</f>
        <v xml:space="preserve"> </v>
      </c>
      <c r="J299" s="331" t="str">
        <f>IF(A299="N/A"," ",IF(ISERROR(P299),J287*Inputs!$F$23,P299))</f>
        <v xml:space="preserve"> </v>
      </c>
      <c r="L299" s="349" t="str">
        <f>IF(A299="N/A"," ",VLOOKUP(A299,PeakPowerCurves,(IF('Pricing Inputs'!$AT$3=2,3,IF('Pricing Inputs'!$AT$3=1,2,4))),FALSE))</f>
        <v xml:space="preserve"> </v>
      </c>
      <c r="M299" s="349" t="str">
        <f>IF(A299="N/A"," ",VLOOKUP(A299,SatSunPeakPwr,(IF('Pricing Inputs'!$AT$3=2,3,IF('Pricing Inputs'!$AT$3=1,2,4))),FALSE))</f>
        <v xml:space="preserve"> </v>
      </c>
      <c r="N299" s="349" t="str">
        <f>IF(A299="N/A"," ",VLOOKUP(A299,SatSunPeakPwr,(IF('Pricing Inputs'!$AT$3=2,7,IF('Pricing Inputs'!$AT$3=1,6,8))),FALSE))</f>
        <v xml:space="preserve"> </v>
      </c>
      <c r="O299" s="350" t="str">
        <f>IF(A299="N/A"," ",(VLOOKUP(A299,OPPowerPrices,(IF('Pricing Inputs'!$AT$3=2,7,IF('Pricing Inputs'!$AT$3=1,6,8))),FALSE)))</f>
        <v xml:space="preserve"> </v>
      </c>
      <c r="P299" s="351" t="str">
        <f t="shared" si="29"/>
        <v xml:space="preserve"> </v>
      </c>
    </row>
    <row r="300" spans="1:16">
      <c r="A300" s="208" t="str">
        <f>Calculations!A267</f>
        <v>N/A</v>
      </c>
      <c r="B300" s="237" t="str">
        <f>IF(A300="N/A"," ",IF(ISERROR(L300),B288*Inputs!$F$19,L300))</f>
        <v xml:space="preserve"> </v>
      </c>
      <c r="C300" s="239" t="str">
        <f t="shared" si="30"/>
        <v xml:space="preserve"> </v>
      </c>
      <c r="D300" s="238" t="str">
        <f t="shared" si="26"/>
        <v xml:space="preserve"> </v>
      </c>
      <c r="E300" s="237" t="str">
        <f>IF(A300="N/A"," ",IF(ISERROR(M300),E288*Inputs!$F$19,M300))</f>
        <v xml:space="preserve"> </v>
      </c>
      <c r="F300" s="238" t="str">
        <f t="shared" si="27"/>
        <v xml:space="preserve"> </v>
      </c>
      <c r="G300" s="237" t="str">
        <f>IF(A300="N/A"," ",IF(ISERROR(N300),G288*Inputs!$F$19,N300))</f>
        <v xml:space="preserve"> </v>
      </c>
      <c r="H300" s="238" t="str">
        <f t="shared" si="28"/>
        <v xml:space="preserve"> </v>
      </c>
      <c r="I300" s="238" t="str">
        <f>IF(A300="N/A"," ",IF(ISERROR(O300),I288*Inputs!$F$19,O300))</f>
        <v xml:space="preserve"> </v>
      </c>
      <c r="J300" s="331" t="str">
        <f>IF(A300="N/A"," ",IF(ISERROR(P300),J288*Inputs!$F$23,P300))</f>
        <v xml:space="preserve"> </v>
      </c>
      <c r="L300" s="349" t="str">
        <f>IF(A300="N/A"," ",VLOOKUP(A300,PeakPowerCurves,(IF('Pricing Inputs'!$AT$3=2,3,IF('Pricing Inputs'!$AT$3=1,2,4))),FALSE))</f>
        <v xml:space="preserve"> </v>
      </c>
      <c r="M300" s="349" t="str">
        <f>IF(A300="N/A"," ",VLOOKUP(A300,SatSunPeakPwr,(IF('Pricing Inputs'!$AT$3=2,3,IF('Pricing Inputs'!$AT$3=1,2,4))),FALSE))</f>
        <v xml:space="preserve"> </v>
      </c>
      <c r="N300" s="349" t="str">
        <f>IF(A300="N/A"," ",VLOOKUP(A300,SatSunPeakPwr,(IF('Pricing Inputs'!$AT$3=2,7,IF('Pricing Inputs'!$AT$3=1,6,8))),FALSE))</f>
        <v xml:space="preserve"> </v>
      </c>
      <c r="O300" s="350" t="str">
        <f>IF(A300="N/A"," ",(VLOOKUP(A300,OPPowerPrices,(IF('Pricing Inputs'!$AT$3=2,7,IF('Pricing Inputs'!$AT$3=1,6,8))),FALSE)))</f>
        <v xml:space="preserve"> </v>
      </c>
      <c r="P300" s="351" t="str">
        <f t="shared" si="29"/>
        <v xml:space="preserve"> </v>
      </c>
    </row>
    <row r="301" spans="1:16">
      <c r="A301" s="208" t="str">
        <f>Calculations!A268</f>
        <v>N/A</v>
      </c>
      <c r="B301" s="237" t="str">
        <f>IF(A301="N/A"," ",IF(ISERROR(L301),B289*Inputs!$F$19,L301))</f>
        <v xml:space="preserve"> </v>
      </c>
      <c r="C301" s="239" t="str">
        <f t="shared" si="30"/>
        <v xml:space="preserve"> </v>
      </c>
      <c r="D301" s="238" t="str">
        <f t="shared" si="26"/>
        <v xml:space="preserve"> </v>
      </c>
      <c r="E301" s="237" t="str">
        <f>IF(A301="N/A"," ",IF(ISERROR(M301),E289*Inputs!$F$19,M301))</f>
        <v xml:space="preserve"> </v>
      </c>
      <c r="F301" s="238" t="str">
        <f t="shared" si="27"/>
        <v xml:space="preserve"> </v>
      </c>
      <c r="G301" s="237" t="str">
        <f>IF(A301="N/A"," ",IF(ISERROR(N301),G289*Inputs!$F$19,N301))</f>
        <v xml:space="preserve"> </v>
      </c>
      <c r="H301" s="238" t="str">
        <f t="shared" si="28"/>
        <v xml:space="preserve"> </v>
      </c>
      <c r="I301" s="238" t="str">
        <f>IF(A301="N/A"," ",IF(ISERROR(O301),I289*Inputs!$F$19,O301))</f>
        <v xml:space="preserve"> </v>
      </c>
      <c r="J301" s="331" t="str">
        <f>IF(A301="N/A"," ",IF(ISERROR(P301),J289*Inputs!$F$23,P301))</f>
        <v xml:space="preserve"> </v>
      </c>
      <c r="L301" s="349" t="str">
        <f>IF(A301="N/A"," ",VLOOKUP(A301,PeakPowerCurves,(IF('Pricing Inputs'!$AT$3=2,3,IF('Pricing Inputs'!$AT$3=1,2,4))),FALSE))</f>
        <v xml:space="preserve"> </v>
      </c>
      <c r="M301" s="349" t="str">
        <f>IF(A301="N/A"," ",VLOOKUP(A301,SatSunPeakPwr,(IF('Pricing Inputs'!$AT$3=2,3,IF('Pricing Inputs'!$AT$3=1,2,4))),FALSE))</f>
        <v xml:space="preserve"> </v>
      </c>
      <c r="N301" s="349" t="str">
        <f>IF(A301="N/A"," ",VLOOKUP(A301,SatSunPeakPwr,(IF('Pricing Inputs'!$AT$3=2,7,IF('Pricing Inputs'!$AT$3=1,6,8))),FALSE))</f>
        <v xml:space="preserve"> </v>
      </c>
      <c r="O301" s="350" t="str">
        <f>IF(A301="N/A"," ",(VLOOKUP(A301,OPPowerPrices,(IF('Pricing Inputs'!$AT$3=2,7,IF('Pricing Inputs'!$AT$3=1,6,8))),FALSE)))</f>
        <v xml:space="preserve"> </v>
      </c>
      <c r="P301" s="351" t="str">
        <f t="shared" si="29"/>
        <v xml:space="preserve"> </v>
      </c>
    </row>
    <row r="302" spans="1:16">
      <c r="A302" s="208" t="str">
        <f>Calculations!A269</f>
        <v>N/A</v>
      </c>
      <c r="B302" s="237" t="str">
        <f>IF(A302="N/A"," ",IF(ISERROR(L302),B290*Inputs!$F$19,L302))</f>
        <v xml:space="preserve"> </v>
      </c>
      <c r="C302" s="239" t="str">
        <f t="shared" si="30"/>
        <v xml:space="preserve"> </v>
      </c>
      <c r="D302" s="238" t="str">
        <f t="shared" si="26"/>
        <v xml:space="preserve"> </v>
      </c>
      <c r="E302" s="237" t="str">
        <f>IF(A302="N/A"," ",IF(ISERROR(M302),E290*Inputs!$F$19,M302))</f>
        <v xml:space="preserve"> </v>
      </c>
      <c r="F302" s="238" t="str">
        <f t="shared" si="27"/>
        <v xml:space="preserve"> </v>
      </c>
      <c r="G302" s="237" t="str">
        <f>IF(A302="N/A"," ",IF(ISERROR(N302),G290*Inputs!$F$19,N302))</f>
        <v xml:space="preserve"> </v>
      </c>
      <c r="H302" s="238" t="str">
        <f t="shared" si="28"/>
        <v xml:space="preserve"> </v>
      </c>
      <c r="I302" s="238" t="str">
        <f>IF(A302="N/A"," ",IF(ISERROR(O302),I290*Inputs!$F$19,O302))</f>
        <v xml:space="preserve"> </v>
      </c>
      <c r="J302" s="331" t="str">
        <f>IF(A302="N/A"," ",IF(ISERROR(P302),J290*Inputs!$F$23,P302))</f>
        <v xml:space="preserve"> </v>
      </c>
      <c r="L302" s="349" t="str">
        <f>IF(A302="N/A"," ",VLOOKUP(A302,PeakPowerCurves,(IF('Pricing Inputs'!$AT$3=2,3,IF('Pricing Inputs'!$AT$3=1,2,4))),FALSE))</f>
        <v xml:space="preserve"> </v>
      </c>
      <c r="M302" s="349" t="str">
        <f>IF(A302="N/A"," ",VLOOKUP(A302,SatSunPeakPwr,(IF('Pricing Inputs'!$AT$3=2,3,IF('Pricing Inputs'!$AT$3=1,2,4))),FALSE))</f>
        <v xml:space="preserve"> </v>
      </c>
      <c r="N302" s="349" t="str">
        <f>IF(A302="N/A"," ",VLOOKUP(A302,SatSunPeakPwr,(IF('Pricing Inputs'!$AT$3=2,7,IF('Pricing Inputs'!$AT$3=1,6,8))),FALSE))</f>
        <v xml:space="preserve"> </v>
      </c>
      <c r="O302" s="350" t="str">
        <f>IF(A302="N/A"," ",(VLOOKUP(A302,OPPowerPrices,(IF('Pricing Inputs'!$AT$3=2,7,IF('Pricing Inputs'!$AT$3=1,6,8))),FALSE)))</f>
        <v xml:space="preserve"> </v>
      </c>
      <c r="P302" s="351" t="str">
        <f t="shared" si="29"/>
        <v xml:space="preserve"> </v>
      </c>
    </row>
    <row r="303" spans="1:16">
      <c r="A303" s="208" t="str">
        <f>Calculations!A270</f>
        <v>N/A</v>
      </c>
      <c r="B303" s="237" t="str">
        <f>IF(A303="N/A"," ",IF(ISERROR(L303),B291*Inputs!$F$19,L303))</f>
        <v xml:space="preserve"> </v>
      </c>
      <c r="C303" s="239" t="str">
        <f t="shared" si="30"/>
        <v xml:space="preserve"> </v>
      </c>
      <c r="D303" s="238" t="str">
        <f t="shared" si="26"/>
        <v xml:space="preserve"> </v>
      </c>
      <c r="E303" s="237" t="str">
        <f>IF(A303="N/A"," ",IF(ISERROR(M303),E291*Inputs!$F$19,M303))</f>
        <v xml:space="preserve"> </v>
      </c>
      <c r="F303" s="238" t="str">
        <f t="shared" si="27"/>
        <v xml:space="preserve"> </v>
      </c>
      <c r="G303" s="237" t="str">
        <f>IF(A303="N/A"," ",IF(ISERROR(N303),G291*Inputs!$F$19,N303))</f>
        <v xml:space="preserve"> </v>
      </c>
      <c r="H303" s="238" t="str">
        <f t="shared" si="28"/>
        <v xml:space="preserve"> </v>
      </c>
      <c r="I303" s="238" t="str">
        <f>IF(A303="N/A"," ",IF(ISERROR(O303),I291*Inputs!$F$19,O303))</f>
        <v xml:space="preserve"> </v>
      </c>
      <c r="J303" s="331" t="str">
        <f>IF(A303="N/A"," ",IF(ISERROR(P303),J291*Inputs!$F$23,P303))</f>
        <v xml:space="preserve"> </v>
      </c>
      <c r="L303" s="349" t="str">
        <f>IF(A303="N/A"," ",VLOOKUP(A303,PeakPowerCurves,(IF('Pricing Inputs'!$AT$3=2,3,IF('Pricing Inputs'!$AT$3=1,2,4))),FALSE))</f>
        <v xml:space="preserve"> </v>
      </c>
      <c r="M303" s="349" t="str">
        <f>IF(A303="N/A"," ",VLOOKUP(A303,SatSunPeakPwr,(IF('Pricing Inputs'!$AT$3=2,3,IF('Pricing Inputs'!$AT$3=1,2,4))),FALSE))</f>
        <v xml:space="preserve"> </v>
      </c>
      <c r="N303" s="349" t="str">
        <f>IF(A303="N/A"," ",VLOOKUP(A303,SatSunPeakPwr,(IF('Pricing Inputs'!$AT$3=2,7,IF('Pricing Inputs'!$AT$3=1,6,8))),FALSE))</f>
        <v xml:space="preserve"> </v>
      </c>
      <c r="O303" s="350" t="str">
        <f>IF(A303="N/A"," ",(VLOOKUP(A303,OPPowerPrices,(IF('Pricing Inputs'!$AT$3=2,7,IF('Pricing Inputs'!$AT$3=1,6,8))),FALSE)))</f>
        <v xml:space="preserve"> </v>
      </c>
      <c r="P303" s="351" t="str">
        <f t="shared" si="29"/>
        <v xml:space="preserve"> </v>
      </c>
    </row>
    <row r="304" spans="1:16">
      <c r="A304" s="208" t="str">
        <f>Calculations!A271</f>
        <v>N/A</v>
      </c>
      <c r="B304" s="237" t="str">
        <f>IF(A304="N/A"," ",IF(ISERROR(L304),B292*Inputs!$F$19,L304))</f>
        <v xml:space="preserve"> </v>
      </c>
      <c r="C304" s="239" t="str">
        <f t="shared" si="30"/>
        <v xml:space="preserve"> </v>
      </c>
      <c r="D304" s="238" t="str">
        <f t="shared" si="26"/>
        <v xml:space="preserve"> </v>
      </c>
      <c r="E304" s="237" t="str">
        <f>IF(A304="N/A"," ",IF(ISERROR(M304),E292*Inputs!$F$19,M304))</f>
        <v xml:space="preserve"> </v>
      </c>
      <c r="F304" s="238" t="str">
        <f t="shared" si="27"/>
        <v xml:space="preserve"> </v>
      </c>
      <c r="G304" s="237" t="str">
        <f>IF(A304="N/A"," ",IF(ISERROR(N304),G292*Inputs!$F$19,N304))</f>
        <v xml:space="preserve"> </v>
      </c>
      <c r="H304" s="238" t="str">
        <f t="shared" si="28"/>
        <v xml:space="preserve"> </v>
      </c>
      <c r="I304" s="238" t="str">
        <f>IF(A304="N/A"," ",IF(ISERROR(O304),I292*Inputs!$F$19,O304))</f>
        <v xml:space="preserve"> </v>
      </c>
      <c r="J304" s="331" t="str">
        <f>IF(A304="N/A"," ",IF(ISERROR(P304),J292*Inputs!$F$23,P304))</f>
        <v xml:space="preserve"> </v>
      </c>
      <c r="L304" s="349" t="str">
        <f>IF(A304="N/A"," ",VLOOKUP(A304,PeakPowerCurves,(IF('Pricing Inputs'!$AT$3=2,3,IF('Pricing Inputs'!$AT$3=1,2,4))),FALSE))</f>
        <v xml:space="preserve"> </v>
      </c>
      <c r="M304" s="349" t="str">
        <f>IF(A304="N/A"," ",VLOOKUP(A304,SatSunPeakPwr,(IF('Pricing Inputs'!$AT$3=2,3,IF('Pricing Inputs'!$AT$3=1,2,4))),FALSE))</f>
        <v xml:space="preserve"> </v>
      </c>
      <c r="N304" s="349" t="str">
        <f>IF(A304="N/A"," ",VLOOKUP(A304,SatSunPeakPwr,(IF('Pricing Inputs'!$AT$3=2,7,IF('Pricing Inputs'!$AT$3=1,6,8))),FALSE))</f>
        <v xml:space="preserve"> </v>
      </c>
      <c r="O304" s="350" t="str">
        <f>IF(A304="N/A"," ",(VLOOKUP(A304,OPPowerPrices,(IF('Pricing Inputs'!$AT$3=2,7,IF('Pricing Inputs'!$AT$3=1,6,8))),FALSE)))</f>
        <v xml:space="preserve"> </v>
      </c>
      <c r="P304" s="351" t="str">
        <f t="shared" si="29"/>
        <v xml:space="preserve"> </v>
      </c>
    </row>
    <row r="305" spans="1:16">
      <c r="A305" s="208" t="str">
        <f>Calculations!A272</f>
        <v>N/A</v>
      </c>
      <c r="B305" s="237" t="str">
        <f>IF(A305="N/A"," ",IF(ISERROR(L305),B293*Inputs!$F$19,L305))</f>
        <v xml:space="preserve"> </v>
      </c>
      <c r="C305" s="239" t="str">
        <f t="shared" si="30"/>
        <v xml:space="preserve"> </v>
      </c>
      <c r="D305" s="238" t="str">
        <f t="shared" si="26"/>
        <v xml:space="preserve"> </v>
      </c>
      <c r="E305" s="237" t="str">
        <f>IF(A305="N/A"," ",IF(ISERROR(M305),E293*Inputs!$F$19,M305))</f>
        <v xml:space="preserve"> </v>
      </c>
      <c r="F305" s="238" t="str">
        <f t="shared" si="27"/>
        <v xml:space="preserve"> </v>
      </c>
      <c r="G305" s="237" t="str">
        <f>IF(A305="N/A"," ",IF(ISERROR(N305),G293*Inputs!$F$19,N305))</f>
        <v xml:space="preserve"> </v>
      </c>
      <c r="H305" s="238" t="str">
        <f t="shared" si="28"/>
        <v xml:space="preserve"> </v>
      </c>
      <c r="I305" s="238" t="str">
        <f>IF(A305="N/A"," ",IF(ISERROR(O305),I293*Inputs!$F$19,O305))</f>
        <v xml:space="preserve"> </v>
      </c>
      <c r="J305" s="331" t="str">
        <f>IF(A305="N/A"," ",IF(ISERROR(P305),J293*Inputs!$F$23,P305))</f>
        <v xml:space="preserve"> </v>
      </c>
      <c r="L305" s="349" t="str">
        <f>IF(A305="N/A"," ",VLOOKUP(A305,PeakPowerCurves,(IF('Pricing Inputs'!$AT$3=2,3,IF('Pricing Inputs'!$AT$3=1,2,4))),FALSE))</f>
        <v xml:space="preserve"> </v>
      </c>
      <c r="M305" s="349" t="str">
        <f>IF(A305="N/A"," ",VLOOKUP(A305,SatSunPeakPwr,(IF('Pricing Inputs'!$AT$3=2,3,IF('Pricing Inputs'!$AT$3=1,2,4))),FALSE))</f>
        <v xml:space="preserve"> </v>
      </c>
      <c r="N305" s="349" t="str">
        <f>IF(A305="N/A"," ",VLOOKUP(A305,SatSunPeakPwr,(IF('Pricing Inputs'!$AT$3=2,7,IF('Pricing Inputs'!$AT$3=1,6,8))),FALSE))</f>
        <v xml:space="preserve"> </v>
      </c>
      <c r="O305" s="350" t="str">
        <f>IF(A305="N/A"," ",(VLOOKUP(A305,OPPowerPrices,(IF('Pricing Inputs'!$AT$3=2,7,IF('Pricing Inputs'!$AT$3=1,6,8))),FALSE)))</f>
        <v xml:space="preserve"> </v>
      </c>
      <c r="P305" s="351" t="str">
        <f t="shared" si="29"/>
        <v xml:space="preserve"> </v>
      </c>
    </row>
    <row r="306" spans="1:16">
      <c r="A306" s="208" t="str">
        <f>Calculations!A273</f>
        <v>N/A</v>
      </c>
      <c r="B306" s="237" t="str">
        <f>IF(A306="N/A"," ",IF(ISERROR(L306),B294*Inputs!$F$19,L306))</f>
        <v xml:space="preserve"> </v>
      </c>
      <c r="C306" s="239" t="str">
        <f t="shared" si="30"/>
        <v xml:space="preserve"> </v>
      </c>
      <c r="D306" s="238" t="str">
        <f t="shared" si="26"/>
        <v xml:space="preserve"> </v>
      </c>
      <c r="E306" s="237" t="str">
        <f>IF(A306="N/A"," ",IF(ISERROR(M306),E294*Inputs!$F$19,M306))</f>
        <v xml:space="preserve"> </v>
      </c>
      <c r="F306" s="238" t="str">
        <f t="shared" si="27"/>
        <v xml:space="preserve"> </v>
      </c>
      <c r="G306" s="237" t="str">
        <f>IF(A306="N/A"," ",IF(ISERROR(N306),G294*Inputs!$F$19,N306))</f>
        <v xml:space="preserve"> </v>
      </c>
      <c r="H306" s="238" t="str">
        <f t="shared" si="28"/>
        <v xml:space="preserve"> </v>
      </c>
      <c r="I306" s="238" t="str">
        <f>IF(A306="N/A"," ",IF(ISERROR(O306),I294*Inputs!$F$19,O306))</f>
        <v xml:space="preserve"> </v>
      </c>
      <c r="J306" s="331" t="str">
        <f>IF(A306="N/A"," ",IF(ISERROR(P306),J294*Inputs!$F$23,P306))</f>
        <v xml:space="preserve"> </v>
      </c>
      <c r="L306" s="349" t="str">
        <f>IF(A306="N/A"," ",VLOOKUP(A306,PeakPowerCurves,(IF('Pricing Inputs'!$AT$3=2,3,IF('Pricing Inputs'!$AT$3=1,2,4))),FALSE))</f>
        <v xml:space="preserve"> </v>
      </c>
      <c r="M306" s="349" t="str">
        <f>IF(A306="N/A"," ",VLOOKUP(A306,SatSunPeakPwr,(IF('Pricing Inputs'!$AT$3=2,3,IF('Pricing Inputs'!$AT$3=1,2,4))),FALSE))</f>
        <v xml:space="preserve"> </v>
      </c>
      <c r="N306" s="349" t="str">
        <f>IF(A306="N/A"," ",VLOOKUP(A306,SatSunPeakPwr,(IF('Pricing Inputs'!$AT$3=2,7,IF('Pricing Inputs'!$AT$3=1,6,8))),FALSE))</f>
        <v xml:space="preserve"> </v>
      </c>
      <c r="O306" s="350" t="str">
        <f>IF(A306="N/A"," ",(VLOOKUP(A306,OPPowerPrices,(IF('Pricing Inputs'!$AT$3=2,7,IF('Pricing Inputs'!$AT$3=1,6,8))),FALSE)))</f>
        <v xml:space="preserve"> </v>
      </c>
      <c r="P306" s="351" t="str">
        <f t="shared" si="29"/>
        <v xml:space="preserve"> </v>
      </c>
    </row>
    <row r="307" spans="1:16">
      <c r="A307" s="208" t="str">
        <f>Calculations!A274</f>
        <v>N/A</v>
      </c>
      <c r="B307" s="237" t="str">
        <f>IF(A307="N/A"," ",IF(ISERROR(L307),B295*Inputs!$F$19,L307))</f>
        <v xml:space="preserve"> </v>
      </c>
      <c r="C307" s="239" t="str">
        <f t="shared" si="30"/>
        <v xml:space="preserve"> </v>
      </c>
      <c r="D307" s="238" t="str">
        <f t="shared" si="26"/>
        <v xml:space="preserve"> </v>
      </c>
      <c r="E307" s="237" t="str">
        <f>IF(A307="N/A"," ",IF(ISERROR(M307),E295*Inputs!$F$19,M307))</f>
        <v xml:space="preserve"> </v>
      </c>
      <c r="F307" s="238" t="str">
        <f t="shared" si="27"/>
        <v xml:space="preserve"> </v>
      </c>
      <c r="G307" s="237" t="str">
        <f>IF(A307="N/A"," ",IF(ISERROR(N307),G295*Inputs!$F$19,N307))</f>
        <v xml:space="preserve"> </v>
      </c>
      <c r="H307" s="238" t="str">
        <f t="shared" si="28"/>
        <v xml:space="preserve"> </v>
      </c>
      <c r="I307" s="238" t="str">
        <f>IF(A307="N/A"," ",IF(ISERROR(O307),I295*Inputs!$F$19,O307))</f>
        <v xml:space="preserve"> </v>
      </c>
      <c r="J307" s="331" t="str">
        <f>IF(A307="N/A"," ",IF(ISERROR(P307),J295*Inputs!$F$23,P307))</f>
        <v xml:space="preserve"> </v>
      </c>
      <c r="L307" s="349" t="str">
        <f>IF(A307="N/A"," ",VLOOKUP(A307,PeakPowerCurves,(IF('Pricing Inputs'!$AT$3=2,3,IF('Pricing Inputs'!$AT$3=1,2,4))),FALSE))</f>
        <v xml:space="preserve"> </v>
      </c>
      <c r="M307" s="349" t="str">
        <f>IF(A307="N/A"," ",VLOOKUP(A307,SatSunPeakPwr,(IF('Pricing Inputs'!$AT$3=2,3,IF('Pricing Inputs'!$AT$3=1,2,4))),FALSE))</f>
        <v xml:space="preserve"> </v>
      </c>
      <c r="N307" s="349" t="str">
        <f>IF(A307="N/A"," ",VLOOKUP(A307,SatSunPeakPwr,(IF('Pricing Inputs'!$AT$3=2,7,IF('Pricing Inputs'!$AT$3=1,6,8))),FALSE))</f>
        <v xml:space="preserve"> </v>
      </c>
      <c r="O307" s="350" t="str">
        <f>IF(A307="N/A"," ",(VLOOKUP(A307,OPPowerPrices,(IF('Pricing Inputs'!$AT$3=2,7,IF('Pricing Inputs'!$AT$3=1,6,8))),FALSE)))</f>
        <v xml:space="preserve"> </v>
      </c>
      <c r="P307" s="351" t="str">
        <f t="shared" si="29"/>
        <v xml:space="preserve"> </v>
      </c>
    </row>
    <row r="308" spans="1:16">
      <c r="A308" s="208" t="str">
        <f>Calculations!A275</f>
        <v>N/A</v>
      </c>
      <c r="B308" s="237" t="str">
        <f>IF(A308="N/A"," ",IF(ISERROR(L308),B296*Inputs!$F$19,L308))</f>
        <v xml:space="preserve"> </v>
      </c>
      <c r="C308" s="239" t="str">
        <f t="shared" si="30"/>
        <v xml:space="preserve"> </v>
      </c>
      <c r="D308" s="238" t="str">
        <f t="shared" si="26"/>
        <v xml:space="preserve"> </v>
      </c>
      <c r="E308" s="237" t="str">
        <f>IF(A308="N/A"," ",IF(ISERROR(M308),E296*Inputs!$F$19,M308))</f>
        <v xml:space="preserve"> </v>
      </c>
      <c r="F308" s="238" t="str">
        <f t="shared" si="27"/>
        <v xml:space="preserve"> </v>
      </c>
      <c r="G308" s="237" t="str">
        <f>IF(A308="N/A"," ",IF(ISERROR(N308),G296*Inputs!$F$19,N308))</f>
        <v xml:space="preserve"> </v>
      </c>
      <c r="H308" s="238" t="str">
        <f t="shared" si="28"/>
        <v xml:space="preserve"> </v>
      </c>
      <c r="I308" s="238" t="str">
        <f>IF(A308="N/A"," ",IF(ISERROR(O308),I296*Inputs!$F$19,O308))</f>
        <v xml:space="preserve"> </v>
      </c>
      <c r="J308" s="331" t="str">
        <f>IF(A308="N/A"," ",IF(ISERROR(P308),J296*Inputs!$F$23,P308))</f>
        <v xml:space="preserve"> </v>
      </c>
      <c r="L308" s="349" t="str">
        <f>IF(A308="N/A"," ",VLOOKUP(A308,PeakPowerCurves,(IF('Pricing Inputs'!$AT$3=2,3,IF('Pricing Inputs'!$AT$3=1,2,4))),FALSE))</f>
        <v xml:space="preserve"> </v>
      </c>
      <c r="M308" s="349" t="str">
        <f>IF(A308="N/A"," ",VLOOKUP(A308,SatSunPeakPwr,(IF('Pricing Inputs'!$AT$3=2,3,IF('Pricing Inputs'!$AT$3=1,2,4))),FALSE))</f>
        <v xml:space="preserve"> </v>
      </c>
      <c r="N308" s="349" t="str">
        <f>IF(A308="N/A"," ",VLOOKUP(A308,SatSunPeakPwr,(IF('Pricing Inputs'!$AT$3=2,7,IF('Pricing Inputs'!$AT$3=1,6,8))),FALSE))</f>
        <v xml:space="preserve"> </v>
      </c>
      <c r="O308" s="350" t="str">
        <f>IF(A308="N/A"," ",(VLOOKUP(A308,OPPowerPrices,(IF('Pricing Inputs'!$AT$3=2,7,IF('Pricing Inputs'!$AT$3=1,6,8))),FALSE)))</f>
        <v xml:space="preserve"> </v>
      </c>
      <c r="P308" s="351" t="str">
        <f t="shared" si="29"/>
        <v xml:space="preserve"> </v>
      </c>
    </row>
    <row r="309" spans="1:16">
      <c r="A309" s="208" t="str">
        <f>Calculations!A276</f>
        <v>N/A</v>
      </c>
      <c r="B309" s="237" t="str">
        <f>IF(A309="N/A"," ",IF(ISERROR(L309),B297*Inputs!$F$19,L309))</f>
        <v xml:space="preserve"> </v>
      </c>
      <c r="C309" s="239" t="str">
        <f t="shared" si="30"/>
        <v xml:space="preserve"> </v>
      </c>
      <c r="D309" s="238" t="str">
        <f t="shared" si="26"/>
        <v xml:space="preserve"> </v>
      </c>
      <c r="E309" s="237" t="str">
        <f>IF(A309="N/A"," ",IF(ISERROR(M309),E297*Inputs!$F$19,M309))</f>
        <v xml:space="preserve"> </v>
      </c>
      <c r="F309" s="238" t="str">
        <f t="shared" si="27"/>
        <v xml:space="preserve"> </v>
      </c>
      <c r="G309" s="237" t="str">
        <f>IF(A309="N/A"," ",IF(ISERROR(N309),G297*Inputs!$F$19,N309))</f>
        <v xml:space="preserve"> </v>
      </c>
      <c r="H309" s="238" t="str">
        <f t="shared" si="28"/>
        <v xml:space="preserve"> </v>
      </c>
      <c r="I309" s="238" t="str">
        <f>IF(A309="N/A"," ",IF(ISERROR(O309),I297*Inputs!$F$19,O309))</f>
        <v xml:space="preserve"> </v>
      </c>
      <c r="J309" s="331" t="str">
        <f>IF(A309="N/A"," ",IF(ISERROR(P309),J297*Inputs!$F$23,P309))</f>
        <v xml:space="preserve"> </v>
      </c>
      <c r="L309" s="349" t="str">
        <f>IF(A309="N/A"," ",VLOOKUP(A309,PeakPowerCurves,(IF('Pricing Inputs'!$AT$3=2,3,IF('Pricing Inputs'!$AT$3=1,2,4))),FALSE))</f>
        <v xml:space="preserve"> </v>
      </c>
      <c r="M309" s="349" t="str">
        <f>IF(A309="N/A"," ",VLOOKUP(A309,SatSunPeakPwr,(IF('Pricing Inputs'!$AT$3=2,3,IF('Pricing Inputs'!$AT$3=1,2,4))),FALSE))</f>
        <v xml:space="preserve"> </v>
      </c>
      <c r="N309" s="349" t="str">
        <f>IF(A309="N/A"," ",VLOOKUP(A309,SatSunPeakPwr,(IF('Pricing Inputs'!$AT$3=2,7,IF('Pricing Inputs'!$AT$3=1,6,8))),FALSE))</f>
        <v xml:space="preserve"> </v>
      </c>
      <c r="O309" s="350" t="str">
        <f>IF(A309="N/A"," ",(VLOOKUP(A309,OPPowerPrices,(IF('Pricing Inputs'!$AT$3=2,7,IF('Pricing Inputs'!$AT$3=1,6,8))),FALSE)))</f>
        <v xml:space="preserve"> </v>
      </c>
      <c r="P309" s="351" t="str">
        <f t="shared" si="29"/>
        <v xml:space="preserve"> </v>
      </c>
    </row>
    <row r="310" spans="1:16">
      <c r="A310" s="208" t="str">
        <f>Calculations!A277</f>
        <v>N/A</v>
      </c>
      <c r="B310" s="237" t="str">
        <f>IF(A310="N/A"," ",IF(ISERROR(L310),B298*Inputs!$F$19,L310))</f>
        <v xml:space="preserve"> </v>
      </c>
      <c r="C310" s="239" t="str">
        <f t="shared" si="30"/>
        <v xml:space="preserve"> </v>
      </c>
      <c r="D310" s="238" t="str">
        <f t="shared" si="26"/>
        <v xml:space="preserve"> </v>
      </c>
      <c r="E310" s="237" t="str">
        <f>IF(A310="N/A"," ",IF(ISERROR(M310),E298*Inputs!$F$19,M310))</f>
        <v xml:space="preserve"> </v>
      </c>
      <c r="F310" s="238" t="str">
        <f t="shared" si="27"/>
        <v xml:space="preserve"> </v>
      </c>
      <c r="G310" s="237" t="str">
        <f>IF(A310="N/A"," ",IF(ISERROR(N310),G298*Inputs!$F$19,N310))</f>
        <v xml:space="preserve"> </v>
      </c>
      <c r="H310" s="238" t="str">
        <f t="shared" si="28"/>
        <v xml:space="preserve"> </v>
      </c>
      <c r="I310" s="238" t="str">
        <f>IF(A310="N/A"," ",IF(ISERROR(O310),I298*Inputs!$F$19,O310))</f>
        <v xml:space="preserve"> </v>
      </c>
      <c r="J310" s="331" t="str">
        <f>IF(A310="N/A"," ",IF(ISERROR(P310),J298*Inputs!$F$23,P310))</f>
        <v xml:space="preserve"> </v>
      </c>
      <c r="L310" s="349" t="str">
        <f>IF(A310="N/A"," ",VLOOKUP(A310,PeakPowerCurves,(IF('Pricing Inputs'!$AT$3=2,3,IF('Pricing Inputs'!$AT$3=1,2,4))),FALSE))</f>
        <v xml:space="preserve"> </v>
      </c>
      <c r="M310" s="349" t="str">
        <f>IF(A310="N/A"," ",VLOOKUP(A310,SatSunPeakPwr,(IF('Pricing Inputs'!$AT$3=2,3,IF('Pricing Inputs'!$AT$3=1,2,4))),FALSE))</f>
        <v xml:space="preserve"> </v>
      </c>
      <c r="N310" s="349" t="str">
        <f>IF(A310="N/A"," ",VLOOKUP(A310,SatSunPeakPwr,(IF('Pricing Inputs'!$AT$3=2,7,IF('Pricing Inputs'!$AT$3=1,6,8))),FALSE))</f>
        <v xml:space="preserve"> </v>
      </c>
      <c r="O310" s="350" t="str">
        <f>IF(A310="N/A"," ",(VLOOKUP(A310,OPPowerPrices,(IF('Pricing Inputs'!$AT$3=2,7,IF('Pricing Inputs'!$AT$3=1,6,8))),FALSE)))</f>
        <v xml:space="preserve"> </v>
      </c>
      <c r="P310" s="351" t="str">
        <f t="shared" si="29"/>
        <v xml:space="preserve"> </v>
      </c>
    </row>
    <row r="311" spans="1:16">
      <c r="A311" s="208" t="str">
        <f>Calculations!A278</f>
        <v>N/A</v>
      </c>
      <c r="B311" s="237" t="str">
        <f>IF(A311="N/A"," ",IF(ISERROR(L311),B299*Inputs!$F$19,L311))</f>
        <v xml:space="preserve"> </v>
      </c>
      <c r="C311" s="239" t="str">
        <f t="shared" si="30"/>
        <v xml:space="preserve"> </v>
      </c>
      <c r="D311" s="238" t="str">
        <f t="shared" si="26"/>
        <v xml:space="preserve"> </v>
      </c>
      <c r="E311" s="237" t="str">
        <f>IF(A311="N/A"," ",IF(ISERROR(M311),E299*Inputs!$F$19,M311))</f>
        <v xml:space="preserve"> </v>
      </c>
      <c r="F311" s="238" t="str">
        <f t="shared" si="27"/>
        <v xml:space="preserve"> </v>
      </c>
      <c r="G311" s="237" t="str">
        <f>IF(A311="N/A"," ",IF(ISERROR(N311),G299*Inputs!$F$19,N311))</f>
        <v xml:space="preserve"> </v>
      </c>
      <c r="H311" s="238" t="str">
        <f t="shared" si="28"/>
        <v xml:space="preserve"> </v>
      </c>
      <c r="I311" s="238" t="str">
        <f>IF(A311="N/A"," ",IF(ISERROR(O311),I299*Inputs!$F$19,O311))</f>
        <v xml:space="preserve"> </v>
      </c>
      <c r="J311" s="331" t="str">
        <f>IF(A311="N/A"," ",IF(ISERROR(P311),J299*Inputs!$F$23,P311))</f>
        <v xml:space="preserve"> </v>
      </c>
      <c r="L311" s="349" t="str">
        <f>IF(A311="N/A"," ",VLOOKUP(A311,PeakPowerCurves,(IF('Pricing Inputs'!$AT$3=2,3,IF('Pricing Inputs'!$AT$3=1,2,4))),FALSE))</f>
        <v xml:space="preserve"> </v>
      </c>
      <c r="M311" s="349" t="str">
        <f>IF(A311="N/A"," ",VLOOKUP(A311,SatSunPeakPwr,(IF('Pricing Inputs'!$AT$3=2,3,IF('Pricing Inputs'!$AT$3=1,2,4))),FALSE))</f>
        <v xml:space="preserve"> </v>
      </c>
      <c r="N311" s="349" t="str">
        <f>IF(A311="N/A"," ",VLOOKUP(A311,SatSunPeakPwr,(IF('Pricing Inputs'!$AT$3=2,7,IF('Pricing Inputs'!$AT$3=1,6,8))),FALSE))</f>
        <v xml:space="preserve"> </v>
      </c>
      <c r="O311" s="350" t="str">
        <f>IF(A311="N/A"," ",(VLOOKUP(A311,OPPowerPrices,(IF('Pricing Inputs'!$AT$3=2,7,IF('Pricing Inputs'!$AT$3=1,6,8))),FALSE)))</f>
        <v xml:space="preserve"> </v>
      </c>
      <c r="P311" s="351" t="str">
        <f t="shared" si="29"/>
        <v xml:space="preserve"> </v>
      </c>
    </row>
    <row r="312" spans="1:16">
      <c r="A312" s="208" t="str">
        <f>Calculations!A279</f>
        <v>N/A</v>
      </c>
      <c r="B312" s="237" t="str">
        <f>IF(A312="N/A"," ",IF(ISERROR(L312),B300*Inputs!$F$19,L312))</f>
        <v xml:space="preserve"> </v>
      </c>
      <c r="C312" s="239" t="str">
        <f t="shared" si="30"/>
        <v xml:space="preserve"> </v>
      </c>
      <c r="D312" s="238" t="str">
        <f t="shared" si="26"/>
        <v xml:space="preserve"> </v>
      </c>
      <c r="E312" s="237" t="str">
        <f>IF(A312="N/A"," ",IF(ISERROR(M312),E300*Inputs!$F$19,M312))</f>
        <v xml:space="preserve"> </v>
      </c>
      <c r="F312" s="238" t="str">
        <f t="shared" si="27"/>
        <v xml:space="preserve"> </v>
      </c>
      <c r="G312" s="237" t="str">
        <f>IF(A312="N/A"," ",IF(ISERROR(N312),G300*Inputs!$F$19,N312))</f>
        <v xml:space="preserve"> </v>
      </c>
      <c r="H312" s="238" t="str">
        <f t="shared" si="28"/>
        <v xml:space="preserve"> </v>
      </c>
      <c r="I312" s="238" t="str">
        <f>IF(A312="N/A"," ",IF(ISERROR(O312),I300*Inputs!$F$19,O312))</f>
        <v xml:space="preserve"> </v>
      </c>
      <c r="J312" s="331" t="str">
        <f>IF(A312="N/A"," ",IF(ISERROR(P312),J300*Inputs!$F$23,P312))</f>
        <v xml:space="preserve"> </v>
      </c>
      <c r="L312" s="349" t="str">
        <f>IF(A312="N/A"," ",VLOOKUP(A312,PeakPowerCurves,(IF('Pricing Inputs'!$AT$3=2,3,IF('Pricing Inputs'!$AT$3=1,2,4))),FALSE))</f>
        <v xml:space="preserve"> </v>
      </c>
      <c r="M312" s="349" t="str">
        <f>IF(A312="N/A"," ",VLOOKUP(A312,SatSunPeakPwr,(IF('Pricing Inputs'!$AT$3=2,3,IF('Pricing Inputs'!$AT$3=1,2,4))),FALSE))</f>
        <v xml:space="preserve"> </v>
      </c>
      <c r="N312" s="349" t="str">
        <f>IF(A312="N/A"," ",VLOOKUP(A312,SatSunPeakPwr,(IF('Pricing Inputs'!$AT$3=2,7,IF('Pricing Inputs'!$AT$3=1,6,8))),FALSE))</f>
        <v xml:space="preserve"> </v>
      </c>
      <c r="O312" s="350" t="str">
        <f>IF(A312="N/A"," ",(VLOOKUP(A312,OPPowerPrices,(IF('Pricing Inputs'!$AT$3=2,7,IF('Pricing Inputs'!$AT$3=1,6,8))),FALSE)))</f>
        <v xml:space="preserve"> </v>
      </c>
      <c r="P312" s="351" t="str">
        <f t="shared" si="29"/>
        <v xml:space="preserve"> </v>
      </c>
    </row>
    <row r="313" spans="1:16">
      <c r="A313" s="208" t="str">
        <f>Calculations!A280</f>
        <v>N/A</v>
      </c>
      <c r="B313" s="237" t="str">
        <f>IF(A313="N/A"," ",IF(ISERROR(L313),B301*Inputs!$F$19,L313))</f>
        <v xml:space="preserve"> </v>
      </c>
      <c r="C313" s="239" t="str">
        <f t="shared" si="30"/>
        <v xml:space="preserve"> </v>
      </c>
      <c r="D313" s="238" t="str">
        <f t="shared" si="26"/>
        <v xml:space="preserve"> </v>
      </c>
      <c r="E313" s="237" t="str">
        <f>IF(A313="N/A"," ",IF(ISERROR(M313),E301*Inputs!$F$19,M313))</f>
        <v xml:space="preserve"> </v>
      </c>
      <c r="F313" s="238" t="str">
        <f t="shared" si="27"/>
        <v xml:space="preserve"> </v>
      </c>
      <c r="G313" s="237" t="str">
        <f>IF(A313="N/A"," ",IF(ISERROR(N313),G301*Inputs!$F$19,N313))</f>
        <v xml:space="preserve"> </v>
      </c>
      <c r="H313" s="238" t="str">
        <f t="shared" si="28"/>
        <v xml:space="preserve"> </v>
      </c>
      <c r="I313" s="238" t="str">
        <f>IF(A313="N/A"," ",IF(ISERROR(O313),I301*Inputs!$F$19,O313))</f>
        <v xml:space="preserve"> </v>
      </c>
      <c r="J313" s="331" t="str">
        <f>IF(A313="N/A"," ",IF(ISERROR(P313),J301*Inputs!$F$23,P313))</f>
        <v xml:space="preserve"> </v>
      </c>
      <c r="L313" s="349" t="str">
        <f>IF(A313="N/A"," ",VLOOKUP(A313,PeakPowerCurves,(IF('Pricing Inputs'!$AT$3=2,3,IF('Pricing Inputs'!$AT$3=1,2,4))),FALSE))</f>
        <v xml:space="preserve"> </v>
      </c>
      <c r="M313" s="349" t="str">
        <f>IF(A313="N/A"," ",VLOOKUP(A313,SatSunPeakPwr,(IF('Pricing Inputs'!$AT$3=2,3,IF('Pricing Inputs'!$AT$3=1,2,4))),FALSE))</f>
        <v xml:space="preserve"> </v>
      </c>
      <c r="N313" s="349" t="str">
        <f>IF(A313="N/A"," ",VLOOKUP(A313,SatSunPeakPwr,(IF('Pricing Inputs'!$AT$3=2,7,IF('Pricing Inputs'!$AT$3=1,6,8))),FALSE))</f>
        <v xml:space="preserve"> </v>
      </c>
      <c r="O313" s="350" t="str">
        <f>IF(A313="N/A"," ",(VLOOKUP(A313,OPPowerPrices,(IF('Pricing Inputs'!$AT$3=2,7,IF('Pricing Inputs'!$AT$3=1,6,8))),FALSE)))</f>
        <v xml:space="preserve"> </v>
      </c>
      <c r="P313" s="351" t="str">
        <f t="shared" si="29"/>
        <v xml:space="preserve"> </v>
      </c>
    </row>
    <row r="314" spans="1:16">
      <c r="A314" s="208" t="str">
        <f>Calculations!A281</f>
        <v>N/A</v>
      </c>
      <c r="B314" s="237" t="str">
        <f>IF(A314="N/A"," ",IF(ISERROR(L314),B302*Inputs!$F$19,L314))</f>
        <v xml:space="preserve"> </v>
      </c>
      <c r="C314" s="239" t="str">
        <f t="shared" si="30"/>
        <v xml:space="preserve"> </v>
      </c>
      <c r="D314" s="238" t="str">
        <f t="shared" si="26"/>
        <v xml:space="preserve"> </v>
      </c>
      <c r="E314" s="237" t="str">
        <f>IF(A314="N/A"," ",IF(ISERROR(M314),E302*Inputs!$F$19,M314))</f>
        <v xml:space="preserve"> </v>
      </c>
      <c r="F314" s="238" t="str">
        <f t="shared" si="27"/>
        <v xml:space="preserve"> </v>
      </c>
      <c r="G314" s="237" t="str">
        <f>IF(A314="N/A"," ",IF(ISERROR(N314),G302*Inputs!$F$19,N314))</f>
        <v xml:space="preserve"> </v>
      </c>
      <c r="H314" s="238" t="str">
        <f t="shared" si="28"/>
        <v xml:space="preserve"> </v>
      </c>
      <c r="I314" s="238" t="str">
        <f>IF(A314="N/A"," ",IF(ISERROR(O314),I302*Inputs!$F$19,O314))</f>
        <v xml:space="preserve"> </v>
      </c>
      <c r="J314" s="331" t="str">
        <f>IF(A314="N/A"," ",IF(ISERROR(P314),J302*Inputs!$F$23,P314))</f>
        <v xml:space="preserve"> </v>
      </c>
      <c r="L314" s="349" t="str">
        <f>IF(A314="N/A"," ",VLOOKUP(A314,PeakPowerCurves,(IF('Pricing Inputs'!$AT$3=2,3,IF('Pricing Inputs'!$AT$3=1,2,4))),FALSE))</f>
        <v xml:space="preserve"> </v>
      </c>
      <c r="M314" s="349" t="str">
        <f>IF(A314="N/A"," ",VLOOKUP(A314,SatSunPeakPwr,(IF('Pricing Inputs'!$AT$3=2,3,IF('Pricing Inputs'!$AT$3=1,2,4))),FALSE))</f>
        <v xml:space="preserve"> </v>
      </c>
      <c r="N314" s="349" t="str">
        <f>IF(A314="N/A"," ",VLOOKUP(A314,SatSunPeakPwr,(IF('Pricing Inputs'!$AT$3=2,7,IF('Pricing Inputs'!$AT$3=1,6,8))),FALSE))</f>
        <v xml:space="preserve"> </v>
      </c>
      <c r="O314" s="350" t="str">
        <f>IF(A314="N/A"," ",(VLOOKUP(A314,OPPowerPrices,(IF('Pricing Inputs'!$AT$3=2,7,IF('Pricing Inputs'!$AT$3=1,6,8))),FALSE)))</f>
        <v xml:space="preserve"> </v>
      </c>
      <c r="P314" s="351" t="str">
        <f t="shared" si="29"/>
        <v xml:space="preserve"> </v>
      </c>
    </row>
    <row r="315" spans="1:16">
      <c r="A315" s="208" t="str">
        <f>Calculations!A282</f>
        <v>N/A</v>
      </c>
      <c r="B315" s="237" t="str">
        <f>IF(A315="N/A"," ",IF(ISERROR(L315),B303*Inputs!$F$19,L315))</f>
        <v xml:space="preserve"> </v>
      </c>
      <c r="C315" s="239" t="str">
        <f t="shared" si="30"/>
        <v xml:space="preserve"> </v>
      </c>
      <c r="D315" s="238" t="str">
        <f t="shared" si="26"/>
        <v xml:space="preserve"> </v>
      </c>
      <c r="E315" s="237" t="str">
        <f>IF(A315="N/A"," ",IF(ISERROR(M315),E303*Inputs!$F$19,M315))</f>
        <v xml:space="preserve"> </v>
      </c>
      <c r="F315" s="238" t="str">
        <f t="shared" si="27"/>
        <v xml:space="preserve"> </v>
      </c>
      <c r="G315" s="237" t="str">
        <f>IF(A315="N/A"," ",IF(ISERROR(N315),G303*Inputs!$F$19,N315))</f>
        <v xml:space="preserve"> </v>
      </c>
      <c r="H315" s="238" t="str">
        <f t="shared" si="28"/>
        <v xml:space="preserve"> </v>
      </c>
      <c r="I315" s="238" t="str">
        <f>IF(A315="N/A"," ",IF(ISERROR(O315),I303*Inputs!$F$19,O315))</f>
        <v xml:space="preserve"> </v>
      </c>
      <c r="J315" s="331" t="str">
        <f>IF(A315="N/A"," ",IF(ISERROR(P315),J303*Inputs!$F$23,P315))</f>
        <v xml:space="preserve"> </v>
      </c>
      <c r="L315" s="349" t="str">
        <f>IF(A315="N/A"," ",VLOOKUP(A315,PeakPowerCurves,(IF('Pricing Inputs'!$AT$3=2,3,IF('Pricing Inputs'!$AT$3=1,2,4))),FALSE))</f>
        <v xml:space="preserve"> </v>
      </c>
      <c r="M315" s="349" t="str">
        <f>IF(A315="N/A"," ",VLOOKUP(A315,SatSunPeakPwr,(IF('Pricing Inputs'!$AT$3=2,3,IF('Pricing Inputs'!$AT$3=1,2,4))),FALSE))</f>
        <v xml:space="preserve"> </v>
      </c>
      <c r="N315" s="349" t="str">
        <f>IF(A315="N/A"," ",VLOOKUP(A315,SatSunPeakPwr,(IF('Pricing Inputs'!$AT$3=2,7,IF('Pricing Inputs'!$AT$3=1,6,8))),FALSE))</f>
        <v xml:space="preserve"> </v>
      </c>
      <c r="O315" s="350" t="str">
        <f>IF(A315="N/A"," ",(VLOOKUP(A315,OPPowerPrices,(IF('Pricing Inputs'!$AT$3=2,7,IF('Pricing Inputs'!$AT$3=1,6,8))),FALSE)))</f>
        <v xml:space="preserve"> </v>
      </c>
      <c r="P315" s="351" t="str">
        <f t="shared" si="29"/>
        <v xml:space="preserve"> </v>
      </c>
    </row>
    <row r="316" spans="1:16">
      <c r="A316" s="208" t="str">
        <f>Calculations!A283</f>
        <v>N/A</v>
      </c>
      <c r="B316" s="237" t="str">
        <f>IF(A316="N/A"," ",IF(ISERROR(L316),B304*Inputs!$F$19,L316))</f>
        <v xml:space="preserve"> </v>
      </c>
      <c r="C316" s="239" t="str">
        <f t="shared" si="30"/>
        <v xml:space="preserve"> </v>
      </c>
      <c r="D316" s="238" t="str">
        <f t="shared" si="26"/>
        <v xml:space="preserve"> </v>
      </c>
      <c r="E316" s="237" t="str">
        <f>IF(A316="N/A"," ",IF(ISERROR(M316),E304*Inputs!$F$19,M316))</f>
        <v xml:space="preserve"> </v>
      </c>
      <c r="F316" s="238" t="str">
        <f t="shared" si="27"/>
        <v xml:space="preserve"> </v>
      </c>
      <c r="G316" s="237" t="str">
        <f>IF(A316="N/A"," ",IF(ISERROR(N316),G304*Inputs!$F$19,N316))</f>
        <v xml:space="preserve"> </v>
      </c>
      <c r="H316" s="238" t="str">
        <f t="shared" si="28"/>
        <v xml:space="preserve"> </v>
      </c>
      <c r="I316" s="238" t="str">
        <f>IF(A316="N/A"," ",IF(ISERROR(O316),I304*Inputs!$F$19,O316))</f>
        <v xml:space="preserve"> </v>
      </c>
      <c r="J316" s="331" t="str">
        <f>IF(A316="N/A"," ",IF(ISERROR(P316),J304*Inputs!$F$23,P316))</f>
        <v xml:space="preserve"> </v>
      </c>
      <c r="L316" s="349" t="str">
        <f>IF(A316="N/A"," ",VLOOKUP(A316,PeakPowerCurves,(IF('Pricing Inputs'!$AT$3=2,3,IF('Pricing Inputs'!$AT$3=1,2,4))),FALSE))</f>
        <v xml:space="preserve"> </v>
      </c>
      <c r="M316" s="349" t="str">
        <f>IF(A316="N/A"," ",VLOOKUP(A316,SatSunPeakPwr,(IF('Pricing Inputs'!$AT$3=2,3,IF('Pricing Inputs'!$AT$3=1,2,4))),FALSE))</f>
        <v xml:space="preserve"> </v>
      </c>
      <c r="N316" s="349" t="str">
        <f>IF(A316="N/A"," ",VLOOKUP(A316,SatSunPeakPwr,(IF('Pricing Inputs'!$AT$3=2,7,IF('Pricing Inputs'!$AT$3=1,6,8))),FALSE))</f>
        <v xml:space="preserve"> </v>
      </c>
      <c r="O316" s="350" t="str">
        <f>IF(A316="N/A"," ",(VLOOKUP(A316,OPPowerPrices,(IF('Pricing Inputs'!$AT$3=2,7,IF('Pricing Inputs'!$AT$3=1,6,8))),FALSE)))</f>
        <v xml:space="preserve"> </v>
      </c>
      <c r="P316" s="351" t="str">
        <f t="shared" si="29"/>
        <v xml:space="preserve"> </v>
      </c>
    </row>
    <row r="317" spans="1:16">
      <c r="A317" s="208" t="str">
        <f>Calculations!A284</f>
        <v>N/A</v>
      </c>
      <c r="B317" s="237" t="str">
        <f>IF(A317="N/A"," ",IF(ISERROR(L317),B305*Inputs!$F$19,L317))</f>
        <v xml:space="preserve"> </v>
      </c>
      <c r="C317" s="239" t="str">
        <f t="shared" si="30"/>
        <v xml:space="preserve"> </v>
      </c>
      <c r="D317" s="238" t="str">
        <f t="shared" si="26"/>
        <v xml:space="preserve"> </v>
      </c>
      <c r="E317" s="237" t="str">
        <f>IF(A317="N/A"," ",IF(ISERROR(M317),E305*Inputs!$F$19,M317))</f>
        <v xml:space="preserve"> </v>
      </c>
      <c r="F317" s="238" t="str">
        <f t="shared" si="27"/>
        <v xml:space="preserve"> </v>
      </c>
      <c r="G317" s="237" t="str">
        <f>IF(A317="N/A"," ",IF(ISERROR(N317),G305*Inputs!$F$19,N317))</f>
        <v xml:space="preserve"> </v>
      </c>
      <c r="H317" s="238" t="str">
        <f t="shared" si="28"/>
        <v xml:space="preserve"> </v>
      </c>
      <c r="I317" s="238" t="str">
        <f>IF(A317="N/A"," ",IF(ISERROR(O317),I305*Inputs!$F$19,O317))</f>
        <v xml:space="preserve"> </v>
      </c>
      <c r="J317" s="331" t="str">
        <f>IF(A317="N/A"," ",IF(ISERROR(P317),J305*Inputs!$F$23,P317))</f>
        <v xml:space="preserve"> </v>
      </c>
      <c r="L317" s="349" t="str">
        <f>IF(A317="N/A"," ",VLOOKUP(A317,PeakPowerCurves,(IF('Pricing Inputs'!$AT$3=2,3,IF('Pricing Inputs'!$AT$3=1,2,4))),FALSE))</f>
        <v xml:space="preserve"> </v>
      </c>
      <c r="M317" s="349" t="str">
        <f>IF(A317="N/A"," ",VLOOKUP(A317,SatSunPeakPwr,(IF('Pricing Inputs'!$AT$3=2,3,IF('Pricing Inputs'!$AT$3=1,2,4))),FALSE))</f>
        <v xml:space="preserve"> </v>
      </c>
      <c r="N317" s="349" t="str">
        <f>IF(A317="N/A"," ",VLOOKUP(A317,SatSunPeakPwr,(IF('Pricing Inputs'!$AT$3=2,7,IF('Pricing Inputs'!$AT$3=1,6,8))),FALSE))</f>
        <v xml:space="preserve"> </v>
      </c>
      <c r="O317" s="350" t="str">
        <f>IF(A317="N/A"," ",(VLOOKUP(A317,OPPowerPrices,(IF('Pricing Inputs'!$AT$3=2,7,IF('Pricing Inputs'!$AT$3=1,6,8))),FALSE)))</f>
        <v xml:space="preserve"> </v>
      </c>
      <c r="P317" s="351" t="str">
        <f t="shared" si="29"/>
        <v xml:space="preserve"> </v>
      </c>
    </row>
    <row r="318" spans="1:16">
      <c r="A318" s="208" t="str">
        <f>Calculations!A285</f>
        <v>N/A</v>
      </c>
      <c r="B318" s="237" t="str">
        <f>IF(A318="N/A"," ",IF(ISERROR(L318),B306*Inputs!$F$19,L318))</f>
        <v xml:space="preserve"> </v>
      </c>
      <c r="C318" s="239" t="str">
        <f t="shared" si="30"/>
        <v xml:space="preserve"> </v>
      </c>
      <c r="D318" s="238" t="str">
        <f t="shared" si="26"/>
        <v xml:space="preserve"> </v>
      </c>
      <c r="E318" s="237" t="str">
        <f>IF(A318="N/A"," ",IF(ISERROR(M318),E306*Inputs!$F$19,M318))</f>
        <v xml:space="preserve"> </v>
      </c>
      <c r="F318" s="238" t="str">
        <f t="shared" si="27"/>
        <v xml:space="preserve"> </v>
      </c>
      <c r="G318" s="237" t="str">
        <f>IF(A318="N/A"," ",IF(ISERROR(N318),G306*Inputs!$F$19,N318))</f>
        <v xml:space="preserve"> </v>
      </c>
      <c r="H318" s="238" t="str">
        <f t="shared" si="28"/>
        <v xml:space="preserve"> </v>
      </c>
      <c r="I318" s="238" t="str">
        <f>IF(A318="N/A"," ",IF(ISERROR(O318),I306*Inputs!$F$19,O318))</f>
        <v xml:space="preserve"> </v>
      </c>
      <c r="J318" s="331" t="str">
        <f>IF(A318="N/A"," ",IF(ISERROR(P318),J306*Inputs!$F$23,P318))</f>
        <v xml:space="preserve"> </v>
      </c>
      <c r="L318" s="349" t="str">
        <f>IF(A318="N/A"," ",VLOOKUP(A318,PeakPowerCurves,(IF('Pricing Inputs'!$AT$3=2,3,IF('Pricing Inputs'!$AT$3=1,2,4))),FALSE))</f>
        <v xml:space="preserve"> </v>
      </c>
      <c r="M318" s="349" t="str">
        <f>IF(A318="N/A"," ",VLOOKUP(A318,SatSunPeakPwr,(IF('Pricing Inputs'!$AT$3=2,3,IF('Pricing Inputs'!$AT$3=1,2,4))),FALSE))</f>
        <v xml:space="preserve"> </v>
      </c>
      <c r="N318" s="349" t="str">
        <f>IF(A318="N/A"," ",VLOOKUP(A318,SatSunPeakPwr,(IF('Pricing Inputs'!$AT$3=2,7,IF('Pricing Inputs'!$AT$3=1,6,8))),FALSE))</f>
        <v xml:space="preserve"> </v>
      </c>
      <c r="O318" s="350" t="str">
        <f>IF(A318="N/A"," ",(VLOOKUP(A318,OPPowerPrices,(IF('Pricing Inputs'!$AT$3=2,7,IF('Pricing Inputs'!$AT$3=1,6,8))),FALSE)))</f>
        <v xml:space="preserve"> </v>
      </c>
      <c r="P318" s="351" t="str">
        <f t="shared" si="29"/>
        <v xml:space="preserve"> </v>
      </c>
    </row>
    <row r="319" spans="1:16">
      <c r="A319" s="208" t="str">
        <f>Calculations!A286</f>
        <v>N/A</v>
      </c>
      <c r="B319" s="237" t="str">
        <f>IF(A319="N/A"," ",IF(ISERROR(L319),B307*Inputs!$F$19,L319))</f>
        <v xml:space="preserve"> </v>
      </c>
      <c r="C319" s="239" t="str">
        <f t="shared" si="30"/>
        <v xml:space="preserve"> </v>
      </c>
      <c r="D319" s="238" t="str">
        <f t="shared" si="26"/>
        <v xml:space="preserve"> </v>
      </c>
      <c r="E319" s="237" t="str">
        <f>IF(A319="N/A"," ",IF(ISERROR(M319),E307*Inputs!$F$19,M319))</f>
        <v xml:space="preserve"> </v>
      </c>
      <c r="F319" s="238" t="str">
        <f t="shared" si="27"/>
        <v xml:space="preserve"> </v>
      </c>
      <c r="G319" s="237" t="str">
        <f>IF(A319="N/A"," ",IF(ISERROR(N319),G307*Inputs!$F$19,N319))</f>
        <v xml:space="preserve"> </v>
      </c>
      <c r="H319" s="238" t="str">
        <f t="shared" si="28"/>
        <v xml:space="preserve"> </v>
      </c>
      <c r="I319" s="238" t="str">
        <f>IF(A319="N/A"," ",IF(ISERROR(O319),I307*Inputs!$F$19,O319))</f>
        <v xml:space="preserve"> </v>
      </c>
      <c r="J319" s="331" t="str">
        <f>IF(A319="N/A"," ",IF(ISERROR(P319),J307*Inputs!$F$23,P319))</f>
        <v xml:space="preserve"> </v>
      </c>
      <c r="L319" s="349" t="str">
        <f>IF(A319="N/A"," ",VLOOKUP(A319,PeakPowerCurves,(IF('Pricing Inputs'!$AT$3=2,3,IF('Pricing Inputs'!$AT$3=1,2,4))),FALSE))</f>
        <v xml:space="preserve"> </v>
      </c>
      <c r="M319" s="349" t="str">
        <f>IF(A319="N/A"," ",VLOOKUP(A319,SatSunPeakPwr,(IF('Pricing Inputs'!$AT$3=2,3,IF('Pricing Inputs'!$AT$3=1,2,4))),FALSE))</f>
        <v xml:space="preserve"> </v>
      </c>
      <c r="N319" s="349" t="str">
        <f>IF(A319="N/A"," ",VLOOKUP(A319,SatSunPeakPwr,(IF('Pricing Inputs'!$AT$3=2,7,IF('Pricing Inputs'!$AT$3=1,6,8))),FALSE))</f>
        <v xml:space="preserve"> </v>
      </c>
      <c r="O319" s="350" t="str">
        <f>IF(A319="N/A"," ",(VLOOKUP(A319,OPPowerPrices,(IF('Pricing Inputs'!$AT$3=2,7,IF('Pricing Inputs'!$AT$3=1,6,8))),FALSE)))</f>
        <v xml:space="preserve"> </v>
      </c>
      <c r="P319" s="351" t="str">
        <f t="shared" si="29"/>
        <v xml:space="preserve"> </v>
      </c>
    </row>
    <row r="320" spans="1:16">
      <c r="A320" s="208" t="str">
        <f>Calculations!A287</f>
        <v>N/A</v>
      </c>
      <c r="B320" s="237" t="str">
        <f>IF(A320="N/A"," ",IF(ISERROR(L320),B308*Inputs!$F$19,L320))</f>
        <v xml:space="preserve"> </v>
      </c>
      <c r="C320" s="239" t="str">
        <f t="shared" si="30"/>
        <v xml:space="preserve"> </v>
      </c>
      <c r="D320" s="238" t="str">
        <f t="shared" si="26"/>
        <v xml:space="preserve"> </v>
      </c>
      <c r="E320" s="237" t="str">
        <f>IF(A320="N/A"," ",IF(ISERROR(M320),E308*Inputs!$F$19,M320))</f>
        <v xml:space="preserve"> </v>
      </c>
      <c r="F320" s="238" t="str">
        <f t="shared" si="27"/>
        <v xml:space="preserve"> </v>
      </c>
      <c r="G320" s="237" t="str">
        <f>IF(A320="N/A"," ",IF(ISERROR(N320),G308*Inputs!$F$19,N320))</f>
        <v xml:space="preserve"> </v>
      </c>
      <c r="H320" s="238" t="str">
        <f t="shared" si="28"/>
        <v xml:space="preserve"> </v>
      </c>
      <c r="I320" s="238" t="str">
        <f>IF(A320="N/A"," ",IF(ISERROR(O320),I308*Inputs!$F$19,O320))</f>
        <v xml:space="preserve"> </v>
      </c>
      <c r="J320" s="331" t="str">
        <f>IF(A320="N/A"," ",IF(ISERROR(P320),J308*Inputs!$F$23,P320))</f>
        <v xml:space="preserve"> </v>
      </c>
      <c r="L320" s="349" t="str">
        <f>IF(A320="N/A"," ",VLOOKUP(A320,PeakPowerCurves,(IF('Pricing Inputs'!$AT$3=2,3,IF('Pricing Inputs'!$AT$3=1,2,4))),FALSE))</f>
        <v xml:space="preserve"> </v>
      </c>
      <c r="M320" s="349" t="str">
        <f>IF(A320="N/A"," ",VLOOKUP(A320,SatSunPeakPwr,(IF('Pricing Inputs'!$AT$3=2,3,IF('Pricing Inputs'!$AT$3=1,2,4))),FALSE))</f>
        <v xml:space="preserve"> </v>
      </c>
      <c r="N320" s="349" t="str">
        <f>IF(A320="N/A"," ",VLOOKUP(A320,SatSunPeakPwr,(IF('Pricing Inputs'!$AT$3=2,7,IF('Pricing Inputs'!$AT$3=1,6,8))),FALSE))</f>
        <v xml:space="preserve"> </v>
      </c>
      <c r="O320" s="350" t="str">
        <f>IF(A320="N/A"," ",(VLOOKUP(A320,OPPowerPrices,(IF('Pricing Inputs'!$AT$3=2,7,IF('Pricing Inputs'!$AT$3=1,6,8))),FALSE)))</f>
        <v xml:space="preserve"> </v>
      </c>
      <c r="P320" s="351" t="str">
        <f t="shared" si="29"/>
        <v xml:space="preserve"> </v>
      </c>
    </row>
    <row r="321" spans="1:16">
      <c r="A321" s="208" t="str">
        <f>Calculations!A288</f>
        <v>N/A</v>
      </c>
      <c r="B321" s="237" t="str">
        <f>IF(A321="N/A"," ",IF(ISERROR(L321),B309*Inputs!$F$19,L321))</f>
        <v xml:space="preserve"> </v>
      </c>
      <c r="C321" s="239" t="str">
        <f t="shared" si="30"/>
        <v xml:space="preserve"> </v>
      </c>
      <c r="D321" s="238" t="str">
        <f t="shared" si="26"/>
        <v xml:space="preserve"> </v>
      </c>
      <c r="E321" s="237" t="str">
        <f>IF(A321="N/A"," ",IF(ISERROR(M321),E309*Inputs!$F$19,M321))</f>
        <v xml:space="preserve"> </v>
      </c>
      <c r="F321" s="238" t="str">
        <f t="shared" si="27"/>
        <v xml:space="preserve"> </v>
      </c>
      <c r="G321" s="237" t="str">
        <f>IF(A321="N/A"," ",IF(ISERROR(N321),G309*Inputs!$F$19,N321))</f>
        <v xml:space="preserve"> </v>
      </c>
      <c r="H321" s="238" t="str">
        <f t="shared" si="28"/>
        <v xml:space="preserve"> </v>
      </c>
      <c r="I321" s="238" t="str">
        <f>IF(A321="N/A"," ",IF(ISERROR(O321),I309*Inputs!$F$19,O321))</f>
        <v xml:space="preserve"> </v>
      </c>
      <c r="J321" s="331" t="str">
        <f>IF(A321="N/A"," ",IF(ISERROR(P321),J309*Inputs!$F$23,P321))</f>
        <v xml:space="preserve"> </v>
      </c>
      <c r="L321" s="349" t="str">
        <f>IF(A321="N/A"," ",VLOOKUP(A321,PeakPowerCurves,(IF('Pricing Inputs'!$AT$3=2,3,IF('Pricing Inputs'!$AT$3=1,2,4))),FALSE))</f>
        <v xml:space="preserve"> </v>
      </c>
      <c r="M321" s="349" t="str">
        <f>IF(A321="N/A"," ",VLOOKUP(A321,SatSunPeakPwr,(IF('Pricing Inputs'!$AT$3=2,3,IF('Pricing Inputs'!$AT$3=1,2,4))),FALSE))</f>
        <v xml:space="preserve"> </v>
      </c>
      <c r="N321" s="349" t="str">
        <f>IF(A321="N/A"," ",VLOOKUP(A321,SatSunPeakPwr,(IF('Pricing Inputs'!$AT$3=2,7,IF('Pricing Inputs'!$AT$3=1,6,8))),FALSE))</f>
        <v xml:space="preserve"> </v>
      </c>
      <c r="O321" s="350" t="str">
        <f>IF(A321="N/A"," ",(VLOOKUP(A321,OPPowerPrices,(IF('Pricing Inputs'!$AT$3=2,7,IF('Pricing Inputs'!$AT$3=1,6,8))),FALSE)))</f>
        <v xml:space="preserve"> </v>
      </c>
      <c r="P321" s="351" t="str">
        <f t="shared" si="29"/>
        <v xml:space="preserve"> </v>
      </c>
    </row>
    <row r="322" spans="1:16">
      <c r="A322" s="208" t="str">
        <f>Calculations!A289</f>
        <v>N/A</v>
      </c>
      <c r="B322" s="237" t="str">
        <f>IF(A322="N/A"," ",IF(ISERROR(L322),B310*Inputs!$F$19,L322))</f>
        <v xml:space="preserve"> </v>
      </c>
      <c r="C322" s="239" t="str">
        <f t="shared" si="30"/>
        <v xml:space="preserve"> </v>
      </c>
      <c r="D322" s="238" t="str">
        <f t="shared" si="26"/>
        <v xml:space="preserve"> </v>
      </c>
      <c r="E322" s="237" t="str">
        <f>IF(A322="N/A"," ",IF(ISERROR(M322),E310*Inputs!$F$19,M322))</f>
        <v xml:space="preserve"> </v>
      </c>
      <c r="F322" s="238" t="str">
        <f t="shared" si="27"/>
        <v xml:space="preserve"> </v>
      </c>
      <c r="G322" s="237" t="str">
        <f>IF(A322="N/A"," ",IF(ISERROR(N322),G310*Inputs!$F$19,N322))</f>
        <v xml:space="preserve"> </v>
      </c>
      <c r="H322" s="238" t="str">
        <f t="shared" si="28"/>
        <v xml:space="preserve"> </v>
      </c>
      <c r="I322" s="238" t="str">
        <f>IF(A322="N/A"," ",IF(ISERROR(O322),I310*Inputs!$F$19,O322))</f>
        <v xml:space="preserve"> </v>
      </c>
      <c r="J322" s="331" t="str">
        <f>IF(A322="N/A"," ",IF(ISERROR(P322),J310*Inputs!$F$23,P322))</f>
        <v xml:space="preserve"> </v>
      </c>
      <c r="L322" s="349" t="str">
        <f>IF(A322="N/A"," ",VLOOKUP(A322,PeakPowerCurves,(IF('Pricing Inputs'!$AT$3=2,3,IF('Pricing Inputs'!$AT$3=1,2,4))),FALSE))</f>
        <v xml:space="preserve"> </v>
      </c>
      <c r="M322" s="349" t="str">
        <f>IF(A322="N/A"," ",VLOOKUP(A322,SatSunPeakPwr,(IF('Pricing Inputs'!$AT$3=2,3,IF('Pricing Inputs'!$AT$3=1,2,4))),FALSE))</f>
        <v xml:space="preserve"> </v>
      </c>
      <c r="N322" s="349" t="str">
        <f>IF(A322="N/A"," ",VLOOKUP(A322,SatSunPeakPwr,(IF('Pricing Inputs'!$AT$3=2,7,IF('Pricing Inputs'!$AT$3=1,6,8))),FALSE))</f>
        <v xml:space="preserve"> </v>
      </c>
      <c r="O322" s="350" t="str">
        <f>IF(A322="N/A"," ",(VLOOKUP(A322,OPPowerPrices,(IF('Pricing Inputs'!$AT$3=2,7,IF('Pricing Inputs'!$AT$3=1,6,8))),FALSE)))</f>
        <v xml:space="preserve"> </v>
      </c>
      <c r="P322" s="351" t="str">
        <f t="shared" si="29"/>
        <v xml:space="preserve"> </v>
      </c>
    </row>
    <row r="323" spans="1:16">
      <c r="A323" s="208" t="str">
        <f>Calculations!A290</f>
        <v>N/A</v>
      </c>
      <c r="B323" s="237" t="str">
        <f>IF(A323="N/A"," ",IF(ISERROR(L323),B311*Inputs!$F$19,L323))</f>
        <v xml:space="preserve"> </v>
      </c>
      <c r="C323" s="239" t="str">
        <f t="shared" si="30"/>
        <v xml:space="preserve"> </v>
      </c>
      <c r="D323" s="238" t="str">
        <f t="shared" si="26"/>
        <v xml:space="preserve"> </v>
      </c>
      <c r="E323" s="237" t="str">
        <f>IF(A323="N/A"," ",IF(ISERROR(M323),E311*Inputs!$F$19,M323))</f>
        <v xml:space="preserve"> </v>
      </c>
      <c r="F323" s="238" t="str">
        <f t="shared" si="27"/>
        <v xml:space="preserve"> </v>
      </c>
      <c r="G323" s="237" t="str">
        <f>IF(A323="N/A"," ",IF(ISERROR(N323),G311*Inputs!$F$19,N323))</f>
        <v xml:space="preserve"> </v>
      </c>
      <c r="H323" s="238" t="str">
        <f t="shared" si="28"/>
        <v xml:space="preserve"> </v>
      </c>
      <c r="I323" s="238" t="str">
        <f>IF(A323="N/A"," ",IF(ISERROR(O323),I311*Inputs!$F$19,O323))</f>
        <v xml:space="preserve"> </v>
      </c>
      <c r="J323" s="331" t="str">
        <f>IF(A323="N/A"," ",IF(ISERROR(P323),J311*Inputs!$F$23,P323))</f>
        <v xml:space="preserve"> </v>
      </c>
      <c r="L323" s="349" t="str">
        <f>IF(A323="N/A"," ",VLOOKUP(A323,PeakPowerCurves,(IF('Pricing Inputs'!$AT$3=2,3,IF('Pricing Inputs'!$AT$3=1,2,4))),FALSE))</f>
        <v xml:space="preserve"> </v>
      </c>
      <c r="M323" s="349" t="str">
        <f>IF(A323="N/A"," ",VLOOKUP(A323,SatSunPeakPwr,(IF('Pricing Inputs'!$AT$3=2,3,IF('Pricing Inputs'!$AT$3=1,2,4))),FALSE))</f>
        <v xml:space="preserve"> </v>
      </c>
      <c r="N323" s="349" t="str">
        <f>IF(A323="N/A"," ",VLOOKUP(A323,SatSunPeakPwr,(IF('Pricing Inputs'!$AT$3=2,7,IF('Pricing Inputs'!$AT$3=1,6,8))),FALSE))</f>
        <v xml:space="preserve"> </v>
      </c>
      <c r="O323" s="350" t="str">
        <f>IF(A323="N/A"," ",(VLOOKUP(A323,OPPowerPrices,(IF('Pricing Inputs'!$AT$3=2,7,IF('Pricing Inputs'!$AT$3=1,6,8))),FALSE)))</f>
        <v xml:space="preserve"> </v>
      </c>
      <c r="P323" s="351" t="str">
        <f t="shared" si="29"/>
        <v xml:space="preserve"> </v>
      </c>
    </row>
    <row r="324" spans="1:16">
      <c r="A324" s="208" t="str">
        <f>Calculations!A291</f>
        <v>N/A</v>
      </c>
      <c r="B324" s="237" t="str">
        <f>IF(A324="N/A"," ",IF(ISERROR(L324),B312*Inputs!$F$19,L324))</f>
        <v xml:space="preserve"> </v>
      </c>
      <c r="C324" s="239" t="str">
        <f t="shared" si="30"/>
        <v xml:space="preserve"> </v>
      </c>
      <c r="D324" s="238" t="str">
        <f t="shared" si="26"/>
        <v xml:space="preserve"> </v>
      </c>
      <c r="E324" s="237" t="str">
        <f>IF(A324="N/A"," ",IF(ISERROR(M324),E312*Inputs!$F$19,M324))</f>
        <v xml:space="preserve"> </v>
      </c>
      <c r="F324" s="238" t="str">
        <f t="shared" si="27"/>
        <v xml:space="preserve"> </v>
      </c>
      <c r="G324" s="237" t="str">
        <f>IF(A324="N/A"," ",IF(ISERROR(N324),G312*Inputs!$F$19,N324))</f>
        <v xml:space="preserve"> </v>
      </c>
      <c r="H324" s="238" t="str">
        <f t="shared" si="28"/>
        <v xml:space="preserve"> </v>
      </c>
      <c r="I324" s="238" t="str">
        <f>IF(A324="N/A"," ",IF(ISERROR(O324),I312*Inputs!$F$19,O324))</f>
        <v xml:space="preserve"> </v>
      </c>
      <c r="J324" s="331" t="str">
        <f>IF(A324="N/A"," ",IF(ISERROR(P324),J312*Inputs!$F$23,P324))</f>
        <v xml:space="preserve"> </v>
      </c>
      <c r="L324" s="349" t="str">
        <f>IF(A324="N/A"," ",VLOOKUP(A324,PeakPowerCurves,(IF('Pricing Inputs'!$AT$3=2,3,IF('Pricing Inputs'!$AT$3=1,2,4))),FALSE))</f>
        <v xml:space="preserve"> </v>
      </c>
      <c r="M324" s="349" t="str">
        <f>IF(A324="N/A"," ",VLOOKUP(A324,SatSunPeakPwr,(IF('Pricing Inputs'!$AT$3=2,3,IF('Pricing Inputs'!$AT$3=1,2,4))),FALSE))</f>
        <v xml:space="preserve"> </v>
      </c>
      <c r="N324" s="349" t="str">
        <f>IF(A324="N/A"," ",VLOOKUP(A324,SatSunPeakPwr,(IF('Pricing Inputs'!$AT$3=2,7,IF('Pricing Inputs'!$AT$3=1,6,8))),FALSE))</f>
        <v xml:space="preserve"> </v>
      </c>
      <c r="O324" s="350" t="str">
        <f>IF(A324="N/A"," ",(VLOOKUP(A324,OPPowerPrices,(IF('Pricing Inputs'!$AT$3=2,7,IF('Pricing Inputs'!$AT$3=1,6,8))),FALSE)))</f>
        <v xml:space="preserve"> </v>
      </c>
      <c r="P324" s="351" t="str">
        <f t="shared" si="29"/>
        <v xml:space="preserve"> </v>
      </c>
    </row>
    <row r="325" spans="1:16">
      <c r="A325" s="208" t="str">
        <f>Calculations!A292</f>
        <v>N/A</v>
      </c>
      <c r="B325" s="237" t="str">
        <f>IF(A325="N/A"," ",IF(ISERROR(L325),B313*Inputs!$F$19,L325))</f>
        <v xml:space="preserve"> </v>
      </c>
      <c r="C325" s="239" t="str">
        <f t="shared" si="30"/>
        <v xml:space="preserve"> </v>
      </c>
      <c r="D325" s="238" t="str">
        <f t="shared" si="26"/>
        <v xml:space="preserve"> </v>
      </c>
      <c r="E325" s="237" t="str">
        <f>IF(A325="N/A"," ",IF(ISERROR(M325),E313*Inputs!$F$19,M325))</f>
        <v xml:space="preserve"> </v>
      </c>
      <c r="F325" s="238" t="str">
        <f t="shared" si="27"/>
        <v xml:space="preserve"> </v>
      </c>
      <c r="G325" s="237" t="str">
        <f>IF(A325="N/A"," ",IF(ISERROR(N325),G313*Inputs!$F$19,N325))</f>
        <v xml:space="preserve"> </v>
      </c>
      <c r="H325" s="238" t="str">
        <f t="shared" si="28"/>
        <v xml:space="preserve"> </v>
      </c>
      <c r="I325" s="238" t="str">
        <f>IF(A325="N/A"," ",IF(ISERROR(O325),I313*Inputs!$F$19,O325))</f>
        <v xml:space="preserve"> </v>
      </c>
      <c r="J325" s="331" t="str">
        <f>IF(A325="N/A"," ",IF(ISERROR(P325),J313*Inputs!$F$23,P325))</f>
        <v xml:space="preserve"> </v>
      </c>
      <c r="L325" s="349" t="str">
        <f>IF(A325="N/A"," ",VLOOKUP(A325,PeakPowerCurves,(IF('Pricing Inputs'!$AT$3=2,3,IF('Pricing Inputs'!$AT$3=1,2,4))),FALSE))</f>
        <v xml:space="preserve"> </v>
      </c>
      <c r="M325" s="349" t="str">
        <f>IF(A325="N/A"," ",VLOOKUP(A325,SatSunPeakPwr,(IF('Pricing Inputs'!$AT$3=2,3,IF('Pricing Inputs'!$AT$3=1,2,4))),FALSE))</f>
        <v xml:space="preserve"> </v>
      </c>
      <c r="N325" s="349" t="str">
        <f>IF(A325="N/A"," ",VLOOKUP(A325,SatSunPeakPwr,(IF('Pricing Inputs'!$AT$3=2,7,IF('Pricing Inputs'!$AT$3=1,6,8))),FALSE))</f>
        <v xml:space="preserve"> </v>
      </c>
      <c r="O325" s="350" t="str">
        <f>IF(A325="N/A"," ",(VLOOKUP(A325,OPPowerPrices,(IF('Pricing Inputs'!$AT$3=2,7,IF('Pricing Inputs'!$AT$3=1,6,8))),FALSE)))</f>
        <v xml:space="preserve"> </v>
      </c>
      <c r="P325" s="351" t="str">
        <f t="shared" si="29"/>
        <v xml:space="preserve"> </v>
      </c>
    </row>
    <row r="326" spans="1:16">
      <c r="A326" s="208" t="str">
        <f>Calculations!A293</f>
        <v>N/A</v>
      </c>
      <c r="B326" s="237" t="str">
        <f>IF(A326="N/A"," ",IF(ISERROR(L326),B314*Inputs!$F$19,L326))</f>
        <v xml:space="preserve"> </v>
      </c>
      <c r="C326" s="239" t="str">
        <f t="shared" si="30"/>
        <v xml:space="preserve"> </v>
      </c>
      <c r="D326" s="238" t="str">
        <f t="shared" si="26"/>
        <v xml:space="preserve"> </v>
      </c>
      <c r="E326" s="237" t="str">
        <f>IF(A326="N/A"," ",IF(ISERROR(M326),E314*Inputs!$F$19,M326))</f>
        <v xml:space="preserve"> </v>
      </c>
      <c r="F326" s="238" t="str">
        <f t="shared" si="27"/>
        <v xml:space="preserve"> </v>
      </c>
      <c r="G326" s="237" t="str">
        <f>IF(A326="N/A"," ",IF(ISERROR(N326),G314*Inputs!$F$19,N326))</f>
        <v xml:space="preserve"> </v>
      </c>
      <c r="H326" s="238" t="str">
        <f t="shared" si="28"/>
        <v xml:space="preserve"> </v>
      </c>
      <c r="I326" s="238" t="str">
        <f>IF(A326="N/A"," ",IF(ISERROR(O326),I314*Inputs!$F$19,O326))</f>
        <v xml:space="preserve"> </v>
      </c>
      <c r="J326" s="331" t="str">
        <f>IF(A326="N/A"," ",IF(ISERROR(P326),J314*Inputs!$F$23,P326))</f>
        <v xml:space="preserve"> </v>
      </c>
      <c r="L326" s="349" t="str">
        <f>IF(A326="N/A"," ",VLOOKUP(A326,PeakPowerCurves,(IF('Pricing Inputs'!$AT$3=2,3,IF('Pricing Inputs'!$AT$3=1,2,4))),FALSE))</f>
        <v xml:space="preserve"> </v>
      </c>
      <c r="M326" s="349" t="str">
        <f>IF(A326="N/A"," ",VLOOKUP(A326,SatSunPeakPwr,(IF('Pricing Inputs'!$AT$3=2,3,IF('Pricing Inputs'!$AT$3=1,2,4))),FALSE))</f>
        <v xml:space="preserve"> </v>
      </c>
      <c r="N326" s="349" t="str">
        <f>IF(A326="N/A"," ",VLOOKUP(A326,SatSunPeakPwr,(IF('Pricing Inputs'!$AT$3=2,7,IF('Pricing Inputs'!$AT$3=1,6,8))),FALSE))</f>
        <v xml:space="preserve"> </v>
      </c>
      <c r="O326" s="350" t="str">
        <f>IF(A326="N/A"," ",(VLOOKUP(A326,OPPowerPrices,(IF('Pricing Inputs'!$AT$3=2,7,IF('Pricing Inputs'!$AT$3=1,6,8))),FALSE)))</f>
        <v xml:space="preserve"> </v>
      </c>
      <c r="P326" s="351" t="str">
        <f t="shared" si="29"/>
        <v xml:space="preserve"> </v>
      </c>
    </row>
    <row r="327" spans="1:16">
      <c r="A327" s="208" t="str">
        <f>Calculations!A294</f>
        <v>N/A</v>
      </c>
      <c r="B327" s="237" t="str">
        <f>IF(A327="N/A"," ",IF(ISERROR(L327),B315*Inputs!$F$19,L327))</f>
        <v xml:space="preserve"> </v>
      </c>
      <c r="C327" s="239" t="str">
        <f t="shared" si="30"/>
        <v xml:space="preserve"> </v>
      </c>
      <c r="D327" s="238" t="str">
        <f t="shared" si="26"/>
        <v xml:space="preserve"> </v>
      </c>
      <c r="E327" s="237" t="str">
        <f>IF(A327="N/A"," ",IF(ISERROR(M327),E315*Inputs!$F$19,M327))</f>
        <v xml:space="preserve"> </v>
      </c>
      <c r="F327" s="238" t="str">
        <f t="shared" si="27"/>
        <v xml:space="preserve"> </v>
      </c>
      <c r="G327" s="237" t="str">
        <f>IF(A327="N/A"," ",IF(ISERROR(N327),G315*Inputs!$F$19,N327))</f>
        <v xml:space="preserve"> </v>
      </c>
      <c r="H327" s="238" t="str">
        <f t="shared" si="28"/>
        <v xml:space="preserve"> </v>
      </c>
      <c r="I327" s="238" t="str">
        <f>IF(A327="N/A"," ",IF(ISERROR(O327),I315*Inputs!$F$19,O327))</f>
        <v xml:space="preserve"> </v>
      </c>
      <c r="J327" s="331" t="str">
        <f>IF(A327="N/A"," ",IF(ISERROR(P327),J315*Inputs!$F$23,P327))</f>
        <v xml:space="preserve"> </v>
      </c>
      <c r="L327" s="349" t="str">
        <f>IF(A327="N/A"," ",VLOOKUP(A327,PeakPowerCurves,(IF('Pricing Inputs'!$AT$3=2,3,IF('Pricing Inputs'!$AT$3=1,2,4))),FALSE))</f>
        <v xml:space="preserve"> </v>
      </c>
      <c r="M327" s="349" t="str">
        <f>IF(A327="N/A"," ",VLOOKUP(A327,SatSunPeakPwr,(IF('Pricing Inputs'!$AT$3=2,3,IF('Pricing Inputs'!$AT$3=1,2,4))),FALSE))</f>
        <v xml:space="preserve"> </v>
      </c>
      <c r="N327" s="349" t="str">
        <f>IF(A327="N/A"," ",VLOOKUP(A327,SatSunPeakPwr,(IF('Pricing Inputs'!$AT$3=2,7,IF('Pricing Inputs'!$AT$3=1,6,8))),FALSE))</f>
        <v xml:space="preserve"> </v>
      </c>
      <c r="O327" s="350" t="str">
        <f>IF(A327="N/A"," ",(VLOOKUP(A327,OPPowerPrices,(IF('Pricing Inputs'!$AT$3=2,7,IF('Pricing Inputs'!$AT$3=1,6,8))),FALSE)))</f>
        <v xml:space="preserve"> </v>
      </c>
      <c r="P327" s="351" t="str">
        <f t="shared" si="29"/>
        <v xml:space="preserve"> </v>
      </c>
    </row>
    <row r="328" spans="1:16">
      <c r="A328" s="208" t="str">
        <f>Calculations!A295</f>
        <v>N/A</v>
      </c>
      <c r="B328" s="237" t="str">
        <f>IF(A328="N/A"," ",IF(ISERROR(L328),B316*Inputs!$F$19,L328))</f>
        <v xml:space="preserve"> </v>
      </c>
      <c r="C328" s="239" t="str">
        <f t="shared" si="30"/>
        <v xml:space="preserve"> </v>
      </c>
      <c r="D328" s="238" t="str">
        <f t="shared" si="26"/>
        <v xml:space="preserve"> </v>
      </c>
      <c r="E328" s="237" t="str">
        <f>IF(A328="N/A"," ",IF(ISERROR(M328),E316*Inputs!$F$19,M328))</f>
        <v xml:space="preserve"> </v>
      </c>
      <c r="F328" s="238" t="str">
        <f t="shared" si="27"/>
        <v xml:space="preserve"> </v>
      </c>
      <c r="G328" s="237" t="str">
        <f>IF(A328="N/A"," ",IF(ISERROR(N328),G316*Inputs!$F$19,N328))</f>
        <v xml:space="preserve"> </v>
      </c>
      <c r="H328" s="238" t="str">
        <f t="shared" si="28"/>
        <v xml:space="preserve"> </v>
      </c>
      <c r="I328" s="238" t="str">
        <f>IF(A328="N/A"," ",IF(ISERROR(O328),I316*Inputs!$F$19,O328))</f>
        <v xml:space="preserve"> </v>
      </c>
      <c r="J328" s="331" t="str">
        <f>IF(A328="N/A"," ",IF(ISERROR(P328),J316*Inputs!$F$23,P328))</f>
        <v xml:space="preserve"> </v>
      </c>
      <c r="L328" s="349" t="str">
        <f>IF(A328="N/A"," ",VLOOKUP(A328,PeakPowerCurves,(IF('Pricing Inputs'!$AT$3=2,3,IF('Pricing Inputs'!$AT$3=1,2,4))),FALSE))</f>
        <v xml:space="preserve"> </v>
      </c>
      <c r="M328" s="349" t="str">
        <f>IF(A328="N/A"," ",VLOOKUP(A328,SatSunPeakPwr,(IF('Pricing Inputs'!$AT$3=2,3,IF('Pricing Inputs'!$AT$3=1,2,4))),FALSE))</f>
        <v xml:space="preserve"> </v>
      </c>
      <c r="N328" s="349" t="str">
        <f>IF(A328="N/A"," ",VLOOKUP(A328,SatSunPeakPwr,(IF('Pricing Inputs'!$AT$3=2,7,IF('Pricing Inputs'!$AT$3=1,6,8))),FALSE))</f>
        <v xml:space="preserve"> </v>
      </c>
      <c r="O328" s="350" t="str">
        <f>IF(A328="N/A"," ",(VLOOKUP(A328,OPPowerPrices,(IF('Pricing Inputs'!$AT$3=2,7,IF('Pricing Inputs'!$AT$3=1,6,8))),FALSE)))</f>
        <v xml:space="preserve"> </v>
      </c>
      <c r="P328" s="351" t="str">
        <f t="shared" si="29"/>
        <v xml:space="preserve"> </v>
      </c>
    </row>
    <row r="329" spans="1:16">
      <c r="A329" s="208" t="str">
        <f>Calculations!A296</f>
        <v>N/A</v>
      </c>
      <c r="B329" s="237" t="str">
        <f>IF(A329="N/A"," ",IF(ISERROR(L329),B317*Inputs!$F$19,L329))</f>
        <v xml:space="preserve"> </v>
      </c>
      <c r="C329" s="239" t="str">
        <f t="shared" si="30"/>
        <v xml:space="preserve"> </v>
      </c>
      <c r="D329" s="238" t="str">
        <f t="shared" si="26"/>
        <v xml:space="preserve"> </v>
      </c>
      <c r="E329" s="237" t="str">
        <f>IF(A329="N/A"," ",IF(ISERROR(M329),E317*Inputs!$F$19,M329))</f>
        <v xml:space="preserve"> </v>
      </c>
      <c r="F329" s="238" t="str">
        <f t="shared" si="27"/>
        <v xml:space="preserve"> </v>
      </c>
      <c r="G329" s="237" t="str">
        <f>IF(A329="N/A"," ",IF(ISERROR(N329),G317*Inputs!$F$19,N329))</f>
        <v xml:space="preserve"> </v>
      </c>
      <c r="H329" s="238" t="str">
        <f t="shared" si="28"/>
        <v xml:space="preserve"> </v>
      </c>
      <c r="I329" s="238" t="str">
        <f>IF(A329="N/A"," ",IF(ISERROR(O329),I317*Inputs!$F$19,O329))</f>
        <v xml:space="preserve"> </v>
      </c>
      <c r="J329" s="331" t="str">
        <f>IF(A329="N/A"," ",IF(ISERROR(P329),J317*Inputs!$F$23,P329))</f>
        <v xml:space="preserve"> </v>
      </c>
      <c r="L329" s="349" t="str">
        <f>IF(A329="N/A"," ",VLOOKUP(A329,PeakPowerCurves,(IF('Pricing Inputs'!$AT$3=2,3,IF('Pricing Inputs'!$AT$3=1,2,4))),FALSE))</f>
        <v xml:space="preserve"> </v>
      </c>
      <c r="M329" s="349" t="str">
        <f>IF(A329="N/A"," ",VLOOKUP(A329,SatSunPeakPwr,(IF('Pricing Inputs'!$AT$3=2,3,IF('Pricing Inputs'!$AT$3=1,2,4))),FALSE))</f>
        <v xml:space="preserve"> </v>
      </c>
      <c r="N329" s="349" t="str">
        <f>IF(A329="N/A"," ",VLOOKUP(A329,SatSunPeakPwr,(IF('Pricing Inputs'!$AT$3=2,7,IF('Pricing Inputs'!$AT$3=1,6,8))),FALSE))</f>
        <v xml:space="preserve"> </v>
      </c>
      <c r="O329" s="350" t="str">
        <f>IF(A329="N/A"," ",(VLOOKUP(A329,OPPowerPrices,(IF('Pricing Inputs'!$AT$3=2,7,IF('Pricing Inputs'!$AT$3=1,6,8))),FALSE)))</f>
        <v xml:space="preserve"> </v>
      </c>
      <c r="P329" s="351" t="str">
        <f t="shared" si="29"/>
        <v xml:space="preserve"> </v>
      </c>
    </row>
    <row r="330" spans="1:16">
      <c r="A330" s="208" t="str">
        <f>Calculations!A297</f>
        <v>N/A</v>
      </c>
      <c r="B330" s="237" t="str">
        <f>IF(A330="N/A"," ",IF(ISERROR(L330),B318*Inputs!$F$19,L330))</f>
        <v xml:space="preserve"> </v>
      </c>
      <c r="C330" s="239" t="str">
        <f t="shared" si="30"/>
        <v xml:space="preserve"> </v>
      </c>
      <c r="D330" s="238" t="str">
        <f t="shared" si="26"/>
        <v xml:space="preserve"> </v>
      </c>
      <c r="E330" s="237" t="str">
        <f>IF(A330="N/A"," ",IF(ISERROR(M330),E318*Inputs!$F$19,M330))</f>
        <v xml:space="preserve"> </v>
      </c>
      <c r="F330" s="238" t="str">
        <f t="shared" si="27"/>
        <v xml:space="preserve"> </v>
      </c>
      <c r="G330" s="237" t="str">
        <f>IF(A330="N/A"," ",IF(ISERROR(N330),G318*Inputs!$F$19,N330))</f>
        <v xml:space="preserve"> </v>
      </c>
      <c r="H330" s="238" t="str">
        <f t="shared" si="28"/>
        <v xml:space="preserve"> </v>
      </c>
      <c r="I330" s="238" t="str">
        <f>IF(A330="N/A"," ",IF(ISERROR(O330),I318*Inputs!$F$19,O330))</f>
        <v xml:space="preserve"> </v>
      </c>
      <c r="J330" s="331" t="str">
        <f>IF(A330="N/A"," ",IF(ISERROR(P330),J318*Inputs!$F$23,P330))</f>
        <v xml:space="preserve"> </v>
      </c>
      <c r="L330" s="349" t="str">
        <f>IF(A330="N/A"," ",VLOOKUP(A330,PeakPowerCurves,(IF('Pricing Inputs'!$AT$3=2,3,IF('Pricing Inputs'!$AT$3=1,2,4))),FALSE))</f>
        <v xml:space="preserve"> </v>
      </c>
      <c r="M330" s="349" t="str">
        <f>IF(A330="N/A"," ",VLOOKUP(A330,SatSunPeakPwr,(IF('Pricing Inputs'!$AT$3=2,3,IF('Pricing Inputs'!$AT$3=1,2,4))),FALSE))</f>
        <v xml:space="preserve"> </v>
      </c>
      <c r="N330" s="349" t="str">
        <f>IF(A330="N/A"," ",VLOOKUP(A330,SatSunPeakPwr,(IF('Pricing Inputs'!$AT$3=2,7,IF('Pricing Inputs'!$AT$3=1,6,8))),FALSE))</f>
        <v xml:space="preserve"> </v>
      </c>
      <c r="O330" s="350" t="str">
        <f>IF(A330="N/A"," ",(VLOOKUP(A330,OPPowerPrices,(IF('Pricing Inputs'!$AT$3=2,7,IF('Pricing Inputs'!$AT$3=1,6,8))),FALSE)))</f>
        <v xml:space="preserve"> </v>
      </c>
      <c r="P330" s="351" t="str">
        <f t="shared" si="29"/>
        <v xml:space="preserve"> </v>
      </c>
    </row>
    <row r="331" spans="1:16">
      <c r="A331" s="208" t="str">
        <f>Calculations!A298</f>
        <v>N/A</v>
      </c>
      <c r="B331" s="237" t="str">
        <f>IF(A331="N/A"," ",IF(ISERROR(L331),B319*Inputs!$F$19,L331))</f>
        <v xml:space="preserve"> </v>
      </c>
      <c r="C331" s="239" t="str">
        <f t="shared" si="30"/>
        <v xml:space="preserve"> </v>
      </c>
      <c r="D331" s="238" t="str">
        <f t="shared" si="26"/>
        <v xml:space="preserve"> </v>
      </c>
      <c r="E331" s="237" t="str">
        <f>IF(A331="N/A"," ",IF(ISERROR(M331),E319*Inputs!$F$19,M331))</f>
        <v xml:space="preserve"> </v>
      </c>
      <c r="F331" s="238" t="str">
        <f t="shared" si="27"/>
        <v xml:space="preserve"> </v>
      </c>
      <c r="G331" s="237" t="str">
        <f>IF(A331="N/A"," ",IF(ISERROR(N331),G319*Inputs!$F$19,N331))</f>
        <v xml:space="preserve"> </v>
      </c>
      <c r="H331" s="238" t="str">
        <f t="shared" si="28"/>
        <v xml:space="preserve"> </v>
      </c>
      <c r="I331" s="238" t="str">
        <f>IF(A331="N/A"," ",IF(ISERROR(O331),I319*Inputs!$F$19,O331))</f>
        <v xml:space="preserve"> </v>
      </c>
      <c r="J331" s="331" t="str">
        <f>IF(A331="N/A"," ",IF(ISERROR(P331),J319*Inputs!$F$23,P331))</f>
        <v xml:space="preserve"> </v>
      </c>
      <c r="L331" s="349" t="str">
        <f>IF(A331="N/A"," ",VLOOKUP(A331,PeakPowerCurves,(IF('Pricing Inputs'!$AT$3=2,3,IF('Pricing Inputs'!$AT$3=1,2,4))),FALSE))</f>
        <v xml:space="preserve"> </v>
      </c>
      <c r="M331" s="349" t="str">
        <f>IF(A331="N/A"," ",VLOOKUP(A331,SatSunPeakPwr,(IF('Pricing Inputs'!$AT$3=2,3,IF('Pricing Inputs'!$AT$3=1,2,4))),FALSE))</f>
        <v xml:space="preserve"> </v>
      </c>
      <c r="N331" s="349" t="str">
        <f>IF(A331="N/A"," ",VLOOKUP(A331,SatSunPeakPwr,(IF('Pricing Inputs'!$AT$3=2,7,IF('Pricing Inputs'!$AT$3=1,6,8))),FALSE))</f>
        <v xml:space="preserve"> </v>
      </c>
      <c r="O331" s="350" t="str">
        <f>IF(A331="N/A"," ",(VLOOKUP(A331,OPPowerPrices,(IF('Pricing Inputs'!$AT$3=2,7,IF('Pricing Inputs'!$AT$3=1,6,8))),FALSE)))</f>
        <v xml:space="preserve"> </v>
      </c>
      <c r="P331" s="351" t="str">
        <f t="shared" si="29"/>
        <v xml:space="preserve"> </v>
      </c>
    </row>
    <row r="332" spans="1:16">
      <c r="A332" s="208" t="str">
        <f>Calculations!A299</f>
        <v>N/A</v>
      </c>
      <c r="B332" s="237" t="str">
        <f>IF(A332="N/A"," ",IF(ISERROR(L332),B320*Inputs!$F$19,L332))</f>
        <v xml:space="preserve"> </v>
      </c>
      <c r="C332" s="239" t="str">
        <f t="shared" si="30"/>
        <v xml:space="preserve"> </v>
      </c>
      <c r="D332" s="238" t="str">
        <f t="shared" si="26"/>
        <v xml:space="preserve"> </v>
      </c>
      <c r="E332" s="237" t="str">
        <f>IF(A332="N/A"," ",IF(ISERROR(M332),E320*Inputs!$F$19,M332))</f>
        <v xml:space="preserve"> </v>
      </c>
      <c r="F332" s="238" t="str">
        <f t="shared" si="27"/>
        <v xml:space="preserve"> </v>
      </c>
      <c r="G332" s="237" t="str">
        <f>IF(A332="N/A"," ",IF(ISERROR(N332),G320*Inputs!$F$19,N332))</f>
        <v xml:space="preserve"> </v>
      </c>
      <c r="H332" s="238" t="str">
        <f t="shared" si="28"/>
        <v xml:space="preserve"> </v>
      </c>
      <c r="I332" s="238" t="str">
        <f>IF(A332="N/A"," ",IF(ISERROR(O332),I320*Inputs!$F$19,O332))</f>
        <v xml:space="preserve"> </v>
      </c>
      <c r="J332" s="331" t="str">
        <f>IF(A332="N/A"," ",IF(ISERROR(P332),J320*Inputs!$F$23,P332))</f>
        <v xml:space="preserve"> </v>
      </c>
      <c r="L332" s="349" t="str">
        <f>IF(A332="N/A"," ",VLOOKUP(A332,PeakPowerCurves,(IF('Pricing Inputs'!$AT$3=2,3,IF('Pricing Inputs'!$AT$3=1,2,4))),FALSE))</f>
        <v xml:space="preserve"> </v>
      </c>
      <c r="M332" s="349" t="str">
        <f>IF(A332="N/A"," ",VLOOKUP(A332,SatSunPeakPwr,(IF('Pricing Inputs'!$AT$3=2,3,IF('Pricing Inputs'!$AT$3=1,2,4))),FALSE))</f>
        <v xml:space="preserve"> </v>
      </c>
      <c r="N332" s="349" t="str">
        <f>IF(A332="N/A"," ",VLOOKUP(A332,SatSunPeakPwr,(IF('Pricing Inputs'!$AT$3=2,7,IF('Pricing Inputs'!$AT$3=1,6,8))),FALSE))</f>
        <v xml:space="preserve"> </v>
      </c>
      <c r="O332" s="350" t="str">
        <f>IF(A332="N/A"," ",(VLOOKUP(A332,OPPowerPrices,(IF('Pricing Inputs'!$AT$3=2,7,IF('Pricing Inputs'!$AT$3=1,6,8))),FALSE)))</f>
        <v xml:space="preserve"> </v>
      </c>
      <c r="P332" s="351" t="str">
        <f t="shared" si="29"/>
        <v xml:space="preserve"> </v>
      </c>
    </row>
    <row r="333" spans="1:16">
      <c r="A333" s="208" t="str">
        <f>Calculations!A300</f>
        <v>N/A</v>
      </c>
      <c r="B333" s="237" t="str">
        <f>IF(A333="N/A"," ",IF(ISERROR(L333),B321*Inputs!$F$19,L333))</f>
        <v xml:space="preserve"> </v>
      </c>
      <c r="C333" s="239" t="str">
        <f t="shared" si="30"/>
        <v xml:space="preserve"> </v>
      </c>
      <c r="D333" s="238" t="str">
        <f t="shared" si="26"/>
        <v xml:space="preserve"> </v>
      </c>
      <c r="E333" s="237" t="str">
        <f>IF(A333="N/A"," ",IF(ISERROR(M333),E321*Inputs!$F$19,M333))</f>
        <v xml:space="preserve"> </v>
      </c>
      <c r="F333" s="238" t="str">
        <f t="shared" si="27"/>
        <v xml:space="preserve"> </v>
      </c>
      <c r="G333" s="237" t="str">
        <f>IF(A333="N/A"," ",IF(ISERROR(N333),G321*Inputs!$F$19,N333))</f>
        <v xml:space="preserve"> </v>
      </c>
      <c r="H333" s="238" t="str">
        <f t="shared" si="28"/>
        <v xml:space="preserve"> </v>
      </c>
      <c r="I333" s="238" t="str">
        <f>IF(A333="N/A"," ",IF(ISERROR(O333),I321*Inputs!$F$19,O333))</f>
        <v xml:space="preserve"> </v>
      </c>
      <c r="J333" s="331" t="str">
        <f>IF(A333="N/A"," ",IF(ISERROR(P333),J321*Inputs!$F$23,P333))</f>
        <v xml:space="preserve"> </v>
      </c>
      <c r="L333" s="349" t="str">
        <f>IF(A333="N/A"," ",VLOOKUP(A333,PeakPowerCurves,(IF('Pricing Inputs'!$AT$3=2,3,IF('Pricing Inputs'!$AT$3=1,2,4))),FALSE))</f>
        <v xml:space="preserve"> </v>
      </c>
      <c r="M333" s="349" t="str">
        <f>IF(A333="N/A"," ",VLOOKUP(A333,SatSunPeakPwr,(IF('Pricing Inputs'!$AT$3=2,3,IF('Pricing Inputs'!$AT$3=1,2,4))),FALSE))</f>
        <v xml:space="preserve"> </v>
      </c>
      <c r="N333" s="349" t="str">
        <f>IF(A333="N/A"," ",VLOOKUP(A333,SatSunPeakPwr,(IF('Pricing Inputs'!$AT$3=2,7,IF('Pricing Inputs'!$AT$3=1,6,8))),FALSE))</f>
        <v xml:space="preserve"> </v>
      </c>
      <c r="O333" s="350" t="str">
        <f>IF(A333="N/A"," ",(VLOOKUP(A333,OPPowerPrices,(IF('Pricing Inputs'!$AT$3=2,7,IF('Pricing Inputs'!$AT$3=1,6,8))),FALSE)))</f>
        <v xml:space="preserve"> </v>
      </c>
      <c r="P333" s="351" t="str">
        <f t="shared" si="29"/>
        <v xml:space="preserve"> </v>
      </c>
    </row>
    <row r="334" spans="1:16">
      <c r="A334" s="208" t="str">
        <f>Calculations!A301</f>
        <v>N/A</v>
      </c>
      <c r="B334" s="237" t="str">
        <f>IF(A334="N/A"," ",IF(ISERROR(L334),B322*Inputs!$F$19,L334))</f>
        <v xml:space="preserve"> </v>
      </c>
      <c r="C334" s="239" t="str">
        <f t="shared" si="30"/>
        <v xml:space="preserve"> </v>
      </c>
      <c r="D334" s="238" t="str">
        <f t="shared" si="26"/>
        <v xml:space="preserve"> </v>
      </c>
      <c r="E334" s="237" t="str">
        <f>IF(A334="N/A"," ",IF(ISERROR(M334),E322*Inputs!$F$19,M334))</f>
        <v xml:space="preserve"> </v>
      </c>
      <c r="F334" s="238" t="str">
        <f t="shared" si="27"/>
        <v xml:space="preserve"> </v>
      </c>
      <c r="G334" s="237" t="str">
        <f>IF(A334="N/A"," ",IF(ISERROR(N334),G322*Inputs!$F$19,N334))</f>
        <v xml:space="preserve"> </v>
      </c>
      <c r="H334" s="238" t="str">
        <f t="shared" si="28"/>
        <v xml:space="preserve"> </v>
      </c>
      <c r="I334" s="238" t="str">
        <f>IF(A334="N/A"," ",IF(ISERROR(O334),I322*Inputs!$F$19,O334))</f>
        <v xml:space="preserve"> </v>
      </c>
      <c r="J334" s="331" t="str">
        <f>IF(A334="N/A"," ",IF(ISERROR(P334),J322*Inputs!$F$23,P334))</f>
        <v xml:space="preserve"> </v>
      </c>
      <c r="L334" s="349" t="str">
        <f>IF(A334="N/A"," ",VLOOKUP(A334,PeakPowerCurves,(IF('Pricing Inputs'!$AT$3=2,3,IF('Pricing Inputs'!$AT$3=1,2,4))),FALSE))</f>
        <v xml:space="preserve"> </v>
      </c>
      <c r="M334" s="349" t="str">
        <f>IF(A334="N/A"," ",VLOOKUP(A334,SatSunPeakPwr,(IF('Pricing Inputs'!$AT$3=2,3,IF('Pricing Inputs'!$AT$3=1,2,4))),FALSE))</f>
        <v xml:space="preserve"> </v>
      </c>
      <c r="N334" s="349" t="str">
        <f>IF(A334="N/A"," ",VLOOKUP(A334,SatSunPeakPwr,(IF('Pricing Inputs'!$AT$3=2,7,IF('Pricing Inputs'!$AT$3=1,6,8))),FALSE))</f>
        <v xml:space="preserve"> </v>
      </c>
      <c r="O334" s="350" t="str">
        <f>IF(A334="N/A"," ",(VLOOKUP(A334,OPPowerPrices,(IF('Pricing Inputs'!$AT$3=2,7,IF('Pricing Inputs'!$AT$3=1,6,8))),FALSE)))</f>
        <v xml:space="preserve"> </v>
      </c>
      <c r="P334" s="351" t="str">
        <f t="shared" si="29"/>
        <v xml:space="preserve"> </v>
      </c>
    </row>
    <row r="335" spans="1:16">
      <c r="A335" s="208" t="str">
        <f>Calculations!A302</f>
        <v>N/A</v>
      </c>
      <c r="B335" s="237" t="str">
        <f>IF(A335="N/A"," ",IF(ISERROR(L335),B323*Inputs!$F$19,L335))</f>
        <v xml:space="preserve"> </v>
      </c>
      <c r="C335" s="239" t="str">
        <f t="shared" si="30"/>
        <v xml:space="preserve"> </v>
      </c>
      <c r="D335" s="238" t="str">
        <f t="shared" si="26"/>
        <v xml:space="preserve"> </v>
      </c>
      <c r="E335" s="237" t="str">
        <f>IF(A335="N/A"," ",IF(ISERROR(M335),E323*Inputs!$F$19,M335))</f>
        <v xml:space="preserve"> </v>
      </c>
      <c r="F335" s="238" t="str">
        <f t="shared" si="27"/>
        <v xml:space="preserve"> </v>
      </c>
      <c r="G335" s="237" t="str">
        <f>IF(A335="N/A"," ",IF(ISERROR(N335),G323*Inputs!$F$19,N335))</f>
        <v xml:space="preserve"> </v>
      </c>
      <c r="H335" s="238" t="str">
        <f t="shared" si="28"/>
        <v xml:space="preserve"> </v>
      </c>
      <c r="I335" s="238" t="str">
        <f>IF(A335="N/A"," ",IF(ISERROR(O335),I323*Inputs!$F$19,O335))</f>
        <v xml:space="preserve"> </v>
      </c>
      <c r="J335" s="331" t="str">
        <f>IF(A335="N/A"," ",IF(ISERROR(P335),J323*Inputs!$F$23,P335))</f>
        <v xml:space="preserve"> </v>
      </c>
      <c r="L335" s="349" t="str">
        <f>IF(A335="N/A"," ",VLOOKUP(A335,PeakPowerCurves,(IF('Pricing Inputs'!$AT$3=2,3,IF('Pricing Inputs'!$AT$3=1,2,4))),FALSE))</f>
        <v xml:space="preserve"> </v>
      </c>
      <c r="M335" s="349" t="str">
        <f>IF(A335="N/A"," ",VLOOKUP(A335,SatSunPeakPwr,(IF('Pricing Inputs'!$AT$3=2,3,IF('Pricing Inputs'!$AT$3=1,2,4))),FALSE))</f>
        <v xml:space="preserve"> </v>
      </c>
      <c r="N335" s="349" t="str">
        <f>IF(A335="N/A"," ",VLOOKUP(A335,SatSunPeakPwr,(IF('Pricing Inputs'!$AT$3=2,7,IF('Pricing Inputs'!$AT$3=1,6,8))),FALSE))</f>
        <v xml:space="preserve"> </v>
      </c>
      <c r="O335" s="350" t="str">
        <f>IF(A335="N/A"," ",(VLOOKUP(A335,OPPowerPrices,(IF('Pricing Inputs'!$AT$3=2,7,IF('Pricing Inputs'!$AT$3=1,6,8))),FALSE)))</f>
        <v xml:space="preserve"> </v>
      </c>
      <c r="P335" s="351" t="str">
        <f t="shared" si="29"/>
        <v xml:space="preserve"> </v>
      </c>
    </row>
    <row r="336" spans="1:16">
      <c r="A336" s="208" t="str">
        <f>Calculations!A303</f>
        <v>N/A</v>
      </c>
      <c r="B336" s="237" t="str">
        <f>IF(A336="N/A"," ",IF(ISERROR(L336),B324*Inputs!$F$19,L336))</f>
        <v xml:space="preserve"> </v>
      </c>
      <c r="C336" s="239" t="str">
        <f t="shared" si="30"/>
        <v xml:space="preserve"> </v>
      </c>
      <c r="D336" s="238" t="str">
        <f t="shared" si="26"/>
        <v xml:space="preserve"> </v>
      </c>
      <c r="E336" s="237" t="str">
        <f>IF(A336="N/A"," ",IF(ISERROR(M336),E324*Inputs!$F$19,M336))</f>
        <v xml:space="preserve"> </v>
      </c>
      <c r="F336" s="238" t="str">
        <f t="shared" si="27"/>
        <v xml:space="preserve"> </v>
      </c>
      <c r="G336" s="237" t="str">
        <f>IF(A336="N/A"," ",IF(ISERROR(N336),G324*Inputs!$F$19,N336))</f>
        <v xml:space="preserve"> </v>
      </c>
      <c r="H336" s="238" t="str">
        <f t="shared" si="28"/>
        <v xml:space="preserve"> </v>
      </c>
      <c r="I336" s="238" t="str">
        <f>IF(A336="N/A"," ",IF(ISERROR(O336),I324*Inputs!$F$19,O336))</f>
        <v xml:space="preserve"> </v>
      </c>
      <c r="J336" s="331" t="str">
        <f>IF(A336="N/A"," ",IF(ISERROR(P336),J324*Inputs!$F$23,P336))</f>
        <v xml:space="preserve"> </v>
      </c>
      <c r="L336" s="349" t="str">
        <f>IF(A336="N/A"," ",VLOOKUP(A336,PeakPowerCurves,(IF('Pricing Inputs'!$AT$3=2,3,IF('Pricing Inputs'!$AT$3=1,2,4))),FALSE))</f>
        <v xml:space="preserve"> </v>
      </c>
      <c r="M336" s="349" t="str">
        <f>IF(A336="N/A"," ",VLOOKUP(A336,SatSunPeakPwr,(IF('Pricing Inputs'!$AT$3=2,3,IF('Pricing Inputs'!$AT$3=1,2,4))),FALSE))</f>
        <v xml:space="preserve"> </v>
      </c>
      <c r="N336" s="349" t="str">
        <f>IF(A336="N/A"," ",VLOOKUP(A336,SatSunPeakPwr,(IF('Pricing Inputs'!$AT$3=2,7,IF('Pricing Inputs'!$AT$3=1,6,8))),FALSE))</f>
        <v xml:space="preserve"> </v>
      </c>
      <c r="O336" s="350" t="str">
        <f>IF(A336="N/A"," ",(VLOOKUP(A336,OPPowerPrices,(IF('Pricing Inputs'!$AT$3=2,7,IF('Pricing Inputs'!$AT$3=1,6,8))),FALSE)))</f>
        <v xml:space="preserve"> </v>
      </c>
      <c r="P336" s="351" t="str">
        <f t="shared" si="29"/>
        <v xml:space="preserve"> </v>
      </c>
    </row>
    <row r="337" spans="1:16">
      <c r="A337" s="208" t="str">
        <f>Calculations!A304</f>
        <v>N/A</v>
      </c>
      <c r="B337" s="237" t="str">
        <f>IF(A337="N/A"," ",IF(ISERROR(L337),B325*Inputs!$F$19,L337))</f>
        <v xml:space="preserve"> </v>
      </c>
      <c r="C337" s="239" t="str">
        <f t="shared" si="30"/>
        <v xml:space="preserve"> </v>
      </c>
      <c r="D337" s="238" t="str">
        <f t="shared" si="26"/>
        <v xml:space="preserve"> </v>
      </c>
      <c r="E337" s="237" t="str">
        <f>IF(A337="N/A"," ",IF(ISERROR(M337),E325*Inputs!$F$19,M337))</f>
        <v xml:space="preserve"> </v>
      </c>
      <c r="F337" s="238" t="str">
        <f t="shared" si="27"/>
        <v xml:space="preserve"> </v>
      </c>
      <c r="G337" s="237" t="str">
        <f>IF(A337="N/A"," ",IF(ISERROR(N337),G325*Inputs!$F$19,N337))</f>
        <v xml:space="preserve"> </v>
      </c>
      <c r="H337" s="238" t="str">
        <f t="shared" si="28"/>
        <v xml:space="preserve"> </v>
      </c>
      <c r="I337" s="238" t="str">
        <f>IF(A337="N/A"," ",IF(ISERROR(O337),I325*Inputs!$F$19,O337))</f>
        <v xml:space="preserve"> </v>
      </c>
      <c r="J337" s="331" t="str">
        <f>IF(A337="N/A"," ",IF(ISERROR(P337),J325*Inputs!$F$23,P337))</f>
        <v xml:space="preserve"> </v>
      </c>
      <c r="L337" s="349" t="str">
        <f>IF(A337="N/A"," ",VLOOKUP(A337,PeakPowerCurves,(IF('Pricing Inputs'!$AT$3=2,3,IF('Pricing Inputs'!$AT$3=1,2,4))),FALSE))</f>
        <v xml:space="preserve"> </v>
      </c>
      <c r="M337" s="349" t="str">
        <f>IF(A337="N/A"," ",VLOOKUP(A337,SatSunPeakPwr,(IF('Pricing Inputs'!$AT$3=2,3,IF('Pricing Inputs'!$AT$3=1,2,4))),FALSE))</f>
        <v xml:space="preserve"> </v>
      </c>
      <c r="N337" s="349" t="str">
        <f>IF(A337="N/A"," ",VLOOKUP(A337,SatSunPeakPwr,(IF('Pricing Inputs'!$AT$3=2,7,IF('Pricing Inputs'!$AT$3=1,6,8))),FALSE))</f>
        <v xml:space="preserve"> </v>
      </c>
      <c r="O337" s="350" t="str">
        <f>IF(A337="N/A"," ",(VLOOKUP(A337,OPPowerPrices,(IF('Pricing Inputs'!$AT$3=2,7,IF('Pricing Inputs'!$AT$3=1,6,8))),FALSE)))</f>
        <v xml:space="preserve"> </v>
      </c>
      <c r="P337" s="351" t="str">
        <f t="shared" si="29"/>
        <v xml:space="preserve"> </v>
      </c>
    </row>
    <row r="338" spans="1:16">
      <c r="A338" s="208" t="str">
        <f>Calculations!A305</f>
        <v>N/A</v>
      </c>
      <c r="B338" s="237" t="str">
        <f>IF(A338="N/A"," ",IF(ISERROR(L338),B326*Inputs!$F$19,L338))</f>
        <v xml:space="preserve"> </v>
      </c>
      <c r="C338" s="239" t="str">
        <f t="shared" si="30"/>
        <v xml:space="preserve"> </v>
      </c>
      <c r="D338" s="238" t="str">
        <f t="shared" si="26"/>
        <v xml:space="preserve"> </v>
      </c>
      <c r="E338" s="237" t="str">
        <f>IF(A338="N/A"," ",IF(ISERROR(M338),E326*Inputs!$F$19,M338))</f>
        <v xml:space="preserve"> </v>
      </c>
      <c r="F338" s="238" t="str">
        <f t="shared" si="27"/>
        <v xml:space="preserve"> </v>
      </c>
      <c r="G338" s="237" t="str">
        <f>IF(A338="N/A"," ",IF(ISERROR(N338),G326*Inputs!$F$19,N338))</f>
        <v xml:space="preserve"> </v>
      </c>
      <c r="H338" s="238" t="str">
        <f t="shared" si="28"/>
        <v xml:space="preserve"> </v>
      </c>
      <c r="I338" s="238" t="str">
        <f>IF(A338="N/A"," ",IF(ISERROR(O338),I326*Inputs!$F$19,O338))</f>
        <v xml:space="preserve"> </v>
      </c>
      <c r="J338" s="331" t="str">
        <f>IF(A338="N/A"," ",IF(ISERROR(P338),J326*Inputs!$F$23,P338))</f>
        <v xml:space="preserve"> </v>
      </c>
      <c r="L338" s="349" t="str">
        <f>IF(A338="N/A"," ",VLOOKUP(A338,PeakPowerCurves,(IF('Pricing Inputs'!$AT$3=2,3,IF('Pricing Inputs'!$AT$3=1,2,4))),FALSE))</f>
        <v xml:space="preserve"> </v>
      </c>
      <c r="M338" s="349" t="str">
        <f>IF(A338="N/A"," ",VLOOKUP(A338,SatSunPeakPwr,(IF('Pricing Inputs'!$AT$3=2,3,IF('Pricing Inputs'!$AT$3=1,2,4))),FALSE))</f>
        <v xml:space="preserve"> </v>
      </c>
      <c r="N338" s="349" t="str">
        <f>IF(A338="N/A"," ",VLOOKUP(A338,SatSunPeakPwr,(IF('Pricing Inputs'!$AT$3=2,7,IF('Pricing Inputs'!$AT$3=1,6,8))),FALSE))</f>
        <v xml:space="preserve"> </v>
      </c>
      <c r="O338" s="350" t="str">
        <f>IF(A338="N/A"," ",(VLOOKUP(A338,OPPowerPrices,(IF('Pricing Inputs'!$AT$3=2,7,IF('Pricing Inputs'!$AT$3=1,6,8))),FALSE)))</f>
        <v xml:space="preserve"> </v>
      </c>
      <c r="P338" s="351" t="str">
        <f t="shared" si="29"/>
        <v xml:space="preserve"> </v>
      </c>
    </row>
    <row r="339" spans="1:16">
      <c r="A339" s="208" t="str">
        <f>Calculations!A306</f>
        <v>N/A</v>
      </c>
      <c r="B339" s="237" t="str">
        <f>IF(A339="N/A"," ",IF(ISERROR(L339),B327*Inputs!$F$19,L339))</f>
        <v xml:space="preserve"> </v>
      </c>
      <c r="C339" s="239" t="str">
        <f t="shared" si="30"/>
        <v xml:space="preserve"> </v>
      </c>
      <c r="D339" s="238" t="str">
        <f t="shared" si="26"/>
        <v xml:space="preserve"> </v>
      </c>
      <c r="E339" s="237" t="str">
        <f>IF(A339="N/A"," ",IF(ISERROR(M339),E327*Inputs!$F$19,M339))</f>
        <v xml:space="preserve"> </v>
      </c>
      <c r="F339" s="238" t="str">
        <f t="shared" si="27"/>
        <v xml:space="preserve"> </v>
      </c>
      <c r="G339" s="237" t="str">
        <f>IF(A339="N/A"," ",IF(ISERROR(N339),G327*Inputs!$F$19,N339))</f>
        <v xml:space="preserve"> </v>
      </c>
      <c r="H339" s="238" t="str">
        <f t="shared" si="28"/>
        <v xml:space="preserve"> </v>
      </c>
      <c r="I339" s="238" t="str">
        <f>IF(A339="N/A"," ",IF(ISERROR(O339),I327*Inputs!$F$19,O339))</f>
        <v xml:space="preserve"> </v>
      </c>
      <c r="J339" s="331" t="str">
        <f>IF(A339="N/A"," ",IF(ISERROR(P339),J327*Inputs!$F$23,P339))</f>
        <v xml:space="preserve"> </v>
      </c>
      <c r="L339" s="349" t="str">
        <f>IF(A339="N/A"," ",VLOOKUP(A339,PeakPowerCurves,(IF('Pricing Inputs'!$AT$3=2,3,IF('Pricing Inputs'!$AT$3=1,2,4))),FALSE))</f>
        <v xml:space="preserve"> </v>
      </c>
      <c r="M339" s="349" t="str">
        <f>IF(A339="N/A"," ",VLOOKUP(A339,SatSunPeakPwr,(IF('Pricing Inputs'!$AT$3=2,3,IF('Pricing Inputs'!$AT$3=1,2,4))),FALSE))</f>
        <v xml:space="preserve"> </v>
      </c>
      <c r="N339" s="349" t="str">
        <f>IF(A339="N/A"," ",VLOOKUP(A339,SatSunPeakPwr,(IF('Pricing Inputs'!$AT$3=2,7,IF('Pricing Inputs'!$AT$3=1,6,8))),FALSE))</f>
        <v xml:space="preserve"> </v>
      </c>
      <c r="O339" s="350" t="str">
        <f>IF(A339="N/A"," ",(VLOOKUP(A339,OPPowerPrices,(IF('Pricing Inputs'!$AT$3=2,7,IF('Pricing Inputs'!$AT$3=1,6,8))),FALSE)))</f>
        <v xml:space="preserve"> </v>
      </c>
      <c r="P339" s="351" t="str">
        <f t="shared" si="29"/>
        <v xml:space="preserve"> </v>
      </c>
    </row>
    <row r="340" spans="1:16">
      <c r="A340" s="208" t="str">
        <f>Calculations!A307</f>
        <v>N/A</v>
      </c>
      <c r="B340" s="237" t="str">
        <f>IF(A340="N/A"," ",IF(ISERROR(L340),B328*Inputs!$F$19,L340))</f>
        <v xml:space="preserve"> </v>
      </c>
      <c r="C340" s="239" t="str">
        <f t="shared" si="30"/>
        <v xml:space="preserve"> </v>
      </c>
      <c r="D340" s="238" t="str">
        <f t="shared" si="26"/>
        <v xml:space="preserve"> </v>
      </c>
      <c r="E340" s="237" t="str">
        <f>IF(A340="N/A"," ",IF(ISERROR(M340),E328*Inputs!$F$19,M340))</f>
        <v xml:space="preserve"> </v>
      </c>
      <c r="F340" s="238" t="str">
        <f t="shared" si="27"/>
        <v xml:space="preserve"> </v>
      </c>
      <c r="G340" s="237" t="str">
        <f>IF(A340="N/A"," ",IF(ISERROR(N340),G328*Inputs!$F$19,N340))</f>
        <v xml:space="preserve"> </v>
      </c>
      <c r="H340" s="238" t="str">
        <f t="shared" si="28"/>
        <v xml:space="preserve"> </v>
      </c>
      <c r="I340" s="238" t="str">
        <f>IF(A340="N/A"," ",IF(ISERROR(O340),I328*Inputs!$F$19,O340))</f>
        <v xml:space="preserve"> </v>
      </c>
      <c r="J340" s="331" t="str">
        <f>IF(A340="N/A"," ",IF(ISERROR(P340),J328*Inputs!$F$23,P340))</f>
        <v xml:space="preserve"> </v>
      </c>
      <c r="L340" s="349" t="str">
        <f>IF(A340="N/A"," ",VLOOKUP(A340,PeakPowerCurves,(IF('Pricing Inputs'!$AT$3=2,3,IF('Pricing Inputs'!$AT$3=1,2,4))),FALSE))</f>
        <v xml:space="preserve"> </v>
      </c>
      <c r="M340" s="349" t="str">
        <f>IF(A340="N/A"," ",VLOOKUP(A340,SatSunPeakPwr,(IF('Pricing Inputs'!$AT$3=2,3,IF('Pricing Inputs'!$AT$3=1,2,4))),FALSE))</f>
        <v xml:space="preserve"> </v>
      </c>
      <c r="N340" s="349" t="str">
        <f>IF(A340="N/A"," ",VLOOKUP(A340,SatSunPeakPwr,(IF('Pricing Inputs'!$AT$3=2,7,IF('Pricing Inputs'!$AT$3=1,6,8))),FALSE))</f>
        <v xml:space="preserve"> </v>
      </c>
      <c r="O340" s="350" t="str">
        <f>IF(A340="N/A"," ",(VLOOKUP(A340,OPPowerPrices,(IF('Pricing Inputs'!$AT$3=2,7,IF('Pricing Inputs'!$AT$3=1,6,8))),FALSE)))</f>
        <v xml:space="preserve"> </v>
      </c>
      <c r="P340" s="351" t="str">
        <f t="shared" si="29"/>
        <v xml:space="preserve"> </v>
      </c>
    </row>
    <row r="341" spans="1:16">
      <c r="A341" s="208" t="str">
        <f>Calculations!A308</f>
        <v>N/A</v>
      </c>
      <c r="B341" s="237" t="str">
        <f>IF(A341="N/A"," ",IF(ISERROR(L341),B329*Inputs!$F$19,L341))</f>
        <v xml:space="preserve"> </v>
      </c>
      <c r="C341" s="239" t="str">
        <f t="shared" si="30"/>
        <v xml:space="preserve"> </v>
      </c>
      <c r="D341" s="238" t="str">
        <f t="shared" si="26"/>
        <v xml:space="preserve"> </v>
      </c>
      <c r="E341" s="237" t="str">
        <f>IF(A341="N/A"," ",IF(ISERROR(M341),E329*Inputs!$F$19,M341))</f>
        <v xml:space="preserve"> </v>
      </c>
      <c r="F341" s="238" t="str">
        <f t="shared" si="27"/>
        <v xml:space="preserve"> </v>
      </c>
      <c r="G341" s="237" t="str">
        <f>IF(A341="N/A"," ",IF(ISERROR(N341),G329*Inputs!$F$19,N341))</f>
        <v xml:space="preserve"> </v>
      </c>
      <c r="H341" s="238" t="str">
        <f t="shared" si="28"/>
        <v xml:space="preserve"> </v>
      </c>
      <c r="I341" s="238" t="str">
        <f>IF(A341="N/A"," ",IF(ISERROR(O341),I329*Inputs!$F$19,O341))</f>
        <v xml:space="preserve"> </v>
      </c>
      <c r="J341" s="331" t="str">
        <f>IF(A341="N/A"," ",IF(ISERROR(P341),J329*Inputs!$F$23,P341))</f>
        <v xml:space="preserve"> </v>
      </c>
      <c r="L341" s="349" t="str">
        <f>IF(A341="N/A"," ",VLOOKUP(A341,PeakPowerCurves,(IF('Pricing Inputs'!$AT$3=2,3,IF('Pricing Inputs'!$AT$3=1,2,4))),FALSE))</f>
        <v xml:space="preserve"> </v>
      </c>
      <c r="M341" s="349" t="str">
        <f>IF(A341="N/A"," ",VLOOKUP(A341,SatSunPeakPwr,(IF('Pricing Inputs'!$AT$3=2,3,IF('Pricing Inputs'!$AT$3=1,2,4))),FALSE))</f>
        <v xml:space="preserve"> </v>
      </c>
      <c r="N341" s="349" t="str">
        <f>IF(A341="N/A"," ",VLOOKUP(A341,SatSunPeakPwr,(IF('Pricing Inputs'!$AT$3=2,7,IF('Pricing Inputs'!$AT$3=1,6,8))),FALSE))</f>
        <v xml:space="preserve"> </v>
      </c>
      <c r="O341" s="350" t="str">
        <f>IF(A341="N/A"," ",(VLOOKUP(A341,OPPowerPrices,(IF('Pricing Inputs'!$AT$3=2,7,IF('Pricing Inputs'!$AT$3=1,6,8))),FALSE)))</f>
        <v xml:space="preserve"> </v>
      </c>
      <c r="P341" s="351" t="str">
        <f t="shared" si="29"/>
        <v xml:space="preserve"> </v>
      </c>
    </row>
    <row r="342" spans="1:16">
      <c r="A342" s="208" t="str">
        <f>Calculations!A309</f>
        <v>N/A</v>
      </c>
      <c r="B342" s="237" t="str">
        <f>IF(A342="N/A"," ",IF(ISERROR(L342),B330*Inputs!$F$19,L342))</f>
        <v xml:space="preserve"> </v>
      </c>
      <c r="C342" s="239" t="str">
        <f t="shared" si="30"/>
        <v xml:space="preserve"> </v>
      </c>
      <c r="D342" s="238" t="str">
        <f t="shared" si="26"/>
        <v xml:space="preserve"> </v>
      </c>
      <c r="E342" s="237" t="str">
        <f>IF(A342="N/A"," ",IF(ISERROR(M342),E330*Inputs!$F$19,M342))</f>
        <v xml:space="preserve"> </v>
      </c>
      <c r="F342" s="238" t="str">
        <f t="shared" si="27"/>
        <v xml:space="preserve"> </v>
      </c>
      <c r="G342" s="237" t="str">
        <f>IF(A342="N/A"," ",IF(ISERROR(N342),G330*Inputs!$F$19,N342))</f>
        <v xml:space="preserve"> </v>
      </c>
      <c r="H342" s="238" t="str">
        <f t="shared" si="28"/>
        <v xml:space="preserve"> </v>
      </c>
      <c r="I342" s="238" t="str">
        <f>IF(A342="N/A"," ",IF(ISERROR(O342),I330*Inputs!$F$19,O342))</f>
        <v xml:space="preserve"> </v>
      </c>
      <c r="J342" s="331" t="str">
        <f>IF(A342="N/A"," ",IF(ISERROR(P342),J330*Inputs!$F$23,P342))</f>
        <v xml:space="preserve"> </v>
      </c>
      <c r="L342" s="349" t="str">
        <f>IF(A342="N/A"," ",VLOOKUP(A342,PeakPowerCurves,(IF('Pricing Inputs'!$AT$3=2,3,IF('Pricing Inputs'!$AT$3=1,2,4))),FALSE))</f>
        <v xml:space="preserve"> </v>
      </c>
      <c r="M342" s="349" t="str">
        <f>IF(A342="N/A"," ",VLOOKUP(A342,SatSunPeakPwr,(IF('Pricing Inputs'!$AT$3=2,3,IF('Pricing Inputs'!$AT$3=1,2,4))),FALSE))</f>
        <v xml:space="preserve"> </v>
      </c>
      <c r="N342" s="349" t="str">
        <f>IF(A342="N/A"," ",VLOOKUP(A342,SatSunPeakPwr,(IF('Pricing Inputs'!$AT$3=2,7,IF('Pricing Inputs'!$AT$3=1,6,8))),FALSE))</f>
        <v xml:space="preserve"> </v>
      </c>
      <c r="O342" s="350" t="str">
        <f>IF(A342="N/A"," ",(VLOOKUP(A342,OPPowerPrices,(IF('Pricing Inputs'!$AT$3=2,7,IF('Pricing Inputs'!$AT$3=1,6,8))),FALSE)))</f>
        <v xml:space="preserve"> </v>
      </c>
      <c r="P342" s="351" t="str">
        <f t="shared" si="29"/>
        <v xml:space="preserve"> </v>
      </c>
    </row>
    <row r="343" spans="1:16">
      <c r="A343" s="208" t="str">
        <f>Calculations!A310</f>
        <v>N/A</v>
      </c>
      <c r="B343" s="237" t="str">
        <f>IF(A343="N/A"," ",IF(ISERROR(L343),B331*Inputs!$F$19,L343))</f>
        <v xml:space="preserve"> </v>
      </c>
      <c r="C343" s="239" t="str">
        <f t="shared" si="30"/>
        <v xml:space="preserve"> </v>
      </c>
      <c r="D343" s="238" t="str">
        <f t="shared" si="26"/>
        <v xml:space="preserve"> </v>
      </c>
      <c r="E343" s="237" t="str">
        <f>IF(A343="N/A"," ",IF(ISERROR(M343),E331*Inputs!$F$19,M343))</f>
        <v xml:space="preserve"> </v>
      </c>
      <c r="F343" s="238" t="str">
        <f t="shared" si="27"/>
        <v xml:space="preserve"> </v>
      </c>
      <c r="G343" s="237" t="str">
        <f>IF(A343="N/A"," ",IF(ISERROR(N343),G331*Inputs!$F$19,N343))</f>
        <v xml:space="preserve"> </v>
      </c>
      <c r="H343" s="238" t="str">
        <f t="shared" si="28"/>
        <v xml:space="preserve"> </v>
      </c>
      <c r="I343" s="238" t="str">
        <f>IF(A343="N/A"," ",IF(ISERROR(O343),I331*Inputs!$F$19,O343))</f>
        <v xml:space="preserve"> </v>
      </c>
      <c r="J343" s="331" t="str">
        <f>IF(A343="N/A"," ",IF(ISERROR(P343),J331*Inputs!$F$23,P343))</f>
        <v xml:space="preserve"> </v>
      </c>
      <c r="L343" s="349" t="str">
        <f>IF(A343="N/A"," ",VLOOKUP(A343,PeakPowerCurves,(IF('Pricing Inputs'!$AT$3=2,3,IF('Pricing Inputs'!$AT$3=1,2,4))),FALSE))</f>
        <v xml:space="preserve"> </v>
      </c>
      <c r="M343" s="349" t="str">
        <f>IF(A343="N/A"," ",VLOOKUP(A343,SatSunPeakPwr,(IF('Pricing Inputs'!$AT$3=2,3,IF('Pricing Inputs'!$AT$3=1,2,4))),FALSE))</f>
        <v xml:space="preserve"> </v>
      </c>
      <c r="N343" s="349" t="str">
        <f>IF(A343="N/A"," ",VLOOKUP(A343,SatSunPeakPwr,(IF('Pricing Inputs'!$AT$3=2,7,IF('Pricing Inputs'!$AT$3=1,6,8))),FALSE))</f>
        <v xml:space="preserve"> </v>
      </c>
      <c r="O343" s="350" t="str">
        <f>IF(A343="N/A"," ",(VLOOKUP(A343,OPPowerPrices,(IF('Pricing Inputs'!$AT$3=2,7,IF('Pricing Inputs'!$AT$3=1,6,8))),FALSE)))</f>
        <v xml:space="preserve"> </v>
      </c>
      <c r="P343" s="351" t="str">
        <f t="shared" si="29"/>
        <v xml:space="preserve"> </v>
      </c>
    </row>
    <row r="344" spans="1:16">
      <c r="A344" s="208" t="str">
        <f>Calculations!A311</f>
        <v>N/A</v>
      </c>
      <c r="B344" s="237" t="str">
        <f>IF(A344="N/A"," ",IF(ISERROR(L344),B332*Inputs!$F$19,L344))</f>
        <v xml:space="preserve"> </v>
      </c>
      <c r="C344" s="239" t="str">
        <f t="shared" si="30"/>
        <v xml:space="preserve"> </v>
      </c>
      <c r="D344" s="238" t="str">
        <f t="shared" si="26"/>
        <v xml:space="preserve"> </v>
      </c>
      <c r="E344" s="237" t="str">
        <f>IF(A344="N/A"," ",IF(ISERROR(M344),E332*Inputs!$F$19,M344))</f>
        <v xml:space="preserve"> </v>
      </c>
      <c r="F344" s="238" t="str">
        <f t="shared" si="27"/>
        <v xml:space="preserve"> </v>
      </c>
      <c r="G344" s="237" t="str">
        <f>IF(A344="N/A"," ",IF(ISERROR(N344),G332*Inputs!$F$19,N344))</f>
        <v xml:space="preserve"> </v>
      </c>
      <c r="H344" s="238" t="str">
        <f t="shared" si="28"/>
        <v xml:space="preserve"> </v>
      </c>
      <c r="I344" s="238" t="str">
        <f>IF(A344="N/A"," ",IF(ISERROR(O344),I332*Inputs!$F$19,O344))</f>
        <v xml:space="preserve"> </v>
      </c>
      <c r="J344" s="331" t="str">
        <f>IF(A344="N/A"," ",IF(ISERROR(P344),J332*Inputs!$F$23,P344))</f>
        <v xml:space="preserve"> </v>
      </c>
      <c r="L344" s="349" t="str">
        <f>IF(A344="N/A"," ",VLOOKUP(A344,PeakPowerCurves,(IF('Pricing Inputs'!$AT$3=2,3,IF('Pricing Inputs'!$AT$3=1,2,4))),FALSE))</f>
        <v xml:space="preserve"> </v>
      </c>
      <c r="M344" s="349" t="str">
        <f>IF(A344="N/A"," ",VLOOKUP(A344,SatSunPeakPwr,(IF('Pricing Inputs'!$AT$3=2,3,IF('Pricing Inputs'!$AT$3=1,2,4))),FALSE))</f>
        <v xml:space="preserve"> </v>
      </c>
      <c r="N344" s="349" t="str">
        <f>IF(A344="N/A"," ",VLOOKUP(A344,SatSunPeakPwr,(IF('Pricing Inputs'!$AT$3=2,7,IF('Pricing Inputs'!$AT$3=1,6,8))),FALSE))</f>
        <v xml:space="preserve"> </v>
      </c>
      <c r="O344" s="350" t="str">
        <f>IF(A344="N/A"," ",(VLOOKUP(A344,OPPowerPrices,(IF('Pricing Inputs'!$AT$3=2,7,IF('Pricing Inputs'!$AT$3=1,6,8))),FALSE)))</f>
        <v xml:space="preserve"> </v>
      </c>
      <c r="P344" s="351" t="str">
        <f t="shared" si="29"/>
        <v xml:space="preserve"> </v>
      </c>
    </row>
    <row r="345" spans="1:16">
      <c r="A345" s="208" t="str">
        <f>Calculations!A312</f>
        <v>N/A</v>
      </c>
      <c r="B345" s="237" t="str">
        <f>IF(A345="N/A"," ",IF(ISERROR(L345),B333*Inputs!$F$19,L345))</f>
        <v xml:space="preserve"> </v>
      </c>
      <c r="C345" s="239" t="str">
        <f t="shared" si="30"/>
        <v xml:space="preserve"> </v>
      </c>
      <c r="D345" s="238" t="str">
        <f t="shared" si="26"/>
        <v xml:space="preserve"> </v>
      </c>
      <c r="E345" s="237" t="str">
        <f>IF(A345="N/A"," ",IF(ISERROR(M345),E333*Inputs!$F$19,M345))</f>
        <v xml:space="preserve"> </v>
      </c>
      <c r="F345" s="238" t="str">
        <f t="shared" si="27"/>
        <v xml:space="preserve"> </v>
      </c>
      <c r="G345" s="237" t="str">
        <f>IF(A345="N/A"," ",IF(ISERROR(N345),G333*Inputs!$F$19,N345))</f>
        <v xml:space="preserve"> </v>
      </c>
      <c r="H345" s="238" t="str">
        <f t="shared" si="28"/>
        <v xml:space="preserve"> </v>
      </c>
      <c r="I345" s="238" t="str">
        <f>IF(A345="N/A"," ",IF(ISERROR(O345),I333*Inputs!$F$19,O345))</f>
        <v xml:space="preserve"> </v>
      </c>
      <c r="J345" s="331" t="str">
        <f>IF(A345="N/A"," ",IF(ISERROR(P345),J333*Inputs!$F$23,P345))</f>
        <v xml:space="preserve"> </v>
      </c>
      <c r="L345" s="349" t="str">
        <f>IF(A345="N/A"," ",VLOOKUP(A345,PeakPowerCurves,(IF('Pricing Inputs'!$AT$3=2,3,IF('Pricing Inputs'!$AT$3=1,2,4))),FALSE))</f>
        <v xml:space="preserve"> </v>
      </c>
      <c r="M345" s="349" t="str">
        <f>IF(A345="N/A"," ",VLOOKUP(A345,SatSunPeakPwr,(IF('Pricing Inputs'!$AT$3=2,3,IF('Pricing Inputs'!$AT$3=1,2,4))),FALSE))</f>
        <v xml:space="preserve"> </v>
      </c>
      <c r="N345" s="349" t="str">
        <f>IF(A345="N/A"," ",VLOOKUP(A345,SatSunPeakPwr,(IF('Pricing Inputs'!$AT$3=2,7,IF('Pricing Inputs'!$AT$3=1,6,8))),FALSE))</f>
        <v xml:space="preserve"> </v>
      </c>
      <c r="O345" s="350" t="str">
        <f>IF(A345="N/A"," ",(VLOOKUP(A345,OPPowerPrices,(IF('Pricing Inputs'!$AT$3=2,7,IF('Pricing Inputs'!$AT$3=1,6,8))),FALSE)))</f>
        <v xml:space="preserve"> </v>
      </c>
      <c r="P345" s="351" t="str">
        <f t="shared" si="29"/>
        <v xml:space="preserve"> </v>
      </c>
    </row>
    <row r="346" spans="1:16">
      <c r="A346" s="208" t="str">
        <f>Calculations!A313</f>
        <v>N/A</v>
      </c>
      <c r="B346" s="237" t="str">
        <f>IF(A346="N/A"," ",IF(ISERROR(L346),B334*Inputs!$F$19,L346))</f>
        <v xml:space="preserve"> </v>
      </c>
      <c r="C346" s="239" t="str">
        <f t="shared" si="30"/>
        <v xml:space="preserve"> </v>
      </c>
      <c r="D346" s="238" t="str">
        <f t="shared" si="26"/>
        <v xml:space="preserve"> </v>
      </c>
      <c r="E346" s="237" t="str">
        <f>IF(A346="N/A"," ",IF(ISERROR(M346),E334*Inputs!$F$19,M346))</f>
        <v xml:space="preserve"> </v>
      </c>
      <c r="F346" s="238" t="str">
        <f t="shared" si="27"/>
        <v xml:space="preserve"> </v>
      </c>
      <c r="G346" s="237" t="str">
        <f>IF(A346="N/A"," ",IF(ISERROR(N346),G334*Inputs!$F$19,N346))</f>
        <v xml:space="preserve"> </v>
      </c>
      <c r="H346" s="238" t="str">
        <f t="shared" si="28"/>
        <v xml:space="preserve"> </v>
      </c>
      <c r="I346" s="238" t="str">
        <f>IF(A346="N/A"," ",IF(ISERROR(O346),I334*Inputs!$F$19,O346))</f>
        <v xml:space="preserve"> </v>
      </c>
      <c r="J346" s="331" t="str">
        <f>IF(A346="N/A"," ",IF(ISERROR(P346),J334*Inputs!$F$23,P346))</f>
        <v xml:space="preserve"> </v>
      </c>
      <c r="L346" s="349" t="str">
        <f>IF(A346="N/A"," ",VLOOKUP(A346,PeakPowerCurves,(IF('Pricing Inputs'!$AT$3=2,3,IF('Pricing Inputs'!$AT$3=1,2,4))),FALSE))</f>
        <v xml:space="preserve"> </v>
      </c>
      <c r="M346" s="349" t="str">
        <f>IF(A346="N/A"," ",VLOOKUP(A346,SatSunPeakPwr,(IF('Pricing Inputs'!$AT$3=2,3,IF('Pricing Inputs'!$AT$3=1,2,4))),FALSE))</f>
        <v xml:space="preserve"> </v>
      </c>
      <c r="N346" s="349" t="str">
        <f>IF(A346="N/A"," ",VLOOKUP(A346,SatSunPeakPwr,(IF('Pricing Inputs'!$AT$3=2,7,IF('Pricing Inputs'!$AT$3=1,6,8))),FALSE))</f>
        <v xml:space="preserve"> </v>
      </c>
      <c r="O346" s="350" t="str">
        <f>IF(A346="N/A"," ",(VLOOKUP(A346,OPPowerPrices,(IF('Pricing Inputs'!$AT$3=2,7,IF('Pricing Inputs'!$AT$3=1,6,8))),FALSE)))</f>
        <v xml:space="preserve"> </v>
      </c>
      <c r="P346" s="351" t="str">
        <f t="shared" si="29"/>
        <v xml:space="preserve"> </v>
      </c>
    </row>
    <row r="347" spans="1:16">
      <c r="A347" s="208" t="str">
        <f>Calculations!A314</f>
        <v>N/A</v>
      </c>
      <c r="B347" s="237" t="str">
        <f>IF(A347="N/A"," ",IF(ISERROR(L347),B335*Inputs!$F$19,L347))</f>
        <v xml:space="preserve"> </v>
      </c>
      <c r="C347" s="239" t="str">
        <f t="shared" si="30"/>
        <v xml:space="preserve"> </v>
      </c>
      <c r="D347" s="238" t="str">
        <f t="shared" si="26"/>
        <v xml:space="preserve"> </v>
      </c>
      <c r="E347" s="237" t="str">
        <f>IF(A347="N/A"," ",IF(ISERROR(M347),E335*Inputs!$F$19,M347))</f>
        <v xml:space="preserve"> </v>
      </c>
      <c r="F347" s="238" t="str">
        <f t="shared" si="27"/>
        <v xml:space="preserve"> </v>
      </c>
      <c r="G347" s="237" t="str">
        <f>IF(A347="N/A"," ",IF(ISERROR(N347),G335*Inputs!$F$19,N347))</f>
        <v xml:space="preserve"> </v>
      </c>
      <c r="H347" s="238" t="str">
        <f t="shared" si="28"/>
        <v xml:space="preserve"> </v>
      </c>
      <c r="I347" s="238" t="str">
        <f>IF(A347="N/A"," ",IF(ISERROR(O347),I335*Inputs!$F$19,O347))</f>
        <v xml:space="preserve"> </v>
      </c>
      <c r="J347" s="331" t="str">
        <f>IF(A347="N/A"," ",IF(ISERROR(P347),J335*Inputs!$F$23,P347))</f>
        <v xml:space="preserve"> </v>
      </c>
      <c r="L347" s="349" t="str">
        <f>IF(A347="N/A"," ",VLOOKUP(A347,PeakPowerCurves,(IF('Pricing Inputs'!$AT$3=2,3,IF('Pricing Inputs'!$AT$3=1,2,4))),FALSE))</f>
        <v xml:space="preserve"> </v>
      </c>
      <c r="M347" s="349" t="str">
        <f>IF(A347="N/A"," ",VLOOKUP(A347,SatSunPeakPwr,(IF('Pricing Inputs'!$AT$3=2,3,IF('Pricing Inputs'!$AT$3=1,2,4))),FALSE))</f>
        <v xml:space="preserve"> </v>
      </c>
      <c r="N347" s="349" t="str">
        <f>IF(A347="N/A"," ",VLOOKUP(A347,SatSunPeakPwr,(IF('Pricing Inputs'!$AT$3=2,7,IF('Pricing Inputs'!$AT$3=1,6,8))),FALSE))</f>
        <v xml:space="preserve"> </v>
      </c>
      <c r="O347" s="350" t="str">
        <f>IF(A347="N/A"," ",(VLOOKUP(A347,OPPowerPrices,(IF('Pricing Inputs'!$AT$3=2,7,IF('Pricing Inputs'!$AT$3=1,6,8))),FALSE)))</f>
        <v xml:space="preserve"> </v>
      </c>
      <c r="P347" s="351" t="str">
        <f t="shared" si="29"/>
        <v xml:space="preserve"> </v>
      </c>
    </row>
    <row r="348" spans="1:16">
      <c r="A348" s="208" t="str">
        <f>Calculations!A315</f>
        <v>N/A</v>
      </c>
      <c r="B348" s="237" t="str">
        <f>IF(A348="N/A"," ",IF(ISERROR(L348),B336*Inputs!$F$19,L348))</f>
        <v xml:space="preserve"> </v>
      </c>
      <c r="C348" s="239" t="str">
        <f t="shared" si="30"/>
        <v xml:space="preserve"> </v>
      </c>
      <c r="D348" s="238" t="str">
        <f t="shared" si="26"/>
        <v xml:space="preserve"> </v>
      </c>
      <c r="E348" s="237" t="str">
        <f>IF(A348="N/A"," ",IF(ISERROR(M348),E336*Inputs!$F$19,M348))</f>
        <v xml:space="preserve"> </v>
      </c>
      <c r="F348" s="238" t="str">
        <f t="shared" si="27"/>
        <v xml:space="preserve"> </v>
      </c>
      <c r="G348" s="237" t="str">
        <f>IF(A348="N/A"," ",IF(ISERROR(N348),G336*Inputs!$F$19,N348))</f>
        <v xml:space="preserve"> </v>
      </c>
      <c r="H348" s="238" t="str">
        <f t="shared" si="28"/>
        <v xml:space="preserve"> </v>
      </c>
      <c r="I348" s="238" t="str">
        <f>IF(A348="N/A"," ",IF(ISERROR(O348),I336*Inputs!$F$19,O348))</f>
        <v xml:space="preserve"> </v>
      </c>
      <c r="J348" s="331" t="str">
        <f>IF(A348="N/A"," ",IF(ISERROR(P348),J336*Inputs!$F$23,P348))</f>
        <v xml:space="preserve"> </v>
      </c>
      <c r="L348" s="349" t="str">
        <f>IF(A348="N/A"," ",VLOOKUP(A348,PeakPowerCurves,(IF('Pricing Inputs'!$AT$3=2,3,IF('Pricing Inputs'!$AT$3=1,2,4))),FALSE))</f>
        <v xml:space="preserve"> </v>
      </c>
      <c r="M348" s="349" t="str">
        <f>IF(A348="N/A"," ",VLOOKUP(A348,SatSunPeakPwr,(IF('Pricing Inputs'!$AT$3=2,3,IF('Pricing Inputs'!$AT$3=1,2,4))),FALSE))</f>
        <v xml:space="preserve"> </v>
      </c>
      <c r="N348" s="349" t="str">
        <f>IF(A348="N/A"," ",VLOOKUP(A348,SatSunPeakPwr,(IF('Pricing Inputs'!$AT$3=2,7,IF('Pricing Inputs'!$AT$3=1,6,8))),FALSE))</f>
        <v xml:space="preserve"> </v>
      </c>
      <c r="O348" s="350" t="str">
        <f>IF(A348="N/A"," ",(VLOOKUP(A348,OPPowerPrices,(IF('Pricing Inputs'!$AT$3=2,7,IF('Pricing Inputs'!$AT$3=1,6,8))),FALSE)))</f>
        <v xml:space="preserve"> </v>
      </c>
      <c r="P348" s="351" t="str">
        <f t="shared" si="29"/>
        <v xml:space="preserve"> </v>
      </c>
    </row>
    <row r="349" spans="1:16">
      <c r="A349" s="208" t="str">
        <f>Calculations!A316</f>
        <v>N/A</v>
      </c>
      <c r="B349" s="237" t="str">
        <f>IF(A349="N/A"," ",IF(ISERROR(L349),B337*Inputs!$F$19,L349))</f>
        <v xml:space="preserve"> </v>
      </c>
      <c r="C349" s="239" t="str">
        <f t="shared" si="30"/>
        <v xml:space="preserve"> </v>
      </c>
      <c r="D349" s="238" t="str">
        <f t="shared" si="26"/>
        <v xml:space="preserve"> </v>
      </c>
      <c r="E349" s="237" t="str">
        <f>IF(A349="N/A"," ",IF(ISERROR(M349),E337*Inputs!$F$19,M349))</f>
        <v xml:space="preserve"> </v>
      </c>
      <c r="F349" s="238" t="str">
        <f t="shared" si="27"/>
        <v xml:space="preserve"> </v>
      </c>
      <c r="G349" s="237" t="str">
        <f>IF(A349="N/A"," ",IF(ISERROR(N349),G337*Inputs!$F$19,N349))</f>
        <v xml:space="preserve"> </v>
      </c>
      <c r="H349" s="238" t="str">
        <f t="shared" si="28"/>
        <v xml:space="preserve"> </v>
      </c>
      <c r="I349" s="238" t="str">
        <f>IF(A349="N/A"," ",IF(ISERROR(O349),I337*Inputs!$F$19,O349))</f>
        <v xml:space="preserve"> </v>
      </c>
      <c r="J349" s="331" t="str">
        <f>IF(A349="N/A"," ",IF(ISERROR(P349),J337*Inputs!$F$23,P349))</f>
        <v xml:space="preserve"> </v>
      </c>
      <c r="L349" s="349" t="str">
        <f>IF(A349="N/A"," ",VLOOKUP(A349,PeakPowerCurves,(IF('Pricing Inputs'!$AT$3=2,3,IF('Pricing Inputs'!$AT$3=1,2,4))),FALSE))</f>
        <v xml:space="preserve"> </v>
      </c>
      <c r="M349" s="349" t="str">
        <f>IF(A349="N/A"," ",VLOOKUP(A349,SatSunPeakPwr,(IF('Pricing Inputs'!$AT$3=2,3,IF('Pricing Inputs'!$AT$3=1,2,4))),FALSE))</f>
        <v xml:space="preserve"> </v>
      </c>
      <c r="N349" s="349" t="str">
        <f>IF(A349="N/A"," ",VLOOKUP(A349,SatSunPeakPwr,(IF('Pricing Inputs'!$AT$3=2,7,IF('Pricing Inputs'!$AT$3=1,6,8))),FALSE))</f>
        <v xml:space="preserve"> </v>
      </c>
      <c r="O349" s="350" t="str">
        <f>IF(A349="N/A"," ",(VLOOKUP(A349,OPPowerPrices,(IF('Pricing Inputs'!$AT$3=2,7,IF('Pricing Inputs'!$AT$3=1,6,8))),FALSE)))</f>
        <v xml:space="preserve"> </v>
      </c>
      <c r="P349" s="351" t="str">
        <f t="shared" si="29"/>
        <v xml:space="preserve"> </v>
      </c>
    </row>
    <row r="350" spans="1:16">
      <c r="A350" s="208" t="str">
        <f>Calculations!A317</f>
        <v>N/A</v>
      </c>
      <c r="B350" s="237" t="str">
        <f>IF(A350="N/A"," ",IF(ISERROR(L350),B338*Inputs!$F$19,L350))</f>
        <v xml:space="preserve"> </v>
      </c>
      <c r="C350" s="239" t="str">
        <f t="shared" si="30"/>
        <v xml:space="preserve"> </v>
      </c>
      <c r="D350" s="238" t="str">
        <f t="shared" si="26"/>
        <v xml:space="preserve"> </v>
      </c>
      <c r="E350" s="237" t="str">
        <f>IF(A350="N/A"," ",IF(ISERROR(M350),E338*Inputs!$F$19,M350))</f>
        <v xml:space="preserve"> </v>
      </c>
      <c r="F350" s="238" t="str">
        <f t="shared" si="27"/>
        <v xml:space="preserve"> </v>
      </c>
      <c r="G350" s="237" t="str">
        <f>IF(A350="N/A"," ",IF(ISERROR(N350),G338*Inputs!$F$19,N350))</f>
        <v xml:space="preserve"> </v>
      </c>
      <c r="H350" s="238" t="str">
        <f t="shared" si="28"/>
        <v xml:space="preserve"> </v>
      </c>
      <c r="I350" s="238" t="str">
        <f>IF(A350="N/A"," ",IF(ISERROR(O350),I338*Inputs!$F$19,O350))</f>
        <v xml:space="preserve"> </v>
      </c>
      <c r="J350" s="331" t="str">
        <f>IF(A350="N/A"," ",IF(ISERROR(P350),J338*Inputs!$F$23,P350))</f>
        <v xml:space="preserve"> </v>
      </c>
      <c r="L350" s="349" t="str">
        <f>IF(A350="N/A"," ",VLOOKUP(A350,PeakPowerCurves,(IF('Pricing Inputs'!$AT$3=2,3,IF('Pricing Inputs'!$AT$3=1,2,4))),FALSE))</f>
        <v xml:space="preserve"> </v>
      </c>
      <c r="M350" s="349" t="str">
        <f>IF(A350="N/A"," ",VLOOKUP(A350,SatSunPeakPwr,(IF('Pricing Inputs'!$AT$3=2,3,IF('Pricing Inputs'!$AT$3=1,2,4))),FALSE))</f>
        <v xml:space="preserve"> </v>
      </c>
      <c r="N350" s="349" t="str">
        <f>IF(A350="N/A"," ",VLOOKUP(A350,SatSunPeakPwr,(IF('Pricing Inputs'!$AT$3=2,7,IF('Pricing Inputs'!$AT$3=1,6,8))),FALSE))</f>
        <v xml:space="preserve"> </v>
      </c>
      <c r="O350" s="350" t="str">
        <f>IF(A350="N/A"," ",(VLOOKUP(A350,OPPowerPrices,(IF('Pricing Inputs'!$AT$3=2,7,IF('Pricing Inputs'!$AT$3=1,6,8))),FALSE)))</f>
        <v xml:space="preserve"> </v>
      </c>
      <c r="P350" s="351" t="str">
        <f t="shared" si="29"/>
        <v xml:space="preserve"> </v>
      </c>
    </row>
    <row r="351" spans="1:16">
      <c r="A351" s="208" t="str">
        <f>Calculations!A318</f>
        <v>N/A</v>
      </c>
      <c r="B351" s="237" t="str">
        <f>IF(A351="N/A"," ",IF(ISERROR(L351),B339*Inputs!$F$19,L351))</f>
        <v xml:space="preserve"> </v>
      </c>
      <c r="C351" s="239" t="str">
        <f t="shared" si="30"/>
        <v xml:space="preserve"> </v>
      </c>
      <c r="D351" s="238" t="str">
        <f t="shared" si="26"/>
        <v xml:space="preserve"> </v>
      </c>
      <c r="E351" s="237" t="str">
        <f>IF(A351="N/A"," ",IF(ISERROR(M351),E339*Inputs!$F$19,M351))</f>
        <v xml:space="preserve"> </v>
      </c>
      <c r="F351" s="238" t="str">
        <f t="shared" si="27"/>
        <v xml:space="preserve"> </v>
      </c>
      <c r="G351" s="237" t="str">
        <f>IF(A351="N/A"," ",IF(ISERROR(N351),G339*Inputs!$F$19,N351))</f>
        <v xml:space="preserve"> </v>
      </c>
      <c r="H351" s="238" t="str">
        <f t="shared" si="28"/>
        <v xml:space="preserve"> </v>
      </c>
      <c r="I351" s="238" t="str">
        <f>IF(A351="N/A"," ",IF(ISERROR(O351),I339*Inputs!$F$19,O351))</f>
        <v xml:space="preserve"> </v>
      </c>
      <c r="J351" s="331" t="str">
        <f>IF(A351="N/A"," ",IF(ISERROR(P351),J339*Inputs!$F$23,P351))</f>
        <v xml:space="preserve"> </v>
      </c>
      <c r="L351" s="349" t="str">
        <f>IF(A351="N/A"," ",VLOOKUP(A351,PeakPowerCurves,(IF('Pricing Inputs'!$AT$3=2,3,IF('Pricing Inputs'!$AT$3=1,2,4))),FALSE))</f>
        <v xml:space="preserve"> </v>
      </c>
      <c r="M351" s="349" t="str">
        <f>IF(A351="N/A"," ",VLOOKUP(A351,SatSunPeakPwr,(IF('Pricing Inputs'!$AT$3=2,3,IF('Pricing Inputs'!$AT$3=1,2,4))),FALSE))</f>
        <v xml:space="preserve"> </v>
      </c>
      <c r="N351" s="349" t="str">
        <f>IF(A351="N/A"," ",VLOOKUP(A351,SatSunPeakPwr,(IF('Pricing Inputs'!$AT$3=2,7,IF('Pricing Inputs'!$AT$3=1,6,8))),FALSE))</f>
        <v xml:space="preserve"> </v>
      </c>
      <c r="O351" s="350" t="str">
        <f>IF(A351="N/A"," ",(VLOOKUP(A351,OPPowerPrices,(IF('Pricing Inputs'!$AT$3=2,7,IF('Pricing Inputs'!$AT$3=1,6,8))),FALSE)))</f>
        <v xml:space="preserve"> </v>
      </c>
      <c r="P351" s="351" t="str">
        <f t="shared" si="29"/>
        <v xml:space="preserve"> </v>
      </c>
    </row>
    <row r="352" spans="1:16">
      <c r="A352" s="208" t="str">
        <f>Calculations!A319</f>
        <v>N/A</v>
      </c>
      <c r="B352" s="237" t="str">
        <f>IF(A352="N/A"," ",IF(ISERROR(L352),B340*Inputs!$F$19,L352))</f>
        <v xml:space="preserve"> </v>
      </c>
      <c r="C352" s="239" t="str">
        <f t="shared" si="30"/>
        <v xml:space="preserve"> </v>
      </c>
      <c r="D352" s="238" t="str">
        <f t="shared" si="26"/>
        <v xml:space="preserve"> </v>
      </c>
      <c r="E352" s="237" t="str">
        <f>IF(A352="N/A"," ",IF(ISERROR(M352),E340*Inputs!$F$19,M352))</f>
        <v xml:space="preserve"> </v>
      </c>
      <c r="F352" s="238" t="str">
        <f t="shared" si="27"/>
        <v xml:space="preserve"> </v>
      </c>
      <c r="G352" s="237" t="str">
        <f>IF(A352="N/A"," ",IF(ISERROR(N352),G340*Inputs!$F$19,N352))</f>
        <v xml:space="preserve"> </v>
      </c>
      <c r="H352" s="238" t="str">
        <f t="shared" si="28"/>
        <v xml:space="preserve"> </v>
      </c>
      <c r="I352" s="238" t="str">
        <f>IF(A352="N/A"," ",IF(ISERROR(O352),I340*Inputs!$F$19,O352))</f>
        <v xml:space="preserve"> </v>
      </c>
      <c r="J352" s="331" t="str">
        <f>IF(A352="N/A"," ",IF(ISERROR(P352),J340*Inputs!$F$23,P352))</f>
        <v xml:space="preserve"> </v>
      </c>
      <c r="L352" s="349" t="str">
        <f>IF(A352="N/A"," ",VLOOKUP(A352,PeakPowerCurves,(IF('Pricing Inputs'!$AT$3=2,3,IF('Pricing Inputs'!$AT$3=1,2,4))),FALSE))</f>
        <v xml:space="preserve"> </v>
      </c>
      <c r="M352" s="349" t="str">
        <f>IF(A352="N/A"," ",VLOOKUP(A352,SatSunPeakPwr,(IF('Pricing Inputs'!$AT$3=2,3,IF('Pricing Inputs'!$AT$3=1,2,4))),FALSE))</f>
        <v xml:space="preserve"> </v>
      </c>
      <c r="N352" s="349" t="str">
        <f>IF(A352="N/A"," ",VLOOKUP(A352,SatSunPeakPwr,(IF('Pricing Inputs'!$AT$3=2,7,IF('Pricing Inputs'!$AT$3=1,6,8))),FALSE))</f>
        <v xml:space="preserve"> </v>
      </c>
      <c r="O352" s="350" t="str">
        <f>IF(A352="N/A"," ",(VLOOKUP(A352,OPPowerPrices,(IF('Pricing Inputs'!$AT$3=2,7,IF('Pricing Inputs'!$AT$3=1,6,8))),FALSE)))</f>
        <v xml:space="preserve"> </v>
      </c>
      <c r="P352" s="351" t="str">
        <f t="shared" si="29"/>
        <v xml:space="preserve"> </v>
      </c>
    </row>
    <row r="353" spans="1:16">
      <c r="A353" s="208" t="str">
        <f>Calculations!A320</f>
        <v>N/A</v>
      </c>
      <c r="B353" s="237" t="str">
        <f>IF(A353="N/A"," ",IF(ISERROR(L353),B341*Inputs!$F$19,L353))</f>
        <v xml:space="preserve"> </v>
      </c>
      <c r="C353" s="239" t="str">
        <f t="shared" si="30"/>
        <v xml:space="preserve"> </v>
      </c>
      <c r="D353" s="238" t="str">
        <f t="shared" si="26"/>
        <v xml:space="preserve"> </v>
      </c>
      <c r="E353" s="237" t="str">
        <f>IF(A353="N/A"," ",IF(ISERROR(M353),E341*Inputs!$F$19,M353))</f>
        <v xml:space="preserve"> </v>
      </c>
      <c r="F353" s="238" t="str">
        <f t="shared" si="27"/>
        <v xml:space="preserve"> </v>
      </c>
      <c r="G353" s="237" t="str">
        <f>IF(A353="N/A"," ",IF(ISERROR(N353),G341*Inputs!$F$19,N353))</f>
        <v xml:space="preserve"> </v>
      </c>
      <c r="H353" s="238" t="str">
        <f t="shared" si="28"/>
        <v xml:space="preserve"> </v>
      </c>
      <c r="I353" s="238" t="str">
        <f>IF(A353="N/A"," ",IF(ISERROR(O353),I341*Inputs!$F$19,O353))</f>
        <v xml:space="preserve"> </v>
      </c>
      <c r="J353" s="331" t="str">
        <f>IF(A353="N/A"," ",IF(ISERROR(P353),J341*Inputs!$F$23,P353))</f>
        <v xml:space="preserve"> </v>
      </c>
      <c r="L353" s="349" t="str">
        <f>IF(A353="N/A"," ",VLOOKUP(A353,PeakPowerCurves,(IF('Pricing Inputs'!$AT$3=2,3,IF('Pricing Inputs'!$AT$3=1,2,4))),FALSE))</f>
        <v xml:space="preserve"> </v>
      </c>
      <c r="M353" s="349" t="str">
        <f>IF(A353="N/A"," ",VLOOKUP(A353,SatSunPeakPwr,(IF('Pricing Inputs'!$AT$3=2,3,IF('Pricing Inputs'!$AT$3=1,2,4))),FALSE))</f>
        <v xml:space="preserve"> </v>
      </c>
      <c r="N353" s="349" t="str">
        <f>IF(A353="N/A"," ",VLOOKUP(A353,SatSunPeakPwr,(IF('Pricing Inputs'!$AT$3=2,7,IF('Pricing Inputs'!$AT$3=1,6,8))),FALSE))</f>
        <v xml:space="preserve"> </v>
      </c>
      <c r="O353" s="350" t="str">
        <f>IF(A353="N/A"," ",(VLOOKUP(A353,OPPowerPrices,(IF('Pricing Inputs'!$AT$3=2,7,IF('Pricing Inputs'!$AT$3=1,6,8))),FALSE)))</f>
        <v xml:space="preserve"> </v>
      </c>
      <c r="P353" s="351" t="str">
        <f t="shared" si="29"/>
        <v xml:space="preserve"> </v>
      </c>
    </row>
    <row r="354" spans="1:16">
      <c r="A354" s="208" t="str">
        <f>Calculations!A321</f>
        <v>N/A</v>
      </c>
      <c r="B354" s="237" t="str">
        <f>IF(A354="N/A"," ",IF(ISERROR(L354),B342*Inputs!$F$19,L354))</f>
        <v xml:space="preserve"> </v>
      </c>
      <c r="C354" s="239" t="str">
        <f t="shared" si="30"/>
        <v xml:space="preserve"> </v>
      </c>
      <c r="D354" s="238" t="str">
        <f t="shared" si="26"/>
        <v xml:space="preserve"> </v>
      </c>
      <c r="E354" s="237" t="str">
        <f>IF(A354="N/A"," ",IF(ISERROR(M354),E342*Inputs!$F$19,M354))</f>
        <v xml:space="preserve"> </v>
      </c>
      <c r="F354" s="238" t="str">
        <f t="shared" si="27"/>
        <v xml:space="preserve"> </v>
      </c>
      <c r="G354" s="237" t="str">
        <f>IF(A354="N/A"," ",IF(ISERROR(N354),G342*Inputs!$F$19,N354))</f>
        <v xml:space="preserve"> </v>
      </c>
      <c r="H354" s="238" t="str">
        <f t="shared" si="28"/>
        <v xml:space="preserve"> </v>
      </c>
      <c r="I354" s="238" t="str">
        <f>IF(A354="N/A"," ",IF(ISERROR(O354),I342*Inputs!$F$19,O354))</f>
        <v xml:space="preserve"> </v>
      </c>
      <c r="J354" s="331" t="str">
        <f>IF(A354="N/A"," ",IF(ISERROR(P354),J342*Inputs!$F$23,P354))</f>
        <v xml:space="preserve"> </v>
      </c>
      <c r="L354" s="349" t="str">
        <f>IF(A354="N/A"," ",VLOOKUP(A354,PeakPowerCurves,(IF('Pricing Inputs'!$AT$3=2,3,IF('Pricing Inputs'!$AT$3=1,2,4))),FALSE))</f>
        <v xml:space="preserve"> </v>
      </c>
      <c r="M354" s="349" t="str">
        <f>IF(A354="N/A"," ",VLOOKUP(A354,SatSunPeakPwr,(IF('Pricing Inputs'!$AT$3=2,3,IF('Pricing Inputs'!$AT$3=1,2,4))),FALSE))</f>
        <v xml:space="preserve"> </v>
      </c>
      <c r="N354" s="349" t="str">
        <f>IF(A354="N/A"," ",VLOOKUP(A354,SatSunPeakPwr,(IF('Pricing Inputs'!$AT$3=2,7,IF('Pricing Inputs'!$AT$3=1,6,8))),FALSE))</f>
        <v xml:space="preserve"> </v>
      </c>
      <c r="O354" s="350" t="str">
        <f>IF(A354="N/A"," ",(VLOOKUP(A354,OPPowerPrices,(IF('Pricing Inputs'!$AT$3=2,7,IF('Pricing Inputs'!$AT$3=1,6,8))),FALSE)))</f>
        <v xml:space="preserve"> </v>
      </c>
      <c r="P354" s="351" t="str">
        <f t="shared" si="29"/>
        <v xml:space="preserve"> </v>
      </c>
    </row>
    <row r="355" spans="1:16">
      <c r="A355" s="208" t="str">
        <f>Calculations!A322</f>
        <v>N/A</v>
      </c>
      <c r="B355" s="237" t="str">
        <f>IF(A355="N/A"," ",IF(ISERROR(L355),B343*Inputs!$F$19,L355))</f>
        <v xml:space="preserve"> </v>
      </c>
      <c r="C355" s="239" t="str">
        <f t="shared" si="30"/>
        <v xml:space="preserve"> </v>
      </c>
      <c r="D355" s="238" t="str">
        <f t="shared" si="26"/>
        <v xml:space="preserve"> </v>
      </c>
      <c r="E355" s="237" t="str">
        <f>IF(A355="N/A"," ",IF(ISERROR(M355),E343*Inputs!$F$19,M355))</f>
        <v xml:space="preserve"> </v>
      </c>
      <c r="F355" s="238" t="str">
        <f t="shared" si="27"/>
        <v xml:space="preserve"> </v>
      </c>
      <c r="G355" s="237" t="str">
        <f>IF(A355="N/A"," ",IF(ISERROR(N355),G343*Inputs!$F$19,N355))</f>
        <v xml:space="preserve"> </v>
      </c>
      <c r="H355" s="238" t="str">
        <f t="shared" si="28"/>
        <v xml:space="preserve"> </v>
      </c>
      <c r="I355" s="238" t="str">
        <f>IF(A355="N/A"," ",IF(ISERROR(O355),I343*Inputs!$F$19,O355))</f>
        <v xml:space="preserve"> </v>
      </c>
      <c r="J355" s="331" t="str">
        <f>IF(A355="N/A"," ",IF(ISERROR(P355),J343*Inputs!$F$23,P355))</f>
        <v xml:space="preserve"> </v>
      </c>
      <c r="L355" s="349" t="str">
        <f>IF(A355="N/A"," ",VLOOKUP(A355,PeakPowerCurves,(IF('Pricing Inputs'!$AT$3=2,3,IF('Pricing Inputs'!$AT$3=1,2,4))),FALSE))</f>
        <v xml:space="preserve"> </v>
      </c>
      <c r="M355" s="349" t="str">
        <f>IF(A355="N/A"," ",VLOOKUP(A355,SatSunPeakPwr,(IF('Pricing Inputs'!$AT$3=2,3,IF('Pricing Inputs'!$AT$3=1,2,4))),FALSE))</f>
        <v xml:space="preserve"> </v>
      </c>
      <c r="N355" s="349" t="str">
        <f>IF(A355="N/A"," ",VLOOKUP(A355,SatSunPeakPwr,(IF('Pricing Inputs'!$AT$3=2,7,IF('Pricing Inputs'!$AT$3=1,6,8))),FALSE))</f>
        <v xml:space="preserve"> </v>
      </c>
      <c r="O355" s="350" t="str">
        <f>IF(A355="N/A"," ",(VLOOKUP(A355,OPPowerPrices,(IF('Pricing Inputs'!$AT$3=2,7,IF('Pricing Inputs'!$AT$3=1,6,8))),FALSE)))</f>
        <v xml:space="preserve"> </v>
      </c>
      <c r="P355" s="351" t="str">
        <f t="shared" si="29"/>
        <v xml:space="preserve"> </v>
      </c>
    </row>
    <row r="356" spans="1:16">
      <c r="A356" s="208" t="str">
        <f>Calculations!A323</f>
        <v>N/A</v>
      </c>
      <c r="B356" s="237" t="str">
        <f>IF(A356="N/A"," ",IF(ISERROR(L356),B344*Inputs!$F$19,L356))</f>
        <v xml:space="preserve"> </v>
      </c>
      <c r="C356" s="239" t="str">
        <f t="shared" si="30"/>
        <v xml:space="preserve"> </v>
      </c>
      <c r="D356" s="238" t="str">
        <f t="shared" si="26"/>
        <v xml:space="preserve"> </v>
      </c>
      <c r="E356" s="237" t="str">
        <f>IF(A356="N/A"," ",IF(ISERROR(M356),E344*Inputs!$F$19,M356))</f>
        <v xml:space="preserve"> </v>
      </c>
      <c r="F356" s="238" t="str">
        <f t="shared" si="27"/>
        <v xml:space="preserve"> </v>
      </c>
      <c r="G356" s="237" t="str">
        <f>IF(A356="N/A"," ",IF(ISERROR(N356),G344*Inputs!$F$19,N356))</f>
        <v xml:space="preserve"> </v>
      </c>
      <c r="H356" s="238" t="str">
        <f t="shared" si="28"/>
        <v xml:space="preserve"> </v>
      </c>
      <c r="I356" s="238" t="str">
        <f>IF(A356="N/A"," ",IF(ISERROR(O356),I344*Inputs!$F$19,O356))</f>
        <v xml:space="preserve"> </v>
      </c>
      <c r="J356" s="331" t="str">
        <f>IF(A356="N/A"," ",IF(ISERROR(P356),J344*Inputs!$F$23,P356))</f>
        <v xml:space="preserve"> </v>
      </c>
      <c r="L356" s="349" t="str">
        <f>IF(A356="N/A"," ",VLOOKUP(A356,PeakPowerCurves,(IF('Pricing Inputs'!$AT$3=2,3,IF('Pricing Inputs'!$AT$3=1,2,4))),FALSE))</f>
        <v xml:space="preserve"> </v>
      </c>
      <c r="M356" s="349" t="str">
        <f>IF(A356="N/A"," ",VLOOKUP(A356,SatSunPeakPwr,(IF('Pricing Inputs'!$AT$3=2,3,IF('Pricing Inputs'!$AT$3=1,2,4))),FALSE))</f>
        <v xml:space="preserve"> </v>
      </c>
      <c r="N356" s="349" t="str">
        <f>IF(A356="N/A"," ",VLOOKUP(A356,SatSunPeakPwr,(IF('Pricing Inputs'!$AT$3=2,7,IF('Pricing Inputs'!$AT$3=1,6,8))),FALSE))</f>
        <v xml:space="preserve"> </v>
      </c>
      <c r="O356" s="350" t="str">
        <f>IF(A356="N/A"," ",(VLOOKUP(A356,OPPowerPrices,(IF('Pricing Inputs'!$AT$3=2,7,IF('Pricing Inputs'!$AT$3=1,6,8))),FALSE)))</f>
        <v xml:space="preserve"> </v>
      </c>
      <c r="P356" s="351" t="str">
        <f t="shared" si="29"/>
        <v xml:space="preserve"> </v>
      </c>
    </row>
    <row r="357" spans="1:16">
      <c r="A357" s="208" t="str">
        <f>Calculations!A324</f>
        <v>N/A</v>
      </c>
      <c r="B357" s="237" t="str">
        <f>IF(A357="N/A"," ",IF(ISERROR(L357),B345*Inputs!$F$19,L357))</f>
        <v xml:space="preserve"> </v>
      </c>
      <c r="C357" s="239" t="str">
        <f t="shared" si="30"/>
        <v xml:space="preserve"> </v>
      </c>
      <c r="D357" s="238" t="str">
        <f t="shared" si="26"/>
        <v xml:space="preserve"> </v>
      </c>
      <c r="E357" s="237" t="str">
        <f>IF(A357="N/A"," ",IF(ISERROR(M357),E345*Inputs!$F$19,M357))</f>
        <v xml:space="preserve"> </v>
      </c>
      <c r="F357" s="238" t="str">
        <f t="shared" si="27"/>
        <v xml:space="preserve"> </v>
      </c>
      <c r="G357" s="237" t="str">
        <f>IF(A357="N/A"," ",IF(ISERROR(N357),G345*Inputs!$F$19,N357))</f>
        <v xml:space="preserve"> </v>
      </c>
      <c r="H357" s="238" t="str">
        <f t="shared" si="28"/>
        <v xml:space="preserve"> </v>
      </c>
      <c r="I357" s="238" t="str">
        <f>IF(A357="N/A"," ",IF(ISERROR(O357),I345*Inputs!$F$19,O357))</f>
        <v xml:space="preserve"> </v>
      </c>
      <c r="J357" s="331" t="str">
        <f>IF(A357="N/A"," ",IF(ISERROR(P357),J345*Inputs!$F$23,P357))</f>
        <v xml:space="preserve"> </v>
      </c>
      <c r="L357" s="349" t="str">
        <f>IF(A357="N/A"," ",VLOOKUP(A357,PeakPowerCurves,(IF('Pricing Inputs'!$AT$3=2,3,IF('Pricing Inputs'!$AT$3=1,2,4))),FALSE))</f>
        <v xml:space="preserve"> </v>
      </c>
      <c r="M357" s="349" t="str">
        <f>IF(A357="N/A"," ",VLOOKUP(A357,SatSunPeakPwr,(IF('Pricing Inputs'!$AT$3=2,3,IF('Pricing Inputs'!$AT$3=1,2,4))),FALSE))</f>
        <v xml:space="preserve"> </v>
      </c>
      <c r="N357" s="349" t="str">
        <f>IF(A357="N/A"," ",VLOOKUP(A357,SatSunPeakPwr,(IF('Pricing Inputs'!$AT$3=2,7,IF('Pricing Inputs'!$AT$3=1,6,8))),FALSE))</f>
        <v xml:space="preserve"> </v>
      </c>
      <c r="O357" s="350" t="str">
        <f>IF(A357="N/A"," ",(VLOOKUP(A357,OPPowerPrices,(IF('Pricing Inputs'!$AT$3=2,7,IF('Pricing Inputs'!$AT$3=1,6,8))),FALSE)))</f>
        <v xml:space="preserve"> </v>
      </c>
      <c r="P357" s="351" t="str">
        <f t="shared" si="29"/>
        <v xml:space="preserve"> </v>
      </c>
    </row>
    <row r="358" spans="1:16">
      <c r="A358" s="208" t="str">
        <f>Calculations!A325</f>
        <v>N/A</v>
      </c>
      <c r="B358" s="237" t="str">
        <f>IF(A358="N/A"," ",IF(ISERROR(L358),B346*Inputs!$F$19,L358))</f>
        <v xml:space="preserve"> </v>
      </c>
      <c r="C358" s="239" t="str">
        <f t="shared" si="30"/>
        <v xml:space="preserve"> </v>
      </c>
      <c r="D358" s="238" t="str">
        <f t="shared" ref="D358:D420" si="31">IF(A358="N/A"," ",C358*B358)</f>
        <v xml:space="preserve"> </v>
      </c>
      <c r="E358" s="237" t="str">
        <f>IF(A358="N/A"," ",IF(ISERROR(M358),E346*Inputs!$F$19,M358))</f>
        <v xml:space="preserve"> </v>
      </c>
      <c r="F358" s="238" t="str">
        <f t="shared" ref="F358:F420" si="32">IF(A358="N/A"," ",E358*C358)</f>
        <v xml:space="preserve"> </v>
      </c>
      <c r="G358" s="237" t="str">
        <f>IF(A358="N/A"," ",IF(ISERROR(N358),G346*Inputs!$F$19,N358))</f>
        <v xml:space="preserve"> </v>
      </c>
      <c r="H358" s="238" t="str">
        <f t="shared" ref="H358:H420" si="33">IF(A358="N/A"," ",G358*C358)</f>
        <v xml:space="preserve"> </v>
      </c>
      <c r="I358" s="238" t="str">
        <f>IF(A358="N/A"," ",IF(ISERROR(O358),I346*Inputs!$F$19,O358))</f>
        <v xml:space="preserve"> </v>
      </c>
      <c r="J358" s="331" t="str">
        <f>IF(A358="N/A"," ",IF(ISERROR(P358),J346*Inputs!$F$23,P358))</f>
        <v xml:space="preserve"> </v>
      </c>
      <c r="L358" s="349" t="str">
        <f>IF(A358="N/A"," ",VLOOKUP(A358,PeakPowerCurves,(IF('Pricing Inputs'!$AT$3=2,3,IF('Pricing Inputs'!$AT$3=1,2,4))),FALSE))</f>
        <v xml:space="preserve"> </v>
      </c>
      <c r="M358" s="349" t="str">
        <f>IF(A358="N/A"," ",VLOOKUP(A358,SatSunPeakPwr,(IF('Pricing Inputs'!$AT$3=2,3,IF('Pricing Inputs'!$AT$3=1,2,4))),FALSE))</f>
        <v xml:space="preserve"> </v>
      </c>
      <c r="N358" s="349" t="str">
        <f>IF(A358="N/A"," ",VLOOKUP(A358,SatSunPeakPwr,(IF('Pricing Inputs'!$AT$3=2,7,IF('Pricing Inputs'!$AT$3=1,6,8))),FALSE))</f>
        <v xml:space="preserve"> </v>
      </c>
      <c r="O358" s="350" t="str">
        <f>IF(A358="N/A"," ",(VLOOKUP(A358,OPPowerPrices,(IF('Pricing Inputs'!$AT$3=2,7,IF('Pricing Inputs'!$AT$3=1,6,8))),FALSE)))</f>
        <v xml:space="preserve"> </v>
      </c>
      <c r="P358" s="351" t="str">
        <f t="shared" ref="P358:P420" si="34">IF(A358="N/A"," ",(VLOOKUP(A358,GasCurves,15,FALSE)))</f>
        <v xml:space="preserve"> </v>
      </c>
    </row>
    <row r="359" spans="1:16">
      <c r="A359" s="208" t="str">
        <f>Calculations!A326</f>
        <v>N/A</v>
      </c>
      <c r="B359" s="237" t="str">
        <f>IF(A359="N/A"," ",IF(ISERROR(L359),B347*Inputs!$F$19,L359))</f>
        <v xml:space="preserve"> </v>
      </c>
      <c r="C359" s="239" t="str">
        <f t="shared" si="30"/>
        <v xml:space="preserve"> </v>
      </c>
      <c r="D359" s="238" t="str">
        <f t="shared" si="31"/>
        <v xml:space="preserve"> </v>
      </c>
      <c r="E359" s="237" t="str">
        <f>IF(A359="N/A"," ",IF(ISERROR(M359),E347*Inputs!$F$19,M359))</f>
        <v xml:space="preserve"> </v>
      </c>
      <c r="F359" s="238" t="str">
        <f t="shared" si="32"/>
        <v xml:space="preserve"> </v>
      </c>
      <c r="G359" s="237" t="str">
        <f>IF(A359="N/A"," ",IF(ISERROR(N359),G347*Inputs!$F$19,N359))</f>
        <v xml:space="preserve"> </v>
      </c>
      <c r="H359" s="238" t="str">
        <f t="shared" si="33"/>
        <v xml:space="preserve"> </v>
      </c>
      <c r="I359" s="238" t="str">
        <f>IF(A359="N/A"," ",IF(ISERROR(O359),I347*Inputs!$F$19,O359))</f>
        <v xml:space="preserve"> </v>
      </c>
      <c r="J359" s="331" t="str">
        <f>IF(A359="N/A"," ",IF(ISERROR(P359),J347*Inputs!$F$23,P359))</f>
        <v xml:space="preserve"> </v>
      </c>
      <c r="L359" s="349" t="str">
        <f>IF(A359="N/A"," ",VLOOKUP(A359,PeakPowerCurves,(IF('Pricing Inputs'!$AT$3=2,3,IF('Pricing Inputs'!$AT$3=1,2,4))),FALSE))</f>
        <v xml:space="preserve"> </v>
      </c>
      <c r="M359" s="349" t="str">
        <f>IF(A359="N/A"," ",VLOOKUP(A359,SatSunPeakPwr,(IF('Pricing Inputs'!$AT$3=2,3,IF('Pricing Inputs'!$AT$3=1,2,4))),FALSE))</f>
        <v xml:space="preserve"> </v>
      </c>
      <c r="N359" s="349" t="str">
        <f>IF(A359="N/A"," ",VLOOKUP(A359,SatSunPeakPwr,(IF('Pricing Inputs'!$AT$3=2,7,IF('Pricing Inputs'!$AT$3=1,6,8))),FALSE))</f>
        <v xml:space="preserve"> </v>
      </c>
      <c r="O359" s="350" t="str">
        <f>IF(A359="N/A"," ",(VLOOKUP(A359,OPPowerPrices,(IF('Pricing Inputs'!$AT$3=2,7,IF('Pricing Inputs'!$AT$3=1,6,8))),FALSE)))</f>
        <v xml:space="preserve"> </v>
      </c>
      <c r="P359" s="351" t="str">
        <f t="shared" si="34"/>
        <v xml:space="preserve"> </v>
      </c>
    </row>
    <row r="360" spans="1:16">
      <c r="A360" s="208" t="str">
        <f>Calculations!A327</f>
        <v>N/A</v>
      </c>
      <c r="B360" s="237" t="str">
        <f>IF(A360="N/A"," ",IF(ISERROR(L360),B348*Inputs!$F$19,L360))</f>
        <v xml:space="preserve"> </v>
      </c>
      <c r="C360" s="239" t="str">
        <f t="shared" si="30"/>
        <v xml:space="preserve"> </v>
      </c>
      <c r="D360" s="238" t="str">
        <f t="shared" si="31"/>
        <v xml:space="preserve"> </v>
      </c>
      <c r="E360" s="237" t="str">
        <f>IF(A360="N/A"," ",IF(ISERROR(M360),E348*Inputs!$F$19,M360))</f>
        <v xml:space="preserve"> </v>
      </c>
      <c r="F360" s="238" t="str">
        <f t="shared" si="32"/>
        <v xml:space="preserve"> </v>
      </c>
      <c r="G360" s="237" t="str">
        <f>IF(A360="N/A"," ",IF(ISERROR(N360),G348*Inputs!$F$19,N360))</f>
        <v xml:space="preserve"> </v>
      </c>
      <c r="H360" s="238" t="str">
        <f t="shared" si="33"/>
        <v xml:space="preserve"> </v>
      </c>
      <c r="I360" s="238" t="str">
        <f>IF(A360="N/A"," ",IF(ISERROR(O360),I348*Inputs!$F$19,O360))</f>
        <v xml:space="preserve"> </v>
      </c>
      <c r="J360" s="331" t="str">
        <f>IF(A360="N/A"," ",IF(ISERROR(P360),J348*Inputs!$F$23,P360))</f>
        <v xml:space="preserve"> </v>
      </c>
      <c r="L360" s="349" t="str">
        <f>IF(A360="N/A"," ",VLOOKUP(A360,PeakPowerCurves,(IF('Pricing Inputs'!$AT$3=2,3,IF('Pricing Inputs'!$AT$3=1,2,4))),FALSE))</f>
        <v xml:space="preserve"> </v>
      </c>
      <c r="M360" s="349" t="str">
        <f>IF(A360="N/A"," ",VLOOKUP(A360,SatSunPeakPwr,(IF('Pricing Inputs'!$AT$3=2,3,IF('Pricing Inputs'!$AT$3=1,2,4))),FALSE))</f>
        <v xml:space="preserve"> </v>
      </c>
      <c r="N360" s="349" t="str">
        <f>IF(A360="N/A"," ",VLOOKUP(A360,SatSunPeakPwr,(IF('Pricing Inputs'!$AT$3=2,7,IF('Pricing Inputs'!$AT$3=1,6,8))),FALSE))</f>
        <v xml:space="preserve"> </v>
      </c>
      <c r="O360" s="350" t="str">
        <f>IF(A360="N/A"," ",(VLOOKUP(A360,OPPowerPrices,(IF('Pricing Inputs'!$AT$3=2,7,IF('Pricing Inputs'!$AT$3=1,6,8))),FALSE)))</f>
        <v xml:space="preserve"> </v>
      </c>
      <c r="P360" s="351" t="str">
        <f t="shared" si="34"/>
        <v xml:space="preserve"> </v>
      </c>
    </row>
    <row r="361" spans="1:16">
      <c r="A361" s="208" t="str">
        <f>Calculations!A328</f>
        <v>N/A</v>
      </c>
      <c r="B361" s="237" t="str">
        <f>IF(A361="N/A"," ",IF(ISERROR(L361),B349*Inputs!$F$19,L361))</f>
        <v xml:space="preserve"> </v>
      </c>
      <c r="C361" s="239" t="str">
        <f t="shared" si="30"/>
        <v xml:space="preserve"> </v>
      </c>
      <c r="D361" s="238" t="str">
        <f t="shared" si="31"/>
        <v xml:space="preserve"> </v>
      </c>
      <c r="E361" s="237" t="str">
        <f>IF(A361="N/A"," ",IF(ISERROR(M361),E349*Inputs!$F$19,M361))</f>
        <v xml:space="preserve"> </v>
      </c>
      <c r="F361" s="238" t="str">
        <f t="shared" si="32"/>
        <v xml:space="preserve"> </v>
      </c>
      <c r="G361" s="237" t="str">
        <f>IF(A361="N/A"," ",IF(ISERROR(N361),G349*Inputs!$F$19,N361))</f>
        <v xml:space="preserve"> </v>
      </c>
      <c r="H361" s="238" t="str">
        <f t="shared" si="33"/>
        <v xml:space="preserve"> </v>
      </c>
      <c r="I361" s="238" t="str">
        <f>IF(A361="N/A"," ",IF(ISERROR(O361),I349*Inputs!$F$19,O361))</f>
        <v xml:space="preserve"> </v>
      </c>
      <c r="J361" s="331" t="str">
        <f>IF(A361="N/A"," ",IF(ISERROR(P361),J349*Inputs!$F$23,P361))</f>
        <v xml:space="preserve"> </v>
      </c>
      <c r="L361" s="349" t="str">
        <f>IF(A361="N/A"," ",VLOOKUP(A361,PeakPowerCurves,(IF('Pricing Inputs'!$AT$3=2,3,IF('Pricing Inputs'!$AT$3=1,2,4))),FALSE))</f>
        <v xml:space="preserve"> </v>
      </c>
      <c r="M361" s="349" t="str">
        <f>IF(A361="N/A"," ",VLOOKUP(A361,SatSunPeakPwr,(IF('Pricing Inputs'!$AT$3=2,3,IF('Pricing Inputs'!$AT$3=1,2,4))),FALSE))</f>
        <v xml:space="preserve"> </v>
      </c>
      <c r="N361" s="349" t="str">
        <f>IF(A361="N/A"," ",VLOOKUP(A361,SatSunPeakPwr,(IF('Pricing Inputs'!$AT$3=2,7,IF('Pricing Inputs'!$AT$3=1,6,8))),FALSE))</f>
        <v xml:space="preserve"> </v>
      </c>
      <c r="O361" s="350" t="str">
        <f>IF(A361="N/A"," ",(VLOOKUP(A361,OPPowerPrices,(IF('Pricing Inputs'!$AT$3=2,7,IF('Pricing Inputs'!$AT$3=1,6,8))),FALSE)))</f>
        <v xml:space="preserve"> </v>
      </c>
      <c r="P361" s="351" t="str">
        <f t="shared" si="34"/>
        <v xml:space="preserve"> </v>
      </c>
    </row>
    <row r="362" spans="1:16">
      <c r="A362" s="208" t="str">
        <f>Calculations!A329</f>
        <v>N/A</v>
      </c>
      <c r="B362" s="237" t="str">
        <f>IF(A362="N/A"," ",IF(ISERROR(L362),B350*Inputs!$F$19,L362))</f>
        <v xml:space="preserve"> </v>
      </c>
      <c r="C362" s="239" t="str">
        <f t="shared" si="30"/>
        <v xml:space="preserve"> </v>
      </c>
      <c r="D362" s="238" t="str">
        <f t="shared" si="31"/>
        <v xml:space="preserve"> </v>
      </c>
      <c r="E362" s="237" t="str">
        <f>IF(A362="N/A"," ",IF(ISERROR(M362),E350*Inputs!$F$19,M362))</f>
        <v xml:space="preserve"> </v>
      </c>
      <c r="F362" s="238" t="str">
        <f t="shared" si="32"/>
        <v xml:space="preserve"> </v>
      </c>
      <c r="G362" s="237" t="str">
        <f>IF(A362="N/A"," ",IF(ISERROR(N362),G350*Inputs!$F$19,N362))</f>
        <v xml:space="preserve"> </v>
      </c>
      <c r="H362" s="238" t="str">
        <f t="shared" si="33"/>
        <v xml:space="preserve"> </v>
      </c>
      <c r="I362" s="238" t="str">
        <f>IF(A362="N/A"," ",IF(ISERROR(O362),I350*Inputs!$F$19,O362))</f>
        <v xml:space="preserve"> </v>
      </c>
      <c r="J362" s="331" t="str">
        <f>IF(A362="N/A"," ",IF(ISERROR(P362),J350*Inputs!$F$23,P362))</f>
        <v xml:space="preserve"> </v>
      </c>
      <c r="L362" s="349" t="str">
        <f>IF(A362="N/A"," ",VLOOKUP(A362,PeakPowerCurves,(IF('Pricing Inputs'!$AT$3=2,3,IF('Pricing Inputs'!$AT$3=1,2,4))),FALSE))</f>
        <v xml:space="preserve"> </v>
      </c>
      <c r="M362" s="349" t="str">
        <f>IF(A362="N/A"," ",VLOOKUP(A362,SatSunPeakPwr,(IF('Pricing Inputs'!$AT$3=2,3,IF('Pricing Inputs'!$AT$3=1,2,4))),FALSE))</f>
        <v xml:space="preserve"> </v>
      </c>
      <c r="N362" s="349" t="str">
        <f>IF(A362="N/A"," ",VLOOKUP(A362,SatSunPeakPwr,(IF('Pricing Inputs'!$AT$3=2,7,IF('Pricing Inputs'!$AT$3=1,6,8))),FALSE))</f>
        <v xml:space="preserve"> </v>
      </c>
      <c r="O362" s="350" t="str">
        <f>IF(A362="N/A"," ",(VLOOKUP(A362,OPPowerPrices,(IF('Pricing Inputs'!$AT$3=2,7,IF('Pricing Inputs'!$AT$3=1,6,8))),FALSE)))</f>
        <v xml:space="preserve"> </v>
      </c>
      <c r="P362" s="351" t="str">
        <f t="shared" si="34"/>
        <v xml:space="preserve"> </v>
      </c>
    </row>
    <row r="363" spans="1:16">
      <c r="A363" s="208" t="str">
        <f>Calculations!A330</f>
        <v>N/A</v>
      </c>
      <c r="B363" s="237" t="str">
        <f>IF(A363="N/A"," ",IF(ISERROR(L363),B351*Inputs!$F$19,L363))</f>
        <v xml:space="preserve"> </v>
      </c>
      <c r="C363" s="239" t="str">
        <f t="shared" ref="C363:C420" si="35">IF(A363="N/A"," ",(IF(AND(MONTH(A363)&gt;=6,MONTH(A363)&lt;=8,OR($K$37="REGION 2",$K$37="REGION 2A",$K$37="REGION 2B",$K$37="REGION 3",$K$37="REGION 3A",$K$37="REGION 3B",$K$37="REGION 4",$K$37="REGION 4B",$K$37="REGION 4C",$K$37="REGION 5",$K$37="REGION 5A")),((0.059228/(B363/100))-(0.4980013/(SQRT(B363/100)))+2.137988),HLOOKUP(MONTH(A363),ScalarTable,28))))</f>
        <v xml:space="preserve"> </v>
      </c>
      <c r="D363" s="238" t="str">
        <f t="shared" si="31"/>
        <v xml:space="preserve"> </v>
      </c>
      <c r="E363" s="237" t="str">
        <f>IF(A363="N/A"," ",IF(ISERROR(M363),E351*Inputs!$F$19,M363))</f>
        <v xml:space="preserve"> </v>
      </c>
      <c r="F363" s="238" t="str">
        <f t="shared" si="32"/>
        <v xml:space="preserve"> </v>
      </c>
      <c r="G363" s="237" t="str">
        <f>IF(A363="N/A"," ",IF(ISERROR(N363),G351*Inputs!$F$19,N363))</f>
        <v xml:space="preserve"> </v>
      </c>
      <c r="H363" s="238" t="str">
        <f t="shared" si="33"/>
        <v xml:space="preserve"> </v>
      </c>
      <c r="I363" s="238" t="str">
        <f>IF(A363="N/A"," ",IF(ISERROR(O363),I351*Inputs!$F$19,O363))</f>
        <v xml:space="preserve"> </v>
      </c>
      <c r="J363" s="331" t="str">
        <f>IF(A363="N/A"," ",IF(ISERROR(P363),J351*Inputs!$F$23,P363))</f>
        <v xml:space="preserve"> </v>
      </c>
      <c r="L363" s="349" t="str">
        <f>IF(A363="N/A"," ",VLOOKUP(A363,PeakPowerCurves,(IF('Pricing Inputs'!$AT$3=2,3,IF('Pricing Inputs'!$AT$3=1,2,4))),FALSE))</f>
        <v xml:space="preserve"> </v>
      </c>
      <c r="M363" s="349" t="str">
        <f>IF(A363="N/A"," ",VLOOKUP(A363,SatSunPeakPwr,(IF('Pricing Inputs'!$AT$3=2,3,IF('Pricing Inputs'!$AT$3=1,2,4))),FALSE))</f>
        <v xml:space="preserve"> </v>
      </c>
      <c r="N363" s="349" t="str">
        <f>IF(A363="N/A"," ",VLOOKUP(A363,SatSunPeakPwr,(IF('Pricing Inputs'!$AT$3=2,7,IF('Pricing Inputs'!$AT$3=1,6,8))),FALSE))</f>
        <v xml:space="preserve"> </v>
      </c>
      <c r="O363" s="350" t="str">
        <f>IF(A363="N/A"," ",(VLOOKUP(A363,OPPowerPrices,(IF('Pricing Inputs'!$AT$3=2,7,IF('Pricing Inputs'!$AT$3=1,6,8))),FALSE)))</f>
        <v xml:space="preserve"> </v>
      </c>
      <c r="P363" s="351" t="str">
        <f t="shared" si="34"/>
        <v xml:space="preserve"> </v>
      </c>
    </row>
    <row r="364" spans="1:16">
      <c r="A364" s="208" t="str">
        <f>Calculations!A331</f>
        <v>N/A</v>
      </c>
      <c r="B364" s="237" t="str">
        <f>IF(A364="N/A"," ",IF(ISERROR(L364),B352*Inputs!$F$19,L364))</f>
        <v xml:space="preserve"> </v>
      </c>
      <c r="C364" s="239" t="str">
        <f t="shared" si="35"/>
        <v xml:space="preserve"> </v>
      </c>
      <c r="D364" s="238" t="str">
        <f t="shared" si="31"/>
        <v xml:space="preserve"> </v>
      </c>
      <c r="E364" s="237" t="str">
        <f>IF(A364="N/A"," ",IF(ISERROR(M364),E352*Inputs!$F$19,M364))</f>
        <v xml:space="preserve"> </v>
      </c>
      <c r="F364" s="238" t="str">
        <f t="shared" si="32"/>
        <v xml:space="preserve"> </v>
      </c>
      <c r="G364" s="237" t="str">
        <f>IF(A364="N/A"," ",IF(ISERROR(N364),G352*Inputs!$F$19,N364))</f>
        <v xml:space="preserve"> </v>
      </c>
      <c r="H364" s="238" t="str">
        <f t="shared" si="33"/>
        <v xml:space="preserve"> </v>
      </c>
      <c r="I364" s="238" t="str">
        <f>IF(A364="N/A"," ",IF(ISERROR(O364),I352*Inputs!$F$19,O364))</f>
        <v xml:space="preserve"> </v>
      </c>
      <c r="J364" s="331" t="str">
        <f>IF(A364="N/A"," ",IF(ISERROR(P364),J352*Inputs!$F$23,P364))</f>
        <v xml:space="preserve"> </v>
      </c>
      <c r="L364" s="349" t="str">
        <f>IF(A364="N/A"," ",VLOOKUP(A364,PeakPowerCurves,(IF('Pricing Inputs'!$AT$3=2,3,IF('Pricing Inputs'!$AT$3=1,2,4))),FALSE))</f>
        <v xml:space="preserve"> </v>
      </c>
      <c r="M364" s="349" t="str">
        <f>IF(A364="N/A"," ",VLOOKUP(A364,SatSunPeakPwr,(IF('Pricing Inputs'!$AT$3=2,3,IF('Pricing Inputs'!$AT$3=1,2,4))),FALSE))</f>
        <v xml:space="preserve"> </v>
      </c>
      <c r="N364" s="349" t="str">
        <f>IF(A364="N/A"," ",VLOOKUP(A364,SatSunPeakPwr,(IF('Pricing Inputs'!$AT$3=2,7,IF('Pricing Inputs'!$AT$3=1,6,8))),FALSE))</f>
        <v xml:space="preserve"> </v>
      </c>
      <c r="O364" s="350" t="str">
        <f>IF(A364="N/A"," ",(VLOOKUP(A364,OPPowerPrices,(IF('Pricing Inputs'!$AT$3=2,7,IF('Pricing Inputs'!$AT$3=1,6,8))),FALSE)))</f>
        <v xml:space="preserve"> </v>
      </c>
      <c r="P364" s="351" t="str">
        <f t="shared" si="34"/>
        <v xml:space="preserve"> </v>
      </c>
    </row>
    <row r="365" spans="1:16">
      <c r="A365" s="208" t="str">
        <f>Calculations!A332</f>
        <v>N/A</v>
      </c>
      <c r="B365" s="237" t="str">
        <f>IF(A365="N/A"," ",IF(ISERROR(L365),B353*Inputs!$F$19,L365))</f>
        <v xml:space="preserve"> </v>
      </c>
      <c r="C365" s="239" t="str">
        <f t="shared" si="35"/>
        <v xml:space="preserve"> </v>
      </c>
      <c r="D365" s="238" t="str">
        <f t="shared" si="31"/>
        <v xml:space="preserve"> </v>
      </c>
      <c r="E365" s="237" t="str">
        <f>IF(A365="N/A"," ",IF(ISERROR(M365),E353*Inputs!$F$19,M365))</f>
        <v xml:space="preserve"> </v>
      </c>
      <c r="F365" s="238" t="str">
        <f t="shared" si="32"/>
        <v xml:space="preserve"> </v>
      </c>
      <c r="G365" s="237" t="str">
        <f>IF(A365="N/A"," ",IF(ISERROR(N365),G353*Inputs!$F$19,N365))</f>
        <v xml:space="preserve"> </v>
      </c>
      <c r="H365" s="238" t="str">
        <f t="shared" si="33"/>
        <v xml:space="preserve"> </v>
      </c>
      <c r="I365" s="238" t="str">
        <f>IF(A365="N/A"," ",IF(ISERROR(O365),I353*Inputs!$F$19,O365))</f>
        <v xml:space="preserve"> </v>
      </c>
      <c r="J365" s="331" t="str">
        <f>IF(A365="N/A"," ",IF(ISERROR(P365),J353*Inputs!$F$23,P365))</f>
        <v xml:space="preserve"> </v>
      </c>
      <c r="L365" s="349" t="str">
        <f>IF(A365="N/A"," ",VLOOKUP(A365,PeakPowerCurves,(IF('Pricing Inputs'!$AT$3=2,3,IF('Pricing Inputs'!$AT$3=1,2,4))),FALSE))</f>
        <v xml:space="preserve"> </v>
      </c>
      <c r="M365" s="349" t="str">
        <f>IF(A365="N/A"," ",VLOOKUP(A365,SatSunPeakPwr,(IF('Pricing Inputs'!$AT$3=2,3,IF('Pricing Inputs'!$AT$3=1,2,4))),FALSE))</f>
        <v xml:space="preserve"> </v>
      </c>
      <c r="N365" s="349" t="str">
        <f>IF(A365="N/A"," ",VLOOKUP(A365,SatSunPeakPwr,(IF('Pricing Inputs'!$AT$3=2,7,IF('Pricing Inputs'!$AT$3=1,6,8))),FALSE))</f>
        <v xml:space="preserve"> </v>
      </c>
      <c r="O365" s="350" t="str">
        <f>IF(A365="N/A"," ",(VLOOKUP(A365,OPPowerPrices,(IF('Pricing Inputs'!$AT$3=2,7,IF('Pricing Inputs'!$AT$3=1,6,8))),FALSE)))</f>
        <v xml:space="preserve"> </v>
      </c>
      <c r="P365" s="351" t="str">
        <f t="shared" si="34"/>
        <v xml:space="preserve"> </v>
      </c>
    </row>
    <row r="366" spans="1:16">
      <c r="A366" s="208" t="str">
        <f>Calculations!A333</f>
        <v>N/A</v>
      </c>
      <c r="B366" s="237" t="str">
        <f>IF(A366="N/A"," ",IF(ISERROR(L366),B354*Inputs!$F$19,L366))</f>
        <v xml:space="preserve"> </v>
      </c>
      <c r="C366" s="239" t="str">
        <f t="shared" si="35"/>
        <v xml:space="preserve"> </v>
      </c>
      <c r="D366" s="238" t="str">
        <f t="shared" si="31"/>
        <v xml:space="preserve"> </v>
      </c>
      <c r="E366" s="237" t="str">
        <f>IF(A366="N/A"," ",IF(ISERROR(M366),E354*Inputs!$F$19,M366))</f>
        <v xml:space="preserve"> </v>
      </c>
      <c r="F366" s="238" t="str">
        <f t="shared" si="32"/>
        <v xml:space="preserve"> </v>
      </c>
      <c r="G366" s="237" t="str">
        <f>IF(A366="N/A"," ",IF(ISERROR(N366),G354*Inputs!$F$19,N366))</f>
        <v xml:space="preserve"> </v>
      </c>
      <c r="H366" s="238" t="str">
        <f t="shared" si="33"/>
        <v xml:space="preserve"> </v>
      </c>
      <c r="I366" s="238" t="str">
        <f>IF(A366="N/A"," ",IF(ISERROR(O366),I354*Inputs!$F$19,O366))</f>
        <v xml:space="preserve"> </v>
      </c>
      <c r="J366" s="331" t="str">
        <f>IF(A366="N/A"," ",IF(ISERROR(P366),J354*Inputs!$F$23,P366))</f>
        <v xml:space="preserve"> </v>
      </c>
      <c r="L366" s="349" t="str">
        <f>IF(A366="N/A"," ",VLOOKUP(A366,PeakPowerCurves,(IF('Pricing Inputs'!$AT$3=2,3,IF('Pricing Inputs'!$AT$3=1,2,4))),FALSE))</f>
        <v xml:space="preserve"> </v>
      </c>
      <c r="M366" s="349" t="str">
        <f>IF(A366="N/A"," ",VLOOKUP(A366,SatSunPeakPwr,(IF('Pricing Inputs'!$AT$3=2,3,IF('Pricing Inputs'!$AT$3=1,2,4))),FALSE))</f>
        <v xml:space="preserve"> </v>
      </c>
      <c r="N366" s="349" t="str">
        <f>IF(A366="N/A"," ",VLOOKUP(A366,SatSunPeakPwr,(IF('Pricing Inputs'!$AT$3=2,7,IF('Pricing Inputs'!$AT$3=1,6,8))),FALSE))</f>
        <v xml:space="preserve"> </v>
      </c>
      <c r="O366" s="350" t="str">
        <f>IF(A366="N/A"," ",(VLOOKUP(A366,OPPowerPrices,(IF('Pricing Inputs'!$AT$3=2,7,IF('Pricing Inputs'!$AT$3=1,6,8))),FALSE)))</f>
        <v xml:space="preserve"> </v>
      </c>
      <c r="P366" s="351" t="str">
        <f t="shared" si="34"/>
        <v xml:space="preserve"> </v>
      </c>
    </row>
    <row r="367" spans="1:16">
      <c r="A367" s="208" t="str">
        <f>Calculations!A334</f>
        <v>N/A</v>
      </c>
      <c r="B367" s="237" t="str">
        <f>IF(A367="N/A"," ",IF(ISERROR(L367),B355*Inputs!$F$19,L367))</f>
        <v xml:space="preserve"> </v>
      </c>
      <c r="C367" s="239" t="str">
        <f t="shared" si="35"/>
        <v xml:space="preserve"> </v>
      </c>
      <c r="D367" s="238" t="str">
        <f t="shared" si="31"/>
        <v xml:space="preserve"> </v>
      </c>
      <c r="E367" s="237" t="str">
        <f>IF(A367="N/A"," ",IF(ISERROR(M367),E355*Inputs!$F$19,M367))</f>
        <v xml:space="preserve"> </v>
      </c>
      <c r="F367" s="238" t="str">
        <f t="shared" si="32"/>
        <v xml:space="preserve"> </v>
      </c>
      <c r="G367" s="237" t="str">
        <f>IF(A367="N/A"," ",IF(ISERROR(N367),G355*Inputs!$F$19,N367))</f>
        <v xml:space="preserve"> </v>
      </c>
      <c r="H367" s="238" t="str">
        <f t="shared" si="33"/>
        <v xml:space="preserve"> </v>
      </c>
      <c r="I367" s="238" t="str">
        <f>IF(A367="N/A"," ",IF(ISERROR(O367),I355*Inputs!$F$19,O367))</f>
        <v xml:space="preserve"> </v>
      </c>
      <c r="J367" s="331" t="str">
        <f>IF(A367="N/A"," ",IF(ISERROR(P367),J355*Inputs!$F$23,P367))</f>
        <v xml:space="preserve"> </v>
      </c>
      <c r="L367" s="349" t="str">
        <f>IF(A367="N/A"," ",VLOOKUP(A367,PeakPowerCurves,(IF('Pricing Inputs'!$AT$3=2,3,IF('Pricing Inputs'!$AT$3=1,2,4))),FALSE))</f>
        <v xml:space="preserve"> </v>
      </c>
      <c r="M367" s="349" t="str">
        <f>IF(A367="N/A"," ",VLOOKUP(A367,SatSunPeakPwr,(IF('Pricing Inputs'!$AT$3=2,3,IF('Pricing Inputs'!$AT$3=1,2,4))),FALSE))</f>
        <v xml:space="preserve"> </v>
      </c>
      <c r="N367" s="349" t="str">
        <f>IF(A367="N/A"," ",VLOOKUP(A367,SatSunPeakPwr,(IF('Pricing Inputs'!$AT$3=2,7,IF('Pricing Inputs'!$AT$3=1,6,8))),FALSE))</f>
        <v xml:space="preserve"> </v>
      </c>
      <c r="O367" s="350" t="str">
        <f>IF(A367="N/A"," ",(VLOOKUP(A367,OPPowerPrices,(IF('Pricing Inputs'!$AT$3=2,7,IF('Pricing Inputs'!$AT$3=1,6,8))),FALSE)))</f>
        <v xml:space="preserve"> </v>
      </c>
      <c r="P367" s="351" t="str">
        <f t="shared" si="34"/>
        <v xml:space="preserve"> </v>
      </c>
    </row>
    <row r="368" spans="1:16">
      <c r="A368" s="208" t="str">
        <f>Calculations!A335</f>
        <v>N/A</v>
      </c>
      <c r="B368" s="237" t="str">
        <f>IF(A368="N/A"," ",IF(ISERROR(L368),B356*Inputs!$F$19,L368))</f>
        <v xml:space="preserve"> </v>
      </c>
      <c r="C368" s="239" t="str">
        <f t="shared" si="35"/>
        <v xml:space="preserve"> </v>
      </c>
      <c r="D368" s="238" t="str">
        <f t="shared" si="31"/>
        <v xml:space="preserve"> </v>
      </c>
      <c r="E368" s="237" t="str">
        <f>IF(A368="N/A"," ",IF(ISERROR(M368),E356*Inputs!$F$19,M368))</f>
        <v xml:space="preserve"> </v>
      </c>
      <c r="F368" s="238" t="str">
        <f t="shared" si="32"/>
        <v xml:space="preserve"> </v>
      </c>
      <c r="G368" s="237" t="str">
        <f>IF(A368="N/A"," ",IF(ISERROR(N368),G356*Inputs!$F$19,N368))</f>
        <v xml:space="preserve"> </v>
      </c>
      <c r="H368" s="238" t="str">
        <f t="shared" si="33"/>
        <v xml:space="preserve"> </v>
      </c>
      <c r="I368" s="238" t="str">
        <f>IF(A368="N/A"," ",IF(ISERROR(O368),I356*Inputs!$F$19,O368))</f>
        <v xml:space="preserve"> </v>
      </c>
      <c r="J368" s="331" t="str">
        <f>IF(A368="N/A"," ",IF(ISERROR(P368),J356*Inputs!$F$23,P368))</f>
        <v xml:space="preserve"> </v>
      </c>
      <c r="L368" s="349" t="str">
        <f>IF(A368="N/A"," ",VLOOKUP(A368,PeakPowerCurves,(IF('Pricing Inputs'!$AT$3=2,3,IF('Pricing Inputs'!$AT$3=1,2,4))),FALSE))</f>
        <v xml:space="preserve"> </v>
      </c>
      <c r="M368" s="349" t="str">
        <f>IF(A368="N/A"," ",VLOOKUP(A368,SatSunPeakPwr,(IF('Pricing Inputs'!$AT$3=2,3,IF('Pricing Inputs'!$AT$3=1,2,4))),FALSE))</f>
        <v xml:space="preserve"> </v>
      </c>
      <c r="N368" s="349" t="str">
        <f>IF(A368="N/A"," ",VLOOKUP(A368,SatSunPeakPwr,(IF('Pricing Inputs'!$AT$3=2,7,IF('Pricing Inputs'!$AT$3=1,6,8))),FALSE))</f>
        <v xml:space="preserve"> </v>
      </c>
      <c r="O368" s="350" t="str">
        <f>IF(A368="N/A"," ",(VLOOKUP(A368,OPPowerPrices,(IF('Pricing Inputs'!$AT$3=2,7,IF('Pricing Inputs'!$AT$3=1,6,8))),FALSE)))</f>
        <v xml:space="preserve"> </v>
      </c>
      <c r="P368" s="351" t="str">
        <f t="shared" si="34"/>
        <v xml:space="preserve"> </v>
      </c>
    </row>
    <row r="369" spans="1:16">
      <c r="A369" s="208" t="str">
        <f>Calculations!A336</f>
        <v>N/A</v>
      </c>
      <c r="B369" s="237" t="str">
        <f>IF(A369="N/A"," ",IF(ISERROR(L369),B357*Inputs!$F$19,L369))</f>
        <v xml:space="preserve"> </v>
      </c>
      <c r="C369" s="239" t="str">
        <f t="shared" si="35"/>
        <v xml:space="preserve"> </v>
      </c>
      <c r="D369" s="238" t="str">
        <f t="shared" si="31"/>
        <v xml:space="preserve"> </v>
      </c>
      <c r="E369" s="237" t="str">
        <f>IF(A369="N/A"," ",IF(ISERROR(M369),E357*Inputs!$F$19,M369))</f>
        <v xml:space="preserve"> </v>
      </c>
      <c r="F369" s="238" t="str">
        <f t="shared" si="32"/>
        <v xml:space="preserve"> </v>
      </c>
      <c r="G369" s="237" t="str">
        <f>IF(A369="N/A"," ",IF(ISERROR(N369),G357*Inputs!$F$19,N369))</f>
        <v xml:space="preserve"> </v>
      </c>
      <c r="H369" s="238" t="str">
        <f t="shared" si="33"/>
        <v xml:space="preserve"> </v>
      </c>
      <c r="I369" s="238" t="str">
        <f>IF(A369="N/A"," ",IF(ISERROR(O369),I357*Inputs!$F$19,O369))</f>
        <v xml:space="preserve"> </v>
      </c>
      <c r="J369" s="331" t="str">
        <f>IF(A369="N/A"," ",IF(ISERROR(P369),J357*Inputs!$F$23,P369))</f>
        <v xml:space="preserve"> </v>
      </c>
      <c r="L369" s="349" t="str">
        <f>IF(A369="N/A"," ",VLOOKUP(A369,PeakPowerCurves,(IF('Pricing Inputs'!$AT$3=2,3,IF('Pricing Inputs'!$AT$3=1,2,4))),FALSE))</f>
        <v xml:space="preserve"> </v>
      </c>
      <c r="M369" s="349" t="str">
        <f>IF(A369="N/A"," ",VLOOKUP(A369,SatSunPeakPwr,(IF('Pricing Inputs'!$AT$3=2,3,IF('Pricing Inputs'!$AT$3=1,2,4))),FALSE))</f>
        <v xml:space="preserve"> </v>
      </c>
      <c r="N369" s="349" t="str">
        <f>IF(A369="N/A"," ",VLOOKUP(A369,SatSunPeakPwr,(IF('Pricing Inputs'!$AT$3=2,7,IF('Pricing Inputs'!$AT$3=1,6,8))),FALSE))</f>
        <v xml:space="preserve"> </v>
      </c>
      <c r="O369" s="350" t="str">
        <f>IF(A369="N/A"," ",(VLOOKUP(A369,OPPowerPrices,(IF('Pricing Inputs'!$AT$3=2,7,IF('Pricing Inputs'!$AT$3=1,6,8))),FALSE)))</f>
        <v xml:space="preserve"> </v>
      </c>
      <c r="P369" s="351" t="str">
        <f t="shared" si="34"/>
        <v xml:space="preserve"> </v>
      </c>
    </row>
    <row r="370" spans="1:16">
      <c r="A370" s="208" t="str">
        <f>Calculations!A337</f>
        <v>N/A</v>
      </c>
      <c r="B370" s="237" t="str">
        <f>IF(A370="N/A"," ",IF(ISERROR(L370),B358*Inputs!$F$19,L370))</f>
        <v xml:space="preserve"> </v>
      </c>
      <c r="C370" s="239" t="str">
        <f t="shared" si="35"/>
        <v xml:space="preserve"> </v>
      </c>
      <c r="D370" s="238" t="str">
        <f t="shared" si="31"/>
        <v xml:space="preserve"> </v>
      </c>
      <c r="E370" s="237" t="str">
        <f>IF(A370="N/A"," ",IF(ISERROR(M370),E358*Inputs!$F$19,M370))</f>
        <v xml:space="preserve"> </v>
      </c>
      <c r="F370" s="238" t="str">
        <f t="shared" si="32"/>
        <v xml:space="preserve"> </v>
      </c>
      <c r="G370" s="237" t="str">
        <f>IF(A370="N/A"," ",IF(ISERROR(N370),G358*Inputs!$F$19,N370))</f>
        <v xml:space="preserve"> </v>
      </c>
      <c r="H370" s="238" t="str">
        <f t="shared" si="33"/>
        <v xml:space="preserve"> </v>
      </c>
      <c r="I370" s="238" t="str">
        <f>IF(A370="N/A"," ",IF(ISERROR(O370),I358*Inputs!$F$19,O370))</f>
        <v xml:space="preserve"> </v>
      </c>
      <c r="J370" s="331" t="str">
        <f>IF(A370="N/A"," ",IF(ISERROR(P370),J358*Inputs!$F$23,P370))</f>
        <v xml:space="preserve"> </v>
      </c>
      <c r="L370" s="349" t="str">
        <f>IF(A370="N/A"," ",VLOOKUP(A370,PeakPowerCurves,(IF('Pricing Inputs'!$AT$3=2,3,IF('Pricing Inputs'!$AT$3=1,2,4))),FALSE))</f>
        <v xml:space="preserve"> </v>
      </c>
      <c r="M370" s="349" t="str">
        <f>IF(A370="N/A"," ",VLOOKUP(A370,SatSunPeakPwr,(IF('Pricing Inputs'!$AT$3=2,3,IF('Pricing Inputs'!$AT$3=1,2,4))),FALSE))</f>
        <v xml:space="preserve"> </v>
      </c>
      <c r="N370" s="349" t="str">
        <f>IF(A370="N/A"," ",VLOOKUP(A370,SatSunPeakPwr,(IF('Pricing Inputs'!$AT$3=2,7,IF('Pricing Inputs'!$AT$3=1,6,8))),FALSE))</f>
        <v xml:space="preserve"> </v>
      </c>
      <c r="O370" s="350" t="str">
        <f>IF(A370="N/A"," ",(VLOOKUP(A370,OPPowerPrices,(IF('Pricing Inputs'!$AT$3=2,7,IF('Pricing Inputs'!$AT$3=1,6,8))),FALSE)))</f>
        <v xml:space="preserve"> </v>
      </c>
      <c r="P370" s="351" t="str">
        <f t="shared" si="34"/>
        <v xml:space="preserve"> </v>
      </c>
    </row>
    <row r="371" spans="1:16">
      <c r="A371" s="208" t="str">
        <f>Calculations!A338</f>
        <v>N/A</v>
      </c>
      <c r="B371" s="237" t="str">
        <f>IF(A371="N/A"," ",IF(ISERROR(L371),B359*Inputs!$F$19,L371))</f>
        <v xml:space="preserve"> </v>
      </c>
      <c r="C371" s="239" t="str">
        <f t="shared" si="35"/>
        <v xml:space="preserve"> </v>
      </c>
      <c r="D371" s="238" t="str">
        <f t="shared" si="31"/>
        <v xml:space="preserve"> </v>
      </c>
      <c r="E371" s="237" t="str">
        <f>IF(A371="N/A"," ",IF(ISERROR(M371),E359*Inputs!$F$19,M371))</f>
        <v xml:space="preserve"> </v>
      </c>
      <c r="F371" s="238" t="str">
        <f t="shared" si="32"/>
        <v xml:space="preserve"> </v>
      </c>
      <c r="G371" s="237" t="str">
        <f>IF(A371="N/A"," ",IF(ISERROR(N371),G359*Inputs!$F$19,N371))</f>
        <v xml:space="preserve"> </v>
      </c>
      <c r="H371" s="238" t="str">
        <f t="shared" si="33"/>
        <v xml:space="preserve"> </v>
      </c>
      <c r="I371" s="238" t="str">
        <f>IF(A371="N/A"," ",IF(ISERROR(O371),I359*Inputs!$F$19,O371))</f>
        <v xml:space="preserve"> </v>
      </c>
      <c r="J371" s="331" t="str">
        <f>IF(A371="N/A"," ",IF(ISERROR(P371),J359*Inputs!$F$23,P371))</f>
        <v xml:space="preserve"> </v>
      </c>
      <c r="L371" s="349" t="str">
        <f>IF(A371="N/A"," ",VLOOKUP(A371,PeakPowerCurves,(IF('Pricing Inputs'!$AT$3=2,3,IF('Pricing Inputs'!$AT$3=1,2,4))),FALSE))</f>
        <v xml:space="preserve"> </v>
      </c>
      <c r="M371" s="349" t="str">
        <f>IF(A371="N/A"," ",VLOOKUP(A371,SatSunPeakPwr,(IF('Pricing Inputs'!$AT$3=2,3,IF('Pricing Inputs'!$AT$3=1,2,4))),FALSE))</f>
        <v xml:space="preserve"> </v>
      </c>
      <c r="N371" s="349" t="str">
        <f>IF(A371="N/A"," ",VLOOKUP(A371,SatSunPeakPwr,(IF('Pricing Inputs'!$AT$3=2,7,IF('Pricing Inputs'!$AT$3=1,6,8))),FALSE))</f>
        <v xml:space="preserve"> </v>
      </c>
      <c r="O371" s="350" t="str">
        <f>IF(A371="N/A"," ",(VLOOKUP(A371,OPPowerPrices,(IF('Pricing Inputs'!$AT$3=2,7,IF('Pricing Inputs'!$AT$3=1,6,8))),FALSE)))</f>
        <v xml:space="preserve"> </v>
      </c>
      <c r="P371" s="351" t="str">
        <f t="shared" si="34"/>
        <v xml:space="preserve"> </v>
      </c>
    </row>
    <row r="372" spans="1:16">
      <c r="A372" s="208" t="str">
        <f>Calculations!A339</f>
        <v>N/A</v>
      </c>
      <c r="B372" s="237" t="str">
        <f>IF(A372="N/A"," ",IF(ISERROR(L372),B360*Inputs!$F$19,L372))</f>
        <v xml:space="preserve"> </v>
      </c>
      <c r="C372" s="239" t="str">
        <f t="shared" si="35"/>
        <v xml:space="preserve"> </v>
      </c>
      <c r="D372" s="238" t="str">
        <f t="shared" si="31"/>
        <v xml:space="preserve"> </v>
      </c>
      <c r="E372" s="237" t="str">
        <f>IF(A372="N/A"," ",IF(ISERROR(M372),E360*Inputs!$F$19,M372))</f>
        <v xml:space="preserve"> </v>
      </c>
      <c r="F372" s="238" t="str">
        <f t="shared" si="32"/>
        <v xml:space="preserve"> </v>
      </c>
      <c r="G372" s="237" t="str">
        <f>IF(A372="N/A"," ",IF(ISERROR(N372),G360*Inputs!$F$19,N372))</f>
        <v xml:space="preserve"> </v>
      </c>
      <c r="H372" s="238" t="str">
        <f t="shared" si="33"/>
        <v xml:space="preserve"> </v>
      </c>
      <c r="I372" s="238" t="str">
        <f>IF(A372="N/A"," ",IF(ISERROR(O372),I360*Inputs!$F$19,O372))</f>
        <v xml:space="preserve"> </v>
      </c>
      <c r="J372" s="331" t="str">
        <f>IF(A372="N/A"," ",IF(ISERROR(P372),J360*Inputs!$F$23,P372))</f>
        <v xml:space="preserve"> </v>
      </c>
      <c r="L372" s="349" t="str">
        <f>IF(A372="N/A"," ",VLOOKUP(A372,PeakPowerCurves,(IF('Pricing Inputs'!$AT$3=2,3,IF('Pricing Inputs'!$AT$3=1,2,4))),FALSE))</f>
        <v xml:space="preserve"> </v>
      </c>
      <c r="M372" s="349" t="str">
        <f>IF(A372="N/A"," ",VLOOKUP(A372,SatSunPeakPwr,(IF('Pricing Inputs'!$AT$3=2,3,IF('Pricing Inputs'!$AT$3=1,2,4))),FALSE))</f>
        <v xml:space="preserve"> </v>
      </c>
      <c r="N372" s="349" t="str">
        <f>IF(A372="N/A"," ",VLOOKUP(A372,SatSunPeakPwr,(IF('Pricing Inputs'!$AT$3=2,7,IF('Pricing Inputs'!$AT$3=1,6,8))),FALSE))</f>
        <v xml:space="preserve"> </v>
      </c>
      <c r="O372" s="350" t="str">
        <f>IF(A372="N/A"," ",(VLOOKUP(A372,OPPowerPrices,(IF('Pricing Inputs'!$AT$3=2,7,IF('Pricing Inputs'!$AT$3=1,6,8))),FALSE)))</f>
        <v xml:space="preserve"> </v>
      </c>
      <c r="P372" s="351" t="str">
        <f t="shared" si="34"/>
        <v xml:space="preserve"> </v>
      </c>
    </row>
    <row r="373" spans="1:16">
      <c r="A373" s="208" t="str">
        <f>Calculations!A340</f>
        <v>N/A</v>
      </c>
      <c r="B373" s="237" t="str">
        <f>IF(A373="N/A"," ",IF(ISERROR(L373),B361*Inputs!$F$19,L373))</f>
        <v xml:space="preserve"> </v>
      </c>
      <c r="C373" s="239" t="str">
        <f t="shared" si="35"/>
        <v xml:space="preserve"> </v>
      </c>
      <c r="D373" s="238" t="str">
        <f t="shared" si="31"/>
        <v xml:space="preserve"> </v>
      </c>
      <c r="E373" s="237" t="str">
        <f>IF(A373="N/A"," ",IF(ISERROR(M373),E361*Inputs!$F$19,M373))</f>
        <v xml:space="preserve"> </v>
      </c>
      <c r="F373" s="238" t="str">
        <f t="shared" si="32"/>
        <v xml:space="preserve"> </v>
      </c>
      <c r="G373" s="237" t="str">
        <f>IF(A373="N/A"," ",IF(ISERROR(N373),G361*Inputs!$F$19,N373))</f>
        <v xml:space="preserve"> </v>
      </c>
      <c r="H373" s="238" t="str">
        <f t="shared" si="33"/>
        <v xml:space="preserve"> </v>
      </c>
      <c r="I373" s="238" t="str">
        <f>IF(A373="N/A"," ",IF(ISERROR(O373),I361*Inputs!$F$19,O373))</f>
        <v xml:space="preserve"> </v>
      </c>
      <c r="J373" s="331" t="str">
        <f>IF(A373="N/A"," ",IF(ISERROR(P373),J361*Inputs!$F$23,P373))</f>
        <v xml:space="preserve"> </v>
      </c>
      <c r="L373" s="349" t="str">
        <f>IF(A373="N/A"," ",VLOOKUP(A373,PeakPowerCurves,(IF('Pricing Inputs'!$AT$3=2,3,IF('Pricing Inputs'!$AT$3=1,2,4))),FALSE))</f>
        <v xml:space="preserve"> </v>
      </c>
      <c r="M373" s="349" t="str">
        <f>IF(A373="N/A"," ",VLOOKUP(A373,SatSunPeakPwr,(IF('Pricing Inputs'!$AT$3=2,3,IF('Pricing Inputs'!$AT$3=1,2,4))),FALSE))</f>
        <v xml:space="preserve"> </v>
      </c>
      <c r="N373" s="349" t="str">
        <f>IF(A373="N/A"," ",VLOOKUP(A373,SatSunPeakPwr,(IF('Pricing Inputs'!$AT$3=2,7,IF('Pricing Inputs'!$AT$3=1,6,8))),FALSE))</f>
        <v xml:space="preserve"> </v>
      </c>
      <c r="O373" s="350" t="str">
        <f>IF(A373="N/A"," ",(VLOOKUP(A373,OPPowerPrices,(IF('Pricing Inputs'!$AT$3=2,7,IF('Pricing Inputs'!$AT$3=1,6,8))),FALSE)))</f>
        <v xml:space="preserve"> </v>
      </c>
      <c r="P373" s="351" t="str">
        <f t="shared" si="34"/>
        <v xml:space="preserve"> </v>
      </c>
    </row>
    <row r="374" spans="1:16">
      <c r="A374" s="208" t="str">
        <f>Calculations!A341</f>
        <v>N/A</v>
      </c>
      <c r="B374" s="237" t="str">
        <f>IF(A374="N/A"," ",IF(ISERROR(L374),B362*Inputs!$F$19,L374))</f>
        <v xml:space="preserve"> </v>
      </c>
      <c r="C374" s="239" t="str">
        <f t="shared" si="35"/>
        <v xml:space="preserve"> </v>
      </c>
      <c r="D374" s="238" t="str">
        <f t="shared" si="31"/>
        <v xml:space="preserve"> </v>
      </c>
      <c r="E374" s="237" t="str">
        <f>IF(A374="N/A"," ",IF(ISERROR(M374),E362*Inputs!$F$19,M374))</f>
        <v xml:space="preserve"> </v>
      </c>
      <c r="F374" s="238" t="str">
        <f t="shared" si="32"/>
        <v xml:space="preserve"> </v>
      </c>
      <c r="G374" s="237" t="str">
        <f>IF(A374="N/A"," ",IF(ISERROR(N374),G362*Inputs!$F$19,N374))</f>
        <v xml:space="preserve"> </v>
      </c>
      <c r="H374" s="238" t="str">
        <f t="shared" si="33"/>
        <v xml:space="preserve"> </v>
      </c>
      <c r="I374" s="238" t="str">
        <f>IF(A374="N/A"," ",IF(ISERROR(O374),I362*Inputs!$F$19,O374))</f>
        <v xml:space="preserve"> </v>
      </c>
      <c r="J374" s="331" t="str">
        <f>IF(A374="N/A"," ",IF(ISERROR(P374),J362*Inputs!$F$23,P374))</f>
        <v xml:space="preserve"> </v>
      </c>
      <c r="L374" s="349" t="str">
        <f>IF(A374="N/A"," ",VLOOKUP(A374,PeakPowerCurves,(IF('Pricing Inputs'!$AT$3=2,3,IF('Pricing Inputs'!$AT$3=1,2,4))),FALSE))</f>
        <v xml:space="preserve"> </v>
      </c>
      <c r="M374" s="349" t="str">
        <f>IF(A374="N/A"," ",VLOOKUP(A374,SatSunPeakPwr,(IF('Pricing Inputs'!$AT$3=2,3,IF('Pricing Inputs'!$AT$3=1,2,4))),FALSE))</f>
        <v xml:space="preserve"> </v>
      </c>
      <c r="N374" s="349" t="str">
        <f>IF(A374="N/A"," ",VLOOKUP(A374,SatSunPeakPwr,(IF('Pricing Inputs'!$AT$3=2,7,IF('Pricing Inputs'!$AT$3=1,6,8))),FALSE))</f>
        <v xml:space="preserve"> </v>
      </c>
      <c r="O374" s="350" t="str">
        <f>IF(A374="N/A"," ",(VLOOKUP(A374,OPPowerPrices,(IF('Pricing Inputs'!$AT$3=2,7,IF('Pricing Inputs'!$AT$3=1,6,8))),FALSE)))</f>
        <v xml:space="preserve"> </v>
      </c>
      <c r="P374" s="351" t="str">
        <f t="shared" si="34"/>
        <v xml:space="preserve"> </v>
      </c>
    </row>
    <row r="375" spans="1:16">
      <c r="A375" s="208" t="str">
        <f>Calculations!A342</f>
        <v>N/A</v>
      </c>
      <c r="B375" s="237" t="str">
        <f>IF(A375="N/A"," ",IF(ISERROR(L375),B363*Inputs!$F$19,L375))</f>
        <v xml:space="preserve"> </v>
      </c>
      <c r="C375" s="239" t="str">
        <f t="shared" si="35"/>
        <v xml:space="preserve"> </v>
      </c>
      <c r="D375" s="238" t="str">
        <f t="shared" si="31"/>
        <v xml:space="preserve"> </v>
      </c>
      <c r="E375" s="237" t="str">
        <f>IF(A375="N/A"," ",IF(ISERROR(M375),E363*Inputs!$F$19,M375))</f>
        <v xml:space="preserve"> </v>
      </c>
      <c r="F375" s="238" t="str">
        <f t="shared" si="32"/>
        <v xml:space="preserve"> </v>
      </c>
      <c r="G375" s="237" t="str">
        <f>IF(A375="N/A"," ",IF(ISERROR(N375),G363*Inputs!$F$19,N375))</f>
        <v xml:space="preserve"> </v>
      </c>
      <c r="H375" s="238" t="str">
        <f t="shared" si="33"/>
        <v xml:space="preserve"> </v>
      </c>
      <c r="I375" s="238" t="str">
        <f>IF(A375="N/A"," ",IF(ISERROR(O375),I363*Inputs!$F$19,O375))</f>
        <v xml:space="preserve"> </v>
      </c>
      <c r="J375" s="331" t="str">
        <f>IF(A375="N/A"," ",IF(ISERROR(P375),J363*Inputs!$F$23,P375))</f>
        <v xml:space="preserve"> </v>
      </c>
      <c r="L375" s="349" t="str">
        <f>IF(A375="N/A"," ",VLOOKUP(A375,PeakPowerCurves,(IF('Pricing Inputs'!$AT$3=2,3,IF('Pricing Inputs'!$AT$3=1,2,4))),FALSE))</f>
        <v xml:space="preserve"> </v>
      </c>
      <c r="M375" s="349" t="str">
        <f>IF(A375="N/A"," ",VLOOKUP(A375,SatSunPeakPwr,(IF('Pricing Inputs'!$AT$3=2,3,IF('Pricing Inputs'!$AT$3=1,2,4))),FALSE))</f>
        <v xml:space="preserve"> </v>
      </c>
      <c r="N375" s="349" t="str">
        <f>IF(A375="N/A"," ",VLOOKUP(A375,SatSunPeakPwr,(IF('Pricing Inputs'!$AT$3=2,7,IF('Pricing Inputs'!$AT$3=1,6,8))),FALSE))</f>
        <v xml:space="preserve"> </v>
      </c>
      <c r="O375" s="350" t="str">
        <f>IF(A375="N/A"," ",(VLOOKUP(A375,OPPowerPrices,(IF('Pricing Inputs'!$AT$3=2,7,IF('Pricing Inputs'!$AT$3=1,6,8))),FALSE)))</f>
        <v xml:space="preserve"> </v>
      </c>
      <c r="P375" s="351" t="str">
        <f t="shared" si="34"/>
        <v xml:space="preserve"> </v>
      </c>
    </row>
    <row r="376" spans="1:16">
      <c r="A376" s="208" t="str">
        <f>Calculations!A343</f>
        <v>N/A</v>
      </c>
      <c r="B376" s="237" t="str">
        <f>IF(A376="N/A"," ",IF(ISERROR(L376),B364*Inputs!$F$19,L376))</f>
        <v xml:space="preserve"> </v>
      </c>
      <c r="C376" s="239" t="str">
        <f t="shared" si="35"/>
        <v xml:space="preserve"> </v>
      </c>
      <c r="D376" s="238" t="str">
        <f t="shared" si="31"/>
        <v xml:space="preserve"> </v>
      </c>
      <c r="E376" s="237" t="str">
        <f>IF(A376="N/A"," ",IF(ISERROR(M376),E364*Inputs!$F$19,M376))</f>
        <v xml:space="preserve"> </v>
      </c>
      <c r="F376" s="238" t="str">
        <f t="shared" si="32"/>
        <v xml:space="preserve"> </v>
      </c>
      <c r="G376" s="237" t="str">
        <f>IF(A376="N/A"," ",IF(ISERROR(N376),G364*Inputs!$F$19,N376))</f>
        <v xml:space="preserve"> </v>
      </c>
      <c r="H376" s="238" t="str">
        <f t="shared" si="33"/>
        <v xml:space="preserve"> </v>
      </c>
      <c r="I376" s="238" t="str">
        <f>IF(A376="N/A"," ",IF(ISERROR(O376),I364*Inputs!$F$19,O376))</f>
        <v xml:space="preserve"> </v>
      </c>
      <c r="J376" s="331" t="str">
        <f>IF(A376="N/A"," ",IF(ISERROR(P376),J364*Inputs!$F$23,P376))</f>
        <v xml:space="preserve"> </v>
      </c>
      <c r="L376" s="349" t="str">
        <f>IF(A376="N/A"," ",VLOOKUP(A376,PeakPowerCurves,(IF('Pricing Inputs'!$AT$3=2,3,IF('Pricing Inputs'!$AT$3=1,2,4))),FALSE))</f>
        <v xml:space="preserve"> </v>
      </c>
      <c r="M376" s="349" t="str">
        <f>IF(A376="N/A"," ",VLOOKUP(A376,SatSunPeakPwr,(IF('Pricing Inputs'!$AT$3=2,3,IF('Pricing Inputs'!$AT$3=1,2,4))),FALSE))</f>
        <v xml:space="preserve"> </v>
      </c>
      <c r="N376" s="349" t="str">
        <f>IF(A376="N/A"," ",VLOOKUP(A376,SatSunPeakPwr,(IF('Pricing Inputs'!$AT$3=2,7,IF('Pricing Inputs'!$AT$3=1,6,8))),FALSE))</f>
        <v xml:space="preserve"> </v>
      </c>
      <c r="O376" s="350" t="str">
        <f>IF(A376="N/A"," ",(VLOOKUP(A376,OPPowerPrices,(IF('Pricing Inputs'!$AT$3=2,7,IF('Pricing Inputs'!$AT$3=1,6,8))),FALSE)))</f>
        <v xml:space="preserve"> </v>
      </c>
      <c r="P376" s="351" t="str">
        <f t="shared" si="34"/>
        <v xml:space="preserve"> </v>
      </c>
    </row>
    <row r="377" spans="1:16">
      <c r="A377" s="208" t="str">
        <f>Calculations!A344</f>
        <v>N/A</v>
      </c>
      <c r="B377" s="237" t="str">
        <f>IF(A377="N/A"," ",IF(ISERROR(L377),B365*Inputs!$F$19,L377))</f>
        <v xml:space="preserve"> </v>
      </c>
      <c r="C377" s="239" t="str">
        <f t="shared" si="35"/>
        <v xml:space="preserve"> </v>
      </c>
      <c r="D377" s="238" t="str">
        <f t="shared" si="31"/>
        <v xml:space="preserve"> </v>
      </c>
      <c r="E377" s="237" t="str">
        <f>IF(A377="N/A"," ",IF(ISERROR(M377),E365*Inputs!$F$19,M377))</f>
        <v xml:space="preserve"> </v>
      </c>
      <c r="F377" s="238" t="str">
        <f t="shared" si="32"/>
        <v xml:space="preserve"> </v>
      </c>
      <c r="G377" s="237" t="str">
        <f>IF(A377="N/A"," ",IF(ISERROR(N377),G365*Inputs!$F$19,N377))</f>
        <v xml:space="preserve"> </v>
      </c>
      <c r="H377" s="238" t="str">
        <f t="shared" si="33"/>
        <v xml:space="preserve"> </v>
      </c>
      <c r="I377" s="238" t="str">
        <f>IF(A377="N/A"," ",IF(ISERROR(O377),I365*Inputs!$F$19,O377))</f>
        <v xml:space="preserve"> </v>
      </c>
      <c r="J377" s="331" t="str">
        <f>IF(A377="N/A"," ",IF(ISERROR(P377),J365*Inputs!$F$23,P377))</f>
        <v xml:space="preserve"> </v>
      </c>
      <c r="L377" s="349" t="str">
        <f>IF(A377="N/A"," ",VLOOKUP(A377,PeakPowerCurves,(IF('Pricing Inputs'!$AT$3=2,3,IF('Pricing Inputs'!$AT$3=1,2,4))),FALSE))</f>
        <v xml:space="preserve"> </v>
      </c>
      <c r="M377" s="349" t="str">
        <f>IF(A377="N/A"," ",VLOOKUP(A377,SatSunPeakPwr,(IF('Pricing Inputs'!$AT$3=2,3,IF('Pricing Inputs'!$AT$3=1,2,4))),FALSE))</f>
        <v xml:space="preserve"> </v>
      </c>
      <c r="N377" s="349" t="str">
        <f>IF(A377="N/A"," ",VLOOKUP(A377,SatSunPeakPwr,(IF('Pricing Inputs'!$AT$3=2,7,IF('Pricing Inputs'!$AT$3=1,6,8))),FALSE))</f>
        <v xml:space="preserve"> </v>
      </c>
      <c r="O377" s="350" t="str">
        <f>IF(A377="N/A"," ",(VLOOKUP(A377,OPPowerPrices,(IF('Pricing Inputs'!$AT$3=2,7,IF('Pricing Inputs'!$AT$3=1,6,8))),FALSE)))</f>
        <v xml:space="preserve"> </v>
      </c>
      <c r="P377" s="351" t="str">
        <f t="shared" si="34"/>
        <v xml:space="preserve"> </v>
      </c>
    </row>
    <row r="378" spans="1:16">
      <c r="A378" s="208" t="str">
        <f>Calculations!A345</f>
        <v>N/A</v>
      </c>
      <c r="B378" s="237" t="str">
        <f>IF(A378="N/A"," ",IF(ISERROR(L378),B366*Inputs!$F$19,L378))</f>
        <v xml:space="preserve"> </v>
      </c>
      <c r="C378" s="239" t="str">
        <f t="shared" si="35"/>
        <v xml:space="preserve"> </v>
      </c>
      <c r="D378" s="238" t="str">
        <f t="shared" si="31"/>
        <v xml:space="preserve"> </v>
      </c>
      <c r="E378" s="237" t="str">
        <f>IF(A378="N/A"," ",IF(ISERROR(M378),E366*Inputs!$F$19,M378))</f>
        <v xml:space="preserve"> </v>
      </c>
      <c r="F378" s="238" t="str">
        <f t="shared" si="32"/>
        <v xml:space="preserve"> </v>
      </c>
      <c r="G378" s="237" t="str">
        <f>IF(A378="N/A"," ",IF(ISERROR(N378),G366*Inputs!$F$19,N378))</f>
        <v xml:space="preserve"> </v>
      </c>
      <c r="H378" s="238" t="str">
        <f t="shared" si="33"/>
        <v xml:space="preserve"> </v>
      </c>
      <c r="I378" s="238" t="str">
        <f>IF(A378="N/A"," ",IF(ISERROR(O378),I366*Inputs!$F$19,O378))</f>
        <v xml:space="preserve"> </v>
      </c>
      <c r="J378" s="331" t="str">
        <f>IF(A378="N/A"," ",IF(ISERROR(P378),J366*Inputs!$F$23,P378))</f>
        <v xml:space="preserve"> </v>
      </c>
      <c r="L378" s="349" t="str">
        <f>IF(A378="N/A"," ",VLOOKUP(A378,PeakPowerCurves,(IF('Pricing Inputs'!$AT$3=2,3,IF('Pricing Inputs'!$AT$3=1,2,4))),FALSE))</f>
        <v xml:space="preserve"> </v>
      </c>
      <c r="M378" s="349" t="str">
        <f>IF(A378="N/A"," ",VLOOKUP(A378,SatSunPeakPwr,(IF('Pricing Inputs'!$AT$3=2,3,IF('Pricing Inputs'!$AT$3=1,2,4))),FALSE))</f>
        <v xml:space="preserve"> </v>
      </c>
      <c r="N378" s="349" t="str">
        <f>IF(A378="N/A"," ",VLOOKUP(A378,SatSunPeakPwr,(IF('Pricing Inputs'!$AT$3=2,7,IF('Pricing Inputs'!$AT$3=1,6,8))),FALSE))</f>
        <v xml:space="preserve"> </v>
      </c>
      <c r="O378" s="350" t="str">
        <f>IF(A378="N/A"," ",(VLOOKUP(A378,OPPowerPrices,(IF('Pricing Inputs'!$AT$3=2,7,IF('Pricing Inputs'!$AT$3=1,6,8))),FALSE)))</f>
        <v xml:space="preserve"> </v>
      </c>
      <c r="P378" s="351" t="str">
        <f t="shared" si="34"/>
        <v xml:space="preserve"> </v>
      </c>
    </row>
    <row r="379" spans="1:16">
      <c r="A379" s="208" t="str">
        <f>Calculations!A346</f>
        <v>N/A</v>
      </c>
      <c r="B379" s="237" t="str">
        <f>IF(A379="N/A"," ",IF(ISERROR(L379),B367*Inputs!$F$19,L379))</f>
        <v xml:space="preserve"> </v>
      </c>
      <c r="C379" s="239" t="str">
        <f t="shared" si="35"/>
        <v xml:space="preserve"> </v>
      </c>
      <c r="D379" s="238" t="str">
        <f t="shared" si="31"/>
        <v xml:space="preserve"> </v>
      </c>
      <c r="E379" s="237" t="str">
        <f>IF(A379="N/A"," ",IF(ISERROR(M379),E367*Inputs!$F$19,M379))</f>
        <v xml:space="preserve"> </v>
      </c>
      <c r="F379" s="238" t="str">
        <f t="shared" si="32"/>
        <v xml:space="preserve"> </v>
      </c>
      <c r="G379" s="237" t="str">
        <f>IF(A379="N/A"," ",IF(ISERROR(N379),G367*Inputs!$F$19,N379))</f>
        <v xml:space="preserve"> </v>
      </c>
      <c r="H379" s="238" t="str">
        <f t="shared" si="33"/>
        <v xml:space="preserve"> </v>
      </c>
      <c r="I379" s="238" t="str">
        <f>IF(A379="N/A"," ",IF(ISERROR(O379),I367*Inputs!$F$19,O379))</f>
        <v xml:space="preserve"> </v>
      </c>
      <c r="J379" s="331" t="str">
        <f>IF(A379="N/A"," ",IF(ISERROR(P379),J367*Inputs!$F$23,P379))</f>
        <v xml:space="preserve"> </v>
      </c>
      <c r="L379" s="349" t="str">
        <f>IF(A379="N/A"," ",VLOOKUP(A379,PeakPowerCurves,(IF('Pricing Inputs'!$AT$3=2,3,IF('Pricing Inputs'!$AT$3=1,2,4))),FALSE))</f>
        <v xml:space="preserve"> </v>
      </c>
      <c r="M379" s="349" t="str">
        <f>IF(A379="N/A"," ",VLOOKUP(A379,SatSunPeakPwr,(IF('Pricing Inputs'!$AT$3=2,3,IF('Pricing Inputs'!$AT$3=1,2,4))),FALSE))</f>
        <v xml:space="preserve"> </v>
      </c>
      <c r="N379" s="349" t="str">
        <f>IF(A379="N/A"," ",VLOOKUP(A379,SatSunPeakPwr,(IF('Pricing Inputs'!$AT$3=2,7,IF('Pricing Inputs'!$AT$3=1,6,8))),FALSE))</f>
        <v xml:space="preserve"> </v>
      </c>
      <c r="O379" s="350" t="str">
        <f>IF(A379="N/A"," ",(VLOOKUP(A379,OPPowerPrices,(IF('Pricing Inputs'!$AT$3=2,7,IF('Pricing Inputs'!$AT$3=1,6,8))),FALSE)))</f>
        <v xml:space="preserve"> </v>
      </c>
      <c r="P379" s="351" t="str">
        <f t="shared" si="34"/>
        <v xml:space="preserve"> </v>
      </c>
    </row>
    <row r="380" spans="1:16">
      <c r="A380" s="208" t="str">
        <f>Calculations!A347</f>
        <v>N/A</v>
      </c>
      <c r="B380" s="237" t="str">
        <f>IF(A380="N/A"," ",IF(ISERROR(L380),B368*Inputs!$F$19,L380))</f>
        <v xml:space="preserve"> </v>
      </c>
      <c r="C380" s="239" t="str">
        <f t="shared" si="35"/>
        <v xml:space="preserve"> </v>
      </c>
      <c r="D380" s="238" t="str">
        <f t="shared" si="31"/>
        <v xml:space="preserve"> </v>
      </c>
      <c r="E380" s="237" t="str">
        <f>IF(A380="N/A"," ",IF(ISERROR(M380),E368*Inputs!$F$19,M380))</f>
        <v xml:space="preserve"> </v>
      </c>
      <c r="F380" s="238" t="str">
        <f t="shared" si="32"/>
        <v xml:space="preserve"> </v>
      </c>
      <c r="G380" s="237" t="str">
        <f>IF(A380="N/A"," ",IF(ISERROR(N380),G368*Inputs!$F$19,N380))</f>
        <v xml:space="preserve"> </v>
      </c>
      <c r="H380" s="238" t="str">
        <f t="shared" si="33"/>
        <v xml:space="preserve"> </v>
      </c>
      <c r="I380" s="238" t="str">
        <f>IF(A380="N/A"," ",IF(ISERROR(O380),I368*Inputs!$F$19,O380))</f>
        <v xml:space="preserve"> </v>
      </c>
      <c r="J380" s="331" t="str">
        <f>IF(A380="N/A"," ",IF(ISERROR(P380),J368*Inputs!$F$23,P380))</f>
        <v xml:space="preserve"> </v>
      </c>
      <c r="L380" s="349" t="str">
        <f>IF(A380="N/A"," ",VLOOKUP(A380,PeakPowerCurves,(IF('Pricing Inputs'!$AT$3=2,3,IF('Pricing Inputs'!$AT$3=1,2,4))),FALSE))</f>
        <v xml:space="preserve"> </v>
      </c>
      <c r="M380" s="349" t="str">
        <f>IF(A380="N/A"," ",VLOOKUP(A380,SatSunPeakPwr,(IF('Pricing Inputs'!$AT$3=2,3,IF('Pricing Inputs'!$AT$3=1,2,4))),FALSE))</f>
        <v xml:space="preserve"> </v>
      </c>
      <c r="N380" s="349" t="str">
        <f>IF(A380="N/A"," ",VLOOKUP(A380,SatSunPeakPwr,(IF('Pricing Inputs'!$AT$3=2,7,IF('Pricing Inputs'!$AT$3=1,6,8))),FALSE))</f>
        <v xml:space="preserve"> </v>
      </c>
      <c r="O380" s="350" t="str">
        <f>IF(A380="N/A"," ",(VLOOKUP(A380,OPPowerPrices,(IF('Pricing Inputs'!$AT$3=2,7,IF('Pricing Inputs'!$AT$3=1,6,8))),FALSE)))</f>
        <v xml:space="preserve"> </v>
      </c>
      <c r="P380" s="351" t="str">
        <f t="shared" si="34"/>
        <v xml:space="preserve"> </v>
      </c>
    </row>
    <row r="381" spans="1:16">
      <c r="A381" s="208" t="str">
        <f>Calculations!A348</f>
        <v>N/A</v>
      </c>
      <c r="B381" s="237" t="str">
        <f>IF(A381="N/A"," ",IF(ISERROR(L381),B369*Inputs!$F$19,L381))</f>
        <v xml:space="preserve"> </v>
      </c>
      <c r="C381" s="239" t="str">
        <f t="shared" si="35"/>
        <v xml:space="preserve"> </v>
      </c>
      <c r="D381" s="238" t="str">
        <f t="shared" si="31"/>
        <v xml:space="preserve"> </v>
      </c>
      <c r="E381" s="237" t="str">
        <f>IF(A381="N/A"," ",IF(ISERROR(M381),E369*Inputs!$F$19,M381))</f>
        <v xml:space="preserve"> </v>
      </c>
      <c r="F381" s="238" t="str">
        <f t="shared" si="32"/>
        <v xml:space="preserve"> </v>
      </c>
      <c r="G381" s="237" t="str">
        <f>IF(A381="N/A"," ",IF(ISERROR(N381),G369*Inputs!$F$19,N381))</f>
        <v xml:space="preserve"> </v>
      </c>
      <c r="H381" s="238" t="str">
        <f t="shared" si="33"/>
        <v xml:space="preserve"> </v>
      </c>
      <c r="I381" s="238" t="str">
        <f>IF(A381="N/A"," ",IF(ISERROR(O381),I369*Inputs!$F$19,O381))</f>
        <v xml:space="preserve"> </v>
      </c>
      <c r="J381" s="331" t="str">
        <f>IF(A381="N/A"," ",IF(ISERROR(P381),J369*Inputs!$F$23,P381))</f>
        <v xml:space="preserve"> </v>
      </c>
      <c r="L381" s="349" t="str">
        <f>IF(A381="N/A"," ",VLOOKUP(A381,PeakPowerCurves,(IF('Pricing Inputs'!$AT$3=2,3,IF('Pricing Inputs'!$AT$3=1,2,4))),FALSE))</f>
        <v xml:space="preserve"> </v>
      </c>
      <c r="M381" s="349" t="str">
        <f>IF(A381="N/A"," ",VLOOKUP(A381,SatSunPeakPwr,(IF('Pricing Inputs'!$AT$3=2,3,IF('Pricing Inputs'!$AT$3=1,2,4))),FALSE))</f>
        <v xml:space="preserve"> </v>
      </c>
      <c r="N381" s="349" t="str">
        <f>IF(A381="N/A"," ",VLOOKUP(A381,SatSunPeakPwr,(IF('Pricing Inputs'!$AT$3=2,7,IF('Pricing Inputs'!$AT$3=1,6,8))),FALSE))</f>
        <v xml:space="preserve"> </v>
      </c>
      <c r="O381" s="350" t="str">
        <f>IF(A381="N/A"," ",(VLOOKUP(A381,OPPowerPrices,(IF('Pricing Inputs'!$AT$3=2,7,IF('Pricing Inputs'!$AT$3=1,6,8))),FALSE)))</f>
        <v xml:space="preserve"> </v>
      </c>
      <c r="P381" s="351" t="str">
        <f t="shared" si="34"/>
        <v xml:space="preserve"> </v>
      </c>
    </row>
    <row r="382" spans="1:16">
      <c r="A382" s="208" t="str">
        <f>Calculations!A349</f>
        <v>N/A</v>
      </c>
      <c r="B382" s="237" t="str">
        <f>IF(A382="N/A"," ",IF(ISERROR(L382),B370*Inputs!$F$19,L382))</f>
        <v xml:space="preserve"> </v>
      </c>
      <c r="C382" s="239" t="str">
        <f t="shared" si="35"/>
        <v xml:space="preserve"> </v>
      </c>
      <c r="D382" s="238" t="str">
        <f t="shared" si="31"/>
        <v xml:space="preserve"> </v>
      </c>
      <c r="E382" s="237" t="str">
        <f>IF(A382="N/A"," ",IF(ISERROR(M382),E370*Inputs!$F$19,M382))</f>
        <v xml:space="preserve"> </v>
      </c>
      <c r="F382" s="238" t="str">
        <f t="shared" si="32"/>
        <v xml:space="preserve"> </v>
      </c>
      <c r="G382" s="237" t="str">
        <f>IF(A382="N/A"," ",IF(ISERROR(N382),G370*Inputs!$F$19,N382))</f>
        <v xml:space="preserve"> </v>
      </c>
      <c r="H382" s="238" t="str">
        <f t="shared" si="33"/>
        <v xml:space="preserve"> </v>
      </c>
      <c r="I382" s="238" t="str">
        <f>IF(A382="N/A"," ",IF(ISERROR(O382),I370*Inputs!$F$19,O382))</f>
        <v xml:space="preserve"> </v>
      </c>
      <c r="J382" s="331" t="str">
        <f>IF(A382="N/A"," ",IF(ISERROR(P382),J370*Inputs!$F$23,P382))</f>
        <v xml:space="preserve"> </v>
      </c>
      <c r="L382" s="349" t="str">
        <f>IF(A382="N/A"," ",VLOOKUP(A382,PeakPowerCurves,(IF('Pricing Inputs'!$AT$3=2,3,IF('Pricing Inputs'!$AT$3=1,2,4))),FALSE))</f>
        <v xml:space="preserve"> </v>
      </c>
      <c r="M382" s="349" t="str">
        <f>IF(A382="N/A"," ",VLOOKUP(A382,SatSunPeakPwr,(IF('Pricing Inputs'!$AT$3=2,3,IF('Pricing Inputs'!$AT$3=1,2,4))),FALSE))</f>
        <v xml:space="preserve"> </v>
      </c>
      <c r="N382" s="349" t="str">
        <f>IF(A382="N/A"," ",VLOOKUP(A382,SatSunPeakPwr,(IF('Pricing Inputs'!$AT$3=2,7,IF('Pricing Inputs'!$AT$3=1,6,8))),FALSE))</f>
        <v xml:space="preserve"> </v>
      </c>
      <c r="O382" s="350" t="str">
        <f>IF(A382="N/A"," ",(VLOOKUP(A382,OPPowerPrices,(IF('Pricing Inputs'!$AT$3=2,7,IF('Pricing Inputs'!$AT$3=1,6,8))),FALSE)))</f>
        <v xml:space="preserve"> </v>
      </c>
      <c r="P382" s="351" t="str">
        <f t="shared" si="34"/>
        <v xml:space="preserve"> </v>
      </c>
    </row>
    <row r="383" spans="1:16">
      <c r="A383" s="208" t="str">
        <f>Calculations!A350</f>
        <v>N/A</v>
      </c>
      <c r="B383" s="237" t="str">
        <f>IF(A383="N/A"," ",IF(ISERROR(L383),B371*Inputs!$F$19,L383))</f>
        <v xml:space="preserve"> </v>
      </c>
      <c r="C383" s="239" t="str">
        <f t="shared" si="35"/>
        <v xml:space="preserve"> </v>
      </c>
      <c r="D383" s="238" t="str">
        <f t="shared" si="31"/>
        <v xml:space="preserve"> </v>
      </c>
      <c r="E383" s="237" t="str">
        <f>IF(A383="N/A"," ",IF(ISERROR(M383),E371*Inputs!$F$19,M383))</f>
        <v xml:space="preserve"> </v>
      </c>
      <c r="F383" s="238" t="str">
        <f t="shared" si="32"/>
        <v xml:space="preserve"> </v>
      </c>
      <c r="G383" s="237" t="str">
        <f>IF(A383="N/A"," ",IF(ISERROR(N383),G371*Inputs!$F$19,N383))</f>
        <v xml:space="preserve"> </v>
      </c>
      <c r="H383" s="238" t="str">
        <f t="shared" si="33"/>
        <v xml:space="preserve"> </v>
      </c>
      <c r="I383" s="238" t="str">
        <f>IF(A383="N/A"," ",IF(ISERROR(O383),I371*Inputs!$F$19,O383))</f>
        <v xml:space="preserve"> </v>
      </c>
      <c r="J383" s="331" t="str">
        <f>IF(A383="N/A"," ",IF(ISERROR(P383),J371*Inputs!$F$23,P383))</f>
        <v xml:space="preserve"> </v>
      </c>
      <c r="L383" s="349" t="str">
        <f>IF(A383="N/A"," ",VLOOKUP(A383,PeakPowerCurves,(IF('Pricing Inputs'!$AT$3=2,3,IF('Pricing Inputs'!$AT$3=1,2,4))),FALSE))</f>
        <v xml:space="preserve"> </v>
      </c>
      <c r="M383" s="349" t="str">
        <f>IF(A383="N/A"," ",VLOOKUP(A383,SatSunPeakPwr,(IF('Pricing Inputs'!$AT$3=2,3,IF('Pricing Inputs'!$AT$3=1,2,4))),FALSE))</f>
        <v xml:space="preserve"> </v>
      </c>
      <c r="N383" s="349" t="str">
        <f>IF(A383="N/A"," ",VLOOKUP(A383,SatSunPeakPwr,(IF('Pricing Inputs'!$AT$3=2,7,IF('Pricing Inputs'!$AT$3=1,6,8))),FALSE))</f>
        <v xml:space="preserve"> </v>
      </c>
      <c r="O383" s="350" t="str">
        <f>IF(A383="N/A"," ",(VLOOKUP(A383,OPPowerPrices,(IF('Pricing Inputs'!$AT$3=2,7,IF('Pricing Inputs'!$AT$3=1,6,8))),FALSE)))</f>
        <v xml:space="preserve"> </v>
      </c>
      <c r="P383" s="351" t="str">
        <f t="shared" si="34"/>
        <v xml:space="preserve"> </v>
      </c>
    </row>
    <row r="384" spans="1:16">
      <c r="A384" s="208" t="str">
        <f>Calculations!A351</f>
        <v>N/A</v>
      </c>
      <c r="B384" s="237" t="str">
        <f>IF(A384="N/A"," ",IF(ISERROR(L384),B372*Inputs!$F$19,L384))</f>
        <v xml:space="preserve"> </v>
      </c>
      <c r="C384" s="239" t="str">
        <f t="shared" si="35"/>
        <v xml:space="preserve"> </v>
      </c>
      <c r="D384" s="238" t="str">
        <f t="shared" si="31"/>
        <v xml:space="preserve"> </v>
      </c>
      <c r="E384" s="237" t="str">
        <f>IF(A384="N/A"," ",IF(ISERROR(M384),E372*Inputs!$F$19,M384))</f>
        <v xml:space="preserve"> </v>
      </c>
      <c r="F384" s="238" t="str">
        <f t="shared" si="32"/>
        <v xml:space="preserve"> </v>
      </c>
      <c r="G384" s="237" t="str">
        <f>IF(A384="N/A"," ",IF(ISERROR(N384),G372*Inputs!$F$19,N384))</f>
        <v xml:space="preserve"> </v>
      </c>
      <c r="H384" s="238" t="str">
        <f t="shared" si="33"/>
        <v xml:space="preserve"> </v>
      </c>
      <c r="I384" s="238" t="str">
        <f>IF(A384="N/A"," ",IF(ISERROR(O384),I372*Inputs!$F$19,O384))</f>
        <v xml:space="preserve"> </v>
      </c>
      <c r="J384" s="331" t="str">
        <f>IF(A384="N/A"," ",IF(ISERROR(P384),J372*Inputs!$F$23,P384))</f>
        <v xml:space="preserve"> </v>
      </c>
      <c r="L384" s="349" t="str">
        <f>IF(A384="N/A"," ",VLOOKUP(A384,PeakPowerCurves,(IF('Pricing Inputs'!$AT$3=2,3,IF('Pricing Inputs'!$AT$3=1,2,4))),FALSE))</f>
        <v xml:space="preserve"> </v>
      </c>
      <c r="M384" s="349" t="str">
        <f>IF(A384="N/A"," ",VLOOKUP(A384,SatSunPeakPwr,(IF('Pricing Inputs'!$AT$3=2,3,IF('Pricing Inputs'!$AT$3=1,2,4))),FALSE))</f>
        <v xml:space="preserve"> </v>
      </c>
      <c r="N384" s="349" t="str">
        <f>IF(A384="N/A"," ",VLOOKUP(A384,SatSunPeakPwr,(IF('Pricing Inputs'!$AT$3=2,7,IF('Pricing Inputs'!$AT$3=1,6,8))),FALSE))</f>
        <v xml:space="preserve"> </v>
      </c>
      <c r="O384" s="350" t="str">
        <f>IF(A384="N/A"," ",(VLOOKUP(A384,OPPowerPrices,(IF('Pricing Inputs'!$AT$3=2,7,IF('Pricing Inputs'!$AT$3=1,6,8))),FALSE)))</f>
        <v xml:space="preserve"> </v>
      </c>
      <c r="P384" s="351" t="str">
        <f t="shared" si="34"/>
        <v xml:space="preserve"> </v>
      </c>
    </row>
    <row r="385" spans="1:16">
      <c r="A385" s="208" t="str">
        <f>Calculations!A352</f>
        <v>N/A</v>
      </c>
      <c r="B385" s="237" t="str">
        <f>IF(A385="N/A"," ",IF(ISERROR(L385),B373*Inputs!$F$19,L385))</f>
        <v xml:space="preserve"> </v>
      </c>
      <c r="C385" s="239" t="str">
        <f t="shared" si="35"/>
        <v xml:space="preserve"> </v>
      </c>
      <c r="D385" s="238" t="str">
        <f t="shared" si="31"/>
        <v xml:space="preserve"> </v>
      </c>
      <c r="E385" s="237" t="str">
        <f>IF(A385="N/A"," ",IF(ISERROR(M385),E373*Inputs!$F$19,M385))</f>
        <v xml:space="preserve"> </v>
      </c>
      <c r="F385" s="238" t="str">
        <f t="shared" si="32"/>
        <v xml:space="preserve"> </v>
      </c>
      <c r="G385" s="237" t="str">
        <f>IF(A385="N/A"," ",IF(ISERROR(N385),G373*Inputs!$F$19,N385))</f>
        <v xml:space="preserve"> </v>
      </c>
      <c r="H385" s="238" t="str">
        <f t="shared" si="33"/>
        <v xml:space="preserve"> </v>
      </c>
      <c r="I385" s="238" t="str">
        <f>IF(A385="N/A"," ",IF(ISERROR(O385),I373*Inputs!$F$19,O385))</f>
        <v xml:space="preserve"> </v>
      </c>
      <c r="J385" s="331" t="str">
        <f>IF(A385="N/A"," ",IF(ISERROR(P385),J373*Inputs!$F$23,P385))</f>
        <v xml:space="preserve"> </v>
      </c>
      <c r="L385" s="349" t="str">
        <f>IF(A385="N/A"," ",VLOOKUP(A385,PeakPowerCurves,(IF('Pricing Inputs'!$AT$3=2,3,IF('Pricing Inputs'!$AT$3=1,2,4))),FALSE))</f>
        <v xml:space="preserve"> </v>
      </c>
      <c r="M385" s="349" t="str">
        <f>IF(A385="N/A"," ",VLOOKUP(A385,SatSunPeakPwr,(IF('Pricing Inputs'!$AT$3=2,3,IF('Pricing Inputs'!$AT$3=1,2,4))),FALSE))</f>
        <v xml:space="preserve"> </v>
      </c>
      <c r="N385" s="349" t="str">
        <f>IF(A385="N/A"," ",VLOOKUP(A385,SatSunPeakPwr,(IF('Pricing Inputs'!$AT$3=2,7,IF('Pricing Inputs'!$AT$3=1,6,8))),FALSE))</f>
        <v xml:space="preserve"> </v>
      </c>
      <c r="O385" s="350" t="str">
        <f>IF(A385="N/A"," ",(VLOOKUP(A385,OPPowerPrices,(IF('Pricing Inputs'!$AT$3=2,7,IF('Pricing Inputs'!$AT$3=1,6,8))),FALSE)))</f>
        <v xml:space="preserve"> </v>
      </c>
      <c r="P385" s="351" t="str">
        <f t="shared" si="34"/>
        <v xml:space="preserve"> </v>
      </c>
    </row>
    <row r="386" spans="1:16">
      <c r="A386" s="208" t="str">
        <f>Calculations!A353</f>
        <v>N/A</v>
      </c>
      <c r="B386" s="237" t="str">
        <f>IF(A386="N/A"," ",IF(ISERROR(L386),B374*Inputs!$F$19,L386))</f>
        <v xml:space="preserve"> </v>
      </c>
      <c r="C386" s="239" t="str">
        <f t="shared" si="35"/>
        <v xml:space="preserve"> </v>
      </c>
      <c r="D386" s="238" t="str">
        <f t="shared" si="31"/>
        <v xml:space="preserve"> </v>
      </c>
      <c r="E386" s="237" t="str">
        <f>IF(A386="N/A"," ",IF(ISERROR(M386),E374*Inputs!$F$19,M386))</f>
        <v xml:space="preserve"> </v>
      </c>
      <c r="F386" s="238" t="str">
        <f t="shared" si="32"/>
        <v xml:space="preserve"> </v>
      </c>
      <c r="G386" s="237" t="str">
        <f>IF(A386="N/A"," ",IF(ISERROR(N386),G374*Inputs!$F$19,N386))</f>
        <v xml:space="preserve"> </v>
      </c>
      <c r="H386" s="238" t="str">
        <f t="shared" si="33"/>
        <v xml:space="preserve"> </v>
      </c>
      <c r="I386" s="238" t="str">
        <f>IF(A386="N/A"," ",IF(ISERROR(O386),I374*Inputs!$F$19,O386))</f>
        <v xml:space="preserve"> </v>
      </c>
      <c r="J386" s="331" t="str">
        <f>IF(A386="N/A"," ",IF(ISERROR(P386),J374*Inputs!$F$23,P386))</f>
        <v xml:space="preserve"> </v>
      </c>
      <c r="L386" s="349" t="str">
        <f>IF(A386="N/A"," ",VLOOKUP(A386,PeakPowerCurves,(IF('Pricing Inputs'!$AT$3=2,3,IF('Pricing Inputs'!$AT$3=1,2,4))),FALSE))</f>
        <v xml:space="preserve"> </v>
      </c>
      <c r="M386" s="349" t="str">
        <f>IF(A386="N/A"," ",VLOOKUP(A386,SatSunPeakPwr,(IF('Pricing Inputs'!$AT$3=2,3,IF('Pricing Inputs'!$AT$3=1,2,4))),FALSE))</f>
        <v xml:space="preserve"> </v>
      </c>
      <c r="N386" s="349" t="str">
        <f>IF(A386="N/A"," ",VLOOKUP(A386,SatSunPeakPwr,(IF('Pricing Inputs'!$AT$3=2,7,IF('Pricing Inputs'!$AT$3=1,6,8))),FALSE))</f>
        <v xml:space="preserve"> </v>
      </c>
      <c r="O386" s="350" t="str">
        <f>IF(A386="N/A"," ",(VLOOKUP(A386,OPPowerPrices,(IF('Pricing Inputs'!$AT$3=2,7,IF('Pricing Inputs'!$AT$3=1,6,8))),FALSE)))</f>
        <v xml:space="preserve"> </v>
      </c>
      <c r="P386" s="351" t="str">
        <f t="shared" si="34"/>
        <v xml:space="preserve"> </v>
      </c>
    </row>
    <row r="387" spans="1:16">
      <c r="A387" s="208" t="str">
        <f>Calculations!A354</f>
        <v>N/A</v>
      </c>
      <c r="B387" s="237" t="str">
        <f>IF(A387="N/A"," ",IF(ISERROR(L387),B375*Inputs!$F$19,L387))</f>
        <v xml:space="preserve"> </v>
      </c>
      <c r="C387" s="239" t="str">
        <f t="shared" si="35"/>
        <v xml:space="preserve"> </v>
      </c>
      <c r="D387" s="238" t="str">
        <f t="shared" si="31"/>
        <v xml:space="preserve"> </v>
      </c>
      <c r="E387" s="237" t="str">
        <f>IF(A387="N/A"," ",IF(ISERROR(M387),E375*Inputs!$F$19,M387))</f>
        <v xml:space="preserve"> </v>
      </c>
      <c r="F387" s="238" t="str">
        <f t="shared" si="32"/>
        <v xml:space="preserve"> </v>
      </c>
      <c r="G387" s="237" t="str">
        <f>IF(A387="N/A"," ",IF(ISERROR(N387),G375*Inputs!$F$19,N387))</f>
        <v xml:space="preserve"> </v>
      </c>
      <c r="H387" s="238" t="str">
        <f t="shared" si="33"/>
        <v xml:space="preserve"> </v>
      </c>
      <c r="I387" s="238" t="str">
        <f>IF(A387="N/A"," ",IF(ISERROR(O387),I375*Inputs!$F$19,O387))</f>
        <v xml:space="preserve"> </v>
      </c>
      <c r="J387" s="331" t="str">
        <f>IF(A387="N/A"," ",IF(ISERROR(P387),J375*Inputs!$F$23,P387))</f>
        <v xml:space="preserve"> </v>
      </c>
      <c r="L387" s="349" t="str">
        <f>IF(A387="N/A"," ",VLOOKUP(A387,PeakPowerCurves,(IF('Pricing Inputs'!$AT$3=2,3,IF('Pricing Inputs'!$AT$3=1,2,4))),FALSE))</f>
        <v xml:space="preserve"> </v>
      </c>
      <c r="M387" s="349" t="str">
        <f>IF(A387="N/A"," ",VLOOKUP(A387,SatSunPeakPwr,(IF('Pricing Inputs'!$AT$3=2,3,IF('Pricing Inputs'!$AT$3=1,2,4))),FALSE))</f>
        <v xml:space="preserve"> </v>
      </c>
      <c r="N387" s="349" t="str">
        <f>IF(A387="N/A"," ",VLOOKUP(A387,SatSunPeakPwr,(IF('Pricing Inputs'!$AT$3=2,7,IF('Pricing Inputs'!$AT$3=1,6,8))),FALSE))</f>
        <v xml:space="preserve"> </v>
      </c>
      <c r="O387" s="350" t="str">
        <f>IF(A387="N/A"," ",(VLOOKUP(A387,OPPowerPrices,(IF('Pricing Inputs'!$AT$3=2,7,IF('Pricing Inputs'!$AT$3=1,6,8))),FALSE)))</f>
        <v xml:space="preserve"> </v>
      </c>
      <c r="P387" s="351" t="str">
        <f t="shared" si="34"/>
        <v xml:space="preserve"> </v>
      </c>
    </row>
    <row r="388" spans="1:16">
      <c r="A388" s="208" t="str">
        <f>Calculations!A355</f>
        <v>N/A</v>
      </c>
      <c r="B388" s="237" t="str">
        <f>IF(A388="N/A"," ",IF(ISERROR(L388),B376*Inputs!$F$19,L388))</f>
        <v xml:space="preserve"> </v>
      </c>
      <c r="C388" s="239" t="str">
        <f t="shared" si="35"/>
        <v xml:space="preserve"> </v>
      </c>
      <c r="D388" s="238" t="str">
        <f t="shared" si="31"/>
        <v xml:space="preserve"> </v>
      </c>
      <c r="E388" s="237" t="str">
        <f>IF(A388="N/A"," ",IF(ISERROR(M388),E376*Inputs!$F$19,M388))</f>
        <v xml:space="preserve"> </v>
      </c>
      <c r="F388" s="238" t="str">
        <f t="shared" si="32"/>
        <v xml:space="preserve"> </v>
      </c>
      <c r="G388" s="237" t="str">
        <f>IF(A388="N/A"," ",IF(ISERROR(N388),G376*Inputs!$F$19,N388))</f>
        <v xml:space="preserve"> </v>
      </c>
      <c r="H388" s="238" t="str">
        <f t="shared" si="33"/>
        <v xml:space="preserve"> </v>
      </c>
      <c r="I388" s="238" t="str">
        <f>IF(A388="N/A"," ",IF(ISERROR(O388),I376*Inputs!$F$19,O388))</f>
        <v xml:space="preserve"> </v>
      </c>
      <c r="J388" s="331" t="str">
        <f>IF(A388="N/A"," ",IF(ISERROR(P388),J376*Inputs!$F$23,P388))</f>
        <v xml:space="preserve"> </v>
      </c>
      <c r="L388" s="349" t="str">
        <f>IF(A388="N/A"," ",VLOOKUP(A388,PeakPowerCurves,(IF('Pricing Inputs'!$AT$3=2,3,IF('Pricing Inputs'!$AT$3=1,2,4))),FALSE))</f>
        <v xml:space="preserve"> </v>
      </c>
      <c r="M388" s="349" t="str">
        <f>IF(A388="N/A"," ",VLOOKUP(A388,SatSunPeakPwr,(IF('Pricing Inputs'!$AT$3=2,3,IF('Pricing Inputs'!$AT$3=1,2,4))),FALSE))</f>
        <v xml:space="preserve"> </v>
      </c>
      <c r="N388" s="349" t="str">
        <f>IF(A388="N/A"," ",VLOOKUP(A388,SatSunPeakPwr,(IF('Pricing Inputs'!$AT$3=2,7,IF('Pricing Inputs'!$AT$3=1,6,8))),FALSE))</f>
        <v xml:space="preserve"> </v>
      </c>
      <c r="O388" s="350" t="str">
        <f>IF(A388="N/A"," ",(VLOOKUP(A388,OPPowerPrices,(IF('Pricing Inputs'!$AT$3=2,7,IF('Pricing Inputs'!$AT$3=1,6,8))),FALSE)))</f>
        <v xml:space="preserve"> </v>
      </c>
      <c r="P388" s="351" t="str">
        <f t="shared" si="34"/>
        <v xml:space="preserve"> </v>
      </c>
    </row>
    <row r="389" spans="1:16">
      <c r="A389" s="208" t="str">
        <f>Calculations!A356</f>
        <v>N/A</v>
      </c>
      <c r="B389" s="237" t="str">
        <f>IF(A389="N/A"," ",IF(ISERROR(L389),B377*Inputs!$F$19,L389))</f>
        <v xml:space="preserve"> </v>
      </c>
      <c r="C389" s="239" t="str">
        <f t="shared" si="35"/>
        <v xml:space="preserve"> </v>
      </c>
      <c r="D389" s="238" t="str">
        <f t="shared" si="31"/>
        <v xml:space="preserve"> </v>
      </c>
      <c r="E389" s="237" t="str">
        <f>IF(A389="N/A"," ",IF(ISERROR(M389),E377*Inputs!$F$19,M389))</f>
        <v xml:space="preserve"> </v>
      </c>
      <c r="F389" s="238" t="str">
        <f t="shared" si="32"/>
        <v xml:space="preserve"> </v>
      </c>
      <c r="G389" s="237" t="str">
        <f>IF(A389="N/A"," ",IF(ISERROR(N389),G377*Inputs!$F$19,N389))</f>
        <v xml:space="preserve"> </v>
      </c>
      <c r="H389" s="238" t="str">
        <f t="shared" si="33"/>
        <v xml:space="preserve"> </v>
      </c>
      <c r="I389" s="238" t="str">
        <f>IF(A389="N/A"," ",IF(ISERROR(O389),I377*Inputs!$F$19,O389))</f>
        <v xml:space="preserve"> </v>
      </c>
      <c r="J389" s="331" t="str">
        <f>IF(A389="N/A"," ",IF(ISERROR(P389),J377*Inputs!$F$23,P389))</f>
        <v xml:space="preserve"> </v>
      </c>
      <c r="L389" s="349" t="str">
        <f>IF(A389="N/A"," ",VLOOKUP(A389,PeakPowerCurves,(IF('Pricing Inputs'!$AT$3=2,3,IF('Pricing Inputs'!$AT$3=1,2,4))),FALSE))</f>
        <v xml:space="preserve"> </v>
      </c>
      <c r="M389" s="349" t="str">
        <f>IF(A389="N/A"," ",VLOOKUP(A389,SatSunPeakPwr,(IF('Pricing Inputs'!$AT$3=2,3,IF('Pricing Inputs'!$AT$3=1,2,4))),FALSE))</f>
        <v xml:space="preserve"> </v>
      </c>
      <c r="N389" s="349" t="str">
        <f>IF(A389="N/A"," ",VLOOKUP(A389,SatSunPeakPwr,(IF('Pricing Inputs'!$AT$3=2,7,IF('Pricing Inputs'!$AT$3=1,6,8))),FALSE))</f>
        <v xml:space="preserve"> </v>
      </c>
      <c r="O389" s="350" t="str">
        <f>IF(A389="N/A"," ",(VLOOKUP(A389,OPPowerPrices,(IF('Pricing Inputs'!$AT$3=2,7,IF('Pricing Inputs'!$AT$3=1,6,8))),FALSE)))</f>
        <v xml:space="preserve"> </v>
      </c>
      <c r="P389" s="351" t="str">
        <f t="shared" si="34"/>
        <v xml:space="preserve"> </v>
      </c>
    </row>
    <row r="390" spans="1:16">
      <c r="A390" s="208" t="str">
        <f>Calculations!A357</f>
        <v>N/A</v>
      </c>
      <c r="B390" s="237" t="str">
        <f>IF(A390="N/A"," ",IF(ISERROR(L390),B378*Inputs!$F$19,L390))</f>
        <v xml:space="preserve"> </v>
      </c>
      <c r="C390" s="239" t="str">
        <f t="shared" si="35"/>
        <v xml:space="preserve"> </v>
      </c>
      <c r="D390" s="238" t="str">
        <f t="shared" si="31"/>
        <v xml:space="preserve"> </v>
      </c>
      <c r="E390" s="237" t="str">
        <f>IF(A390="N/A"," ",IF(ISERROR(M390),E378*Inputs!$F$19,M390))</f>
        <v xml:space="preserve"> </v>
      </c>
      <c r="F390" s="238" t="str">
        <f t="shared" si="32"/>
        <v xml:space="preserve"> </v>
      </c>
      <c r="G390" s="237" t="str">
        <f>IF(A390="N/A"," ",IF(ISERROR(N390),G378*Inputs!$F$19,N390))</f>
        <v xml:space="preserve"> </v>
      </c>
      <c r="H390" s="238" t="str">
        <f t="shared" si="33"/>
        <v xml:space="preserve"> </v>
      </c>
      <c r="I390" s="238" t="str">
        <f>IF(A390="N/A"," ",IF(ISERROR(O390),I378*Inputs!$F$19,O390))</f>
        <v xml:space="preserve"> </v>
      </c>
      <c r="J390" s="331" t="str">
        <f>IF(A390="N/A"," ",IF(ISERROR(P390),J378*Inputs!$F$23,P390))</f>
        <v xml:space="preserve"> </v>
      </c>
      <c r="L390" s="349" t="str">
        <f>IF(A390="N/A"," ",VLOOKUP(A390,PeakPowerCurves,(IF('Pricing Inputs'!$AT$3=2,3,IF('Pricing Inputs'!$AT$3=1,2,4))),FALSE))</f>
        <v xml:space="preserve"> </v>
      </c>
      <c r="M390" s="349" t="str">
        <f>IF(A390="N/A"," ",VLOOKUP(A390,SatSunPeakPwr,(IF('Pricing Inputs'!$AT$3=2,3,IF('Pricing Inputs'!$AT$3=1,2,4))),FALSE))</f>
        <v xml:space="preserve"> </v>
      </c>
      <c r="N390" s="349" t="str">
        <f>IF(A390="N/A"," ",VLOOKUP(A390,SatSunPeakPwr,(IF('Pricing Inputs'!$AT$3=2,7,IF('Pricing Inputs'!$AT$3=1,6,8))),FALSE))</f>
        <v xml:space="preserve"> </v>
      </c>
      <c r="O390" s="350" t="str">
        <f>IF(A390="N/A"," ",(VLOOKUP(A390,OPPowerPrices,(IF('Pricing Inputs'!$AT$3=2,7,IF('Pricing Inputs'!$AT$3=1,6,8))),FALSE)))</f>
        <v xml:space="preserve"> </v>
      </c>
      <c r="P390" s="351" t="str">
        <f t="shared" si="34"/>
        <v xml:space="preserve"> </v>
      </c>
    </row>
    <row r="391" spans="1:16">
      <c r="A391" s="208" t="str">
        <f>Calculations!A358</f>
        <v>N/A</v>
      </c>
      <c r="B391" s="237" t="str">
        <f>IF(A391="N/A"," ",IF(ISERROR(L391),B379*Inputs!$F$19,L391))</f>
        <v xml:space="preserve"> </v>
      </c>
      <c r="C391" s="239" t="str">
        <f t="shared" si="35"/>
        <v xml:space="preserve"> </v>
      </c>
      <c r="D391" s="238" t="str">
        <f t="shared" si="31"/>
        <v xml:space="preserve"> </v>
      </c>
      <c r="E391" s="237" t="str">
        <f>IF(A391="N/A"," ",IF(ISERROR(M391),E379*Inputs!$F$19,M391))</f>
        <v xml:space="preserve"> </v>
      </c>
      <c r="F391" s="238" t="str">
        <f t="shared" si="32"/>
        <v xml:space="preserve"> </v>
      </c>
      <c r="G391" s="237" t="str">
        <f>IF(A391="N/A"," ",IF(ISERROR(N391),G379*Inputs!$F$19,N391))</f>
        <v xml:space="preserve"> </v>
      </c>
      <c r="H391" s="238" t="str">
        <f t="shared" si="33"/>
        <v xml:space="preserve"> </v>
      </c>
      <c r="I391" s="238" t="str">
        <f>IF(A391="N/A"," ",IF(ISERROR(O391),I379*Inputs!$F$19,O391))</f>
        <v xml:space="preserve"> </v>
      </c>
      <c r="J391" s="331" t="str">
        <f>IF(A391="N/A"," ",IF(ISERROR(P391),J379*Inputs!$F$23,P391))</f>
        <v xml:space="preserve"> </v>
      </c>
      <c r="L391" s="349" t="str">
        <f>IF(A391="N/A"," ",VLOOKUP(A391,PeakPowerCurves,(IF('Pricing Inputs'!$AT$3=2,3,IF('Pricing Inputs'!$AT$3=1,2,4))),FALSE))</f>
        <v xml:space="preserve"> </v>
      </c>
      <c r="M391" s="349" t="str">
        <f>IF(A391="N/A"," ",VLOOKUP(A391,SatSunPeakPwr,(IF('Pricing Inputs'!$AT$3=2,3,IF('Pricing Inputs'!$AT$3=1,2,4))),FALSE))</f>
        <v xml:space="preserve"> </v>
      </c>
      <c r="N391" s="349" t="str">
        <f>IF(A391="N/A"," ",VLOOKUP(A391,SatSunPeakPwr,(IF('Pricing Inputs'!$AT$3=2,7,IF('Pricing Inputs'!$AT$3=1,6,8))),FALSE))</f>
        <v xml:space="preserve"> </v>
      </c>
      <c r="O391" s="350" t="str">
        <f>IF(A391="N/A"," ",(VLOOKUP(A391,OPPowerPrices,(IF('Pricing Inputs'!$AT$3=2,7,IF('Pricing Inputs'!$AT$3=1,6,8))),FALSE)))</f>
        <v xml:space="preserve"> </v>
      </c>
      <c r="P391" s="351" t="str">
        <f t="shared" si="34"/>
        <v xml:space="preserve"> </v>
      </c>
    </row>
    <row r="392" spans="1:16">
      <c r="A392" s="208" t="str">
        <f>Calculations!A359</f>
        <v>N/A</v>
      </c>
      <c r="B392" s="237" t="str">
        <f>IF(A392="N/A"," ",IF(ISERROR(L392),B380*Inputs!$F$19,L392))</f>
        <v xml:space="preserve"> </v>
      </c>
      <c r="C392" s="239" t="str">
        <f t="shared" si="35"/>
        <v xml:space="preserve"> </v>
      </c>
      <c r="D392" s="238" t="str">
        <f t="shared" si="31"/>
        <v xml:space="preserve"> </v>
      </c>
      <c r="E392" s="237" t="str">
        <f>IF(A392="N/A"," ",IF(ISERROR(M392),E380*Inputs!$F$19,M392))</f>
        <v xml:space="preserve"> </v>
      </c>
      <c r="F392" s="238" t="str">
        <f t="shared" si="32"/>
        <v xml:space="preserve"> </v>
      </c>
      <c r="G392" s="237" t="str">
        <f>IF(A392="N/A"," ",IF(ISERROR(N392),G380*Inputs!$F$19,N392))</f>
        <v xml:space="preserve"> </v>
      </c>
      <c r="H392" s="238" t="str">
        <f t="shared" si="33"/>
        <v xml:space="preserve"> </v>
      </c>
      <c r="I392" s="238" t="str">
        <f>IF(A392="N/A"," ",IF(ISERROR(O392),I380*Inputs!$F$19,O392))</f>
        <v xml:space="preserve"> </v>
      </c>
      <c r="J392" s="331" t="str">
        <f>IF(A392="N/A"," ",IF(ISERROR(P392),J380*Inputs!$F$23,P392))</f>
        <v xml:space="preserve"> </v>
      </c>
      <c r="L392" s="349" t="str">
        <f>IF(A392="N/A"," ",VLOOKUP(A392,PeakPowerCurves,(IF('Pricing Inputs'!$AT$3=2,3,IF('Pricing Inputs'!$AT$3=1,2,4))),FALSE))</f>
        <v xml:space="preserve"> </v>
      </c>
      <c r="M392" s="349" t="str">
        <f>IF(A392="N/A"," ",VLOOKUP(A392,SatSunPeakPwr,(IF('Pricing Inputs'!$AT$3=2,3,IF('Pricing Inputs'!$AT$3=1,2,4))),FALSE))</f>
        <v xml:space="preserve"> </v>
      </c>
      <c r="N392" s="349" t="str">
        <f>IF(A392="N/A"," ",VLOOKUP(A392,SatSunPeakPwr,(IF('Pricing Inputs'!$AT$3=2,7,IF('Pricing Inputs'!$AT$3=1,6,8))),FALSE))</f>
        <v xml:space="preserve"> </v>
      </c>
      <c r="O392" s="350" t="str">
        <f>IF(A392="N/A"," ",(VLOOKUP(A392,OPPowerPrices,(IF('Pricing Inputs'!$AT$3=2,7,IF('Pricing Inputs'!$AT$3=1,6,8))),FALSE)))</f>
        <v xml:space="preserve"> </v>
      </c>
      <c r="P392" s="351" t="str">
        <f t="shared" si="34"/>
        <v xml:space="preserve"> </v>
      </c>
    </row>
    <row r="393" spans="1:16">
      <c r="A393" s="208" t="str">
        <f>Calculations!A360</f>
        <v>N/A</v>
      </c>
      <c r="B393" s="237" t="str">
        <f>IF(A393="N/A"," ",IF(ISERROR(L393),B381*Inputs!$F$19,L393))</f>
        <v xml:space="preserve"> </v>
      </c>
      <c r="C393" s="239" t="str">
        <f t="shared" si="35"/>
        <v xml:space="preserve"> </v>
      </c>
      <c r="D393" s="238" t="str">
        <f t="shared" si="31"/>
        <v xml:space="preserve"> </v>
      </c>
      <c r="E393" s="237" t="str">
        <f>IF(A393="N/A"," ",IF(ISERROR(M393),E381*Inputs!$F$19,M393))</f>
        <v xml:space="preserve"> </v>
      </c>
      <c r="F393" s="238" t="str">
        <f t="shared" si="32"/>
        <v xml:space="preserve"> </v>
      </c>
      <c r="G393" s="237" t="str">
        <f>IF(A393="N/A"," ",IF(ISERROR(N393),G381*Inputs!$F$19,N393))</f>
        <v xml:space="preserve"> </v>
      </c>
      <c r="H393" s="238" t="str">
        <f t="shared" si="33"/>
        <v xml:space="preserve"> </v>
      </c>
      <c r="I393" s="238" t="str">
        <f>IF(A393="N/A"," ",IF(ISERROR(O393),I381*Inputs!$F$19,O393))</f>
        <v xml:space="preserve"> </v>
      </c>
      <c r="J393" s="331" t="str">
        <f>IF(A393="N/A"," ",IF(ISERROR(P393),J381*Inputs!$F$23,P393))</f>
        <v xml:space="preserve"> </v>
      </c>
      <c r="L393" s="349" t="str">
        <f>IF(A393="N/A"," ",VLOOKUP(A393,PeakPowerCurves,(IF('Pricing Inputs'!$AT$3=2,3,IF('Pricing Inputs'!$AT$3=1,2,4))),FALSE))</f>
        <v xml:space="preserve"> </v>
      </c>
      <c r="M393" s="349" t="str">
        <f>IF(A393="N/A"," ",VLOOKUP(A393,SatSunPeakPwr,(IF('Pricing Inputs'!$AT$3=2,3,IF('Pricing Inputs'!$AT$3=1,2,4))),FALSE))</f>
        <v xml:space="preserve"> </v>
      </c>
      <c r="N393" s="349" t="str">
        <f>IF(A393="N/A"," ",VLOOKUP(A393,SatSunPeakPwr,(IF('Pricing Inputs'!$AT$3=2,7,IF('Pricing Inputs'!$AT$3=1,6,8))),FALSE))</f>
        <v xml:space="preserve"> </v>
      </c>
      <c r="O393" s="350" t="str">
        <f>IF(A393="N/A"," ",(VLOOKUP(A393,OPPowerPrices,(IF('Pricing Inputs'!$AT$3=2,7,IF('Pricing Inputs'!$AT$3=1,6,8))),FALSE)))</f>
        <v xml:space="preserve"> </v>
      </c>
      <c r="P393" s="351" t="str">
        <f t="shared" si="34"/>
        <v xml:space="preserve"> </v>
      </c>
    </row>
    <row r="394" spans="1:16">
      <c r="A394" s="208" t="str">
        <f>Calculations!A361</f>
        <v>N/A</v>
      </c>
      <c r="B394" s="237" t="str">
        <f>IF(A394="N/A"," ",IF(ISERROR(L394),B382*Inputs!$F$19,L394))</f>
        <v xml:space="preserve"> </v>
      </c>
      <c r="C394" s="239" t="str">
        <f t="shared" si="35"/>
        <v xml:space="preserve"> </v>
      </c>
      <c r="D394" s="238" t="str">
        <f t="shared" si="31"/>
        <v xml:space="preserve"> </v>
      </c>
      <c r="E394" s="237" t="str">
        <f>IF(A394="N/A"," ",IF(ISERROR(M394),E382*Inputs!$F$19,M394))</f>
        <v xml:space="preserve"> </v>
      </c>
      <c r="F394" s="238" t="str">
        <f t="shared" si="32"/>
        <v xml:space="preserve"> </v>
      </c>
      <c r="G394" s="237" t="str">
        <f>IF(A394="N/A"," ",IF(ISERROR(N394),G382*Inputs!$F$19,N394))</f>
        <v xml:space="preserve"> </v>
      </c>
      <c r="H394" s="238" t="str">
        <f t="shared" si="33"/>
        <v xml:space="preserve"> </v>
      </c>
      <c r="I394" s="238" t="str">
        <f>IF(A394="N/A"," ",IF(ISERROR(O394),I382*Inputs!$F$19,O394))</f>
        <v xml:space="preserve"> </v>
      </c>
      <c r="J394" s="331" t="str">
        <f>IF(A394="N/A"," ",IF(ISERROR(P394),J382*Inputs!$F$23,P394))</f>
        <v xml:space="preserve"> </v>
      </c>
      <c r="L394" s="349" t="str">
        <f>IF(A394="N/A"," ",VLOOKUP(A394,PeakPowerCurves,(IF('Pricing Inputs'!$AT$3=2,3,IF('Pricing Inputs'!$AT$3=1,2,4))),FALSE))</f>
        <v xml:space="preserve"> </v>
      </c>
      <c r="M394" s="349" t="str">
        <f>IF(A394="N/A"," ",VLOOKUP(A394,SatSunPeakPwr,(IF('Pricing Inputs'!$AT$3=2,3,IF('Pricing Inputs'!$AT$3=1,2,4))),FALSE))</f>
        <v xml:space="preserve"> </v>
      </c>
      <c r="N394" s="349" t="str">
        <f>IF(A394="N/A"," ",VLOOKUP(A394,SatSunPeakPwr,(IF('Pricing Inputs'!$AT$3=2,7,IF('Pricing Inputs'!$AT$3=1,6,8))),FALSE))</f>
        <v xml:space="preserve"> </v>
      </c>
      <c r="O394" s="350" t="str">
        <f>IF(A394="N/A"," ",(VLOOKUP(A394,OPPowerPrices,(IF('Pricing Inputs'!$AT$3=2,7,IF('Pricing Inputs'!$AT$3=1,6,8))),FALSE)))</f>
        <v xml:space="preserve"> </v>
      </c>
      <c r="P394" s="351" t="str">
        <f t="shared" si="34"/>
        <v xml:space="preserve"> </v>
      </c>
    </row>
    <row r="395" spans="1:16">
      <c r="A395" s="208" t="str">
        <f>Calculations!A362</f>
        <v>N/A</v>
      </c>
      <c r="B395" s="237" t="str">
        <f>IF(A395="N/A"," ",IF(ISERROR(L395),B383*Inputs!$F$19,L395))</f>
        <v xml:space="preserve"> </v>
      </c>
      <c r="C395" s="239" t="str">
        <f t="shared" si="35"/>
        <v xml:space="preserve"> </v>
      </c>
      <c r="D395" s="238" t="str">
        <f t="shared" si="31"/>
        <v xml:space="preserve"> </v>
      </c>
      <c r="E395" s="237" t="str">
        <f>IF(A395="N/A"," ",IF(ISERROR(M395),E383*Inputs!$F$19,M395))</f>
        <v xml:space="preserve"> </v>
      </c>
      <c r="F395" s="238" t="str">
        <f t="shared" si="32"/>
        <v xml:space="preserve"> </v>
      </c>
      <c r="G395" s="237" t="str">
        <f>IF(A395="N/A"," ",IF(ISERROR(N395),G383*Inputs!$F$19,N395))</f>
        <v xml:space="preserve"> </v>
      </c>
      <c r="H395" s="238" t="str">
        <f t="shared" si="33"/>
        <v xml:space="preserve"> </v>
      </c>
      <c r="I395" s="238" t="str">
        <f>IF(A395="N/A"," ",IF(ISERROR(O395),I383*Inputs!$F$19,O395))</f>
        <v xml:space="preserve"> </v>
      </c>
      <c r="J395" s="331" t="str">
        <f>IF(A395="N/A"," ",IF(ISERROR(P395),J383*Inputs!$F$23,P395))</f>
        <v xml:space="preserve"> </v>
      </c>
      <c r="L395" s="349" t="str">
        <f>IF(A395="N/A"," ",VLOOKUP(A395,PeakPowerCurves,(IF('Pricing Inputs'!$AT$3=2,3,IF('Pricing Inputs'!$AT$3=1,2,4))),FALSE))</f>
        <v xml:space="preserve"> </v>
      </c>
      <c r="M395" s="349" t="str">
        <f>IF(A395="N/A"," ",VLOOKUP(A395,SatSunPeakPwr,(IF('Pricing Inputs'!$AT$3=2,3,IF('Pricing Inputs'!$AT$3=1,2,4))),FALSE))</f>
        <v xml:space="preserve"> </v>
      </c>
      <c r="N395" s="349" t="str">
        <f>IF(A395="N/A"," ",VLOOKUP(A395,SatSunPeakPwr,(IF('Pricing Inputs'!$AT$3=2,7,IF('Pricing Inputs'!$AT$3=1,6,8))),FALSE))</f>
        <v xml:space="preserve"> </v>
      </c>
      <c r="O395" s="350" t="str">
        <f>IF(A395="N/A"," ",(VLOOKUP(A395,OPPowerPrices,(IF('Pricing Inputs'!$AT$3=2,7,IF('Pricing Inputs'!$AT$3=1,6,8))),FALSE)))</f>
        <v xml:space="preserve"> </v>
      </c>
      <c r="P395" s="351" t="str">
        <f t="shared" si="34"/>
        <v xml:space="preserve"> </v>
      </c>
    </row>
    <row r="396" spans="1:16">
      <c r="A396" s="208" t="str">
        <f>Calculations!A363</f>
        <v>N/A</v>
      </c>
      <c r="B396" s="237" t="str">
        <f>IF(A396="N/A"," ",IF(ISERROR(L396),B384*Inputs!$F$19,L396))</f>
        <v xml:space="preserve"> </v>
      </c>
      <c r="C396" s="239" t="str">
        <f t="shared" si="35"/>
        <v xml:space="preserve"> </v>
      </c>
      <c r="D396" s="238" t="str">
        <f t="shared" si="31"/>
        <v xml:space="preserve"> </v>
      </c>
      <c r="E396" s="237" t="str">
        <f>IF(A396="N/A"," ",IF(ISERROR(M396),E384*Inputs!$F$19,M396))</f>
        <v xml:space="preserve"> </v>
      </c>
      <c r="F396" s="238" t="str">
        <f t="shared" si="32"/>
        <v xml:space="preserve"> </v>
      </c>
      <c r="G396" s="237" t="str">
        <f>IF(A396="N/A"," ",IF(ISERROR(N396),G384*Inputs!$F$19,N396))</f>
        <v xml:space="preserve"> </v>
      </c>
      <c r="H396" s="238" t="str">
        <f t="shared" si="33"/>
        <v xml:space="preserve"> </v>
      </c>
      <c r="I396" s="238" t="str">
        <f>IF(A396="N/A"," ",IF(ISERROR(O396),I384*Inputs!$F$19,O396))</f>
        <v xml:space="preserve"> </v>
      </c>
      <c r="J396" s="331" t="str">
        <f>IF(A396="N/A"," ",IF(ISERROR(P396),J384*Inputs!$F$23,P396))</f>
        <v xml:space="preserve"> </v>
      </c>
      <c r="L396" s="349" t="str">
        <f>IF(A396="N/A"," ",VLOOKUP(A396,PeakPowerCurves,(IF('Pricing Inputs'!$AT$3=2,3,IF('Pricing Inputs'!$AT$3=1,2,4))),FALSE))</f>
        <v xml:space="preserve"> </v>
      </c>
      <c r="M396" s="349" t="str">
        <f>IF(A396="N/A"," ",VLOOKUP(A396,SatSunPeakPwr,(IF('Pricing Inputs'!$AT$3=2,3,IF('Pricing Inputs'!$AT$3=1,2,4))),FALSE))</f>
        <v xml:space="preserve"> </v>
      </c>
      <c r="N396" s="349" t="str">
        <f>IF(A396="N/A"," ",VLOOKUP(A396,SatSunPeakPwr,(IF('Pricing Inputs'!$AT$3=2,7,IF('Pricing Inputs'!$AT$3=1,6,8))),FALSE))</f>
        <v xml:space="preserve"> </v>
      </c>
      <c r="O396" s="350" t="str">
        <f>IF(A396="N/A"," ",(VLOOKUP(A396,OPPowerPrices,(IF('Pricing Inputs'!$AT$3=2,7,IF('Pricing Inputs'!$AT$3=1,6,8))),FALSE)))</f>
        <v xml:space="preserve"> </v>
      </c>
      <c r="P396" s="351" t="str">
        <f t="shared" si="34"/>
        <v xml:space="preserve"> </v>
      </c>
    </row>
    <row r="397" spans="1:16">
      <c r="A397" s="208" t="str">
        <f>Calculations!A364</f>
        <v>N/A</v>
      </c>
      <c r="B397" s="237" t="str">
        <f>IF(A397="N/A"," ",IF(ISERROR(L397),B385*Inputs!$F$19,L397))</f>
        <v xml:space="preserve"> </v>
      </c>
      <c r="C397" s="239" t="str">
        <f t="shared" si="35"/>
        <v xml:space="preserve"> </v>
      </c>
      <c r="D397" s="238" t="str">
        <f t="shared" si="31"/>
        <v xml:space="preserve"> </v>
      </c>
      <c r="E397" s="237" t="str">
        <f>IF(A397="N/A"," ",IF(ISERROR(M397),E385*Inputs!$F$19,M397))</f>
        <v xml:space="preserve"> </v>
      </c>
      <c r="F397" s="238" t="str">
        <f t="shared" si="32"/>
        <v xml:space="preserve"> </v>
      </c>
      <c r="G397" s="237" t="str">
        <f>IF(A397="N/A"," ",IF(ISERROR(N397),G385*Inputs!$F$19,N397))</f>
        <v xml:space="preserve"> </v>
      </c>
      <c r="H397" s="238" t="str">
        <f t="shared" si="33"/>
        <v xml:space="preserve"> </v>
      </c>
      <c r="I397" s="238" t="str">
        <f>IF(A397="N/A"," ",IF(ISERROR(O397),I385*Inputs!$F$19,O397))</f>
        <v xml:space="preserve"> </v>
      </c>
      <c r="J397" s="331" t="str">
        <f>IF(A397="N/A"," ",IF(ISERROR(P397),J385*Inputs!$F$23,P397))</f>
        <v xml:space="preserve"> </v>
      </c>
      <c r="L397" s="349" t="str">
        <f>IF(A397="N/A"," ",VLOOKUP(A397,PeakPowerCurves,(IF('Pricing Inputs'!$AT$3=2,3,IF('Pricing Inputs'!$AT$3=1,2,4))),FALSE))</f>
        <v xml:space="preserve"> </v>
      </c>
      <c r="M397" s="349" t="str">
        <f>IF(A397="N/A"," ",VLOOKUP(A397,SatSunPeakPwr,(IF('Pricing Inputs'!$AT$3=2,3,IF('Pricing Inputs'!$AT$3=1,2,4))),FALSE))</f>
        <v xml:space="preserve"> </v>
      </c>
      <c r="N397" s="349" t="str">
        <f>IF(A397="N/A"," ",VLOOKUP(A397,SatSunPeakPwr,(IF('Pricing Inputs'!$AT$3=2,7,IF('Pricing Inputs'!$AT$3=1,6,8))),FALSE))</f>
        <v xml:space="preserve"> </v>
      </c>
      <c r="O397" s="350" t="str">
        <f>IF(A397="N/A"," ",(VLOOKUP(A397,OPPowerPrices,(IF('Pricing Inputs'!$AT$3=2,7,IF('Pricing Inputs'!$AT$3=1,6,8))),FALSE)))</f>
        <v xml:space="preserve"> </v>
      </c>
      <c r="P397" s="351" t="str">
        <f t="shared" si="34"/>
        <v xml:space="preserve"> </v>
      </c>
    </row>
    <row r="398" spans="1:16">
      <c r="A398" s="208" t="str">
        <f>Calculations!A365</f>
        <v>N/A</v>
      </c>
      <c r="B398" s="237" t="str">
        <f>IF(A398="N/A"," ",IF(ISERROR(L398),B386*Inputs!$F$19,L398))</f>
        <v xml:space="preserve"> </v>
      </c>
      <c r="C398" s="239" t="str">
        <f t="shared" si="35"/>
        <v xml:space="preserve"> </v>
      </c>
      <c r="D398" s="238" t="str">
        <f t="shared" si="31"/>
        <v xml:space="preserve"> </v>
      </c>
      <c r="E398" s="237" t="str">
        <f>IF(A398="N/A"," ",IF(ISERROR(M398),E386*Inputs!$F$19,M398))</f>
        <v xml:space="preserve"> </v>
      </c>
      <c r="F398" s="238" t="str">
        <f t="shared" si="32"/>
        <v xml:space="preserve"> </v>
      </c>
      <c r="G398" s="237" t="str">
        <f>IF(A398="N/A"," ",IF(ISERROR(N398),G386*Inputs!$F$19,N398))</f>
        <v xml:space="preserve"> </v>
      </c>
      <c r="H398" s="238" t="str">
        <f t="shared" si="33"/>
        <v xml:space="preserve"> </v>
      </c>
      <c r="I398" s="238" t="str">
        <f>IF(A398="N/A"," ",IF(ISERROR(O398),I386*Inputs!$F$19,O398))</f>
        <v xml:space="preserve"> </v>
      </c>
      <c r="J398" s="331" t="str">
        <f>IF(A398="N/A"," ",IF(ISERROR(P398),J386*Inputs!$F$23,P398))</f>
        <v xml:space="preserve"> </v>
      </c>
      <c r="L398" s="349" t="str">
        <f>IF(A398="N/A"," ",VLOOKUP(A398,PeakPowerCurves,(IF('Pricing Inputs'!$AT$3=2,3,IF('Pricing Inputs'!$AT$3=1,2,4))),FALSE))</f>
        <v xml:space="preserve"> </v>
      </c>
      <c r="M398" s="349" t="str">
        <f>IF(A398="N/A"," ",VLOOKUP(A398,SatSunPeakPwr,(IF('Pricing Inputs'!$AT$3=2,3,IF('Pricing Inputs'!$AT$3=1,2,4))),FALSE))</f>
        <v xml:space="preserve"> </v>
      </c>
      <c r="N398" s="349" t="str">
        <f>IF(A398="N/A"," ",VLOOKUP(A398,SatSunPeakPwr,(IF('Pricing Inputs'!$AT$3=2,7,IF('Pricing Inputs'!$AT$3=1,6,8))),FALSE))</f>
        <v xml:space="preserve"> </v>
      </c>
      <c r="O398" s="350" t="str">
        <f>IF(A398="N/A"," ",(VLOOKUP(A398,OPPowerPrices,(IF('Pricing Inputs'!$AT$3=2,7,IF('Pricing Inputs'!$AT$3=1,6,8))),FALSE)))</f>
        <v xml:space="preserve"> </v>
      </c>
      <c r="P398" s="351" t="str">
        <f t="shared" si="34"/>
        <v xml:space="preserve"> </v>
      </c>
    </row>
    <row r="399" spans="1:16">
      <c r="A399" s="208" t="str">
        <f>Calculations!A366</f>
        <v>N/A</v>
      </c>
      <c r="B399" s="237" t="str">
        <f>IF(A399="N/A"," ",IF(ISERROR(L399),B387*Inputs!$F$19,L399))</f>
        <v xml:space="preserve"> </v>
      </c>
      <c r="C399" s="239" t="str">
        <f t="shared" si="35"/>
        <v xml:space="preserve"> </v>
      </c>
      <c r="D399" s="238" t="str">
        <f t="shared" si="31"/>
        <v xml:space="preserve"> </v>
      </c>
      <c r="E399" s="237" t="str">
        <f>IF(A399="N/A"," ",IF(ISERROR(M399),E387*Inputs!$F$19,M399))</f>
        <v xml:space="preserve"> </v>
      </c>
      <c r="F399" s="238" t="str">
        <f t="shared" si="32"/>
        <v xml:space="preserve"> </v>
      </c>
      <c r="G399" s="237" t="str">
        <f>IF(A399="N/A"," ",IF(ISERROR(N399),G387*Inputs!$F$19,N399))</f>
        <v xml:space="preserve"> </v>
      </c>
      <c r="H399" s="238" t="str">
        <f t="shared" si="33"/>
        <v xml:space="preserve"> </v>
      </c>
      <c r="I399" s="238" t="str">
        <f>IF(A399="N/A"," ",IF(ISERROR(O399),I387*Inputs!$F$19,O399))</f>
        <v xml:space="preserve"> </v>
      </c>
      <c r="J399" s="331" t="str">
        <f>IF(A399="N/A"," ",IF(ISERROR(P399),J387*Inputs!$F$23,P399))</f>
        <v xml:space="preserve"> </v>
      </c>
      <c r="L399" s="349" t="str">
        <f>IF(A399="N/A"," ",VLOOKUP(A399,PeakPowerCurves,(IF('Pricing Inputs'!$AT$3=2,3,IF('Pricing Inputs'!$AT$3=1,2,4))),FALSE))</f>
        <v xml:space="preserve"> </v>
      </c>
      <c r="M399" s="349" t="str">
        <f>IF(A399="N/A"," ",VLOOKUP(A399,SatSunPeakPwr,(IF('Pricing Inputs'!$AT$3=2,3,IF('Pricing Inputs'!$AT$3=1,2,4))),FALSE))</f>
        <v xml:space="preserve"> </v>
      </c>
      <c r="N399" s="349" t="str">
        <f>IF(A399="N/A"," ",VLOOKUP(A399,SatSunPeakPwr,(IF('Pricing Inputs'!$AT$3=2,7,IF('Pricing Inputs'!$AT$3=1,6,8))),FALSE))</f>
        <v xml:space="preserve"> </v>
      </c>
      <c r="O399" s="350" t="str">
        <f>IF(A399="N/A"," ",(VLOOKUP(A399,OPPowerPrices,(IF('Pricing Inputs'!$AT$3=2,7,IF('Pricing Inputs'!$AT$3=1,6,8))),FALSE)))</f>
        <v xml:space="preserve"> </v>
      </c>
      <c r="P399" s="351" t="str">
        <f t="shared" si="34"/>
        <v xml:space="preserve"> </v>
      </c>
    </row>
    <row r="400" spans="1:16">
      <c r="A400" s="208" t="str">
        <f>Calculations!A367</f>
        <v>N/A</v>
      </c>
      <c r="B400" s="237" t="str">
        <f>IF(A400="N/A"," ",IF(ISERROR(L400),B388*Inputs!$F$19,L400))</f>
        <v xml:space="preserve"> </v>
      </c>
      <c r="C400" s="239" t="str">
        <f t="shared" si="35"/>
        <v xml:space="preserve"> </v>
      </c>
      <c r="D400" s="238" t="str">
        <f t="shared" si="31"/>
        <v xml:space="preserve"> </v>
      </c>
      <c r="E400" s="237" t="str">
        <f>IF(A400="N/A"," ",IF(ISERROR(M400),E388*Inputs!$F$19,M400))</f>
        <v xml:space="preserve"> </v>
      </c>
      <c r="F400" s="238" t="str">
        <f t="shared" si="32"/>
        <v xml:space="preserve"> </v>
      </c>
      <c r="G400" s="237" t="str">
        <f>IF(A400="N/A"," ",IF(ISERROR(N400),G388*Inputs!$F$19,N400))</f>
        <v xml:space="preserve"> </v>
      </c>
      <c r="H400" s="238" t="str">
        <f t="shared" si="33"/>
        <v xml:space="preserve"> </v>
      </c>
      <c r="I400" s="238" t="str">
        <f>IF(A400="N/A"," ",IF(ISERROR(O400),I388*Inputs!$F$19,O400))</f>
        <v xml:space="preserve"> </v>
      </c>
      <c r="J400" s="331" t="str">
        <f>IF(A400="N/A"," ",IF(ISERROR(P400),J388*Inputs!$F$23,P400))</f>
        <v xml:space="preserve"> </v>
      </c>
      <c r="L400" s="349" t="str">
        <f>IF(A400="N/A"," ",VLOOKUP(A400,PeakPowerCurves,(IF('Pricing Inputs'!$AT$3=2,3,IF('Pricing Inputs'!$AT$3=1,2,4))),FALSE))</f>
        <v xml:space="preserve"> </v>
      </c>
      <c r="M400" s="349" t="str">
        <f>IF(A400="N/A"," ",VLOOKUP(A400,SatSunPeakPwr,(IF('Pricing Inputs'!$AT$3=2,3,IF('Pricing Inputs'!$AT$3=1,2,4))),FALSE))</f>
        <v xml:space="preserve"> </v>
      </c>
      <c r="N400" s="349" t="str">
        <f>IF(A400="N/A"," ",VLOOKUP(A400,SatSunPeakPwr,(IF('Pricing Inputs'!$AT$3=2,7,IF('Pricing Inputs'!$AT$3=1,6,8))),FALSE))</f>
        <v xml:space="preserve"> </v>
      </c>
      <c r="O400" s="350" t="str">
        <f>IF(A400="N/A"," ",(VLOOKUP(A400,OPPowerPrices,(IF('Pricing Inputs'!$AT$3=2,7,IF('Pricing Inputs'!$AT$3=1,6,8))),FALSE)))</f>
        <v xml:space="preserve"> </v>
      </c>
      <c r="P400" s="351" t="str">
        <f t="shared" si="34"/>
        <v xml:space="preserve"> </v>
      </c>
    </row>
    <row r="401" spans="1:16">
      <c r="A401" s="208" t="str">
        <f>Calculations!A368</f>
        <v>N/A</v>
      </c>
      <c r="B401" s="237" t="str">
        <f>IF(A401="N/A"," ",IF(ISERROR(L401),B389*Inputs!$F$19,L401))</f>
        <v xml:space="preserve"> </v>
      </c>
      <c r="C401" s="239" t="str">
        <f t="shared" si="35"/>
        <v xml:space="preserve"> </v>
      </c>
      <c r="D401" s="238" t="str">
        <f t="shared" si="31"/>
        <v xml:space="preserve"> </v>
      </c>
      <c r="E401" s="237" t="str">
        <f>IF(A401="N/A"," ",IF(ISERROR(M401),E389*Inputs!$F$19,M401))</f>
        <v xml:space="preserve"> </v>
      </c>
      <c r="F401" s="238" t="str">
        <f t="shared" si="32"/>
        <v xml:space="preserve"> </v>
      </c>
      <c r="G401" s="237" t="str">
        <f>IF(A401="N/A"," ",IF(ISERROR(N401),G389*Inputs!$F$19,N401))</f>
        <v xml:space="preserve"> </v>
      </c>
      <c r="H401" s="238" t="str">
        <f t="shared" si="33"/>
        <v xml:space="preserve"> </v>
      </c>
      <c r="I401" s="238" t="str">
        <f>IF(A401="N/A"," ",IF(ISERROR(O401),I389*Inputs!$F$19,O401))</f>
        <v xml:space="preserve"> </v>
      </c>
      <c r="J401" s="331" t="str">
        <f>IF(A401="N/A"," ",IF(ISERROR(P401),J389*Inputs!$F$23,P401))</f>
        <v xml:space="preserve"> </v>
      </c>
      <c r="L401" s="349" t="str">
        <f>IF(A401="N/A"," ",VLOOKUP(A401,PeakPowerCurves,(IF('Pricing Inputs'!$AT$3=2,3,IF('Pricing Inputs'!$AT$3=1,2,4))),FALSE))</f>
        <v xml:space="preserve"> </v>
      </c>
      <c r="M401" s="349" t="str">
        <f>IF(A401="N/A"," ",VLOOKUP(A401,SatSunPeakPwr,(IF('Pricing Inputs'!$AT$3=2,3,IF('Pricing Inputs'!$AT$3=1,2,4))),FALSE))</f>
        <v xml:space="preserve"> </v>
      </c>
      <c r="N401" s="349" t="str">
        <f>IF(A401="N/A"," ",VLOOKUP(A401,SatSunPeakPwr,(IF('Pricing Inputs'!$AT$3=2,7,IF('Pricing Inputs'!$AT$3=1,6,8))),FALSE))</f>
        <v xml:space="preserve"> </v>
      </c>
      <c r="O401" s="350" t="str">
        <f>IF(A401="N/A"," ",(VLOOKUP(A401,OPPowerPrices,(IF('Pricing Inputs'!$AT$3=2,7,IF('Pricing Inputs'!$AT$3=1,6,8))),FALSE)))</f>
        <v xml:space="preserve"> </v>
      </c>
      <c r="P401" s="351" t="str">
        <f t="shared" si="34"/>
        <v xml:space="preserve"> </v>
      </c>
    </row>
    <row r="402" spans="1:16">
      <c r="A402" s="208" t="str">
        <f>Calculations!A369</f>
        <v>N/A</v>
      </c>
      <c r="B402" s="237" t="str">
        <f>IF(A402="N/A"," ",IF(ISERROR(L402),B390*Inputs!$F$19,L402))</f>
        <v xml:space="preserve"> </v>
      </c>
      <c r="C402" s="239" t="str">
        <f t="shared" si="35"/>
        <v xml:space="preserve"> </v>
      </c>
      <c r="D402" s="238" t="str">
        <f t="shared" si="31"/>
        <v xml:space="preserve"> </v>
      </c>
      <c r="E402" s="237" t="str">
        <f>IF(A402="N/A"," ",IF(ISERROR(M402),E390*Inputs!$F$19,M402))</f>
        <v xml:space="preserve"> </v>
      </c>
      <c r="F402" s="238" t="str">
        <f t="shared" si="32"/>
        <v xml:space="preserve"> </v>
      </c>
      <c r="G402" s="237" t="str">
        <f>IF(A402="N/A"," ",IF(ISERROR(N402),G390*Inputs!$F$19,N402))</f>
        <v xml:space="preserve"> </v>
      </c>
      <c r="H402" s="238" t="str">
        <f t="shared" si="33"/>
        <v xml:space="preserve"> </v>
      </c>
      <c r="I402" s="238" t="str">
        <f>IF(A402="N/A"," ",IF(ISERROR(O402),I390*Inputs!$F$19,O402))</f>
        <v xml:space="preserve"> </v>
      </c>
      <c r="J402" s="331" t="str">
        <f>IF(A402="N/A"," ",IF(ISERROR(P402),J390*Inputs!$F$23,P402))</f>
        <v xml:space="preserve"> </v>
      </c>
      <c r="L402" s="349" t="str">
        <f>IF(A402="N/A"," ",VLOOKUP(A402,PeakPowerCurves,(IF('Pricing Inputs'!$AT$3=2,3,IF('Pricing Inputs'!$AT$3=1,2,4))),FALSE))</f>
        <v xml:space="preserve"> </v>
      </c>
      <c r="M402" s="349" t="str">
        <f>IF(A402="N/A"," ",VLOOKUP(A402,SatSunPeakPwr,(IF('Pricing Inputs'!$AT$3=2,3,IF('Pricing Inputs'!$AT$3=1,2,4))),FALSE))</f>
        <v xml:space="preserve"> </v>
      </c>
      <c r="N402" s="349" t="str">
        <f>IF(A402="N/A"," ",VLOOKUP(A402,SatSunPeakPwr,(IF('Pricing Inputs'!$AT$3=2,7,IF('Pricing Inputs'!$AT$3=1,6,8))),FALSE))</f>
        <v xml:space="preserve"> </v>
      </c>
      <c r="O402" s="350" t="str">
        <f>IF(A402="N/A"," ",(VLOOKUP(A402,OPPowerPrices,(IF('Pricing Inputs'!$AT$3=2,7,IF('Pricing Inputs'!$AT$3=1,6,8))),FALSE)))</f>
        <v xml:space="preserve"> </v>
      </c>
      <c r="P402" s="351" t="str">
        <f t="shared" si="34"/>
        <v xml:space="preserve"> </v>
      </c>
    </row>
    <row r="403" spans="1:16">
      <c r="A403" s="208" t="str">
        <f>Calculations!A370</f>
        <v>N/A</v>
      </c>
      <c r="B403" s="237" t="str">
        <f>IF(A403="N/A"," ",IF(ISERROR(L403),B391*Inputs!$F$19,L403))</f>
        <v xml:space="preserve"> </v>
      </c>
      <c r="C403" s="239" t="str">
        <f t="shared" si="35"/>
        <v xml:space="preserve"> </v>
      </c>
      <c r="D403" s="238" t="str">
        <f t="shared" si="31"/>
        <v xml:space="preserve"> </v>
      </c>
      <c r="E403" s="237" t="str">
        <f>IF(A403="N/A"," ",IF(ISERROR(M403),E391*Inputs!$F$19,M403))</f>
        <v xml:space="preserve"> </v>
      </c>
      <c r="F403" s="238" t="str">
        <f t="shared" si="32"/>
        <v xml:space="preserve"> </v>
      </c>
      <c r="G403" s="237" t="str">
        <f>IF(A403="N/A"," ",IF(ISERROR(N403),G391*Inputs!$F$19,N403))</f>
        <v xml:space="preserve"> </v>
      </c>
      <c r="H403" s="238" t="str">
        <f t="shared" si="33"/>
        <v xml:space="preserve"> </v>
      </c>
      <c r="I403" s="238" t="str">
        <f>IF(A403="N/A"," ",IF(ISERROR(O403),I391*Inputs!$F$19,O403))</f>
        <v xml:space="preserve"> </v>
      </c>
      <c r="J403" s="331" t="str">
        <f>IF(A403="N/A"," ",IF(ISERROR(P403),J391*Inputs!$F$23,P403))</f>
        <v xml:space="preserve"> </v>
      </c>
      <c r="L403" s="349" t="str">
        <f>IF(A403="N/A"," ",VLOOKUP(A403,PeakPowerCurves,(IF('Pricing Inputs'!$AT$3=2,3,IF('Pricing Inputs'!$AT$3=1,2,4))),FALSE))</f>
        <v xml:space="preserve"> </v>
      </c>
      <c r="M403" s="349" t="str">
        <f>IF(A403="N/A"," ",VLOOKUP(A403,SatSunPeakPwr,(IF('Pricing Inputs'!$AT$3=2,3,IF('Pricing Inputs'!$AT$3=1,2,4))),FALSE))</f>
        <v xml:space="preserve"> </v>
      </c>
      <c r="N403" s="349" t="str">
        <f>IF(A403="N/A"," ",VLOOKUP(A403,SatSunPeakPwr,(IF('Pricing Inputs'!$AT$3=2,7,IF('Pricing Inputs'!$AT$3=1,6,8))),FALSE))</f>
        <v xml:space="preserve"> </v>
      </c>
      <c r="O403" s="350" t="str">
        <f>IF(A403="N/A"," ",(VLOOKUP(A403,OPPowerPrices,(IF('Pricing Inputs'!$AT$3=2,7,IF('Pricing Inputs'!$AT$3=1,6,8))),FALSE)))</f>
        <v xml:space="preserve"> </v>
      </c>
      <c r="P403" s="351" t="str">
        <f t="shared" si="34"/>
        <v xml:space="preserve"> </v>
      </c>
    </row>
    <row r="404" spans="1:16">
      <c r="A404" s="208" t="str">
        <f>Calculations!A371</f>
        <v>N/A</v>
      </c>
      <c r="B404" s="237" t="str">
        <f>IF(A404="N/A"," ",IF(ISERROR(L404),B392*Inputs!$F$19,L404))</f>
        <v xml:space="preserve"> </v>
      </c>
      <c r="C404" s="239" t="str">
        <f t="shared" si="35"/>
        <v xml:space="preserve"> </v>
      </c>
      <c r="D404" s="238" t="str">
        <f t="shared" si="31"/>
        <v xml:space="preserve"> </v>
      </c>
      <c r="E404" s="237" t="str">
        <f>IF(A404="N/A"," ",IF(ISERROR(M404),E392*Inputs!$F$19,M404))</f>
        <v xml:space="preserve"> </v>
      </c>
      <c r="F404" s="238" t="str">
        <f t="shared" si="32"/>
        <v xml:space="preserve"> </v>
      </c>
      <c r="G404" s="237" t="str">
        <f>IF(A404="N/A"," ",IF(ISERROR(N404),G392*Inputs!$F$19,N404))</f>
        <v xml:space="preserve"> </v>
      </c>
      <c r="H404" s="238" t="str">
        <f t="shared" si="33"/>
        <v xml:space="preserve"> </v>
      </c>
      <c r="I404" s="238" t="str">
        <f>IF(A404="N/A"," ",IF(ISERROR(O404),I392*Inputs!$F$19,O404))</f>
        <v xml:space="preserve"> </v>
      </c>
      <c r="J404" s="331" t="str">
        <f>IF(A404="N/A"," ",IF(ISERROR(P404),J392*Inputs!$F$23,P404))</f>
        <v xml:space="preserve"> </v>
      </c>
      <c r="L404" s="349" t="str">
        <f>IF(A404="N/A"," ",VLOOKUP(A404,PeakPowerCurves,(IF('Pricing Inputs'!$AT$3=2,3,IF('Pricing Inputs'!$AT$3=1,2,4))),FALSE))</f>
        <v xml:space="preserve"> </v>
      </c>
      <c r="M404" s="349" t="str">
        <f>IF(A404="N/A"," ",VLOOKUP(A404,SatSunPeakPwr,(IF('Pricing Inputs'!$AT$3=2,3,IF('Pricing Inputs'!$AT$3=1,2,4))),FALSE))</f>
        <v xml:space="preserve"> </v>
      </c>
      <c r="N404" s="349" t="str">
        <f>IF(A404="N/A"," ",VLOOKUP(A404,SatSunPeakPwr,(IF('Pricing Inputs'!$AT$3=2,7,IF('Pricing Inputs'!$AT$3=1,6,8))),FALSE))</f>
        <v xml:space="preserve"> </v>
      </c>
      <c r="O404" s="350" t="str">
        <f>IF(A404="N/A"," ",(VLOOKUP(A404,OPPowerPrices,(IF('Pricing Inputs'!$AT$3=2,7,IF('Pricing Inputs'!$AT$3=1,6,8))),FALSE)))</f>
        <v xml:space="preserve"> </v>
      </c>
      <c r="P404" s="351" t="str">
        <f t="shared" si="34"/>
        <v xml:space="preserve"> </v>
      </c>
    </row>
    <row r="405" spans="1:16">
      <c r="A405" s="208" t="str">
        <f>Calculations!A372</f>
        <v>N/A</v>
      </c>
      <c r="B405" s="237" t="str">
        <f>IF(A405="N/A"," ",IF(ISERROR(L405),B393*Inputs!$F$19,L405))</f>
        <v xml:space="preserve"> </v>
      </c>
      <c r="C405" s="239" t="str">
        <f t="shared" si="35"/>
        <v xml:space="preserve"> </v>
      </c>
      <c r="D405" s="238" t="str">
        <f t="shared" si="31"/>
        <v xml:space="preserve"> </v>
      </c>
      <c r="E405" s="237" t="str">
        <f>IF(A405="N/A"," ",IF(ISERROR(M405),E393*Inputs!$F$19,M405))</f>
        <v xml:space="preserve"> </v>
      </c>
      <c r="F405" s="238" t="str">
        <f t="shared" si="32"/>
        <v xml:space="preserve"> </v>
      </c>
      <c r="G405" s="237" t="str">
        <f>IF(A405="N/A"," ",IF(ISERROR(N405),G393*Inputs!$F$19,N405))</f>
        <v xml:space="preserve"> </v>
      </c>
      <c r="H405" s="238" t="str">
        <f t="shared" si="33"/>
        <v xml:space="preserve"> </v>
      </c>
      <c r="I405" s="238" t="str">
        <f>IF(A405="N/A"," ",IF(ISERROR(O405),I393*Inputs!$F$19,O405))</f>
        <v xml:space="preserve"> </v>
      </c>
      <c r="J405" s="331" t="str">
        <f>IF(A405="N/A"," ",IF(ISERROR(P405),J393*Inputs!$F$23,P405))</f>
        <v xml:space="preserve"> </v>
      </c>
      <c r="L405" s="349" t="str">
        <f>IF(A405="N/A"," ",VLOOKUP(A405,PeakPowerCurves,(IF('Pricing Inputs'!$AT$3=2,3,IF('Pricing Inputs'!$AT$3=1,2,4))),FALSE))</f>
        <v xml:space="preserve"> </v>
      </c>
      <c r="M405" s="349" t="str">
        <f>IF(A405="N/A"," ",VLOOKUP(A405,SatSunPeakPwr,(IF('Pricing Inputs'!$AT$3=2,3,IF('Pricing Inputs'!$AT$3=1,2,4))),FALSE))</f>
        <v xml:space="preserve"> </v>
      </c>
      <c r="N405" s="349" t="str">
        <f>IF(A405="N/A"," ",VLOOKUP(A405,SatSunPeakPwr,(IF('Pricing Inputs'!$AT$3=2,7,IF('Pricing Inputs'!$AT$3=1,6,8))),FALSE))</f>
        <v xml:space="preserve"> </v>
      </c>
      <c r="O405" s="350" t="str">
        <f>IF(A405="N/A"," ",(VLOOKUP(A405,OPPowerPrices,(IF('Pricing Inputs'!$AT$3=2,7,IF('Pricing Inputs'!$AT$3=1,6,8))),FALSE)))</f>
        <v xml:space="preserve"> </v>
      </c>
      <c r="P405" s="351" t="str">
        <f t="shared" si="34"/>
        <v xml:space="preserve"> </v>
      </c>
    </row>
    <row r="406" spans="1:16">
      <c r="A406" s="208" t="str">
        <f>Calculations!A373</f>
        <v>N/A</v>
      </c>
      <c r="B406" s="237" t="str">
        <f>IF(A406="N/A"," ",IF(ISERROR(L406),B394*Inputs!$F$19,L406))</f>
        <v xml:space="preserve"> </v>
      </c>
      <c r="C406" s="239" t="str">
        <f t="shared" si="35"/>
        <v xml:space="preserve"> </v>
      </c>
      <c r="D406" s="238" t="str">
        <f t="shared" si="31"/>
        <v xml:space="preserve"> </v>
      </c>
      <c r="E406" s="237" t="str">
        <f>IF(A406="N/A"," ",IF(ISERROR(M406),E394*Inputs!$F$19,M406))</f>
        <v xml:space="preserve"> </v>
      </c>
      <c r="F406" s="238" t="str">
        <f t="shared" si="32"/>
        <v xml:space="preserve"> </v>
      </c>
      <c r="G406" s="237" t="str">
        <f>IF(A406="N/A"," ",IF(ISERROR(N406),G394*Inputs!$F$19,N406))</f>
        <v xml:space="preserve"> </v>
      </c>
      <c r="H406" s="238" t="str">
        <f t="shared" si="33"/>
        <v xml:space="preserve"> </v>
      </c>
      <c r="I406" s="238" t="str">
        <f>IF(A406="N/A"," ",IF(ISERROR(O406),I394*Inputs!$F$19,O406))</f>
        <v xml:space="preserve"> </v>
      </c>
      <c r="J406" s="331" t="str">
        <f>IF(A406="N/A"," ",IF(ISERROR(P406),J394*Inputs!$F$23,P406))</f>
        <v xml:space="preserve"> </v>
      </c>
      <c r="L406" s="349" t="str">
        <f>IF(A406="N/A"," ",VLOOKUP(A406,PeakPowerCurves,(IF('Pricing Inputs'!$AT$3=2,3,IF('Pricing Inputs'!$AT$3=1,2,4))),FALSE))</f>
        <v xml:space="preserve"> </v>
      </c>
      <c r="M406" s="349" t="str">
        <f>IF(A406="N/A"," ",VLOOKUP(A406,SatSunPeakPwr,(IF('Pricing Inputs'!$AT$3=2,3,IF('Pricing Inputs'!$AT$3=1,2,4))),FALSE))</f>
        <v xml:space="preserve"> </v>
      </c>
      <c r="N406" s="349" t="str">
        <f>IF(A406="N/A"," ",VLOOKUP(A406,SatSunPeakPwr,(IF('Pricing Inputs'!$AT$3=2,7,IF('Pricing Inputs'!$AT$3=1,6,8))),FALSE))</f>
        <v xml:space="preserve"> </v>
      </c>
      <c r="O406" s="350" t="str">
        <f>IF(A406="N/A"," ",(VLOOKUP(A406,OPPowerPrices,(IF('Pricing Inputs'!$AT$3=2,7,IF('Pricing Inputs'!$AT$3=1,6,8))),FALSE)))</f>
        <v xml:space="preserve"> </v>
      </c>
      <c r="P406" s="351" t="str">
        <f t="shared" si="34"/>
        <v xml:space="preserve"> </v>
      </c>
    </row>
    <row r="407" spans="1:16">
      <c r="A407" s="208" t="str">
        <f>Calculations!A374</f>
        <v>N/A</v>
      </c>
      <c r="B407" s="237" t="str">
        <f>IF(A407="N/A"," ",IF(ISERROR(L407),B395*Inputs!$F$19,L407))</f>
        <v xml:space="preserve"> </v>
      </c>
      <c r="C407" s="239" t="str">
        <f t="shared" si="35"/>
        <v xml:space="preserve"> </v>
      </c>
      <c r="D407" s="238" t="str">
        <f t="shared" si="31"/>
        <v xml:space="preserve"> </v>
      </c>
      <c r="E407" s="237" t="str">
        <f>IF(A407="N/A"," ",IF(ISERROR(M407),E395*Inputs!$F$19,M407))</f>
        <v xml:space="preserve"> </v>
      </c>
      <c r="F407" s="238" t="str">
        <f t="shared" si="32"/>
        <v xml:space="preserve"> </v>
      </c>
      <c r="G407" s="237" t="str">
        <f>IF(A407="N/A"," ",IF(ISERROR(N407),G395*Inputs!$F$19,N407))</f>
        <v xml:space="preserve"> </v>
      </c>
      <c r="H407" s="238" t="str">
        <f t="shared" si="33"/>
        <v xml:space="preserve"> </v>
      </c>
      <c r="I407" s="238" t="str">
        <f>IF(A407="N/A"," ",IF(ISERROR(O407),I395*Inputs!$F$19,O407))</f>
        <v xml:space="preserve"> </v>
      </c>
      <c r="J407" s="331" t="str">
        <f>IF(A407="N/A"," ",IF(ISERROR(P407),J395*Inputs!$F$23,P407))</f>
        <v xml:space="preserve"> </v>
      </c>
      <c r="L407" s="349" t="str">
        <f>IF(A407="N/A"," ",VLOOKUP(A407,PeakPowerCurves,(IF('Pricing Inputs'!$AT$3=2,3,IF('Pricing Inputs'!$AT$3=1,2,4))),FALSE))</f>
        <v xml:space="preserve"> </v>
      </c>
      <c r="M407" s="349" t="str">
        <f>IF(A407="N/A"," ",VLOOKUP(A407,SatSunPeakPwr,(IF('Pricing Inputs'!$AT$3=2,3,IF('Pricing Inputs'!$AT$3=1,2,4))),FALSE))</f>
        <v xml:space="preserve"> </v>
      </c>
      <c r="N407" s="349" t="str">
        <f>IF(A407="N/A"," ",VLOOKUP(A407,SatSunPeakPwr,(IF('Pricing Inputs'!$AT$3=2,7,IF('Pricing Inputs'!$AT$3=1,6,8))),FALSE))</f>
        <v xml:space="preserve"> </v>
      </c>
      <c r="O407" s="350" t="str">
        <f>IF(A407="N/A"," ",(VLOOKUP(A407,OPPowerPrices,(IF('Pricing Inputs'!$AT$3=2,7,IF('Pricing Inputs'!$AT$3=1,6,8))),FALSE)))</f>
        <v xml:space="preserve"> </v>
      </c>
      <c r="P407" s="351" t="str">
        <f t="shared" si="34"/>
        <v xml:space="preserve"> </v>
      </c>
    </row>
    <row r="408" spans="1:16">
      <c r="A408" s="208" t="str">
        <f>Calculations!A375</f>
        <v>N/A</v>
      </c>
      <c r="B408" s="237" t="str">
        <f>IF(A408="N/A"," ",IF(ISERROR(L408),B396*Inputs!$F$19,L408))</f>
        <v xml:space="preserve"> </v>
      </c>
      <c r="C408" s="239" t="str">
        <f t="shared" si="35"/>
        <v xml:space="preserve"> </v>
      </c>
      <c r="D408" s="238" t="str">
        <f t="shared" si="31"/>
        <v xml:space="preserve"> </v>
      </c>
      <c r="E408" s="237" t="str">
        <f>IF(A408="N/A"," ",IF(ISERROR(M408),E396*Inputs!$F$19,M408))</f>
        <v xml:space="preserve"> </v>
      </c>
      <c r="F408" s="238" t="str">
        <f t="shared" si="32"/>
        <v xml:space="preserve"> </v>
      </c>
      <c r="G408" s="237" t="str">
        <f>IF(A408="N/A"," ",IF(ISERROR(N408),G396*Inputs!$F$19,N408))</f>
        <v xml:space="preserve"> </v>
      </c>
      <c r="H408" s="238" t="str">
        <f t="shared" si="33"/>
        <v xml:space="preserve"> </v>
      </c>
      <c r="I408" s="238" t="str">
        <f>IF(A408="N/A"," ",IF(ISERROR(O408),I396*Inputs!$F$19,O408))</f>
        <v xml:space="preserve"> </v>
      </c>
      <c r="J408" s="331" t="str">
        <f>IF(A408="N/A"," ",IF(ISERROR(P408),J396*Inputs!$F$23,P408))</f>
        <v xml:space="preserve"> </v>
      </c>
      <c r="L408" s="349" t="str">
        <f>IF(A408="N/A"," ",VLOOKUP(A408,PeakPowerCurves,(IF('Pricing Inputs'!$AT$3=2,3,IF('Pricing Inputs'!$AT$3=1,2,4))),FALSE))</f>
        <v xml:space="preserve"> </v>
      </c>
      <c r="M408" s="349" t="str">
        <f>IF(A408="N/A"," ",VLOOKUP(A408,SatSunPeakPwr,(IF('Pricing Inputs'!$AT$3=2,3,IF('Pricing Inputs'!$AT$3=1,2,4))),FALSE))</f>
        <v xml:space="preserve"> </v>
      </c>
      <c r="N408" s="349" t="str">
        <f>IF(A408="N/A"," ",VLOOKUP(A408,SatSunPeakPwr,(IF('Pricing Inputs'!$AT$3=2,7,IF('Pricing Inputs'!$AT$3=1,6,8))),FALSE))</f>
        <v xml:space="preserve"> </v>
      </c>
      <c r="O408" s="350" t="str">
        <f>IF(A408="N/A"," ",(VLOOKUP(A408,OPPowerPrices,(IF('Pricing Inputs'!$AT$3=2,7,IF('Pricing Inputs'!$AT$3=1,6,8))),FALSE)))</f>
        <v xml:space="preserve"> </v>
      </c>
      <c r="P408" s="351" t="str">
        <f t="shared" si="34"/>
        <v xml:space="preserve"> </v>
      </c>
    </row>
    <row r="409" spans="1:16">
      <c r="A409" s="208" t="str">
        <f>Calculations!A376</f>
        <v>N/A</v>
      </c>
      <c r="B409" s="237" t="str">
        <f>IF(A409="N/A"," ",IF(ISERROR(L409),B397*Inputs!$F$19,L409))</f>
        <v xml:space="preserve"> </v>
      </c>
      <c r="C409" s="239" t="str">
        <f t="shared" si="35"/>
        <v xml:space="preserve"> </v>
      </c>
      <c r="D409" s="238" t="str">
        <f t="shared" si="31"/>
        <v xml:space="preserve"> </v>
      </c>
      <c r="E409" s="237" t="str">
        <f>IF(A409="N/A"," ",IF(ISERROR(M409),E397*Inputs!$F$19,M409))</f>
        <v xml:space="preserve"> </v>
      </c>
      <c r="F409" s="238" t="str">
        <f t="shared" si="32"/>
        <v xml:space="preserve"> </v>
      </c>
      <c r="G409" s="237" t="str">
        <f>IF(A409="N/A"," ",IF(ISERROR(N409),G397*Inputs!$F$19,N409))</f>
        <v xml:space="preserve"> </v>
      </c>
      <c r="H409" s="238" t="str">
        <f t="shared" si="33"/>
        <v xml:space="preserve"> </v>
      </c>
      <c r="I409" s="238" t="str">
        <f>IF(A409="N/A"," ",IF(ISERROR(O409),I397*Inputs!$F$19,O409))</f>
        <v xml:space="preserve"> </v>
      </c>
      <c r="J409" s="331" t="str">
        <f>IF(A409="N/A"," ",IF(ISERROR(P409),J397*Inputs!$F$23,P409))</f>
        <v xml:space="preserve"> </v>
      </c>
      <c r="L409" s="349" t="str">
        <f>IF(A409="N/A"," ",VLOOKUP(A409,PeakPowerCurves,(IF('Pricing Inputs'!$AT$3=2,3,IF('Pricing Inputs'!$AT$3=1,2,4))),FALSE))</f>
        <v xml:space="preserve"> </v>
      </c>
      <c r="M409" s="349" t="str">
        <f>IF(A409="N/A"," ",VLOOKUP(A409,SatSunPeakPwr,(IF('Pricing Inputs'!$AT$3=2,3,IF('Pricing Inputs'!$AT$3=1,2,4))),FALSE))</f>
        <v xml:space="preserve"> </v>
      </c>
      <c r="N409" s="349" t="str">
        <f>IF(A409="N/A"," ",VLOOKUP(A409,SatSunPeakPwr,(IF('Pricing Inputs'!$AT$3=2,7,IF('Pricing Inputs'!$AT$3=1,6,8))),FALSE))</f>
        <v xml:space="preserve"> </v>
      </c>
      <c r="O409" s="350" t="str">
        <f>IF(A409="N/A"," ",(VLOOKUP(A409,OPPowerPrices,(IF('Pricing Inputs'!$AT$3=2,7,IF('Pricing Inputs'!$AT$3=1,6,8))),FALSE)))</f>
        <v xml:space="preserve"> </v>
      </c>
      <c r="P409" s="351" t="str">
        <f t="shared" si="34"/>
        <v xml:space="preserve"> </v>
      </c>
    </row>
    <row r="410" spans="1:16">
      <c r="A410" s="208" t="str">
        <f>Calculations!A377</f>
        <v>N/A</v>
      </c>
      <c r="B410" s="237" t="str">
        <f>IF(A410="N/A"," ",IF(ISERROR(L410),B398*Inputs!$F$19,L410))</f>
        <v xml:space="preserve"> </v>
      </c>
      <c r="C410" s="239" t="str">
        <f t="shared" si="35"/>
        <v xml:space="preserve"> </v>
      </c>
      <c r="D410" s="238" t="str">
        <f t="shared" si="31"/>
        <v xml:space="preserve"> </v>
      </c>
      <c r="E410" s="237" t="str">
        <f>IF(A410="N/A"," ",IF(ISERROR(M410),E398*Inputs!$F$19,M410))</f>
        <v xml:space="preserve"> </v>
      </c>
      <c r="F410" s="238" t="str">
        <f t="shared" si="32"/>
        <v xml:space="preserve"> </v>
      </c>
      <c r="G410" s="237" t="str">
        <f>IF(A410="N/A"," ",IF(ISERROR(N410),G398*Inputs!$F$19,N410))</f>
        <v xml:space="preserve"> </v>
      </c>
      <c r="H410" s="238" t="str">
        <f t="shared" si="33"/>
        <v xml:space="preserve"> </v>
      </c>
      <c r="I410" s="238" t="str">
        <f>IF(A410="N/A"," ",IF(ISERROR(O410),I398*Inputs!$F$19,O410))</f>
        <v xml:space="preserve"> </v>
      </c>
      <c r="J410" s="331" t="str">
        <f>IF(A410="N/A"," ",IF(ISERROR(P410),J398*Inputs!$F$23,P410))</f>
        <v xml:space="preserve"> </v>
      </c>
      <c r="L410" s="349" t="str">
        <f>IF(A410="N/A"," ",VLOOKUP(A410,PeakPowerCurves,(IF('Pricing Inputs'!$AT$3=2,3,IF('Pricing Inputs'!$AT$3=1,2,4))),FALSE))</f>
        <v xml:space="preserve"> </v>
      </c>
      <c r="M410" s="349" t="str">
        <f>IF(A410="N/A"," ",VLOOKUP(A410,SatSunPeakPwr,(IF('Pricing Inputs'!$AT$3=2,3,IF('Pricing Inputs'!$AT$3=1,2,4))),FALSE))</f>
        <v xml:space="preserve"> </v>
      </c>
      <c r="N410" s="349" t="str">
        <f>IF(A410="N/A"," ",VLOOKUP(A410,SatSunPeakPwr,(IF('Pricing Inputs'!$AT$3=2,7,IF('Pricing Inputs'!$AT$3=1,6,8))),FALSE))</f>
        <v xml:space="preserve"> </v>
      </c>
      <c r="O410" s="350" t="str">
        <f>IF(A410="N/A"," ",(VLOOKUP(A410,OPPowerPrices,(IF('Pricing Inputs'!$AT$3=2,7,IF('Pricing Inputs'!$AT$3=1,6,8))),FALSE)))</f>
        <v xml:space="preserve"> </v>
      </c>
      <c r="P410" s="351" t="str">
        <f t="shared" si="34"/>
        <v xml:space="preserve"> </v>
      </c>
    </row>
    <row r="411" spans="1:16">
      <c r="A411" s="208" t="str">
        <f>Calculations!A378</f>
        <v>N/A</v>
      </c>
      <c r="B411" s="237" t="str">
        <f>IF(A411="N/A"," ",IF(ISERROR(L411),B399*Inputs!$F$19,L411))</f>
        <v xml:space="preserve"> </v>
      </c>
      <c r="C411" s="239" t="str">
        <f t="shared" si="35"/>
        <v xml:space="preserve"> </v>
      </c>
      <c r="D411" s="238" t="str">
        <f t="shared" si="31"/>
        <v xml:space="preserve"> </v>
      </c>
      <c r="E411" s="237" t="str">
        <f>IF(A411="N/A"," ",IF(ISERROR(M411),E399*Inputs!$F$19,M411))</f>
        <v xml:space="preserve"> </v>
      </c>
      <c r="F411" s="238" t="str">
        <f t="shared" si="32"/>
        <v xml:space="preserve"> </v>
      </c>
      <c r="G411" s="237" t="str">
        <f>IF(A411="N/A"," ",IF(ISERROR(N411),G399*Inputs!$F$19,N411))</f>
        <v xml:space="preserve"> </v>
      </c>
      <c r="H411" s="238" t="str">
        <f t="shared" si="33"/>
        <v xml:space="preserve"> </v>
      </c>
      <c r="I411" s="238" t="str">
        <f>IF(A411="N/A"," ",IF(ISERROR(O411),I399*Inputs!$F$19,O411))</f>
        <v xml:space="preserve"> </v>
      </c>
      <c r="J411" s="331" t="str">
        <f>IF(A411="N/A"," ",IF(ISERROR(P411),J399*Inputs!$F$23,P411))</f>
        <v xml:space="preserve"> </v>
      </c>
      <c r="L411" s="349" t="str">
        <f>IF(A411="N/A"," ",VLOOKUP(A411,PeakPowerCurves,(IF('Pricing Inputs'!$AT$3=2,3,IF('Pricing Inputs'!$AT$3=1,2,4))),FALSE))</f>
        <v xml:space="preserve"> </v>
      </c>
      <c r="M411" s="349" t="str">
        <f>IF(A411="N/A"," ",VLOOKUP(A411,SatSunPeakPwr,(IF('Pricing Inputs'!$AT$3=2,3,IF('Pricing Inputs'!$AT$3=1,2,4))),FALSE))</f>
        <v xml:space="preserve"> </v>
      </c>
      <c r="N411" s="349" t="str">
        <f>IF(A411="N/A"," ",VLOOKUP(A411,SatSunPeakPwr,(IF('Pricing Inputs'!$AT$3=2,7,IF('Pricing Inputs'!$AT$3=1,6,8))),FALSE))</f>
        <v xml:space="preserve"> </v>
      </c>
      <c r="O411" s="350" t="str">
        <f>IF(A411="N/A"," ",(VLOOKUP(A411,OPPowerPrices,(IF('Pricing Inputs'!$AT$3=2,7,IF('Pricing Inputs'!$AT$3=1,6,8))),FALSE)))</f>
        <v xml:space="preserve"> </v>
      </c>
      <c r="P411" s="351" t="str">
        <f t="shared" si="34"/>
        <v xml:space="preserve"> </v>
      </c>
    </row>
    <row r="412" spans="1:16">
      <c r="A412" s="208" t="str">
        <f>Calculations!A379</f>
        <v>N/A</v>
      </c>
      <c r="B412" s="237" t="str">
        <f>IF(A412="N/A"," ",IF(ISERROR(L412),B400*Inputs!$F$19,L412))</f>
        <v xml:space="preserve"> </v>
      </c>
      <c r="C412" s="239" t="str">
        <f t="shared" si="35"/>
        <v xml:space="preserve"> </v>
      </c>
      <c r="D412" s="238" t="str">
        <f t="shared" si="31"/>
        <v xml:space="preserve"> </v>
      </c>
      <c r="E412" s="237" t="str">
        <f>IF(A412="N/A"," ",IF(ISERROR(M412),E400*Inputs!$F$19,M412))</f>
        <v xml:space="preserve"> </v>
      </c>
      <c r="F412" s="238" t="str">
        <f t="shared" si="32"/>
        <v xml:space="preserve"> </v>
      </c>
      <c r="G412" s="237" t="str">
        <f>IF(A412="N/A"," ",IF(ISERROR(N412),G400*Inputs!$F$19,N412))</f>
        <v xml:space="preserve"> </v>
      </c>
      <c r="H412" s="238" t="str">
        <f t="shared" si="33"/>
        <v xml:space="preserve"> </v>
      </c>
      <c r="I412" s="238" t="str">
        <f>IF(A412="N/A"," ",IF(ISERROR(O412),I400*Inputs!$F$19,O412))</f>
        <v xml:space="preserve"> </v>
      </c>
      <c r="J412" s="331" t="str">
        <f>IF(A412="N/A"," ",IF(ISERROR(P412),J400*Inputs!$F$23,P412))</f>
        <v xml:space="preserve"> </v>
      </c>
      <c r="L412" s="349" t="str">
        <f>IF(A412="N/A"," ",VLOOKUP(A412,PeakPowerCurves,(IF('Pricing Inputs'!$AT$3=2,3,IF('Pricing Inputs'!$AT$3=1,2,4))),FALSE))</f>
        <v xml:space="preserve"> </v>
      </c>
      <c r="M412" s="349" t="str">
        <f>IF(A412="N/A"," ",VLOOKUP(A412,SatSunPeakPwr,(IF('Pricing Inputs'!$AT$3=2,3,IF('Pricing Inputs'!$AT$3=1,2,4))),FALSE))</f>
        <v xml:space="preserve"> </v>
      </c>
      <c r="N412" s="349" t="str">
        <f>IF(A412="N/A"," ",VLOOKUP(A412,SatSunPeakPwr,(IF('Pricing Inputs'!$AT$3=2,7,IF('Pricing Inputs'!$AT$3=1,6,8))),FALSE))</f>
        <v xml:space="preserve"> </v>
      </c>
      <c r="O412" s="350" t="str">
        <f>IF(A412="N/A"," ",(VLOOKUP(A412,OPPowerPrices,(IF('Pricing Inputs'!$AT$3=2,7,IF('Pricing Inputs'!$AT$3=1,6,8))),FALSE)))</f>
        <v xml:space="preserve"> </v>
      </c>
      <c r="P412" s="351" t="str">
        <f t="shared" si="34"/>
        <v xml:space="preserve"> </v>
      </c>
    </row>
    <row r="413" spans="1:16">
      <c r="A413" s="208" t="str">
        <f>Calculations!A380</f>
        <v>N/A</v>
      </c>
      <c r="B413" s="237" t="str">
        <f>IF(A413="N/A"," ",IF(ISERROR(L413),B401*Inputs!$F$19,L413))</f>
        <v xml:space="preserve"> </v>
      </c>
      <c r="C413" s="239" t="str">
        <f t="shared" si="35"/>
        <v xml:space="preserve"> </v>
      </c>
      <c r="D413" s="238" t="str">
        <f t="shared" si="31"/>
        <v xml:space="preserve"> </v>
      </c>
      <c r="E413" s="237" t="str">
        <f>IF(A413="N/A"," ",IF(ISERROR(M413),E401*Inputs!$F$19,M413))</f>
        <v xml:space="preserve"> </v>
      </c>
      <c r="F413" s="238" t="str">
        <f t="shared" si="32"/>
        <v xml:space="preserve"> </v>
      </c>
      <c r="G413" s="237" t="str">
        <f>IF(A413="N/A"," ",IF(ISERROR(N413),G401*Inputs!$F$19,N413))</f>
        <v xml:space="preserve"> </v>
      </c>
      <c r="H413" s="238" t="str">
        <f t="shared" si="33"/>
        <v xml:space="preserve"> </v>
      </c>
      <c r="I413" s="238" t="str">
        <f>IF(A413="N/A"," ",IF(ISERROR(O413),I401*Inputs!$F$19,O413))</f>
        <v xml:space="preserve"> </v>
      </c>
      <c r="J413" s="331" t="str">
        <f>IF(A413="N/A"," ",IF(ISERROR(P413),J401*Inputs!$F$23,P413))</f>
        <v xml:space="preserve"> </v>
      </c>
      <c r="L413" s="349" t="str">
        <f>IF(A413="N/A"," ",VLOOKUP(A413,PeakPowerCurves,(IF('Pricing Inputs'!$AT$3=2,3,IF('Pricing Inputs'!$AT$3=1,2,4))),FALSE))</f>
        <v xml:space="preserve"> </v>
      </c>
      <c r="M413" s="349" t="str">
        <f>IF(A413="N/A"," ",VLOOKUP(A413,SatSunPeakPwr,(IF('Pricing Inputs'!$AT$3=2,3,IF('Pricing Inputs'!$AT$3=1,2,4))),FALSE))</f>
        <v xml:space="preserve"> </v>
      </c>
      <c r="N413" s="349" t="str">
        <f>IF(A413="N/A"," ",VLOOKUP(A413,SatSunPeakPwr,(IF('Pricing Inputs'!$AT$3=2,7,IF('Pricing Inputs'!$AT$3=1,6,8))),FALSE))</f>
        <v xml:space="preserve"> </v>
      </c>
      <c r="O413" s="350" t="str">
        <f>IF(A413="N/A"," ",(VLOOKUP(A413,OPPowerPrices,(IF('Pricing Inputs'!$AT$3=2,7,IF('Pricing Inputs'!$AT$3=1,6,8))),FALSE)))</f>
        <v xml:space="preserve"> </v>
      </c>
      <c r="P413" s="351" t="str">
        <f t="shared" si="34"/>
        <v xml:space="preserve"> </v>
      </c>
    </row>
    <row r="414" spans="1:16">
      <c r="A414" s="208" t="str">
        <f>Calculations!A381</f>
        <v>N/A</v>
      </c>
      <c r="B414" s="237" t="str">
        <f>IF(A414="N/A"," ",IF(ISERROR(L414),B402*Inputs!$F$19,L414))</f>
        <v xml:space="preserve"> </v>
      </c>
      <c r="C414" s="239" t="str">
        <f t="shared" si="35"/>
        <v xml:space="preserve"> </v>
      </c>
      <c r="D414" s="238" t="str">
        <f t="shared" si="31"/>
        <v xml:space="preserve"> </v>
      </c>
      <c r="E414" s="237" t="str">
        <f>IF(A414="N/A"," ",IF(ISERROR(M414),E402*Inputs!$F$19,M414))</f>
        <v xml:space="preserve"> </v>
      </c>
      <c r="F414" s="238" t="str">
        <f t="shared" si="32"/>
        <v xml:space="preserve"> </v>
      </c>
      <c r="G414" s="237" t="str">
        <f>IF(A414="N/A"," ",IF(ISERROR(N414),G402*Inputs!$F$19,N414))</f>
        <v xml:space="preserve"> </v>
      </c>
      <c r="H414" s="238" t="str">
        <f t="shared" si="33"/>
        <v xml:space="preserve"> </v>
      </c>
      <c r="I414" s="238" t="str">
        <f>IF(A414="N/A"," ",IF(ISERROR(O414),I402*Inputs!$F$19,O414))</f>
        <v xml:space="preserve"> </v>
      </c>
      <c r="J414" s="331" t="str">
        <f>IF(A414="N/A"," ",IF(ISERROR(P414),J402*Inputs!$F$23,P414))</f>
        <v xml:space="preserve"> </v>
      </c>
      <c r="L414" s="349" t="str">
        <f>IF(A414="N/A"," ",VLOOKUP(A414,PeakPowerCurves,(IF('Pricing Inputs'!$AT$3=2,3,IF('Pricing Inputs'!$AT$3=1,2,4))),FALSE))</f>
        <v xml:space="preserve"> </v>
      </c>
      <c r="M414" s="349" t="str">
        <f>IF(A414="N/A"," ",VLOOKUP(A414,SatSunPeakPwr,(IF('Pricing Inputs'!$AT$3=2,3,IF('Pricing Inputs'!$AT$3=1,2,4))),FALSE))</f>
        <v xml:space="preserve"> </v>
      </c>
      <c r="N414" s="349" t="str">
        <f>IF(A414="N/A"," ",VLOOKUP(A414,SatSunPeakPwr,(IF('Pricing Inputs'!$AT$3=2,7,IF('Pricing Inputs'!$AT$3=1,6,8))),FALSE))</f>
        <v xml:space="preserve"> </v>
      </c>
      <c r="O414" s="350" t="str">
        <f>IF(A414="N/A"," ",(VLOOKUP(A414,OPPowerPrices,(IF('Pricing Inputs'!$AT$3=2,7,IF('Pricing Inputs'!$AT$3=1,6,8))),FALSE)))</f>
        <v xml:space="preserve"> </v>
      </c>
      <c r="P414" s="351" t="str">
        <f t="shared" si="34"/>
        <v xml:space="preserve"> </v>
      </c>
    </row>
    <row r="415" spans="1:16">
      <c r="A415" s="208" t="str">
        <f>Calculations!A382</f>
        <v>N/A</v>
      </c>
      <c r="B415" s="237" t="str">
        <f>IF(A415="N/A"," ",IF(ISERROR(L415),B403*Inputs!$F$19,L415))</f>
        <v xml:space="preserve"> </v>
      </c>
      <c r="C415" s="239" t="str">
        <f t="shared" si="35"/>
        <v xml:space="preserve"> </v>
      </c>
      <c r="D415" s="238" t="str">
        <f t="shared" si="31"/>
        <v xml:space="preserve"> </v>
      </c>
      <c r="E415" s="237" t="str">
        <f>IF(A415="N/A"," ",IF(ISERROR(M415),E403*Inputs!$F$19,M415))</f>
        <v xml:space="preserve"> </v>
      </c>
      <c r="F415" s="238" t="str">
        <f t="shared" si="32"/>
        <v xml:space="preserve"> </v>
      </c>
      <c r="G415" s="237" t="str">
        <f>IF(A415="N/A"," ",IF(ISERROR(N415),G403*Inputs!$F$19,N415))</f>
        <v xml:space="preserve"> </v>
      </c>
      <c r="H415" s="238" t="str">
        <f t="shared" si="33"/>
        <v xml:space="preserve"> </v>
      </c>
      <c r="I415" s="238" t="str">
        <f>IF(A415="N/A"," ",IF(ISERROR(O415),I403*Inputs!$F$19,O415))</f>
        <v xml:space="preserve"> </v>
      </c>
      <c r="J415" s="331" t="str">
        <f>IF(A415="N/A"," ",IF(ISERROR(P415),J403*Inputs!$F$23,P415))</f>
        <v xml:space="preserve"> </v>
      </c>
      <c r="L415" s="349" t="str">
        <f>IF(A415="N/A"," ",VLOOKUP(A415,PeakPowerCurves,(IF('Pricing Inputs'!$AT$3=2,3,IF('Pricing Inputs'!$AT$3=1,2,4))),FALSE))</f>
        <v xml:space="preserve"> </v>
      </c>
      <c r="M415" s="349" t="str">
        <f>IF(A415="N/A"," ",VLOOKUP(A415,SatSunPeakPwr,(IF('Pricing Inputs'!$AT$3=2,3,IF('Pricing Inputs'!$AT$3=1,2,4))),FALSE))</f>
        <v xml:space="preserve"> </v>
      </c>
      <c r="N415" s="349" t="str">
        <f>IF(A415="N/A"," ",VLOOKUP(A415,SatSunPeakPwr,(IF('Pricing Inputs'!$AT$3=2,7,IF('Pricing Inputs'!$AT$3=1,6,8))),FALSE))</f>
        <v xml:space="preserve"> </v>
      </c>
      <c r="O415" s="350" t="str">
        <f>IF(A415="N/A"," ",(VLOOKUP(A415,OPPowerPrices,(IF('Pricing Inputs'!$AT$3=2,7,IF('Pricing Inputs'!$AT$3=1,6,8))),FALSE)))</f>
        <v xml:space="preserve"> </v>
      </c>
      <c r="P415" s="351" t="str">
        <f t="shared" si="34"/>
        <v xml:space="preserve"> </v>
      </c>
    </row>
    <row r="416" spans="1:16">
      <c r="A416" s="208" t="str">
        <f>Calculations!A383</f>
        <v>N/A</v>
      </c>
      <c r="B416" s="237" t="str">
        <f>IF(A416="N/A"," ",IF(ISERROR(L416),B404*Inputs!$F$19,L416))</f>
        <v xml:space="preserve"> </v>
      </c>
      <c r="C416" s="239" t="str">
        <f t="shared" si="35"/>
        <v xml:space="preserve"> </v>
      </c>
      <c r="D416" s="238" t="str">
        <f t="shared" si="31"/>
        <v xml:space="preserve"> </v>
      </c>
      <c r="E416" s="237" t="str">
        <f>IF(A416="N/A"," ",IF(ISERROR(M416),E404*Inputs!$F$19,M416))</f>
        <v xml:space="preserve"> </v>
      </c>
      <c r="F416" s="238" t="str">
        <f t="shared" si="32"/>
        <v xml:space="preserve"> </v>
      </c>
      <c r="G416" s="237" t="str">
        <f>IF(A416="N/A"," ",IF(ISERROR(N416),G404*Inputs!$F$19,N416))</f>
        <v xml:space="preserve"> </v>
      </c>
      <c r="H416" s="238" t="str">
        <f t="shared" si="33"/>
        <v xml:space="preserve"> </v>
      </c>
      <c r="I416" s="238" t="str">
        <f>IF(A416="N/A"," ",IF(ISERROR(O416),I404*Inputs!$F$19,O416))</f>
        <v xml:space="preserve"> </v>
      </c>
      <c r="J416" s="331" t="str">
        <f>IF(A416="N/A"," ",IF(ISERROR(P416),J404*Inputs!$F$23,P416))</f>
        <v xml:space="preserve"> </v>
      </c>
      <c r="L416" s="349" t="str">
        <f>IF(A416="N/A"," ",VLOOKUP(A416,PeakPowerCurves,(IF('Pricing Inputs'!$AT$3=2,3,IF('Pricing Inputs'!$AT$3=1,2,4))),FALSE))</f>
        <v xml:space="preserve"> </v>
      </c>
      <c r="M416" s="349" t="str">
        <f>IF(A416="N/A"," ",VLOOKUP(A416,SatSunPeakPwr,(IF('Pricing Inputs'!$AT$3=2,3,IF('Pricing Inputs'!$AT$3=1,2,4))),FALSE))</f>
        <v xml:space="preserve"> </v>
      </c>
      <c r="N416" s="349" t="str">
        <f>IF(A416="N/A"," ",VLOOKUP(A416,SatSunPeakPwr,(IF('Pricing Inputs'!$AT$3=2,7,IF('Pricing Inputs'!$AT$3=1,6,8))),FALSE))</f>
        <v xml:space="preserve"> </v>
      </c>
      <c r="O416" s="350" t="str">
        <f>IF(A416="N/A"," ",(VLOOKUP(A416,OPPowerPrices,(IF('Pricing Inputs'!$AT$3=2,7,IF('Pricing Inputs'!$AT$3=1,6,8))),FALSE)))</f>
        <v xml:space="preserve"> </v>
      </c>
      <c r="P416" s="351" t="str">
        <f t="shared" si="34"/>
        <v xml:space="preserve"> </v>
      </c>
    </row>
    <row r="417" spans="1:16">
      <c r="A417" s="208" t="str">
        <f>Calculations!A384</f>
        <v>N/A</v>
      </c>
      <c r="B417" s="237" t="str">
        <f>IF(A417="N/A"," ",IF(ISERROR(L417),B405*Inputs!$F$19,L417))</f>
        <v xml:space="preserve"> </v>
      </c>
      <c r="C417" s="239" t="str">
        <f t="shared" si="35"/>
        <v xml:space="preserve"> </v>
      </c>
      <c r="D417" s="238" t="str">
        <f t="shared" si="31"/>
        <v xml:space="preserve"> </v>
      </c>
      <c r="E417" s="237" t="str">
        <f>IF(A417="N/A"," ",IF(ISERROR(M417),E405*Inputs!$F$19,M417))</f>
        <v xml:space="preserve"> </v>
      </c>
      <c r="F417" s="238" t="str">
        <f t="shared" si="32"/>
        <v xml:space="preserve"> </v>
      </c>
      <c r="G417" s="237" t="str">
        <f>IF(A417="N/A"," ",IF(ISERROR(N417),G405*Inputs!$F$19,N417))</f>
        <v xml:space="preserve"> </v>
      </c>
      <c r="H417" s="238" t="str">
        <f t="shared" si="33"/>
        <v xml:space="preserve"> </v>
      </c>
      <c r="I417" s="238" t="str">
        <f>IF(A417="N/A"," ",IF(ISERROR(O417),I405*Inputs!$F$19,O417))</f>
        <v xml:space="preserve"> </v>
      </c>
      <c r="J417" s="331" t="str">
        <f>IF(A417="N/A"," ",IF(ISERROR(P417),J405*Inputs!$F$23,P417))</f>
        <v xml:space="preserve"> </v>
      </c>
      <c r="L417" s="349" t="str">
        <f>IF(A417="N/A"," ",VLOOKUP(A417,PeakPowerCurves,(IF('Pricing Inputs'!$AT$3=2,3,IF('Pricing Inputs'!$AT$3=1,2,4))),FALSE))</f>
        <v xml:space="preserve"> </v>
      </c>
      <c r="M417" s="349" t="str">
        <f>IF(A417="N/A"," ",VLOOKUP(A417,SatSunPeakPwr,(IF('Pricing Inputs'!$AT$3=2,3,IF('Pricing Inputs'!$AT$3=1,2,4))),FALSE))</f>
        <v xml:space="preserve"> </v>
      </c>
      <c r="N417" s="349" t="str">
        <f>IF(A417="N/A"," ",VLOOKUP(A417,SatSunPeakPwr,(IF('Pricing Inputs'!$AT$3=2,7,IF('Pricing Inputs'!$AT$3=1,6,8))),FALSE))</f>
        <v xml:space="preserve"> </v>
      </c>
      <c r="O417" s="350" t="str">
        <f>IF(A417="N/A"," ",(VLOOKUP(A417,OPPowerPrices,(IF('Pricing Inputs'!$AT$3=2,7,IF('Pricing Inputs'!$AT$3=1,6,8))),FALSE)))</f>
        <v xml:space="preserve"> </v>
      </c>
      <c r="P417" s="351" t="str">
        <f t="shared" si="34"/>
        <v xml:space="preserve"> </v>
      </c>
    </row>
    <row r="418" spans="1:16">
      <c r="A418" s="208" t="str">
        <f>Calculations!A385</f>
        <v>N/A</v>
      </c>
      <c r="B418" s="237" t="str">
        <f>IF(A418="N/A"," ",IF(ISERROR(L418),B406*Inputs!$F$19,L418))</f>
        <v xml:space="preserve"> </v>
      </c>
      <c r="C418" s="239" t="str">
        <f t="shared" si="35"/>
        <v xml:space="preserve"> </v>
      </c>
      <c r="D418" s="238" t="str">
        <f t="shared" si="31"/>
        <v xml:space="preserve"> </v>
      </c>
      <c r="E418" s="237" t="str">
        <f>IF(A418="N/A"," ",IF(ISERROR(M418),E406*Inputs!$F$19,M418))</f>
        <v xml:space="preserve"> </v>
      </c>
      <c r="F418" s="238" t="str">
        <f t="shared" si="32"/>
        <v xml:space="preserve"> </v>
      </c>
      <c r="G418" s="237" t="str">
        <f>IF(A418="N/A"," ",IF(ISERROR(N418),G406*Inputs!$F$19,N418))</f>
        <v xml:space="preserve"> </v>
      </c>
      <c r="H418" s="238" t="str">
        <f t="shared" si="33"/>
        <v xml:space="preserve"> </v>
      </c>
      <c r="I418" s="238" t="str">
        <f>IF(A418="N/A"," ",IF(ISERROR(O418),I406*Inputs!$F$19,O418))</f>
        <v xml:space="preserve"> </v>
      </c>
      <c r="J418" s="331" t="str">
        <f>IF(A418="N/A"," ",IF(ISERROR(P418),J406*Inputs!$F$23,P418))</f>
        <v xml:space="preserve"> </v>
      </c>
      <c r="L418" s="349" t="str">
        <f>IF(A418="N/A"," ",VLOOKUP(A418,PeakPowerCurves,(IF('Pricing Inputs'!$AT$3=2,3,IF('Pricing Inputs'!$AT$3=1,2,4))),FALSE))</f>
        <v xml:space="preserve"> </v>
      </c>
      <c r="M418" s="349" t="str">
        <f>IF(A418="N/A"," ",VLOOKUP(A418,SatSunPeakPwr,(IF('Pricing Inputs'!$AT$3=2,3,IF('Pricing Inputs'!$AT$3=1,2,4))),FALSE))</f>
        <v xml:space="preserve"> </v>
      </c>
      <c r="N418" s="349" t="str">
        <f>IF(A418="N/A"," ",VLOOKUP(A418,SatSunPeakPwr,(IF('Pricing Inputs'!$AT$3=2,7,IF('Pricing Inputs'!$AT$3=1,6,8))),FALSE))</f>
        <v xml:space="preserve"> </v>
      </c>
      <c r="O418" s="350" t="str">
        <f>IF(A418="N/A"," ",(VLOOKUP(A418,OPPowerPrices,(IF('Pricing Inputs'!$AT$3=2,7,IF('Pricing Inputs'!$AT$3=1,6,8))),FALSE)))</f>
        <v xml:space="preserve"> </v>
      </c>
      <c r="P418" s="351" t="str">
        <f t="shared" si="34"/>
        <v xml:space="preserve"> </v>
      </c>
    </row>
    <row r="419" spans="1:16">
      <c r="A419" s="208" t="str">
        <f>Calculations!A386</f>
        <v>N/A</v>
      </c>
      <c r="B419" s="237" t="str">
        <f>IF(A419="N/A"," ",IF(ISERROR(L419),B407*Inputs!$F$19,L419))</f>
        <v xml:space="preserve"> </v>
      </c>
      <c r="C419" s="239" t="str">
        <f t="shared" si="35"/>
        <v xml:space="preserve"> </v>
      </c>
      <c r="D419" s="238" t="str">
        <f t="shared" si="31"/>
        <v xml:space="preserve"> </v>
      </c>
      <c r="E419" s="237" t="str">
        <f>IF(A419="N/A"," ",IF(ISERROR(M419),E407*Inputs!$F$19,M419))</f>
        <v xml:space="preserve"> </v>
      </c>
      <c r="F419" s="238" t="str">
        <f t="shared" si="32"/>
        <v xml:space="preserve"> </v>
      </c>
      <c r="G419" s="237" t="str">
        <f>IF(A419="N/A"," ",IF(ISERROR(N419),G407*Inputs!$F$19,N419))</f>
        <v xml:space="preserve"> </v>
      </c>
      <c r="H419" s="238" t="str">
        <f t="shared" si="33"/>
        <v xml:space="preserve"> </v>
      </c>
      <c r="I419" s="238" t="str">
        <f>IF(A419="N/A"," ",IF(ISERROR(O419),I407*Inputs!$F$19,O419))</f>
        <v xml:space="preserve"> </v>
      </c>
      <c r="J419" s="331" t="str">
        <f>IF(A419="N/A"," ",IF(ISERROR(P419),J407*Inputs!$F$23,P419))</f>
        <v xml:space="preserve"> </v>
      </c>
      <c r="L419" s="349" t="str">
        <f>IF(A419="N/A"," ",VLOOKUP(A419,PeakPowerCurves,(IF('Pricing Inputs'!$AT$3=2,3,IF('Pricing Inputs'!$AT$3=1,2,4))),FALSE))</f>
        <v xml:space="preserve"> </v>
      </c>
      <c r="M419" s="349" t="str">
        <f>IF(A419="N/A"," ",VLOOKUP(A419,SatSunPeakPwr,(IF('Pricing Inputs'!$AT$3=2,3,IF('Pricing Inputs'!$AT$3=1,2,4))),FALSE))</f>
        <v xml:space="preserve"> </v>
      </c>
      <c r="N419" s="349" t="str">
        <f>IF(A419="N/A"," ",VLOOKUP(A419,SatSunPeakPwr,(IF('Pricing Inputs'!$AT$3=2,7,IF('Pricing Inputs'!$AT$3=1,6,8))),FALSE))</f>
        <v xml:space="preserve"> </v>
      </c>
      <c r="O419" s="350" t="str">
        <f>IF(A419="N/A"," ",(VLOOKUP(A419,OPPowerPrices,(IF('Pricing Inputs'!$AT$3=2,7,IF('Pricing Inputs'!$AT$3=1,6,8))),FALSE)))</f>
        <v xml:space="preserve"> </v>
      </c>
      <c r="P419" s="351" t="str">
        <f t="shared" si="34"/>
        <v xml:space="preserve"> </v>
      </c>
    </row>
    <row r="420" spans="1:16">
      <c r="A420" s="208" t="str">
        <f>Calculations!A387</f>
        <v>N/A</v>
      </c>
      <c r="B420" s="237" t="str">
        <f>IF(A420="N/A"," ",IF(ISERROR(L420),B408*Inputs!$F$19,L420))</f>
        <v xml:space="preserve"> </v>
      </c>
      <c r="C420" s="239" t="str">
        <f t="shared" si="35"/>
        <v xml:space="preserve"> </v>
      </c>
      <c r="D420" s="238" t="str">
        <f t="shared" si="31"/>
        <v xml:space="preserve"> </v>
      </c>
      <c r="E420" s="237" t="str">
        <f>IF(A420="N/A"," ",IF(ISERROR(M420),E408*Inputs!$F$19,M420))</f>
        <v xml:space="preserve"> </v>
      </c>
      <c r="F420" s="238" t="str">
        <f t="shared" si="32"/>
        <v xml:space="preserve"> </v>
      </c>
      <c r="G420" s="237" t="str">
        <f>IF(A420="N/A"," ",IF(ISERROR(N420),G408*Inputs!$F$19,N420))</f>
        <v xml:space="preserve"> </v>
      </c>
      <c r="H420" s="238" t="str">
        <f t="shared" si="33"/>
        <v xml:space="preserve"> </v>
      </c>
      <c r="I420" s="238" t="str">
        <f>IF(A420="N/A"," ",IF(ISERROR(O420),I408*Inputs!$F$19,O420))</f>
        <v xml:space="preserve"> </v>
      </c>
      <c r="J420" s="331" t="str">
        <f>IF(A420="N/A"," ",IF(ISERROR(P420),J408*Inputs!$F$23,P420))</f>
        <v xml:space="preserve"> </v>
      </c>
      <c r="L420" s="349" t="str">
        <f>IF(A420="N/A"," ",VLOOKUP(A420,PeakPowerCurves,(IF('Pricing Inputs'!$AT$3=2,3,IF('Pricing Inputs'!$AT$3=1,2,4))),FALSE))</f>
        <v xml:space="preserve"> </v>
      </c>
      <c r="M420" s="349" t="str">
        <f>IF(A420="N/A"," ",VLOOKUP(A420,SatSunPeakPwr,(IF('Pricing Inputs'!$AT$3=2,3,IF('Pricing Inputs'!$AT$3=1,2,4))),FALSE))</f>
        <v xml:space="preserve"> </v>
      </c>
      <c r="N420" s="349" t="str">
        <f>IF(A420="N/A"," ",VLOOKUP(A420,SatSunPeakPwr,(IF('Pricing Inputs'!$AT$3=2,7,IF('Pricing Inputs'!$AT$3=1,6,8))),FALSE))</f>
        <v xml:space="preserve"> </v>
      </c>
      <c r="O420" s="350" t="str">
        <f>IF(A420="N/A"," ",(VLOOKUP(A420,OPPowerPrices,(IF('Pricing Inputs'!$AT$3=2,7,IF('Pricing Inputs'!$AT$3=1,6,8))),FALSE)))</f>
        <v xml:space="preserve"> </v>
      </c>
      <c r="P420" s="351" t="str">
        <f t="shared" si="34"/>
        <v xml:space="preserve"> </v>
      </c>
    </row>
    <row r="421" spans="1:16">
      <c r="A421" s="208"/>
    </row>
    <row r="422" spans="1:16">
      <c r="A422" s="208"/>
    </row>
    <row r="423" spans="1:16">
      <c r="A423" s="208"/>
    </row>
    <row r="424" spans="1:16">
      <c r="A424" s="208"/>
    </row>
    <row r="425" spans="1:16">
      <c r="A425" s="208"/>
    </row>
    <row r="426" spans="1:16">
      <c r="A426" s="208"/>
    </row>
    <row r="427" spans="1:16">
      <c r="A427" s="208"/>
    </row>
    <row r="428" spans="1:16">
      <c r="A428" s="208"/>
    </row>
    <row r="429" spans="1:16">
      <c r="A429" s="208"/>
    </row>
    <row r="430" spans="1:16">
      <c r="A430" s="208"/>
    </row>
    <row r="431" spans="1:16">
      <c r="A431" s="208"/>
    </row>
    <row r="432" spans="1:16">
      <c r="A432" s="207"/>
    </row>
    <row r="433" spans="1:1">
      <c r="A433" s="207"/>
    </row>
    <row r="434" spans="1:1">
      <c r="A434" s="207"/>
    </row>
    <row r="435" spans="1:1">
      <c r="A435" s="207"/>
    </row>
    <row r="436" spans="1:1">
      <c r="A436" s="207"/>
    </row>
    <row r="437" spans="1:1">
      <c r="A437" s="207"/>
    </row>
    <row r="438" spans="1:1">
      <c r="A438" s="207"/>
    </row>
    <row r="439" spans="1:1">
      <c r="A439" s="207"/>
    </row>
    <row r="440" spans="1:1">
      <c r="A440" s="207"/>
    </row>
    <row r="441" spans="1:1">
      <c r="A441" s="207"/>
    </row>
    <row r="442" spans="1:1">
      <c r="A442" s="207"/>
    </row>
    <row r="443" spans="1:1">
      <c r="A443" s="207"/>
    </row>
    <row r="444" spans="1:1">
      <c r="A444" s="207"/>
    </row>
    <row r="445" spans="1:1">
      <c r="A445" s="207"/>
    </row>
    <row r="446" spans="1:1">
      <c r="A446" s="207"/>
    </row>
    <row r="447" spans="1:1">
      <c r="A447" s="207"/>
    </row>
    <row r="448" spans="1:1">
      <c r="A448" s="207"/>
    </row>
    <row r="449" spans="1:1">
      <c r="A449" s="207"/>
    </row>
    <row r="450" spans="1:1">
      <c r="A450" s="207"/>
    </row>
    <row r="451" spans="1:1">
      <c r="A451" s="207"/>
    </row>
    <row r="452" spans="1:1">
      <c r="A452" s="207"/>
    </row>
    <row r="453" spans="1:1">
      <c r="A453" s="207"/>
    </row>
    <row r="454" spans="1:1">
      <c r="A454" s="207"/>
    </row>
    <row r="455" spans="1:1">
      <c r="A455" s="207"/>
    </row>
    <row r="456" spans="1:1">
      <c r="A456" s="207"/>
    </row>
    <row r="457" spans="1:1">
      <c r="A457" s="207"/>
    </row>
    <row r="458" spans="1:1">
      <c r="A458" s="207"/>
    </row>
    <row r="459" spans="1:1">
      <c r="A459" s="207"/>
    </row>
    <row r="460" spans="1:1">
      <c r="A460" s="207"/>
    </row>
    <row r="461" spans="1:1">
      <c r="A461" s="207"/>
    </row>
    <row r="462" spans="1:1">
      <c r="A462" s="207"/>
    </row>
    <row r="463" spans="1:1">
      <c r="A463" s="207"/>
    </row>
    <row r="464" spans="1:1">
      <c r="A464" s="207"/>
    </row>
    <row r="465" spans="1:1">
      <c r="A465" s="207"/>
    </row>
    <row r="466" spans="1:1">
      <c r="A466" s="207"/>
    </row>
    <row r="467" spans="1:1">
      <c r="A467" s="207"/>
    </row>
    <row r="468" spans="1:1">
      <c r="A468" s="207"/>
    </row>
    <row r="469" spans="1:1">
      <c r="A469" s="207"/>
    </row>
    <row r="470" spans="1:1">
      <c r="A470" s="207"/>
    </row>
    <row r="471" spans="1:1">
      <c r="A471" s="207"/>
    </row>
    <row r="472" spans="1:1">
      <c r="A472" s="207"/>
    </row>
    <row r="473" spans="1:1">
      <c r="A473" s="207"/>
    </row>
    <row r="474" spans="1:1">
      <c r="A474" s="207"/>
    </row>
    <row r="475" spans="1:1">
      <c r="A475" s="207"/>
    </row>
    <row r="476" spans="1:1">
      <c r="A476" s="207"/>
    </row>
    <row r="477" spans="1:1">
      <c r="A477" s="207"/>
    </row>
    <row r="478" spans="1:1">
      <c r="A478" s="207"/>
    </row>
    <row r="479" spans="1:1">
      <c r="A479" s="207"/>
    </row>
    <row r="480" spans="1:1">
      <c r="A480" s="207"/>
    </row>
    <row r="481" spans="1:1">
      <c r="A481" s="207"/>
    </row>
    <row r="482" spans="1:1">
      <c r="A482" s="207"/>
    </row>
    <row r="483" spans="1:1">
      <c r="A483" s="207"/>
    </row>
    <row r="484" spans="1:1">
      <c r="A484" s="207"/>
    </row>
    <row r="485" spans="1:1">
      <c r="A485" s="207"/>
    </row>
    <row r="486" spans="1:1">
      <c r="A486" s="207"/>
    </row>
    <row r="487" spans="1:1">
      <c r="A487" s="207"/>
    </row>
    <row r="488" spans="1:1">
      <c r="A488" s="207"/>
    </row>
    <row r="489" spans="1:1">
      <c r="A489" s="207"/>
    </row>
    <row r="490" spans="1:1">
      <c r="A490" s="207"/>
    </row>
    <row r="491" spans="1:1">
      <c r="A491" s="207"/>
    </row>
    <row r="492" spans="1:1">
      <c r="A492" s="207"/>
    </row>
    <row r="493" spans="1:1">
      <c r="A493" s="207"/>
    </row>
    <row r="494" spans="1:1">
      <c r="A494" s="207"/>
    </row>
    <row r="495" spans="1:1">
      <c r="A495" s="207"/>
    </row>
    <row r="496" spans="1:1">
      <c r="A496" s="207"/>
    </row>
    <row r="497" spans="1:1">
      <c r="A497" s="207"/>
    </row>
    <row r="498" spans="1:1">
      <c r="A498" s="207"/>
    </row>
    <row r="499" spans="1:1">
      <c r="A499" s="207"/>
    </row>
    <row r="500" spans="1:1">
      <c r="A500" s="207"/>
    </row>
    <row r="501" spans="1:1">
      <c r="A501" s="207"/>
    </row>
    <row r="502" spans="1:1">
      <c r="A502" s="207"/>
    </row>
    <row r="503" spans="1:1">
      <c r="A503" s="207"/>
    </row>
    <row r="504" spans="1:1">
      <c r="A504" s="207"/>
    </row>
    <row r="505" spans="1:1">
      <c r="A505" s="207"/>
    </row>
    <row r="506" spans="1:1">
      <c r="A506" s="207"/>
    </row>
    <row r="507" spans="1:1">
      <c r="A507" s="207"/>
    </row>
    <row r="508" spans="1:1">
      <c r="A508" s="207"/>
    </row>
    <row r="509" spans="1:1">
      <c r="A509" s="207"/>
    </row>
    <row r="510" spans="1:1">
      <c r="A510" s="207"/>
    </row>
    <row r="511" spans="1:1">
      <c r="A511" s="207"/>
    </row>
    <row r="512" spans="1:1">
      <c r="A512" s="207"/>
    </row>
    <row r="513" spans="1:1">
      <c r="A513" s="207"/>
    </row>
    <row r="514" spans="1:1">
      <c r="A514" s="207"/>
    </row>
    <row r="515" spans="1:1">
      <c r="A515" s="207"/>
    </row>
    <row r="516" spans="1:1">
      <c r="A516" s="207"/>
    </row>
    <row r="517" spans="1:1">
      <c r="A517" s="207"/>
    </row>
    <row r="518" spans="1:1">
      <c r="A518" s="207"/>
    </row>
    <row r="519" spans="1:1">
      <c r="A519" s="207"/>
    </row>
    <row r="520" spans="1:1">
      <c r="A520" s="207"/>
    </row>
    <row r="521" spans="1:1">
      <c r="A521" s="207"/>
    </row>
    <row r="522" spans="1:1">
      <c r="A522" s="207"/>
    </row>
    <row r="523" spans="1:1">
      <c r="A523" s="207"/>
    </row>
    <row r="524" spans="1:1">
      <c r="A524" s="207"/>
    </row>
    <row r="525" spans="1:1">
      <c r="A525" s="207"/>
    </row>
    <row r="526" spans="1:1">
      <c r="A526" s="207"/>
    </row>
    <row r="527" spans="1:1">
      <c r="A527" s="207"/>
    </row>
    <row r="528" spans="1:1">
      <c r="A528" s="207"/>
    </row>
    <row r="529" spans="1:1">
      <c r="A529" s="207"/>
    </row>
    <row r="530" spans="1:1">
      <c r="A530" s="207"/>
    </row>
    <row r="531" spans="1:1">
      <c r="A531" s="207"/>
    </row>
    <row r="532" spans="1:1">
      <c r="A532" s="207"/>
    </row>
    <row r="533" spans="1:1">
      <c r="A533" s="207"/>
    </row>
    <row r="534" spans="1:1">
      <c r="A534" s="207"/>
    </row>
    <row r="535" spans="1:1">
      <c r="A535" s="207"/>
    </row>
    <row r="536" spans="1:1">
      <c r="A536" s="207"/>
    </row>
    <row r="537" spans="1:1">
      <c r="A537" s="207"/>
    </row>
    <row r="538" spans="1:1">
      <c r="A538" s="207"/>
    </row>
    <row r="539" spans="1:1">
      <c r="A539" s="207"/>
    </row>
    <row r="540" spans="1:1">
      <c r="A540" s="207"/>
    </row>
    <row r="541" spans="1:1">
      <c r="A541" s="207"/>
    </row>
    <row r="542" spans="1:1">
      <c r="A542" s="207"/>
    </row>
    <row r="543" spans="1:1">
      <c r="A543" s="207"/>
    </row>
    <row r="544" spans="1:1">
      <c r="A544" s="207"/>
    </row>
    <row r="545" spans="1:1">
      <c r="A545" s="207"/>
    </row>
    <row r="546" spans="1:1">
      <c r="A546" s="207"/>
    </row>
    <row r="547" spans="1:1">
      <c r="A547" s="207"/>
    </row>
    <row r="548" spans="1:1">
      <c r="A548" s="207"/>
    </row>
    <row r="549" spans="1:1">
      <c r="A549" s="207"/>
    </row>
    <row r="550" spans="1:1">
      <c r="A550" s="207"/>
    </row>
    <row r="551" spans="1:1">
      <c r="A551" s="207"/>
    </row>
    <row r="552" spans="1:1">
      <c r="A552" s="207"/>
    </row>
    <row r="553" spans="1:1">
      <c r="A553" s="207"/>
    </row>
    <row r="554" spans="1:1">
      <c r="A554" s="207"/>
    </row>
    <row r="555" spans="1:1">
      <c r="A555" s="207"/>
    </row>
    <row r="556" spans="1:1">
      <c r="A556" s="207"/>
    </row>
    <row r="557" spans="1:1">
      <c r="A557" s="207"/>
    </row>
    <row r="558" spans="1:1">
      <c r="A558" s="207"/>
    </row>
    <row r="559" spans="1:1">
      <c r="A559" s="207"/>
    </row>
    <row r="560" spans="1:1">
      <c r="A560" s="207"/>
    </row>
    <row r="561" spans="1:1">
      <c r="A561" s="207"/>
    </row>
    <row r="562" spans="1:1">
      <c r="A562" s="207"/>
    </row>
    <row r="563" spans="1:1">
      <c r="A563" s="207"/>
    </row>
    <row r="564" spans="1:1">
      <c r="A564" s="207"/>
    </row>
    <row r="565" spans="1:1">
      <c r="A565" s="207"/>
    </row>
    <row r="566" spans="1:1">
      <c r="A566" s="207"/>
    </row>
    <row r="567" spans="1:1">
      <c r="A567" s="207"/>
    </row>
    <row r="568" spans="1:1">
      <c r="A568" s="207"/>
    </row>
    <row r="569" spans="1:1">
      <c r="A569" s="207"/>
    </row>
    <row r="570" spans="1:1">
      <c r="A570" s="207"/>
    </row>
    <row r="571" spans="1:1">
      <c r="A571" s="207"/>
    </row>
    <row r="572" spans="1:1">
      <c r="A572" s="207"/>
    </row>
    <row r="573" spans="1:1">
      <c r="A573" s="207"/>
    </row>
    <row r="574" spans="1:1">
      <c r="A574" s="207"/>
    </row>
    <row r="575" spans="1:1">
      <c r="A575" s="207"/>
    </row>
    <row r="576" spans="1:1">
      <c r="A576" s="207"/>
    </row>
    <row r="577" spans="1:1">
      <c r="A577" s="207"/>
    </row>
    <row r="578" spans="1:1">
      <c r="A578" s="207"/>
    </row>
    <row r="579" spans="1:1">
      <c r="A579" s="207"/>
    </row>
    <row r="580" spans="1:1">
      <c r="A580" s="207"/>
    </row>
    <row r="581" spans="1:1">
      <c r="A581" s="207"/>
    </row>
    <row r="582" spans="1:1">
      <c r="A582" s="207"/>
    </row>
    <row r="583" spans="1:1">
      <c r="A583" s="207"/>
    </row>
    <row r="584" spans="1:1">
      <c r="A584" s="207"/>
    </row>
    <row r="585" spans="1:1">
      <c r="A585" s="207"/>
    </row>
    <row r="586" spans="1:1">
      <c r="A586" s="207"/>
    </row>
    <row r="587" spans="1:1">
      <c r="A587" s="207"/>
    </row>
    <row r="588" spans="1:1">
      <c r="A588" s="207"/>
    </row>
    <row r="589" spans="1:1">
      <c r="A589" s="207"/>
    </row>
    <row r="590" spans="1:1">
      <c r="A590" s="207"/>
    </row>
    <row r="591" spans="1:1">
      <c r="A591" s="207"/>
    </row>
    <row r="592" spans="1:1">
      <c r="A592" s="207"/>
    </row>
    <row r="593" spans="1:1">
      <c r="A593" s="207"/>
    </row>
    <row r="594" spans="1:1">
      <c r="A594" s="207"/>
    </row>
    <row r="595" spans="1:1">
      <c r="A595" s="207"/>
    </row>
    <row r="596" spans="1:1">
      <c r="A596" s="207"/>
    </row>
    <row r="597" spans="1:1">
      <c r="A597" s="207"/>
    </row>
    <row r="598" spans="1:1">
      <c r="A598" s="207"/>
    </row>
    <row r="599" spans="1:1">
      <c r="A599" s="207"/>
    </row>
    <row r="600" spans="1:1">
      <c r="A600" s="207"/>
    </row>
    <row r="601" spans="1:1">
      <c r="A601" s="207"/>
    </row>
    <row r="602" spans="1:1">
      <c r="A602" s="207"/>
    </row>
    <row r="603" spans="1:1">
      <c r="A603" s="207"/>
    </row>
    <row r="604" spans="1:1">
      <c r="A604" s="207"/>
    </row>
    <row r="605" spans="1:1">
      <c r="A605" s="207"/>
    </row>
    <row r="606" spans="1:1">
      <c r="A606" s="207"/>
    </row>
    <row r="607" spans="1:1">
      <c r="A607" s="207"/>
    </row>
    <row r="608" spans="1:1">
      <c r="A608" s="207"/>
    </row>
    <row r="609" spans="1:1">
      <c r="A609" s="207"/>
    </row>
    <row r="610" spans="1:1">
      <c r="A610" s="207"/>
    </row>
    <row r="611" spans="1:1">
      <c r="A611" s="207"/>
    </row>
    <row r="612" spans="1:1">
      <c r="A612" s="207"/>
    </row>
    <row r="613" spans="1:1">
      <c r="A613" s="207"/>
    </row>
    <row r="614" spans="1:1">
      <c r="A614" s="207"/>
    </row>
    <row r="615" spans="1:1">
      <c r="A615" s="207"/>
    </row>
    <row r="616" spans="1:1">
      <c r="A616" s="207"/>
    </row>
    <row r="617" spans="1:1">
      <c r="A617" s="207"/>
    </row>
    <row r="618" spans="1:1">
      <c r="A618" s="207"/>
    </row>
    <row r="619" spans="1:1">
      <c r="A619" s="207"/>
    </row>
    <row r="620" spans="1:1">
      <c r="A620" s="207"/>
    </row>
    <row r="621" spans="1:1">
      <c r="A621" s="207"/>
    </row>
    <row r="622" spans="1:1">
      <c r="A622" s="207"/>
    </row>
    <row r="623" spans="1:1">
      <c r="A623" s="207"/>
    </row>
    <row r="624" spans="1:1">
      <c r="A624" s="207"/>
    </row>
    <row r="625" spans="1:1">
      <c r="A625" s="207"/>
    </row>
    <row r="626" spans="1:1">
      <c r="A626" s="207"/>
    </row>
    <row r="627" spans="1:1">
      <c r="A627" s="207"/>
    </row>
    <row r="628" spans="1:1">
      <c r="A628" s="207"/>
    </row>
    <row r="629" spans="1:1">
      <c r="A629" s="207"/>
    </row>
    <row r="630" spans="1:1">
      <c r="A630" s="207"/>
    </row>
    <row r="631" spans="1:1">
      <c r="A631" s="207"/>
    </row>
    <row r="632" spans="1:1">
      <c r="A632" s="207"/>
    </row>
    <row r="633" spans="1:1">
      <c r="A633" s="207"/>
    </row>
    <row r="634" spans="1:1">
      <c r="A634" s="207"/>
    </row>
    <row r="635" spans="1:1">
      <c r="A635" s="207"/>
    </row>
    <row r="636" spans="1:1">
      <c r="A636" s="207"/>
    </row>
    <row r="637" spans="1:1">
      <c r="A637" s="207"/>
    </row>
    <row r="638" spans="1:1">
      <c r="A638" s="207"/>
    </row>
    <row r="639" spans="1:1">
      <c r="A639" s="207"/>
    </row>
    <row r="640" spans="1:1">
      <c r="A640" s="207"/>
    </row>
    <row r="641" spans="1:1">
      <c r="A641" s="207"/>
    </row>
    <row r="642" spans="1:1">
      <c r="A642" s="207"/>
    </row>
    <row r="643" spans="1:1">
      <c r="A643" s="207"/>
    </row>
    <row r="644" spans="1:1">
      <c r="A644" s="207"/>
    </row>
    <row r="645" spans="1:1">
      <c r="A645" s="207"/>
    </row>
    <row r="646" spans="1:1">
      <c r="A646" s="207"/>
    </row>
    <row r="647" spans="1:1">
      <c r="A647" s="207"/>
    </row>
    <row r="648" spans="1:1">
      <c r="A648" s="207"/>
    </row>
    <row r="649" spans="1:1">
      <c r="A649" s="207"/>
    </row>
    <row r="650" spans="1:1">
      <c r="A650" s="207"/>
    </row>
    <row r="651" spans="1:1">
      <c r="A651" s="207"/>
    </row>
    <row r="652" spans="1:1">
      <c r="A652" s="207"/>
    </row>
    <row r="653" spans="1:1">
      <c r="A653" s="207"/>
    </row>
    <row r="654" spans="1:1">
      <c r="A654" s="207"/>
    </row>
    <row r="655" spans="1:1">
      <c r="A655" s="207"/>
    </row>
    <row r="656" spans="1:1">
      <c r="A656" s="207"/>
    </row>
    <row r="657" spans="1:1">
      <c r="A657" s="207"/>
    </row>
    <row r="658" spans="1:1">
      <c r="A658" s="207"/>
    </row>
    <row r="659" spans="1:1">
      <c r="A659" s="207"/>
    </row>
    <row r="660" spans="1:1">
      <c r="A660" s="207"/>
    </row>
    <row r="661" spans="1:1">
      <c r="A661" s="207"/>
    </row>
    <row r="662" spans="1:1">
      <c r="A662" s="207"/>
    </row>
    <row r="663" spans="1:1">
      <c r="A663" s="207"/>
    </row>
    <row r="664" spans="1:1">
      <c r="A664" s="207"/>
    </row>
    <row r="665" spans="1:1">
      <c r="A665" s="207"/>
    </row>
    <row r="666" spans="1:1">
      <c r="A666" s="207"/>
    </row>
    <row r="667" spans="1:1">
      <c r="A667" s="207"/>
    </row>
    <row r="668" spans="1:1">
      <c r="A668" s="207"/>
    </row>
    <row r="669" spans="1:1">
      <c r="A669" s="207"/>
    </row>
    <row r="670" spans="1:1">
      <c r="A670" s="207"/>
    </row>
    <row r="671" spans="1:1">
      <c r="A671" s="207"/>
    </row>
    <row r="672" spans="1:1">
      <c r="A672" s="207"/>
    </row>
    <row r="673" spans="1:1">
      <c r="A673" s="207"/>
    </row>
    <row r="674" spans="1:1">
      <c r="A674" s="207"/>
    </row>
    <row r="675" spans="1:1">
      <c r="A675" s="207"/>
    </row>
    <row r="676" spans="1:1">
      <c r="A676" s="207"/>
    </row>
    <row r="677" spans="1:1">
      <c r="A677" s="207"/>
    </row>
    <row r="678" spans="1:1">
      <c r="A678" s="207"/>
    </row>
    <row r="679" spans="1:1">
      <c r="A679" s="207"/>
    </row>
    <row r="680" spans="1:1">
      <c r="A680" s="207"/>
    </row>
    <row r="681" spans="1:1">
      <c r="A681" s="207"/>
    </row>
    <row r="682" spans="1:1">
      <c r="A682" s="207"/>
    </row>
    <row r="683" spans="1:1">
      <c r="A683" s="207"/>
    </row>
    <row r="684" spans="1:1">
      <c r="A684" s="207"/>
    </row>
    <row r="685" spans="1:1">
      <c r="A685" s="207"/>
    </row>
    <row r="686" spans="1:1">
      <c r="A686" s="207"/>
    </row>
    <row r="687" spans="1:1">
      <c r="A687" s="207"/>
    </row>
    <row r="688" spans="1:1">
      <c r="A688" s="207"/>
    </row>
    <row r="689" spans="1:1">
      <c r="A689" s="207"/>
    </row>
    <row r="690" spans="1:1">
      <c r="A690" s="207"/>
    </row>
    <row r="691" spans="1:1">
      <c r="A691" s="207"/>
    </row>
    <row r="692" spans="1:1">
      <c r="A692" s="207"/>
    </row>
    <row r="693" spans="1:1">
      <c r="A693" s="207"/>
    </row>
    <row r="694" spans="1:1">
      <c r="A694" s="207"/>
    </row>
    <row r="695" spans="1:1">
      <c r="A695" s="207"/>
    </row>
    <row r="696" spans="1:1">
      <c r="A696" s="207"/>
    </row>
    <row r="697" spans="1:1">
      <c r="A697" s="207"/>
    </row>
    <row r="698" spans="1:1">
      <c r="A698" s="207"/>
    </row>
    <row r="699" spans="1:1">
      <c r="A699" s="207"/>
    </row>
    <row r="700" spans="1:1">
      <c r="A700" s="207"/>
    </row>
    <row r="701" spans="1:1">
      <c r="A701" s="207"/>
    </row>
    <row r="702" spans="1:1">
      <c r="A702" s="207"/>
    </row>
    <row r="703" spans="1:1">
      <c r="A703" s="207"/>
    </row>
    <row r="704" spans="1:1">
      <c r="A704" s="207"/>
    </row>
    <row r="705" spans="1:1">
      <c r="A705" s="207"/>
    </row>
    <row r="706" spans="1:1">
      <c r="A706" s="207"/>
    </row>
    <row r="707" spans="1:1">
      <c r="A707" s="207"/>
    </row>
    <row r="708" spans="1:1">
      <c r="A708" s="207"/>
    </row>
    <row r="709" spans="1:1">
      <c r="A709" s="207"/>
    </row>
    <row r="710" spans="1:1">
      <c r="A710" s="207"/>
    </row>
    <row r="711" spans="1:1">
      <c r="A711" s="207"/>
    </row>
    <row r="712" spans="1:1">
      <c r="A712" s="207"/>
    </row>
    <row r="713" spans="1:1">
      <c r="A713" s="207"/>
    </row>
    <row r="714" spans="1:1">
      <c r="A714" s="207"/>
    </row>
    <row r="715" spans="1:1">
      <c r="A715" s="207"/>
    </row>
    <row r="716" spans="1:1">
      <c r="A716" s="207"/>
    </row>
    <row r="717" spans="1:1">
      <c r="A717" s="207"/>
    </row>
    <row r="718" spans="1:1">
      <c r="A718" s="207"/>
    </row>
    <row r="719" spans="1:1">
      <c r="A719" s="207"/>
    </row>
    <row r="720" spans="1:1">
      <c r="A720" s="207"/>
    </row>
    <row r="721" spans="1:1">
      <c r="A721" s="207"/>
    </row>
    <row r="722" spans="1:1">
      <c r="A722" s="207"/>
    </row>
    <row r="723" spans="1:1">
      <c r="A723" s="207"/>
    </row>
    <row r="724" spans="1:1">
      <c r="A724" s="207"/>
    </row>
    <row r="725" spans="1:1">
      <c r="A725" s="207"/>
    </row>
    <row r="726" spans="1:1">
      <c r="A726" s="207"/>
    </row>
    <row r="727" spans="1:1">
      <c r="A727" s="207"/>
    </row>
    <row r="728" spans="1:1">
      <c r="A728" s="207"/>
    </row>
    <row r="729" spans="1:1">
      <c r="A729" s="207"/>
    </row>
    <row r="730" spans="1:1">
      <c r="A730" s="207"/>
    </row>
    <row r="731" spans="1:1">
      <c r="A731" s="207"/>
    </row>
    <row r="732" spans="1:1">
      <c r="A732" s="207"/>
    </row>
    <row r="733" spans="1:1">
      <c r="A733" s="207"/>
    </row>
    <row r="734" spans="1:1">
      <c r="A734" s="207"/>
    </row>
    <row r="735" spans="1:1">
      <c r="A735" s="207"/>
    </row>
    <row r="736" spans="1:1">
      <c r="A736" s="207"/>
    </row>
    <row r="737" spans="1:1">
      <c r="A737" s="207"/>
    </row>
    <row r="738" spans="1:1">
      <c r="A738" s="207"/>
    </row>
    <row r="739" spans="1:1">
      <c r="A739" s="207"/>
    </row>
    <row r="740" spans="1:1">
      <c r="A740" s="207"/>
    </row>
    <row r="741" spans="1:1">
      <c r="A741" s="207"/>
    </row>
    <row r="742" spans="1:1">
      <c r="A742" s="207"/>
    </row>
    <row r="743" spans="1:1">
      <c r="A743" s="207"/>
    </row>
    <row r="744" spans="1:1">
      <c r="A744" s="207"/>
    </row>
    <row r="745" spans="1:1">
      <c r="A745" s="207"/>
    </row>
    <row r="746" spans="1:1">
      <c r="A746" s="207"/>
    </row>
    <row r="747" spans="1:1">
      <c r="A747" s="207"/>
    </row>
    <row r="748" spans="1:1">
      <c r="A748" s="207"/>
    </row>
    <row r="749" spans="1:1">
      <c r="A749" s="207"/>
    </row>
    <row r="750" spans="1:1">
      <c r="A750" s="207"/>
    </row>
    <row r="751" spans="1:1">
      <c r="A751" s="207"/>
    </row>
    <row r="752" spans="1:1">
      <c r="A752" s="207"/>
    </row>
    <row r="753" spans="1:1">
      <c r="A753" s="207"/>
    </row>
    <row r="754" spans="1:1">
      <c r="A754" s="207"/>
    </row>
    <row r="755" spans="1:1">
      <c r="A755" s="207"/>
    </row>
    <row r="756" spans="1:1">
      <c r="A756" s="207"/>
    </row>
    <row r="757" spans="1:1">
      <c r="A757" s="207"/>
    </row>
    <row r="758" spans="1:1">
      <c r="A758" s="207"/>
    </row>
    <row r="759" spans="1:1">
      <c r="A759" s="207"/>
    </row>
    <row r="760" spans="1:1">
      <c r="A760" s="207"/>
    </row>
    <row r="761" spans="1:1">
      <c r="A761" s="207"/>
    </row>
    <row r="762" spans="1:1">
      <c r="A762" s="207"/>
    </row>
    <row r="763" spans="1:1">
      <c r="A763" s="207"/>
    </row>
    <row r="764" spans="1:1">
      <c r="A764" s="207"/>
    </row>
    <row r="765" spans="1:1">
      <c r="A765" s="207"/>
    </row>
    <row r="766" spans="1:1">
      <c r="A766" s="207"/>
    </row>
    <row r="767" spans="1:1">
      <c r="A767" s="207"/>
    </row>
    <row r="768" spans="1:1">
      <c r="A768" s="207"/>
    </row>
    <row r="769" spans="1:1">
      <c r="A769" s="207"/>
    </row>
    <row r="770" spans="1:1">
      <c r="A770" s="207"/>
    </row>
    <row r="771" spans="1:1">
      <c r="A771" s="207"/>
    </row>
    <row r="772" spans="1:1">
      <c r="A772" s="207"/>
    </row>
    <row r="773" spans="1:1">
      <c r="A773" s="207"/>
    </row>
    <row r="774" spans="1:1">
      <c r="A774" s="207"/>
    </row>
    <row r="775" spans="1:1">
      <c r="A775" s="207"/>
    </row>
    <row r="776" spans="1:1">
      <c r="A776" s="207"/>
    </row>
    <row r="777" spans="1:1">
      <c r="A777" s="207"/>
    </row>
    <row r="778" spans="1:1">
      <c r="A778" s="207"/>
    </row>
    <row r="779" spans="1:1">
      <c r="A779" s="207"/>
    </row>
    <row r="780" spans="1:1">
      <c r="A780" s="207"/>
    </row>
    <row r="781" spans="1:1">
      <c r="A781" s="207"/>
    </row>
    <row r="782" spans="1:1">
      <c r="A782" s="207"/>
    </row>
    <row r="783" spans="1:1">
      <c r="A783" s="207"/>
    </row>
    <row r="784" spans="1:1">
      <c r="A784" s="207"/>
    </row>
    <row r="785" spans="1:1">
      <c r="A785" s="207"/>
    </row>
    <row r="786" spans="1:1">
      <c r="A786" s="207"/>
    </row>
    <row r="787" spans="1:1">
      <c r="A787" s="207"/>
    </row>
    <row r="788" spans="1:1">
      <c r="A788" s="207"/>
    </row>
    <row r="789" spans="1:1">
      <c r="A789" s="207"/>
    </row>
    <row r="790" spans="1:1">
      <c r="A790" s="207"/>
    </row>
    <row r="791" spans="1:1">
      <c r="A791" s="207"/>
    </row>
    <row r="792" spans="1:1">
      <c r="A792" s="207"/>
    </row>
    <row r="793" spans="1:1">
      <c r="A793" s="207"/>
    </row>
    <row r="794" spans="1:1">
      <c r="A794" s="207"/>
    </row>
    <row r="795" spans="1:1">
      <c r="A795" s="207"/>
    </row>
    <row r="796" spans="1:1">
      <c r="A796" s="207"/>
    </row>
    <row r="797" spans="1:1">
      <c r="A797" s="207"/>
    </row>
    <row r="798" spans="1:1">
      <c r="A798" s="207"/>
    </row>
    <row r="799" spans="1:1">
      <c r="A799" s="207"/>
    </row>
    <row r="800" spans="1:1">
      <c r="A800" s="207"/>
    </row>
    <row r="801" spans="1:1">
      <c r="A801" s="207"/>
    </row>
    <row r="802" spans="1:1">
      <c r="A802" s="207"/>
    </row>
    <row r="803" spans="1:1">
      <c r="A803" s="207"/>
    </row>
    <row r="804" spans="1:1">
      <c r="A804" s="207"/>
    </row>
    <row r="805" spans="1:1">
      <c r="A805" s="207"/>
    </row>
    <row r="806" spans="1:1">
      <c r="A806" s="207"/>
    </row>
    <row r="807" spans="1:1">
      <c r="A807" s="207"/>
    </row>
    <row r="808" spans="1:1">
      <c r="A808" s="207"/>
    </row>
    <row r="809" spans="1:1">
      <c r="A809" s="207"/>
    </row>
    <row r="810" spans="1:1">
      <c r="A810" s="207"/>
    </row>
    <row r="811" spans="1:1">
      <c r="A811" s="207"/>
    </row>
    <row r="812" spans="1:1">
      <c r="A812" s="207"/>
    </row>
    <row r="813" spans="1:1">
      <c r="A813" s="207"/>
    </row>
    <row r="814" spans="1:1">
      <c r="A814" s="207"/>
    </row>
    <row r="815" spans="1:1">
      <c r="A815" s="207"/>
    </row>
    <row r="816" spans="1:1">
      <c r="A816" s="207"/>
    </row>
    <row r="817" spans="1:1">
      <c r="A817" s="207"/>
    </row>
    <row r="818" spans="1:1">
      <c r="A818" s="207"/>
    </row>
    <row r="819" spans="1:1">
      <c r="A819" s="207"/>
    </row>
    <row r="820" spans="1:1">
      <c r="A820" s="207"/>
    </row>
    <row r="821" spans="1:1">
      <c r="A821" s="207"/>
    </row>
    <row r="822" spans="1:1">
      <c r="A822" s="207"/>
    </row>
    <row r="823" spans="1:1">
      <c r="A823" s="207"/>
    </row>
    <row r="824" spans="1:1">
      <c r="A824" s="207"/>
    </row>
    <row r="825" spans="1:1">
      <c r="A825" s="207"/>
    </row>
    <row r="826" spans="1:1">
      <c r="A826" s="207"/>
    </row>
    <row r="827" spans="1:1">
      <c r="A827" s="207"/>
    </row>
    <row r="828" spans="1:1">
      <c r="A828" s="207"/>
    </row>
    <row r="829" spans="1:1">
      <c r="A829" s="207"/>
    </row>
    <row r="830" spans="1:1">
      <c r="A830" s="207"/>
    </row>
    <row r="831" spans="1:1">
      <c r="A831" s="207"/>
    </row>
    <row r="832" spans="1:1">
      <c r="A832" s="207"/>
    </row>
    <row r="833" spans="1:1">
      <c r="A833" s="207"/>
    </row>
    <row r="834" spans="1:1">
      <c r="A834" s="207"/>
    </row>
    <row r="835" spans="1:1">
      <c r="A835" s="207"/>
    </row>
    <row r="836" spans="1:1">
      <c r="A836" s="207"/>
    </row>
    <row r="837" spans="1:1">
      <c r="A837" s="207"/>
    </row>
    <row r="838" spans="1:1">
      <c r="A838" s="207"/>
    </row>
    <row r="839" spans="1:1">
      <c r="A839" s="207"/>
    </row>
    <row r="840" spans="1:1">
      <c r="A840" s="207"/>
    </row>
    <row r="841" spans="1:1">
      <c r="A841" s="207"/>
    </row>
    <row r="842" spans="1:1">
      <c r="A842" s="207"/>
    </row>
    <row r="843" spans="1:1">
      <c r="A843" s="207"/>
    </row>
    <row r="844" spans="1:1">
      <c r="A844" s="207"/>
    </row>
    <row r="845" spans="1:1">
      <c r="A845" s="207"/>
    </row>
    <row r="846" spans="1:1">
      <c r="A846" s="207"/>
    </row>
    <row r="847" spans="1:1">
      <c r="A847" s="207"/>
    </row>
    <row r="848" spans="1:1">
      <c r="A848" s="207"/>
    </row>
    <row r="849" spans="1:1">
      <c r="A849" s="207"/>
    </row>
    <row r="850" spans="1:1">
      <c r="A850" s="207"/>
    </row>
    <row r="851" spans="1:1">
      <c r="A851" s="207"/>
    </row>
    <row r="852" spans="1:1">
      <c r="A852" s="207"/>
    </row>
    <row r="853" spans="1:1">
      <c r="A853" s="207"/>
    </row>
    <row r="854" spans="1:1">
      <c r="A854" s="207"/>
    </row>
    <row r="855" spans="1:1">
      <c r="A855" s="207"/>
    </row>
    <row r="856" spans="1:1">
      <c r="A856" s="207"/>
    </row>
    <row r="857" spans="1:1">
      <c r="A857" s="207"/>
    </row>
    <row r="858" spans="1:1">
      <c r="A858" s="207"/>
    </row>
    <row r="859" spans="1:1">
      <c r="A859" s="207"/>
    </row>
    <row r="860" spans="1:1">
      <c r="A860" s="207"/>
    </row>
    <row r="861" spans="1:1">
      <c r="A861" s="207"/>
    </row>
    <row r="862" spans="1:1">
      <c r="A862" s="207"/>
    </row>
    <row r="863" spans="1:1">
      <c r="A863" s="207"/>
    </row>
    <row r="864" spans="1:1">
      <c r="A864" s="207"/>
    </row>
    <row r="865" spans="1:1">
      <c r="A865" s="207"/>
    </row>
    <row r="866" spans="1:1">
      <c r="A866" s="207"/>
    </row>
    <row r="867" spans="1:1">
      <c r="A867" s="207"/>
    </row>
    <row r="868" spans="1:1">
      <c r="A868" s="207"/>
    </row>
    <row r="869" spans="1:1">
      <c r="A869" s="207"/>
    </row>
    <row r="870" spans="1:1">
      <c r="A870" s="207"/>
    </row>
    <row r="871" spans="1:1">
      <c r="A871" s="207"/>
    </row>
    <row r="872" spans="1:1">
      <c r="A872" s="207"/>
    </row>
    <row r="873" spans="1:1">
      <c r="A873" s="207"/>
    </row>
    <row r="874" spans="1:1">
      <c r="A874" s="207"/>
    </row>
    <row r="875" spans="1:1">
      <c r="A875" s="207"/>
    </row>
    <row r="876" spans="1:1">
      <c r="A876" s="207"/>
    </row>
    <row r="877" spans="1:1">
      <c r="A877" s="207"/>
    </row>
    <row r="878" spans="1:1">
      <c r="A878" s="207"/>
    </row>
    <row r="879" spans="1:1">
      <c r="A879" s="207"/>
    </row>
    <row r="880" spans="1:1">
      <c r="A880" s="207"/>
    </row>
    <row r="881" spans="1:1">
      <c r="A881" s="207"/>
    </row>
    <row r="882" spans="1:1">
      <c r="A882" s="207"/>
    </row>
    <row r="883" spans="1:1">
      <c r="A883" s="207"/>
    </row>
    <row r="884" spans="1:1">
      <c r="A884" s="207"/>
    </row>
    <row r="885" spans="1:1">
      <c r="A885" s="207"/>
    </row>
    <row r="886" spans="1:1">
      <c r="A886" s="207"/>
    </row>
    <row r="887" spans="1:1">
      <c r="A887" s="207"/>
    </row>
    <row r="888" spans="1:1">
      <c r="A888" s="207"/>
    </row>
    <row r="889" spans="1:1">
      <c r="A889" s="207"/>
    </row>
    <row r="890" spans="1:1">
      <c r="A890" s="207"/>
    </row>
    <row r="891" spans="1:1">
      <c r="A891" s="207"/>
    </row>
    <row r="892" spans="1:1">
      <c r="A892" s="207"/>
    </row>
    <row r="893" spans="1:1">
      <c r="A893" s="207"/>
    </row>
    <row r="894" spans="1:1">
      <c r="A894" s="207"/>
    </row>
    <row r="895" spans="1:1">
      <c r="A895" s="207"/>
    </row>
    <row r="896" spans="1:1">
      <c r="A896" s="207"/>
    </row>
    <row r="897" spans="1:1">
      <c r="A897" s="207"/>
    </row>
    <row r="898" spans="1:1">
      <c r="A898" s="207"/>
    </row>
    <row r="899" spans="1:1">
      <c r="A899" s="207"/>
    </row>
    <row r="900" spans="1:1">
      <c r="A900" s="207"/>
    </row>
    <row r="901" spans="1:1">
      <c r="A901" s="207"/>
    </row>
    <row r="902" spans="1:1">
      <c r="A902" s="207"/>
    </row>
    <row r="903" spans="1:1">
      <c r="A903" s="207"/>
    </row>
    <row r="904" spans="1:1">
      <c r="A904" s="207"/>
    </row>
    <row r="905" spans="1:1">
      <c r="A905" s="207"/>
    </row>
    <row r="906" spans="1:1">
      <c r="A906" s="207"/>
    </row>
    <row r="907" spans="1:1">
      <c r="A907" s="207"/>
    </row>
    <row r="908" spans="1:1">
      <c r="A908" s="207"/>
    </row>
    <row r="909" spans="1:1">
      <c r="A909" s="207"/>
    </row>
    <row r="910" spans="1:1">
      <c r="A910" s="207"/>
    </row>
    <row r="911" spans="1:1">
      <c r="A911" s="207"/>
    </row>
    <row r="912" spans="1:1">
      <c r="A912" s="207"/>
    </row>
    <row r="913" spans="1:1">
      <c r="A913" s="207"/>
    </row>
    <row r="914" spans="1:1">
      <c r="A914" s="207"/>
    </row>
    <row r="915" spans="1:1">
      <c r="A915" s="207"/>
    </row>
    <row r="916" spans="1:1">
      <c r="A916" s="207"/>
    </row>
    <row r="917" spans="1:1">
      <c r="A917" s="207"/>
    </row>
    <row r="918" spans="1:1">
      <c r="A918" s="207"/>
    </row>
    <row r="919" spans="1:1">
      <c r="A919" s="207"/>
    </row>
    <row r="920" spans="1:1">
      <c r="A920" s="207"/>
    </row>
    <row r="921" spans="1:1">
      <c r="A921" s="207"/>
    </row>
    <row r="922" spans="1:1">
      <c r="A922" s="207"/>
    </row>
    <row r="923" spans="1:1">
      <c r="A923" s="207"/>
    </row>
    <row r="924" spans="1:1">
      <c r="A924" s="207"/>
    </row>
    <row r="925" spans="1:1">
      <c r="A925" s="207"/>
    </row>
    <row r="926" spans="1:1">
      <c r="A926" s="207"/>
    </row>
    <row r="927" spans="1:1">
      <c r="A927" s="207"/>
    </row>
    <row r="928" spans="1:1">
      <c r="A928" s="207"/>
    </row>
    <row r="929" spans="1:1">
      <c r="A929" s="207"/>
    </row>
    <row r="930" spans="1:1">
      <c r="A930" s="207"/>
    </row>
    <row r="931" spans="1:1">
      <c r="A931" s="207"/>
    </row>
    <row r="932" spans="1:1">
      <c r="A932" s="207"/>
    </row>
    <row r="933" spans="1:1">
      <c r="A933" s="207"/>
    </row>
    <row r="934" spans="1:1">
      <c r="A934" s="207"/>
    </row>
    <row r="935" spans="1:1">
      <c r="A935" s="207"/>
    </row>
    <row r="936" spans="1:1">
      <c r="A936" s="207"/>
    </row>
    <row r="937" spans="1:1">
      <c r="A937" s="207"/>
    </row>
    <row r="938" spans="1:1">
      <c r="A938" s="207"/>
    </row>
    <row r="939" spans="1:1">
      <c r="A939" s="207"/>
    </row>
    <row r="940" spans="1:1">
      <c r="A940" s="207"/>
    </row>
    <row r="941" spans="1:1">
      <c r="A941" s="207"/>
    </row>
    <row r="942" spans="1:1">
      <c r="A942" s="207"/>
    </row>
    <row r="943" spans="1:1">
      <c r="A943" s="207"/>
    </row>
    <row r="944" spans="1:1">
      <c r="A944" s="207"/>
    </row>
    <row r="945" spans="1:1">
      <c r="A945" s="207"/>
    </row>
    <row r="946" spans="1:1">
      <c r="A946" s="207"/>
    </row>
    <row r="947" spans="1:1">
      <c r="A947" s="207"/>
    </row>
    <row r="948" spans="1:1">
      <c r="A948" s="207"/>
    </row>
    <row r="949" spans="1:1">
      <c r="A949" s="207"/>
    </row>
    <row r="950" spans="1:1">
      <c r="A950" s="207"/>
    </row>
    <row r="951" spans="1:1">
      <c r="A951" s="207"/>
    </row>
    <row r="952" spans="1:1">
      <c r="A952" s="207"/>
    </row>
    <row r="953" spans="1:1">
      <c r="A953" s="207"/>
    </row>
    <row r="954" spans="1:1">
      <c r="A954" s="207"/>
    </row>
    <row r="955" spans="1:1">
      <c r="A955" s="207"/>
    </row>
    <row r="956" spans="1:1">
      <c r="A956" s="207"/>
    </row>
    <row r="957" spans="1:1">
      <c r="A957" s="207"/>
    </row>
    <row r="958" spans="1:1">
      <c r="A958" s="207"/>
    </row>
    <row r="959" spans="1:1">
      <c r="A959" s="207"/>
    </row>
    <row r="960" spans="1:1">
      <c r="A960" s="207"/>
    </row>
    <row r="961" spans="1:1">
      <c r="A961" s="207"/>
    </row>
    <row r="962" spans="1:1">
      <c r="A962" s="207"/>
    </row>
    <row r="963" spans="1:1">
      <c r="A963" s="207"/>
    </row>
    <row r="964" spans="1:1">
      <c r="A964" s="207"/>
    </row>
    <row r="965" spans="1:1">
      <c r="A965" s="207"/>
    </row>
    <row r="966" spans="1:1">
      <c r="A966" s="207"/>
    </row>
    <row r="967" spans="1:1">
      <c r="A967" s="207"/>
    </row>
    <row r="968" spans="1:1">
      <c r="A968" s="207"/>
    </row>
    <row r="969" spans="1:1">
      <c r="A969" s="207"/>
    </row>
    <row r="970" spans="1:1">
      <c r="A970" s="207"/>
    </row>
    <row r="971" spans="1:1">
      <c r="A971" s="207"/>
    </row>
    <row r="972" spans="1:1">
      <c r="A972" s="207"/>
    </row>
    <row r="973" spans="1:1">
      <c r="A973" s="207"/>
    </row>
    <row r="974" spans="1:1">
      <c r="A974" s="207"/>
    </row>
    <row r="975" spans="1:1">
      <c r="A975" s="207"/>
    </row>
    <row r="976" spans="1:1">
      <c r="A976" s="207"/>
    </row>
    <row r="977" spans="1:1">
      <c r="A977" s="207"/>
    </row>
    <row r="978" spans="1:1">
      <c r="A978" s="207"/>
    </row>
    <row r="979" spans="1:1">
      <c r="A979" s="207"/>
    </row>
    <row r="980" spans="1:1">
      <c r="A980" s="207"/>
    </row>
    <row r="981" spans="1:1">
      <c r="A981" s="207"/>
    </row>
    <row r="982" spans="1:1">
      <c r="A982" s="207"/>
    </row>
    <row r="983" spans="1:1">
      <c r="A983" s="207"/>
    </row>
    <row r="984" spans="1:1">
      <c r="A984" s="207"/>
    </row>
    <row r="985" spans="1:1">
      <c r="A985" s="207"/>
    </row>
    <row r="986" spans="1:1">
      <c r="A986" s="207"/>
    </row>
    <row r="987" spans="1:1">
      <c r="A987" s="207"/>
    </row>
    <row r="988" spans="1:1">
      <c r="A988" s="207"/>
    </row>
    <row r="989" spans="1:1">
      <c r="A989" s="207"/>
    </row>
    <row r="990" spans="1:1">
      <c r="A990" s="207"/>
    </row>
    <row r="991" spans="1:1">
      <c r="A991" s="207"/>
    </row>
    <row r="992" spans="1:1">
      <c r="A992" s="207"/>
    </row>
    <row r="993" spans="1:1">
      <c r="A993" s="207"/>
    </row>
    <row r="994" spans="1:1">
      <c r="A994" s="207"/>
    </row>
    <row r="995" spans="1:1">
      <c r="A995" s="207"/>
    </row>
    <row r="996" spans="1:1">
      <c r="A996" s="207"/>
    </row>
    <row r="997" spans="1:1">
      <c r="A997" s="207"/>
    </row>
    <row r="998" spans="1:1">
      <c r="A998" s="207"/>
    </row>
    <row r="999" spans="1:1">
      <c r="A999" s="207"/>
    </row>
    <row r="1000" spans="1:1">
      <c r="A1000" s="207"/>
    </row>
    <row r="1001" spans="1:1">
      <c r="A1001" s="207"/>
    </row>
    <row r="1002" spans="1:1">
      <c r="A1002" s="207"/>
    </row>
    <row r="1003" spans="1:1">
      <c r="A1003" s="207"/>
    </row>
    <row r="1004" spans="1:1">
      <c r="A1004" s="207"/>
    </row>
    <row r="1005" spans="1:1">
      <c r="A1005" s="207"/>
    </row>
    <row r="1006" spans="1:1">
      <c r="A1006" s="207"/>
    </row>
    <row r="1007" spans="1:1">
      <c r="A1007" s="207"/>
    </row>
    <row r="1008" spans="1:1">
      <c r="A1008" s="207"/>
    </row>
    <row r="1009" spans="1:1">
      <c r="A1009" s="207"/>
    </row>
    <row r="1010" spans="1:1">
      <c r="A1010" s="207"/>
    </row>
    <row r="1011" spans="1:1">
      <c r="A1011" s="207"/>
    </row>
    <row r="1012" spans="1:1">
      <c r="A1012" s="207"/>
    </row>
    <row r="1013" spans="1:1">
      <c r="A1013" s="207"/>
    </row>
    <row r="1014" spans="1:1">
      <c r="A1014" s="207"/>
    </row>
    <row r="1015" spans="1:1">
      <c r="A1015" s="207"/>
    </row>
    <row r="1016" spans="1:1">
      <c r="A1016" s="207"/>
    </row>
    <row r="1017" spans="1:1">
      <c r="A1017" s="207"/>
    </row>
    <row r="1018" spans="1:1">
      <c r="A1018" s="207"/>
    </row>
    <row r="1019" spans="1:1">
      <c r="A1019" s="207"/>
    </row>
    <row r="1020" spans="1:1">
      <c r="A1020" s="207"/>
    </row>
    <row r="1021" spans="1:1">
      <c r="A1021" s="207"/>
    </row>
    <row r="1022" spans="1:1">
      <c r="A1022" s="207"/>
    </row>
    <row r="1023" spans="1:1">
      <c r="A1023" s="207"/>
    </row>
    <row r="1024" spans="1:1">
      <c r="A1024" s="207"/>
    </row>
    <row r="1025" spans="1:1">
      <c r="A1025" s="207"/>
    </row>
    <row r="1026" spans="1:1">
      <c r="A1026" s="207"/>
    </row>
    <row r="1027" spans="1:1">
      <c r="A1027" s="207"/>
    </row>
    <row r="1028" spans="1:1">
      <c r="A1028" s="207"/>
    </row>
    <row r="1029" spans="1:1">
      <c r="A1029" s="207"/>
    </row>
    <row r="1030" spans="1:1">
      <c r="A1030" s="207"/>
    </row>
    <row r="1031" spans="1:1">
      <c r="A1031" s="207"/>
    </row>
    <row r="1032" spans="1:1">
      <c r="A1032" s="207"/>
    </row>
    <row r="1033" spans="1:1">
      <c r="A1033" s="207"/>
    </row>
    <row r="1034" spans="1:1">
      <c r="A1034" s="207"/>
    </row>
    <row r="1035" spans="1:1">
      <c r="A1035" s="207"/>
    </row>
    <row r="1036" spans="1:1">
      <c r="A1036" s="207"/>
    </row>
    <row r="1037" spans="1:1">
      <c r="A1037" s="207"/>
    </row>
    <row r="1038" spans="1:1">
      <c r="A1038" s="207"/>
    </row>
    <row r="1039" spans="1:1">
      <c r="A1039" s="207"/>
    </row>
    <row r="1040" spans="1:1">
      <c r="A1040" s="207"/>
    </row>
    <row r="1041" spans="1:1">
      <c r="A1041" s="207"/>
    </row>
    <row r="1042" spans="1:1">
      <c r="A1042" s="207"/>
    </row>
    <row r="1043" spans="1:1">
      <c r="A1043" s="207"/>
    </row>
    <row r="1044" spans="1:1">
      <c r="A1044" s="207"/>
    </row>
    <row r="1045" spans="1:1">
      <c r="A1045" s="207"/>
    </row>
    <row r="1046" spans="1:1">
      <c r="A1046" s="207"/>
    </row>
    <row r="1047" spans="1:1">
      <c r="A1047" s="207"/>
    </row>
    <row r="1048" spans="1:1">
      <c r="A1048" s="207"/>
    </row>
    <row r="1049" spans="1:1">
      <c r="A1049" s="207"/>
    </row>
    <row r="1050" spans="1:1">
      <c r="A1050" s="207"/>
    </row>
    <row r="1051" spans="1:1">
      <c r="A1051" s="207"/>
    </row>
    <row r="1052" spans="1:1">
      <c r="A1052" s="207"/>
    </row>
    <row r="1053" spans="1:1">
      <c r="A1053" s="207"/>
    </row>
    <row r="1054" spans="1:1">
      <c r="A1054" s="207"/>
    </row>
    <row r="1055" spans="1:1">
      <c r="A1055" s="207"/>
    </row>
    <row r="1056" spans="1:1">
      <c r="A1056" s="207"/>
    </row>
    <row r="1057" spans="1:1">
      <c r="A1057" s="207"/>
    </row>
    <row r="1058" spans="1:1">
      <c r="A1058" s="207"/>
    </row>
    <row r="1059" spans="1:1">
      <c r="A1059" s="207"/>
    </row>
    <row r="1060" spans="1:1">
      <c r="A1060" s="207"/>
    </row>
    <row r="1061" spans="1:1">
      <c r="A1061" s="207"/>
    </row>
    <row r="1062" spans="1:1">
      <c r="A1062" s="207"/>
    </row>
    <row r="1063" spans="1:1">
      <c r="A1063" s="207"/>
    </row>
    <row r="1064" spans="1:1">
      <c r="A1064" s="207"/>
    </row>
    <row r="1065" spans="1:1">
      <c r="A1065" s="207"/>
    </row>
    <row r="1066" spans="1:1">
      <c r="A1066" s="207"/>
    </row>
    <row r="1067" spans="1:1">
      <c r="A1067" s="207"/>
    </row>
    <row r="1068" spans="1:1">
      <c r="A1068" s="207"/>
    </row>
    <row r="1069" spans="1:1">
      <c r="A1069" s="207"/>
    </row>
    <row r="1070" spans="1:1">
      <c r="A1070" s="207"/>
    </row>
    <row r="1071" spans="1:1">
      <c r="A1071" s="207"/>
    </row>
    <row r="1072" spans="1:1">
      <c r="A1072" s="207"/>
    </row>
    <row r="1073" spans="1:1">
      <c r="A1073" s="207"/>
    </row>
    <row r="1074" spans="1:1">
      <c r="A1074" s="207"/>
    </row>
    <row r="1075" spans="1:1">
      <c r="A1075" s="207"/>
    </row>
    <row r="1076" spans="1:1">
      <c r="A1076" s="207"/>
    </row>
    <row r="1077" spans="1:1">
      <c r="A1077" s="207"/>
    </row>
    <row r="1078" spans="1:1">
      <c r="A1078" s="207"/>
    </row>
    <row r="1079" spans="1:1">
      <c r="A1079" s="207"/>
    </row>
    <row r="1080" spans="1:1">
      <c r="A1080" s="207"/>
    </row>
    <row r="1081" spans="1:1">
      <c r="A1081" s="207"/>
    </row>
    <row r="1082" spans="1:1">
      <c r="A1082" s="207"/>
    </row>
    <row r="1083" spans="1:1">
      <c r="A1083" s="207"/>
    </row>
    <row r="1084" spans="1:1">
      <c r="A1084" s="207"/>
    </row>
    <row r="1085" spans="1:1">
      <c r="A1085" s="207"/>
    </row>
    <row r="1086" spans="1:1">
      <c r="A1086" s="207"/>
    </row>
    <row r="1087" spans="1:1">
      <c r="A1087" s="207"/>
    </row>
    <row r="1088" spans="1:1">
      <c r="A1088" s="207"/>
    </row>
    <row r="1089" spans="1:1">
      <c r="A1089" s="207"/>
    </row>
    <row r="1090" spans="1:1">
      <c r="A1090" s="207"/>
    </row>
    <row r="1091" spans="1:1">
      <c r="A1091" s="207"/>
    </row>
    <row r="1092" spans="1:1">
      <c r="A1092" s="207"/>
    </row>
    <row r="1093" spans="1:1">
      <c r="A1093" s="207"/>
    </row>
    <row r="1094" spans="1:1">
      <c r="A1094" s="207"/>
    </row>
    <row r="1095" spans="1:1">
      <c r="A1095" s="207"/>
    </row>
    <row r="1096" spans="1:1">
      <c r="A1096" s="207"/>
    </row>
    <row r="1097" spans="1:1">
      <c r="A1097" s="207"/>
    </row>
    <row r="1098" spans="1:1">
      <c r="A1098" s="207"/>
    </row>
    <row r="1099" spans="1:1">
      <c r="A1099" s="207"/>
    </row>
    <row r="1100" spans="1:1">
      <c r="A1100" s="207"/>
    </row>
    <row r="1101" spans="1:1">
      <c r="A1101" s="207"/>
    </row>
    <row r="1102" spans="1:1">
      <c r="A1102" s="207"/>
    </row>
    <row r="1103" spans="1:1">
      <c r="A1103" s="207"/>
    </row>
    <row r="1104" spans="1:1">
      <c r="A1104" s="207"/>
    </row>
    <row r="1105" spans="1:1">
      <c r="A1105" s="207"/>
    </row>
    <row r="1106" spans="1:1">
      <c r="A1106" s="207"/>
    </row>
    <row r="1107" spans="1:1">
      <c r="A1107" s="207"/>
    </row>
    <row r="1108" spans="1:1">
      <c r="A1108" s="207"/>
    </row>
    <row r="1109" spans="1:1">
      <c r="A1109" s="207"/>
    </row>
    <row r="1110" spans="1:1">
      <c r="A1110" s="207"/>
    </row>
    <row r="1111" spans="1:1">
      <c r="A1111" s="207"/>
    </row>
    <row r="1112" spans="1:1">
      <c r="A1112" s="207"/>
    </row>
    <row r="1113" spans="1:1">
      <c r="A1113" s="207"/>
    </row>
    <row r="1114" spans="1:1">
      <c r="A1114" s="207"/>
    </row>
    <row r="1115" spans="1:1">
      <c r="A1115" s="207"/>
    </row>
    <row r="1116" spans="1:1">
      <c r="A1116" s="207"/>
    </row>
    <row r="1117" spans="1:1">
      <c r="A1117" s="207"/>
    </row>
    <row r="1118" spans="1:1">
      <c r="A1118" s="207"/>
    </row>
    <row r="1119" spans="1:1">
      <c r="A1119" s="207"/>
    </row>
    <row r="1120" spans="1:1">
      <c r="A1120" s="207"/>
    </row>
    <row r="1121" spans="1:1">
      <c r="A1121" s="207"/>
    </row>
    <row r="1122" spans="1:1">
      <c r="A1122" s="207"/>
    </row>
    <row r="1123" spans="1:1">
      <c r="A1123" s="207"/>
    </row>
    <row r="1124" spans="1:1">
      <c r="A1124" s="207"/>
    </row>
    <row r="1125" spans="1:1">
      <c r="A1125" s="207"/>
    </row>
    <row r="1126" spans="1:1">
      <c r="A1126" s="207"/>
    </row>
    <row r="1127" spans="1:1">
      <c r="A1127" s="207"/>
    </row>
    <row r="1128" spans="1:1">
      <c r="A1128" s="207"/>
    </row>
    <row r="1129" spans="1:1">
      <c r="A1129" s="207"/>
    </row>
    <row r="1130" spans="1:1">
      <c r="A1130" s="207"/>
    </row>
    <row r="1131" spans="1:1">
      <c r="A1131" s="207"/>
    </row>
    <row r="1132" spans="1:1">
      <c r="A1132" s="207"/>
    </row>
    <row r="1133" spans="1:1">
      <c r="A1133" s="207"/>
    </row>
    <row r="1134" spans="1:1">
      <c r="A1134" s="207"/>
    </row>
    <row r="1135" spans="1:1">
      <c r="A1135" s="207"/>
    </row>
    <row r="1136" spans="1:1">
      <c r="A1136" s="207"/>
    </row>
    <row r="1137" spans="1:1">
      <c r="A1137" s="207"/>
    </row>
    <row r="1138" spans="1:1">
      <c r="A1138" s="207"/>
    </row>
    <row r="1139" spans="1:1">
      <c r="A1139" s="207"/>
    </row>
    <row r="1140" spans="1:1">
      <c r="A1140" s="207"/>
    </row>
    <row r="1141" spans="1:1">
      <c r="A1141" s="207"/>
    </row>
    <row r="1142" spans="1:1">
      <c r="A1142" s="207"/>
    </row>
    <row r="1143" spans="1:1">
      <c r="A1143" s="207"/>
    </row>
    <row r="1144" spans="1:1">
      <c r="A1144" s="207"/>
    </row>
    <row r="1145" spans="1:1">
      <c r="A1145" s="207"/>
    </row>
    <row r="1146" spans="1:1">
      <c r="A1146" s="207"/>
    </row>
    <row r="1147" spans="1:1">
      <c r="A1147" s="207"/>
    </row>
    <row r="1148" spans="1:1">
      <c r="A1148" s="207"/>
    </row>
    <row r="1149" spans="1:1">
      <c r="A1149" s="207"/>
    </row>
    <row r="1150" spans="1:1">
      <c r="A1150" s="207"/>
    </row>
    <row r="1151" spans="1:1">
      <c r="A1151" s="207"/>
    </row>
    <row r="1152" spans="1:1">
      <c r="A1152" s="207"/>
    </row>
    <row r="1153" spans="1:1">
      <c r="A1153" s="207"/>
    </row>
    <row r="1154" spans="1:1">
      <c r="A1154" s="207"/>
    </row>
    <row r="1155" spans="1:1">
      <c r="A1155" s="207"/>
    </row>
    <row r="1156" spans="1:1">
      <c r="A1156" s="207"/>
    </row>
    <row r="1157" spans="1:1">
      <c r="A1157" s="207"/>
    </row>
    <row r="1158" spans="1:1">
      <c r="A1158" s="207"/>
    </row>
    <row r="1159" spans="1:1">
      <c r="A1159" s="207"/>
    </row>
    <row r="1160" spans="1:1">
      <c r="A1160" s="207"/>
    </row>
    <row r="1161" spans="1:1">
      <c r="A1161" s="207"/>
    </row>
    <row r="1162" spans="1:1">
      <c r="A1162" s="207"/>
    </row>
    <row r="1163" spans="1:1">
      <c r="A1163" s="207"/>
    </row>
    <row r="1164" spans="1:1">
      <c r="A1164" s="207"/>
    </row>
    <row r="1165" spans="1:1">
      <c r="A1165" s="207"/>
    </row>
    <row r="1166" spans="1:1">
      <c r="A1166" s="207"/>
    </row>
    <row r="1167" spans="1:1">
      <c r="A1167" s="207"/>
    </row>
    <row r="1168" spans="1:1">
      <c r="A1168" s="207"/>
    </row>
    <row r="1169" spans="1:1">
      <c r="A1169" s="207"/>
    </row>
    <row r="1170" spans="1:1">
      <c r="A1170" s="207"/>
    </row>
    <row r="1171" spans="1:1">
      <c r="A1171" s="207"/>
    </row>
    <row r="1172" spans="1:1">
      <c r="A1172" s="207"/>
    </row>
    <row r="1173" spans="1:1">
      <c r="A1173" s="207"/>
    </row>
    <row r="1174" spans="1:1">
      <c r="A1174" s="207"/>
    </row>
    <row r="1175" spans="1:1">
      <c r="A1175" s="207"/>
    </row>
    <row r="1176" spans="1:1">
      <c r="A1176" s="207"/>
    </row>
    <row r="1177" spans="1:1">
      <c r="A1177" s="207"/>
    </row>
    <row r="1178" spans="1:1">
      <c r="A1178" s="207"/>
    </row>
    <row r="1179" spans="1:1">
      <c r="A1179" s="207"/>
    </row>
    <row r="1180" spans="1:1">
      <c r="A1180" s="207"/>
    </row>
    <row r="1181" spans="1:1">
      <c r="A1181" s="207"/>
    </row>
    <row r="1182" spans="1:1">
      <c r="A1182" s="207"/>
    </row>
    <row r="1183" spans="1:1">
      <c r="A1183" s="207"/>
    </row>
    <row r="1184" spans="1:1">
      <c r="A1184" s="207"/>
    </row>
    <row r="1185" spans="1:1">
      <c r="A1185" s="207"/>
    </row>
    <row r="1186" spans="1:1">
      <c r="A1186" s="207"/>
    </row>
    <row r="1187" spans="1:1">
      <c r="A1187" s="207"/>
    </row>
    <row r="1188" spans="1:1">
      <c r="A1188" s="207"/>
    </row>
    <row r="1189" spans="1:1">
      <c r="A1189" s="207"/>
    </row>
    <row r="1190" spans="1:1">
      <c r="A1190" s="207"/>
    </row>
    <row r="1191" spans="1:1">
      <c r="A1191" s="207"/>
    </row>
    <row r="1192" spans="1:1">
      <c r="A1192" s="207"/>
    </row>
    <row r="1193" spans="1:1">
      <c r="A1193" s="207"/>
    </row>
    <row r="1194" spans="1:1">
      <c r="A1194" s="207"/>
    </row>
    <row r="1195" spans="1:1">
      <c r="A1195" s="207"/>
    </row>
    <row r="1196" spans="1:1">
      <c r="A1196" s="207"/>
    </row>
    <row r="1197" spans="1:1">
      <c r="A1197" s="207"/>
    </row>
    <row r="1198" spans="1:1">
      <c r="A1198" s="207"/>
    </row>
    <row r="1199" spans="1:1">
      <c r="A1199" s="207"/>
    </row>
    <row r="1200" spans="1:1">
      <c r="A1200" s="207"/>
    </row>
    <row r="1201" spans="1:1">
      <c r="A1201" s="207"/>
    </row>
    <row r="1202" spans="1:1">
      <c r="A1202" s="207"/>
    </row>
    <row r="1203" spans="1:1">
      <c r="A1203" s="207"/>
    </row>
    <row r="1204" spans="1:1">
      <c r="A1204" s="207"/>
    </row>
    <row r="1205" spans="1:1">
      <c r="A1205" s="207"/>
    </row>
    <row r="1206" spans="1:1">
      <c r="A1206" s="207"/>
    </row>
    <row r="1207" spans="1:1">
      <c r="A1207" s="207"/>
    </row>
    <row r="1208" spans="1:1">
      <c r="A1208" s="207"/>
    </row>
    <row r="1209" spans="1:1">
      <c r="A1209" s="207"/>
    </row>
    <row r="1210" spans="1:1">
      <c r="A1210" s="207"/>
    </row>
    <row r="1211" spans="1:1">
      <c r="A1211" s="207"/>
    </row>
    <row r="1212" spans="1:1">
      <c r="A1212" s="207"/>
    </row>
    <row r="1213" spans="1:1">
      <c r="A1213" s="207"/>
    </row>
    <row r="1214" spans="1:1">
      <c r="A1214" s="207"/>
    </row>
    <row r="1215" spans="1:1">
      <c r="A1215" s="207"/>
    </row>
    <row r="1216" spans="1:1">
      <c r="A1216" s="207"/>
    </row>
    <row r="1217" spans="1:1">
      <c r="A1217" s="207"/>
    </row>
    <row r="1218" spans="1:1">
      <c r="A1218" s="207"/>
    </row>
    <row r="1219" spans="1:1">
      <c r="A1219" s="207"/>
    </row>
    <row r="1220" spans="1:1">
      <c r="A1220" s="207"/>
    </row>
    <row r="1221" spans="1:1">
      <c r="A1221" s="207"/>
    </row>
    <row r="1222" spans="1:1">
      <c r="A1222" s="207"/>
    </row>
    <row r="1223" spans="1:1">
      <c r="A1223" s="207"/>
    </row>
    <row r="1224" spans="1:1">
      <c r="A1224" s="207"/>
    </row>
    <row r="1225" spans="1:1">
      <c r="A1225" s="207"/>
    </row>
    <row r="1226" spans="1:1">
      <c r="A1226" s="207"/>
    </row>
    <row r="1227" spans="1:1">
      <c r="A1227" s="207"/>
    </row>
    <row r="1228" spans="1:1">
      <c r="A1228" s="207"/>
    </row>
    <row r="1229" spans="1:1">
      <c r="A1229" s="207"/>
    </row>
    <row r="1230" spans="1:1">
      <c r="A1230" s="207"/>
    </row>
    <row r="1231" spans="1:1">
      <c r="A1231" s="207"/>
    </row>
    <row r="1232" spans="1:1">
      <c r="A1232" s="207"/>
    </row>
    <row r="1233" spans="1:1">
      <c r="A1233" s="207"/>
    </row>
    <row r="1234" spans="1:1">
      <c r="A1234" s="207"/>
    </row>
    <row r="1235" spans="1:1">
      <c r="A1235" s="207"/>
    </row>
    <row r="1236" spans="1:1">
      <c r="A1236" s="207"/>
    </row>
    <row r="1237" spans="1:1">
      <c r="A1237" s="207"/>
    </row>
    <row r="1238" spans="1:1">
      <c r="A1238" s="207"/>
    </row>
    <row r="1239" spans="1:1">
      <c r="A1239" s="207"/>
    </row>
    <row r="1240" spans="1:1">
      <c r="A1240" s="207"/>
    </row>
    <row r="1241" spans="1:1">
      <c r="A1241" s="207"/>
    </row>
    <row r="1242" spans="1:1">
      <c r="A1242" s="207"/>
    </row>
    <row r="1243" spans="1:1">
      <c r="A1243" s="207"/>
    </row>
    <row r="1244" spans="1:1">
      <c r="A1244" s="207"/>
    </row>
    <row r="1245" spans="1:1">
      <c r="A1245" s="207"/>
    </row>
    <row r="1246" spans="1:1">
      <c r="A1246" s="207"/>
    </row>
    <row r="1247" spans="1:1">
      <c r="A1247" s="207"/>
    </row>
    <row r="1248" spans="1:1">
      <c r="A1248" s="207"/>
    </row>
    <row r="1249" spans="1:1">
      <c r="A1249" s="207"/>
    </row>
    <row r="1250" spans="1:1">
      <c r="A1250" s="207"/>
    </row>
    <row r="1251" spans="1:1">
      <c r="A1251" s="207"/>
    </row>
    <row r="1252" spans="1:1">
      <c r="A1252" s="207"/>
    </row>
    <row r="1253" spans="1:1">
      <c r="A1253" s="207"/>
    </row>
    <row r="1254" spans="1:1">
      <c r="A1254" s="207"/>
    </row>
    <row r="1255" spans="1:1">
      <c r="A1255" s="207"/>
    </row>
    <row r="1256" spans="1:1">
      <c r="A1256" s="207"/>
    </row>
    <row r="1257" spans="1:1">
      <c r="A1257" s="207"/>
    </row>
    <row r="1258" spans="1:1">
      <c r="A1258" s="207"/>
    </row>
    <row r="1259" spans="1:1">
      <c r="A1259" s="207"/>
    </row>
    <row r="1260" spans="1:1">
      <c r="A1260" s="207"/>
    </row>
    <row r="1261" spans="1:1">
      <c r="A1261" s="207"/>
    </row>
    <row r="1262" spans="1:1">
      <c r="A1262" s="207"/>
    </row>
    <row r="1263" spans="1:1">
      <c r="A1263" s="207"/>
    </row>
    <row r="1264" spans="1:1">
      <c r="A1264" s="207"/>
    </row>
    <row r="1265" spans="1:1">
      <c r="A1265" s="207"/>
    </row>
    <row r="1266" spans="1:1">
      <c r="A1266" s="207"/>
    </row>
    <row r="1267" spans="1:1">
      <c r="A1267" s="207"/>
    </row>
    <row r="1268" spans="1:1">
      <c r="A1268" s="207"/>
    </row>
    <row r="1269" spans="1:1">
      <c r="A1269" s="207"/>
    </row>
    <row r="1270" spans="1:1">
      <c r="A1270" s="207"/>
    </row>
    <row r="1271" spans="1:1">
      <c r="A1271" s="207"/>
    </row>
    <row r="1272" spans="1:1">
      <c r="A1272" s="207"/>
    </row>
    <row r="1273" spans="1:1">
      <c r="A1273" s="207"/>
    </row>
    <row r="1274" spans="1:1">
      <c r="A1274" s="207"/>
    </row>
    <row r="1275" spans="1:1">
      <c r="A1275" s="207"/>
    </row>
    <row r="1276" spans="1:1">
      <c r="A1276" s="207"/>
    </row>
    <row r="1277" spans="1:1">
      <c r="A1277" s="207"/>
    </row>
    <row r="1278" spans="1:1">
      <c r="A1278" s="207"/>
    </row>
    <row r="1279" spans="1:1">
      <c r="A1279" s="207"/>
    </row>
    <row r="1280" spans="1:1">
      <c r="A1280" s="207"/>
    </row>
    <row r="1281" spans="1:1">
      <c r="A1281" s="207"/>
    </row>
    <row r="1282" spans="1:1">
      <c r="A1282" s="207"/>
    </row>
    <row r="1283" spans="1:1">
      <c r="A1283" s="207"/>
    </row>
    <row r="1284" spans="1:1">
      <c r="A1284" s="207"/>
    </row>
    <row r="1285" spans="1:1">
      <c r="A1285" s="207"/>
    </row>
    <row r="1286" spans="1:1">
      <c r="A1286" s="207"/>
    </row>
    <row r="1287" spans="1:1">
      <c r="A1287" s="207"/>
    </row>
    <row r="1288" spans="1:1">
      <c r="A1288" s="207"/>
    </row>
    <row r="1289" spans="1:1">
      <c r="A1289" s="207"/>
    </row>
    <row r="1290" spans="1:1">
      <c r="A1290" s="207"/>
    </row>
    <row r="1291" spans="1:1">
      <c r="A1291" s="207"/>
    </row>
    <row r="1292" spans="1:1">
      <c r="A1292" s="207"/>
    </row>
    <row r="1293" spans="1:1">
      <c r="A1293" s="207"/>
    </row>
    <row r="1294" spans="1:1">
      <c r="A1294" s="207"/>
    </row>
    <row r="1295" spans="1:1">
      <c r="A1295" s="207"/>
    </row>
    <row r="1296" spans="1:1">
      <c r="A1296" s="207"/>
    </row>
    <row r="1297" spans="1:1">
      <c r="A1297" s="207"/>
    </row>
    <row r="1298" spans="1:1">
      <c r="A1298" s="207"/>
    </row>
    <row r="1299" spans="1:1">
      <c r="A1299" s="207"/>
    </row>
    <row r="1300" spans="1:1">
      <c r="A1300" s="207"/>
    </row>
    <row r="1301" spans="1:1">
      <c r="A1301" s="207"/>
    </row>
    <row r="1302" spans="1:1">
      <c r="A1302" s="207"/>
    </row>
    <row r="1303" spans="1:1">
      <c r="A1303" s="207"/>
    </row>
    <row r="1304" spans="1:1">
      <c r="A1304" s="207"/>
    </row>
    <row r="1305" spans="1:1">
      <c r="A1305" s="207"/>
    </row>
    <row r="1306" spans="1:1">
      <c r="A1306" s="207"/>
    </row>
    <row r="1307" spans="1:1">
      <c r="A1307" s="207"/>
    </row>
    <row r="1308" spans="1:1">
      <c r="A1308" s="207"/>
    </row>
    <row r="1309" spans="1:1">
      <c r="A1309" s="207"/>
    </row>
    <row r="1310" spans="1:1">
      <c r="A1310" s="207"/>
    </row>
    <row r="1311" spans="1:1">
      <c r="A1311" s="207"/>
    </row>
    <row r="1312" spans="1:1">
      <c r="A1312" s="207"/>
    </row>
    <row r="1313" spans="1:1">
      <c r="A1313" s="207"/>
    </row>
    <row r="1314" spans="1:1">
      <c r="A1314" s="207"/>
    </row>
    <row r="1315" spans="1:1">
      <c r="A1315" s="207"/>
    </row>
    <row r="1316" spans="1:1">
      <c r="A1316" s="207"/>
    </row>
    <row r="1317" spans="1:1">
      <c r="A1317" s="207"/>
    </row>
    <row r="1318" spans="1:1">
      <c r="A1318" s="207"/>
    </row>
    <row r="1319" spans="1:1">
      <c r="A1319" s="207"/>
    </row>
    <row r="1320" spans="1:1">
      <c r="A1320" s="207"/>
    </row>
    <row r="1321" spans="1:1">
      <c r="A1321" s="207"/>
    </row>
    <row r="1322" spans="1:1">
      <c r="A1322" s="207"/>
    </row>
    <row r="1323" spans="1:1">
      <c r="A1323" s="207"/>
    </row>
    <row r="1324" spans="1:1">
      <c r="A1324" s="207"/>
    </row>
    <row r="1325" spans="1:1">
      <c r="A1325" s="207"/>
    </row>
    <row r="1326" spans="1:1">
      <c r="A1326" s="207"/>
    </row>
    <row r="1327" spans="1:1">
      <c r="A1327" s="207"/>
    </row>
    <row r="1328" spans="1:1">
      <c r="A1328" s="207"/>
    </row>
    <row r="1329" spans="1:1">
      <c r="A1329" s="207"/>
    </row>
    <row r="1330" spans="1:1">
      <c r="A1330" s="207"/>
    </row>
    <row r="1331" spans="1:1">
      <c r="A1331" s="207"/>
    </row>
    <row r="1332" spans="1:1">
      <c r="A1332" s="207"/>
    </row>
    <row r="1333" spans="1:1">
      <c r="A1333" s="207"/>
    </row>
    <row r="1334" spans="1:1">
      <c r="A1334" s="207"/>
    </row>
    <row r="1335" spans="1:1">
      <c r="A1335" s="207"/>
    </row>
    <row r="1336" spans="1:1">
      <c r="A1336" s="207"/>
    </row>
    <row r="1337" spans="1:1">
      <c r="A1337" s="207"/>
    </row>
    <row r="1338" spans="1:1">
      <c r="A1338" s="207"/>
    </row>
    <row r="1339" spans="1:1">
      <c r="A1339" s="207"/>
    </row>
    <row r="1340" spans="1:1">
      <c r="A1340" s="207"/>
    </row>
    <row r="1341" spans="1:1">
      <c r="A1341" s="207"/>
    </row>
    <row r="1342" spans="1:1">
      <c r="A1342" s="207"/>
    </row>
    <row r="1343" spans="1:1">
      <c r="A1343" s="207"/>
    </row>
    <row r="1344" spans="1:1">
      <c r="A1344" s="207"/>
    </row>
    <row r="1345" spans="1:1">
      <c r="A1345" s="207"/>
    </row>
    <row r="1346" spans="1:1">
      <c r="A1346" s="207"/>
    </row>
    <row r="1347" spans="1:1">
      <c r="A1347" s="207"/>
    </row>
    <row r="1348" spans="1:1">
      <c r="A1348" s="207"/>
    </row>
    <row r="1349" spans="1:1">
      <c r="A1349" s="207"/>
    </row>
    <row r="1350" spans="1:1">
      <c r="A1350" s="207"/>
    </row>
    <row r="1351" spans="1:1">
      <c r="A1351" s="207"/>
    </row>
    <row r="1352" spans="1:1">
      <c r="A1352" s="207"/>
    </row>
    <row r="1353" spans="1:1">
      <c r="A1353" s="207"/>
    </row>
    <row r="1354" spans="1:1">
      <c r="A1354" s="207"/>
    </row>
    <row r="1355" spans="1:1">
      <c r="A1355" s="207"/>
    </row>
    <row r="1356" spans="1:1">
      <c r="A1356" s="207"/>
    </row>
    <row r="1357" spans="1:1">
      <c r="A1357" s="207"/>
    </row>
    <row r="1358" spans="1:1">
      <c r="A1358" s="207"/>
    </row>
    <row r="1359" spans="1:1">
      <c r="A1359" s="207"/>
    </row>
    <row r="1360" spans="1:1">
      <c r="A1360" s="207"/>
    </row>
    <row r="1361" spans="1:1">
      <c r="A1361" s="207"/>
    </row>
    <row r="1362" spans="1:1">
      <c r="A1362" s="207"/>
    </row>
    <row r="1363" spans="1:1">
      <c r="A1363" s="207"/>
    </row>
    <row r="1364" spans="1:1">
      <c r="A1364" s="207"/>
    </row>
    <row r="1365" spans="1:1">
      <c r="A1365" s="207"/>
    </row>
    <row r="1366" spans="1:1">
      <c r="A1366" s="207"/>
    </row>
    <row r="1367" spans="1:1">
      <c r="A1367" s="207"/>
    </row>
    <row r="1368" spans="1:1">
      <c r="A1368" s="207"/>
    </row>
    <row r="1369" spans="1:1">
      <c r="A1369" s="207"/>
    </row>
    <row r="1370" spans="1:1">
      <c r="A1370" s="207"/>
    </row>
    <row r="1371" spans="1:1">
      <c r="A1371" s="207"/>
    </row>
    <row r="1372" spans="1:1">
      <c r="A1372" s="207"/>
    </row>
    <row r="1373" spans="1:1">
      <c r="A1373" s="207"/>
    </row>
    <row r="1374" spans="1:1">
      <c r="A1374" s="207"/>
    </row>
    <row r="1375" spans="1:1">
      <c r="A1375" s="207"/>
    </row>
    <row r="1376" spans="1:1">
      <c r="A1376" s="207"/>
    </row>
    <row r="1377" spans="1:1">
      <c r="A1377" s="207"/>
    </row>
    <row r="1378" spans="1:1">
      <c r="A1378" s="207"/>
    </row>
    <row r="1379" spans="1:1">
      <c r="A1379" s="207"/>
    </row>
    <row r="1380" spans="1:1">
      <c r="A1380" s="207"/>
    </row>
    <row r="1381" spans="1:1">
      <c r="A1381" s="207"/>
    </row>
    <row r="1382" spans="1:1">
      <c r="A1382" s="207"/>
    </row>
    <row r="1383" spans="1:1">
      <c r="A1383" s="207"/>
    </row>
    <row r="1384" spans="1:1">
      <c r="A1384" s="207"/>
    </row>
    <row r="1385" spans="1:1">
      <c r="A1385" s="207"/>
    </row>
    <row r="1386" spans="1:1">
      <c r="A1386" s="207"/>
    </row>
    <row r="1387" spans="1:1">
      <c r="A1387" s="207"/>
    </row>
    <row r="1388" spans="1:1">
      <c r="A1388" s="207"/>
    </row>
    <row r="1389" spans="1:1">
      <c r="A1389" s="207"/>
    </row>
    <row r="1390" spans="1:1">
      <c r="A1390" s="207"/>
    </row>
    <row r="1391" spans="1:1">
      <c r="A1391" s="207"/>
    </row>
    <row r="1392" spans="1:1">
      <c r="A1392" s="207"/>
    </row>
    <row r="1393" spans="1:1">
      <c r="A1393" s="207"/>
    </row>
    <row r="1394" spans="1:1">
      <c r="A1394" s="207"/>
    </row>
    <row r="1395" spans="1:1">
      <c r="A1395" s="207"/>
    </row>
    <row r="1396" spans="1:1">
      <c r="A1396" s="207"/>
    </row>
    <row r="1397" spans="1:1">
      <c r="A1397" s="207"/>
    </row>
    <row r="1398" spans="1:1">
      <c r="A1398" s="207"/>
    </row>
    <row r="1399" spans="1:1">
      <c r="A1399" s="207"/>
    </row>
    <row r="1400" spans="1:1">
      <c r="A1400" s="207"/>
    </row>
    <row r="1401" spans="1:1">
      <c r="A1401" s="207"/>
    </row>
    <row r="1402" spans="1:1">
      <c r="A1402" s="207"/>
    </row>
    <row r="1403" spans="1:1">
      <c r="A1403" s="207"/>
    </row>
    <row r="1404" spans="1:1">
      <c r="A1404" s="207"/>
    </row>
    <row r="1405" spans="1:1">
      <c r="A1405" s="207"/>
    </row>
    <row r="1406" spans="1:1">
      <c r="A1406" s="207"/>
    </row>
    <row r="1407" spans="1:1">
      <c r="A1407" s="207"/>
    </row>
    <row r="1408" spans="1:1">
      <c r="A1408" s="207"/>
    </row>
    <row r="1409" spans="1:1">
      <c r="A1409" s="207"/>
    </row>
    <row r="1410" spans="1:1">
      <c r="A1410" s="207"/>
    </row>
    <row r="1411" spans="1:1">
      <c r="A1411" s="207"/>
    </row>
    <row r="1412" spans="1:1">
      <c r="A1412" s="207"/>
    </row>
    <row r="1413" spans="1:1">
      <c r="A1413" s="207"/>
    </row>
    <row r="1414" spans="1:1">
      <c r="A1414" s="207"/>
    </row>
    <row r="1415" spans="1:1">
      <c r="A1415" s="207"/>
    </row>
    <row r="1416" spans="1:1">
      <c r="A1416" s="207"/>
    </row>
    <row r="1417" spans="1:1">
      <c r="A1417" s="207"/>
    </row>
    <row r="1418" spans="1:1">
      <c r="A1418" s="207"/>
    </row>
    <row r="1419" spans="1:1">
      <c r="A1419" s="207"/>
    </row>
    <row r="1420" spans="1:1">
      <c r="A1420" s="207"/>
    </row>
    <row r="1421" spans="1:1">
      <c r="A1421" s="207"/>
    </row>
    <row r="1422" spans="1:1">
      <c r="A1422" s="207"/>
    </row>
    <row r="1423" spans="1:1">
      <c r="A1423" s="207"/>
    </row>
    <row r="1424" spans="1:1">
      <c r="A1424" s="207"/>
    </row>
    <row r="1425" spans="1:1">
      <c r="A1425" s="207"/>
    </row>
    <row r="1426" spans="1:1">
      <c r="A1426" s="207"/>
    </row>
    <row r="1427" spans="1:1">
      <c r="A1427" s="207"/>
    </row>
    <row r="1428" spans="1:1">
      <c r="A1428" s="207"/>
    </row>
    <row r="1429" spans="1:1">
      <c r="A1429" s="207"/>
    </row>
    <row r="1430" spans="1:1">
      <c r="A1430" s="207"/>
    </row>
    <row r="1431" spans="1:1">
      <c r="A1431" s="207"/>
    </row>
    <row r="1432" spans="1:1">
      <c r="A1432" s="207"/>
    </row>
    <row r="1433" spans="1:1">
      <c r="A1433" s="207"/>
    </row>
    <row r="1434" spans="1:1">
      <c r="A1434" s="207"/>
    </row>
    <row r="1435" spans="1:1">
      <c r="A1435" s="207"/>
    </row>
    <row r="1436" spans="1:1">
      <c r="A1436" s="207"/>
    </row>
    <row r="1437" spans="1:1">
      <c r="A1437" s="207"/>
    </row>
    <row r="1438" spans="1:1">
      <c r="A1438" s="207"/>
    </row>
    <row r="1439" spans="1:1">
      <c r="A1439" s="207"/>
    </row>
    <row r="1440" spans="1:1">
      <c r="A1440" s="207"/>
    </row>
    <row r="1441" spans="1:1">
      <c r="A1441" s="207"/>
    </row>
    <row r="1442" spans="1:1">
      <c r="A1442" s="207"/>
    </row>
    <row r="1443" spans="1:1">
      <c r="A1443" s="207"/>
    </row>
    <row r="1444" spans="1:1">
      <c r="A1444" s="207"/>
    </row>
    <row r="1445" spans="1:1">
      <c r="A1445" s="207"/>
    </row>
    <row r="1446" spans="1:1">
      <c r="A1446" s="207"/>
    </row>
    <row r="1447" spans="1:1">
      <c r="A1447" s="207"/>
    </row>
    <row r="1448" spans="1:1">
      <c r="A1448" s="207"/>
    </row>
    <row r="1449" spans="1:1">
      <c r="A1449" s="207"/>
    </row>
    <row r="1450" spans="1:1">
      <c r="A1450" s="207"/>
    </row>
    <row r="1451" spans="1:1">
      <c r="A1451" s="207"/>
    </row>
    <row r="1452" spans="1:1">
      <c r="A1452" s="207"/>
    </row>
    <row r="1453" spans="1:1">
      <c r="A1453" s="207"/>
    </row>
    <row r="1454" spans="1:1">
      <c r="A1454" s="207"/>
    </row>
    <row r="1455" spans="1:1">
      <c r="A1455" s="207"/>
    </row>
    <row r="1456" spans="1:1">
      <c r="A1456" s="207"/>
    </row>
    <row r="1457" spans="1:1">
      <c r="A1457" s="207"/>
    </row>
    <row r="1458" spans="1:1">
      <c r="A1458" s="207"/>
    </row>
    <row r="1459" spans="1:1">
      <c r="A1459" s="207"/>
    </row>
    <row r="1460" spans="1:1">
      <c r="A1460" s="207"/>
    </row>
    <row r="1461" spans="1:1">
      <c r="A1461" s="207"/>
    </row>
    <row r="1462" spans="1:1">
      <c r="A1462" s="207"/>
    </row>
    <row r="1463" spans="1:1">
      <c r="A1463" s="207"/>
    </row>
    <row r="1464" spans="1:1">
      <c r="A1464" s="207"/>
    </row>
    <row r="1465" spans="1:1">
      <c r="A1465" s="207"/>
    </row>
    <row r="1466" spans="1:1">
      <c r="A1466" s="207"/>
    </row>
    <row r="1467" spans="1:1">
      <c r="A1467" s="207"/>
    </row>
    <row r="1468" spans="1:1">
      <c r="A1468" s="207"/>
    </row>
    <row r="1469" spans="1:1">
      <c r="A1469" s="207"/>
    </row>
    <row r="1470" spans="1:1">
      <c r="A1470" s="207"/>
    </row>
    <row r="1471" spans="1:1">
      <c r="A1471" s="207"/>
    </row>
    <row r="1472" spans="1:1">
      <c r="A1472" s="207"/>
    </row>
    <row r="1473" spans="1:1">
      <c r="A1473" s="207"/>
    </row>
    <row r="1474" spans="1:1">
      <c r="A1474" s="207"/>
    </row>
    <row r="1475" spans="1:1">
      <c r="A1475" s="207"/>
    </row>
    <row r="1476" spans="1:1">
      <c r="A1476" s="207"/>
    </row>
    <row r="1477" spans="1:1">
      <c r="A1477" s="207"/>
    </row>
    <row r="1478" spans="1:1">
      <c r="A1478" s="207"/>
    </row>
    <row r="1479" spans="1:1">
      <c r="A1479" s="207"/>
    </row>
    <row r="1480" spans="1:1">
      <c r="A1480" s="207"/>
    </row>
    <row r="1481" spans="1:1">
      <c r="A1481" s="207"/>
    </row>
    <row r="1482" spans="1:1">
      <c r="A1482" s="207"/>
    </row>
    <row r="1483" spans="1:1">
      <c r="A1483" s="207"/>
    </row>
    <row r="1484" spans="1:1">
      <c r="A1484" s="207"/>
    </row>
    <row r="1485" spans="1:1">
      <c r="A1485" s="207"/>
    </row>
    <row r="1486" spans="1:1">
      <c r="A1486" s="207"/>
    </row>
    <row r="1487" spans="1:1">
      <c r="A1487" s="207"/>
    </row>
    <row r="1488" spans="1:1">
      <c r="A1488" s="207"/>
    </row>
    <row r="1489" spans="1:1">
      <c r="A1489" s="207"/>
    </row>
    <row r="1490" spans="1:1">
      <c r="A1490" s="207"/>
    </row>
    <row r="1491" spans="1:1">
      <c r="A1491" s="207"/>
    </row>
    <row r="1492" spans="1:1">
      <c r="A1492" s="207"/>
    </row>
    <row r="1493" spans="1:1">
      <c r="A1493" s="207"/>
    </row>
    <row r="1494" spans="1:1">
      <c r="A1494" s="207"/>
    </row>
    <row r="1495" spans="1:1">
      <c r="A1495" s="207"/>
    </row>
    <row r="1496" spans="1:1">
      <c r="A1496" s="207"/>
    </row>
    <row r="1497" spans="1:1">
      <c r="A1497" s="207"/>
    </row>
    <row r="1498" spans="1:1">
      <c r="A1498" s="207"/>
    </row>
    <row r="1499" spans="1:1">
      <c r="A1499" s="207"/>
    </row>
    <row r="1500" spans="1:1">
      <c r="A1500" s="207"/>
    </row>
    <row r="1501" spans="1:1">
      <c r="A1501" s="207"/>
    </row>
    <row r="1502" spans="1:1">
      <c r="A1502" s="207"/>
    </row>
    <row r="1503" spans="1:1">
      <c r="A1503" s="207"/>
    </row>
    <row r="1504" spans="1:1">
      <c r="A1504" s="207"/>
    </row>
    <row r="1505" spans="1:1">
      <c r="A1505" s="207"/>
    </row>
    <row r="1506" spans="1:1">
      <c r="A1506" s="207"/>
    </row>
    <row r="1507" spans="1:1">
      <c r="A1507" s="207"/>
    </row>
    <row r="1508" spans="1:1">
      <c r="A1508" s="207"/>
    </row>
    <row r="1509" spans="1:1">
      <c r="A1509" s="207"/>
    </row>
    <row r="1510" spans="1:1">
      <c r="A1510" s="207"/>
    </row>
    <row r="1511" spans="1:1">
      <c r="A1511" s="207"/>
    </row>
    <row r="1512" spans="1:1">
      <c r="A1512" s="207"/>
    </row>
    <row r="1513" spans="1:1">
      <c r="A1513" s="207"/>
    </row>
    <row r="1514" spans="1:1">
      <c r="A1514" s="207"/>
    </row>
    <row r="1515" spans="1:1">
      <c r="A1515" s="207"/>
    </row>
    <row r="1516" spans="1:1">
      <c r="A1516" s="207"/>
    </row>
    <row r="1517" spans="1:1">
      <c r="A1517" s="207"/>
    </row>
    <row r="1518" spans="1:1">
      <c r="A1518" s="207"/>
    </row>
    <row r="1519" spans="1:1">
      <c r="A1519" s="207"/>
    </row>
    <row r="1520" spans="1:1">
      <c r="A1520" s="207"/>
    </row>
    <row r="1521" spans="1:1">
      <c r="A1521" s="207"/>
    </row>
    <row r="1522" spans="1:1">
      <c r="A1522" s="207"/>
    </row>
    <row r="1523" spans="1:1">
      <c r="A1523" s="207"/>
    </row>
    <row r="1524" spans="1:1">
      <c r="A1524" s="207"/>
    </row>
    <row r="1525" spans="1:1">
      <c r="A1525" s="207"/>
    </row>
    <row r="1526" spans="1:1">
      <c r="A1526" s="207"/>
    </row>
    <row r="1527" spans="1:1">
      <c r="A1527" s="207"/>
    </row>
    <row r="1528" spans="1:1">
      <c r="A1528" s="207"/>
    </row>
    <row r="1529" spans="1:1">
      <c r="A1529" s="207"/>
    </row>
    <row r="1530" spans="1:1">
      <c r="A1530" s="207"/>
    </row>
    <row r="1531" spans="1:1">
      <c r="A1531" s="207"/>
    </row>
    <row r="1532" spans="1:1">
      <c r="A1532" s="207"/>
    </row>
    <row r="1533" spans="1:1">
      <c r="A1533" s="207"/>
    </row>
    <row r="1534" spans="1:1">
      <c r="A1534" s="207"/>
    </row>
    <row r="1535" spans="1:1">
      <c r="A1535" s="207"/>
    </row>
    <row r="1536" spans="1:1">
      <c r="A1536" s="207"/>
    </row>
    <row r="1537" spans="1:1">
      <c r="A1537" s="207"/>
    </row>
    <row r="1538" spans="1:1">
      <c r="A1538" s="207"/>
    </row>
    <row r="1539" spans="1:1">
      <c r="A1539" s="207"/>
    </row>
    <row r="1540" spans="1:1">
      <c r="A1540" s="207"/>
    </row>
    <row r="1541" spans="1:1">
      <c r="A1541" s="207"/>
    </row>
    <row r="1542" spans="1:1">
      <c r="A1542" s="207"/>
    </row>
    <row r="1543" spans="1:1">
      <c r="A1543" s="207"/>
    </row>
    <row r="1544" spans="1:1">
      <c r="A1544" s="207"/>
    </row>
    <row r="1545" spans="1:1">
      <c r="A1545" s="207"/>
    </row>
    <row r="1546" spans="1:1">
      <c r="A1546" s="207"/>
    </row>
    <row r="1547" spans="1:1">
      <c r="A1547" s="207"/>
    </row>
    <row r="1548" spans="1:1">
      <c r="A1548" s="207"/>
    </row>
    <row r="1549" spans="1:1">
      <c r="A1549" s="207"/>
    </row>
    <row r="1550" spans="1:1">
      <c r="A1550" s="207"/>
    </row>
    <row r="1551" spans="1:1">
      <c r="A1551" s="207"/>
    </row>
    <row r="1552" spans="1:1">
      <c r="A1552" s="207"/>
    </row>
    <row r="1553" spans="1:1">
      <c r="A1553" s="207"/>
    </row>
    <row r="1554" spans="1:1">
      <c r="A1554" s="207"/>
    </row>
    <row r="1555" spans="1:1">
      <c r="A1555" s="207"/>
    </row>
    <row r="1556" spans="1:1">
      <c r="A1556" s="207"/>
    </row>
    <row r="1557" spans="1:1">
      <c r="A1557" s="207"/>
    </row>
    <row r="1558" spans="1:1">
      <c r="A1558" s="207"/>
    </row>
    <row r="1559" spans="1:1">
      <c r="A1559" s="207"/>
    </row>
    <row r="1560" spans="1:1">
      <c r="A1560" s="207"/>
    </row>
    <row r="1561" spans="1:1">
      <c r="A1561" s="207"/>
    </row>
    <row r="1562" spans="1:1">
      <c r="A1562" s="207"/>
    </row>
    <row r="1563" spans="1:1">
      <c r="A1563" s="207"/>
    </row>
    <row r="1564" spans="1:1">
      <c r="A1564" s="207"/>
    </row>
    <row r="1565" spans="1:1">
      <c r="A1565" s="207"/>
    </row>
    <row r="1566" spans="1:1">
      <c r="A1566" s="207"/>
    </row>
    <row r="1567" spans="1:1">
      <c r="A1567" s="207"/>
    </row>
    <row r="1568" spans="1:1">
      <c r="A1568" s="207"/>
    </row>
    <row r="1569" spans="1:1">
      <c r="A1569" s="207"/>
    </row>
    <row r="1570" spans="1:1">
      <c r="A1570" s="207"/>
    </row>
    <row r="1571" spans="1:1">
      <c r="A1571" s="207"/>
    </row>
    <row r="1572" spans="1:1">
      <c r="A1572" s="207"/>
    </row>
    <row r="1573" spans="1:1">
      <c r="A1573" s="207"/>
    </row>
    <row r="1574" spans="1:1">
      <c r="A1574" s="207"/>
    </row>
    <row r="1575" spans="1:1">
      <c r="A1575" s="207"/>
    </row>
    <row r="1576" spans="1:1">
      <c r="A1576" s="207"/>
    </row>
    <row r="1577" spans="1:1">
      <c r="A1577" s="207"/>
    </row>
    <row r="1578" spans="1:1">
      <c r="A1578" s="207"/>
    </row>
    <row r="1579" spans="1:1">
      <c r="A1579" s="207"/>
    </row>
    <row r="1580" spans="1:1">
      <c r="A1580" s="207"/>
    </row>
    <row r="1581" spans="1:1">
      <c r="A1581" s="207"/>
    </row>
    <row r="1582" spans="1:1">
      <c r="A1582" s="207"/>
    </row>
    <row r="1583" spans="1:1">
      <c r="A1583" s="207"/>
    </row>
    <row r="1584" spans="1:1">
      <c r="A1584" s="207"/>
    </row>
    <row r="1585" spans="1:1">
      <c r="A1585" s="207"/>
    </row>
    <row r="1586" spans="1:1">
      <c r="A1586" s="207"/>
    </row>
    <row r="1587" spans="1:1">
      <c r="A1587" s="207"/>
    </row>
    <row r="1588" spans="1:1">
      <c r="A1588" s="207"/>
    </row>
    <row r="1589" spans="1:1">
      <c r="A1589" s="207"/>
    </row>
    <row r="1590" spans="1:1">
      <c r="A1590" s="207"/>
    </row>
    <row r="1591" spans="1:1">
      <c r="A1591" s="207"/>
    </row>
    <row r="1592" spans="1:1">
      <c r="A1592" s="207"/>
    </row>
    <row r="1593" spans="1:1">
      <c r="A1593" s="207"/>
    </row>
    <row r="1594" spans="1:1">
      <c r="A1594" s="207"/>
    </row>
    <row r="1595" spans="1:1">
      <c r="A1595" s="207"/>
    </row>
    <row r="1596" spans="1:1">
      <c r="A1596" s="207"/>
    </row>
    <row r="1597" spans="1:1">
      <c r="A1597" s="207"/>
    </row>
    <row r="1598" spans="1:1">
      <c r="A1598" s="207"/>
    </row>
    <row r="1599" spans="1:1">
      <c r="A1599" s="207"/>
    </row>
    <row r="1600" spans="1:1">
      <c r="A1600" s="207"/>
    </row>
    <row r="1601" spans="1:1">
      <c r="A1601" s="207"/>
    </row>
    <row r="1602" spans="1:1">
      <c r="A1602" s="207"/>
    </row>
    <row r="1603" spans="1:1">
      <c r="A1603" s="207"/>
    </row>
    <row r="1604" spans="1:1">
      <c r="A1604" s="207"/>
    </row>
    <row r="1605" spans="1:1">
      <c r="A1605" s="207"/>
    </row>
    <row r="1606" spans="1:1">
      <c r="A1606" s="207"/>
    </row>
    <row r="1607" spans="1:1">
      <c r="A1607" s="207"/>
    </row>
    <row r="1608" spans="1:1">
      <c r="A1608" s="207"/>
    </row>
    <row r="1609" spans="1:1">
      <c r="A1609" s="207"/>
    </row>
    <row r="1610" spans="1:1">
      <c r="A1610" s="207"/>
    </row>
    <row r="1611" spans="1:1">
      <c r="A1611" s="207"/>
    </row>
    <row r="1612" spans="1:1">
      <c r="A1612" s="207"/>
    </row>
    <row r="1613" spans="1:1">
      <c r="A1613" s="207"/>
    </row>
    <row r="1614" spans="1:1">
      <c r="A1614" s="207"/>
    </row>
    <row r="1615" spans="1:1">
      <c r="A1615" s="207"/>
    </row>
    <row r="1616" spans="1:1">
      <c r="A1616" s="207"/>
    </row>
    <row r="1617" spans="1:1">
      <c r="A1617" s="207"/>
    </row>
    <row r="1618" spans="1:1">
      <c r="A1618" s="207"/>
    </row>
    <row r="1619" spans="1:1">
      <c r="A1619" s="207"/>
    </row>
    <row r="1620" spans="1:1">
      <c r="A1620" s="207"/>
    </row>
    <row r="1621" spans="1:1">
      <c r="A1621" s="207"/>
    </row>
    <row r="1622" spans="1:1">
      <c r="A1622" s="207"/>
    </row>
    <row r="1623" spans="1:1">
      <c r="A1623" s="207"/>
    </row>
    <row r="1624" spans="1:1">
      <c r="A1624" s="207"/>
    </row>
    <row r="1625" spans="1:1">
      <c r="A1625" s="207"/>
    </row>
    <row r="1626" spans="1:1">
      <c r="A1626" s="207"/>
    </row>
    <row r="1627" spans="1:1">
      <c r="A1627" s="207"/>
    </row>
    <row r="1628" spans="1:1">
      <c r="A1628" s="207"/>
    </row>
    <row r="1629" spans="1:1">
      <c r="A1629" s="207"/>
    </row>
    <row r="1630" spans="1:1">
      <c r="A1630" s="207"/>
    </row>
    <row r="1631" spans="1:1">
      <c r="A1631" s="207"/>
    </row>
    <row r="1632" spans="1:1">
      <c r="A1632" s="207"/>
    </row>
    <row r="1633" spans="1:1">
      <c r="A1633" s="207"/>
    </row>
    <row r="1634" spans="1:1">
      <c r="A1634" s="207"/>
    </row>
    <row r="1635" spans="1:1">
      <c r="A1635" s="207"/>
    </row>
    <row r="1636" spans="1:1">
      <c r="A1636" s="207"/>
    </row>
    <row r="1637" spans="1:1">
      <c r="A1637" s="207"/>
    </row>
    <row r="1638" spans="1:1">
      <c r="A1638" s="207"/>
    </row>
    <row r="1639" spans="1:1">
      <c r="A1639" s="207"/>
    </row>
    <row r="1640" spans="1:1">
      <c r="A1640" s="207"/>
    </row>
    <row r="1641" spans="1:1">
      <c r="A1641" s="207"/>
    </row>
    <row r="1642" spans="1:1">
      <c r="A1642" s="207"/>
    </row>
    <row r="1643" spans="1:1">
      <c r="A1643" s="207"/>
    </row>
    <row r="1644" spans="1:1">
      <c r="A1644" s="207"/>
    </row>
    <row r="1645" spans="1:1">
      <c r="A1645" s="207"/>
    </row>
    <row r="1646" spans="1:1">
      <c r="A1646" s="207"/>
    </row>
    <row r="1647" spans="1:1">
      <c r="A1647" s="207"/>
    </row>
    <row r="1648" spans="1:1">
      <c r="A1648" s="207"/>
    </row>
    <row r="1649" spans="1:1">
      <c r="A1649" s="207"/>
    </row>
    <row r="1650" spans="1:1">
      <c r="A1650" s="207"/>
    </row>
    <row r="1651" spans="1:1">
      <c r="A1651" s="207"/>
    </row>
    <row r="1652" spans="1:1">
      <c r="A1652" s="207"/>
    </row>
    <row r="1653" spans="1:1">
      <c r="A1653" s="207"/>
    </row>
    <row r="1654" spans="1:1">
      <c r="A1654" s="207"/>
    </row>
    <row r="1655" spans="1:1">
      <c r="A1655" s="207"/>
    </row>
    <row r="1656" spans="1:1">
      <c r="A1656" s="207"/>
    </row>
    <row r="1657" spans="1:1">
      <c r="A1657" s="207"/>
    </row>
    <row r="1658" spans="1:1">
      <c r="A1658" s="207"/>
    </row>
    <row r="1659" spans="1:1">
      <c r="A1659" s="207"/>
    </row>
    <row r="1660" spans="1:1">
      <c r="A1660" s="207"/>
    </row>
    <row r="1661" spans="1:1">
      <c r="A1661" s="207"/>
    </row>
    <row r="1662" spans="1:1">
      <c r="A1662" s="207"/>
    </row>
    <row r="1663" spans="1:1">
      <c r="A1663" s="207"/>
    </row>
    <row r="1664" spans="1:1">
      <c r="A1664" s="207"/>
    </row>
    <row r="1665" spans="1:1">
      <c r="A1665" s="207"/>
    </row>
    <row r="1666" spans="1:1">
      <c r="A1666" s="207"/>
    </row>
    <row r="1667" spans="1:1">
      <c r="A1667" s="207"/>
    </row>
    <row r="1668" spans="1:1">
      <c r="A1668" s="207"/>
    </row>
    <row r="1669" spans="1:1">
      <c r="A1669" s="207"/>
    </row>
    <row r="1670" spans="1:1">
      <c r="A1670" s="207"/>
    </row>
    <row r="1671" spans="1:1">
      <c r="A1671" s="207"/>
    </row>
    <row r="1672" spans="1:1">
      <c r="A1672" s="207"/>
    </row>
    <row r="1673" spans="1:1">
      <c r="A1673" s="207"/>
    </row>
    <row r="1674" spans="1:1">
      <c r="A1674" s="207"/>
    </row>
    <row r="1675" spans="1:1">
      <c r="A1675" s="207"/>
    </row>
    <row r="1676" spans="1:1">
      <c r="A1676" s="207"/>
    </row>
    <row r="1677" spans="1:1">
      <c r="A1677" s="207"/>
    </row>
    <row r="1678" spans="1:1">
      <c r="A1678" s="207"/>
    </row>
    <row r="1679" spans="1:1">
      <c r="A1679" s="207"/>
    </row>
    <row r="1680" spans="1:1">
      <c r="A1680" s="207"/>
    </row>
    <row r="1681" spans="1:1">
      <c r="A1681" s="207"/>
    </row>
    <row r="1682" spans="1:1">
      <c r="A1682" s="207"/>
    </row>
    <row r="1683" spans="1:1">
      <c r="A1683" s="207"/>
    </row>
    <row r="1684" spans="1:1">
      <c r="A1684" s="207"/>
    </row>
    <row r="1685" spans="1:1">
      <c r="A1685" s="207"/>
    </row>
    <row r="1686" spans="1:1">
      <c r="A1686" s="207"/>
    </row>
    <row r="1687" spans="1:1">
      <c r="A1687" s="207"/>
    </row>
    <row r="1688" spans="1:1">
      <c r="A1688" s="207"/>
    </row>
    <row r="1689" spans="1:1">
      <c r="A1689" s="207"/>
    </row>
    <row r="1690" spans="1:1">
      <c r="A1690" s="207"/>
    </row>
    <row r="1691" spans="1:1">
      <c r="A1691" s="207"/>
    </row>
    <row r="1692" spans="1:1">
      <c r="A1692" s="207"/>
    </row>
    <row r="1693" spans="1:1">
      <c r="A1693" s="207"/>
    </row>
    <row r="1694" spans="1:1">
      <c r="A1694" s="207"/>
    </row>
    <row r="1695" spans="1:1">
      <c r="A1695" s="207"/>
    </row>
    <row r="1696" spans="1:1">
      <c r="A1696" s="207"/>
    </row>
    <row r="1697" spans="1:1">
      <c r="A1697" s="207"/>
    </row>
    <row r="1698" spans="1:1">
      <c r="A1698" s="207"/>
    </row>
    <row r="1699" spans="1:1">
      <c r="A1699" s="207"/>
    </row>
    <row r="1700" spans="1:1">
      <c r="A1700" s="207"/>
    </row>
    <row r="1701" spans="1:1">
      <c r="A1701" s="207"/>
    </row>
    <row r="1702" spans="1:1">
      <c r="A1702" s="207"/>
    </row>
    <row r="1703" spans="1:1">
      <c r="A1703" s="207"/>
    </row>
    <row r="1704" spans="1:1">
      <c r="A1704" s="207"/>
    </row>
    <row r="1705" spans="1:1">
      <c r="A1705" s="207"/>
    </row>
    <row r="1706" spans="1:1">
      <c r="A1706" s="207"/>
    </row>
    <row r="1707" spans="1:1">
      <c r="A1707" s="207"/>
    </row>
    <row r="1708" spans="1:1">
      <c r="A1708" s="207"/>
    </row>
    <row r="1709" spans="1:1">
      <c r="A1709" s="207"/>
    </row>
    <row r="1710" spans="1:1">
      <c r="A1710" s="207"/>
    </row>
    <row r="1711" spans="1:1">
      <c r="A1711" s="207"/>
    </row>
    <row r="1712" spans="1:1">
      <c r="A1712" s="207"/>
    </row>
    <row r="1713" spans="1:1">
      <c r="A1713" s="207"/>
    </row>
    <row r="1714" spans="1:1">
      <c r="A1714" s="207"/>
    </row>
    <row r="1715" spans="1:1">
      <c r="A1715" s="207"/>
    </row>
    <row r="1716" spans="1:1">
      <c r="A1716" s="207"/>
    </row>
    <row r="1717" spans="1:1">
      <c r="A1717" s="207"/>
    </row>
    <row r="1718" spans="1:1">
      <c r="A1718" s="207"/>
    </row>
    <row r="1719" spans="1:1">
      <c r="A1719" s="207"/>
    </row>
    <row r="1720" spans="1:1">
      <c r="A1720" s="207"/>
    </row>
    <row r="1721" spans="1:1">
      <c r="A1721" s="207"/>
    </row>
    <row r="1722" spans="1:1">
      <c r="A1722" s="207"/>
    </row>
    <row r="1723" spans="1:1">
      <c r="A1723" s="207"/>
    </row>
    <row r="1724" spans="1:1">
      <c r="A1724" s="207"/>
    </row>
    <row r="1725" spans="1:1">
      <c r="A1725" s="207"/>
    </row>
    <row r="1726" spans="1:1">
      <c r="A1726" s="207"/>
    </row>
    <row r="1727" spans="1:1">
      <c r="A1727" s="207"/>
    </row>
    <row r="1728" spans="1:1">
      <c r="A1728" s="207"/>
    </row>
    <row r="1729" spans="1:1">
      <c r="A1729" s="207"/>
    </row>
    <row r="1730" spans="1:1">
      <c r="A1730" s="207"/>
    </row>
    <row r="1731" spans="1:1">
      <c r="A1731" s="207"/>
    </row>
    <row r="1732" spans="1:1">
      <c r="A1732" s="207"/>
    </row>
    <row r="1733" spans="1:1">
      <c r="A1733" s="207"/>
    </row>
    <row r="1734" spans="1:1">
      <c r="A1734" s="207"/>
    </row>
    <row r="1735" spans="1:1">
      <c r="A1735" s="207"/>
    </row>
    <row r="1736" spans="1:1">
      <c r="A1736" s="207"/>
    </row>
    <row r="1737" spans="1:1">
      <c r="A1737" s="207"/>
    </row>
    <row r="1738" spans="1:1">
      <c r="A1738" s="207"/>
    </row>
    <row r="1739" spans="1:1">
      <c r="A1739" s="207"/>
    </row>
    <row r="1740" spans="1:1">
      <c r="A1740" s="207"/>
    </row>
    <row r="1741" spans="1:1">
      <c r="A1741" s="207"/>
    </row>
    <row r="1742" spans="1:1">
      <c r="A1742" s="207"/>
    </row>
    <row r="1743" spans="1:1">
      <c r="A1743" s="207"/>
    </row>
    <row r="1744" spans="1:1">
      <c r="A1744" s="207"/>
    </row>
    <row r="1745" spans="1:1">
      <c r="A1745" s="207"/>
    </row>
    <row r="1746" spans="1:1">
      <c r="A1746" s="207"/>
    </row>
    <row r="1747" spans="1:1">
      <c r="A1747" s="207"/>
    </row>
    <row r="1748" spans="1:1">
      <c r="A1748" s="207"/>
    </row>
    <row r="1749" spans="1:1">
      <c r="A1749" s="207"/>
    </row>
    <row r="1750" spans="1:1">
      <c r="A1750" s="207"/>
    </row>
    <row r="1751" spans="1:1">
      <c r="A1751" s="207"/>
    </row>
    <row r="1752" spans="1:1">
      <c r="A1752" s="207"/>
    </row>
    <row r="1753" spans="1:1">
      <c r="A1753" s="207"/>
    </row>
    <row r="1754" spans="1:1">
      <c r="A1754" s="207"/>
    </row>
    <row r="1755" spans="1:1">
      <c r="A1755" s="207"/>
    </row>
    <row r="1756" spans="1:1">
      <c r="A1756" s="207"/>
    </row>
    <row r="1757" spans="1:1">
      <c r="A1757" s="207"/>
    </row>
    <row r="1758" spans="1:1">
      <c r="A1758" s="207"/>
    </row>
    <row r="1759" spans="1:1">
      <c r="A1759" s="207"/>
    </row>
    <row r="1760" spans="1:1">
      <c r="A1760" s="207"/>
    </row>
    <row r="1761" spans="1:1">
      <c r="A1761" s="207"/>
    </row>
    <row r="1762" spans="1:1">
      <c r="A1762" s="207"/>
    </row>
    <row r="1763" spans="1:1">
      <c r="A1763" s="207"/>
    </row>
    <row r="1764" spans="1:1">
      <c r="A1764" s="207"/>
    </row>
    <row r="1765" spans="1:1">
      <c r="A1765" s="207"/>
    </row>
    <row r="1766" spans="1:1">
      <c r="A1766" s="207"/>
    </row>
    <row r="1767" spans="1:1">
      <c r="A1767" s="207"/>
    </row>
    <row r="1768" spans="1:1">
      <c r="A1768" s="207"/>
    </row>
    <row r="1769" spans="1:1">
      <c r="A1769" s="207"/>
    </row>
    <row r="1770" spans="1:1">
      <c r="A1770" s="207"/>
    </row>
    <row r="1771" spans="1:1">
      <c r="A1771" s="207"/>
    </row>
    <row r="1772" spans="1:1">
      <c r="A1772" s="207"/>
    </row>
    <row r="1773" spans="1:1">
      <c r="A1773" s="207"/>
    </row>
    <row r="1774" spans="1:1">
      <c r="A1774" s="207"/>
    </row>
    <row r="1775" spans="1:1">
      <c r="A1775" s="207"/>
    </row>
    <row r="1776" spans="1:1">
      <c r="A1776" s="207"/>
    </row>
    <row r="1777" spans="1:1">
      <c r="A1777" s="207"/>
    </row>
    <row r="1778" spans="1:1">
      <c r="A1778" s="207"/>
    </row>
    <row r="1779" spans="1:1">
      <c r="A1779" s="207"/>
    </row>
    <row r="1780" spans="1:1">
      <c r="A1780" s="207"/>
    </row>
    <row r="1781" spans="1:1">
      <c r="A1781" s="207"/>
    </row>
    <row r="1782" spans="1:1">
      <c r="A1782" s="207"/>
    </row>
    <row r="1783" spans="1:1">
      <c r="A1783" s="207"/>
    </row>
    <row r="1784" spans="1:1">
      <c r="A1784" s="207"/>
    </row>
    <row r="1785" spans="1:1">
      <c r="A1785" s="207"/>
    </row>
    <row r="1786" spans="1:1">
      <c r="A1786" s="207"/>
    </row>
    <row r="1787" spans="1:1">
      <c r="A1787" s="207"/>
    </row>
    <row r="1788" spans="1:1">
      <c r="A1788" s="207"/>
    </row>
    <row r="1789" spans="1:1">
      <c r="A1789" s="207"/>
    </row>
    <row r="1790" spans="1:1">
      <c r="A1790" s="207"/>
    </row>
    <row r="1791" spans="1:1">
      <c r="A1791" s="207"/>
    </row>
    <row r="1792" spans="1:1">
      <c r="A1792" s="207"/>
    </row>
    <row r="1793" spans="1:1">
      <c r="A1793" s="207"/>
    </row>
    <row r="1794" spans="1:1">
      <c r="A1794" s="207"/>
    </row>
    <row r="1795" spans="1:1">
      <c r="A1795" s="207"/>
    </row>
    <row r="1796" spans="1:1">
      <c r="A1796" s="207"/>
    </row>
    <row r="1797" spans="1:1">
      <c r="A1797" s="207"/>
    </row>
    <row r="1798" spans="1:1">
      <c r="A1798" s="207"/>
    </row>
    <row r="1799" spans="1:1">
      <c r="A1799" s="207"/>
    </row>
    <row r="1800" spans="1:1">
      <c r="A1800" s="207"/>
    </row>
    <row r="1801" spans="1:1">
      <c r="A1801" s="207"/>
    </row>
    <row r="1802" spans="1:1">
      <c r="A1802" s="207"/>
    </row>
    <row r="1803" spans="1:1">
      <c r="A1803" s="207"/>
    </row>
    <row r="1804" spans="1:1">
      <c r="A1804" s="207"/>
    </row>
    <row r="1805" spans="1:1">
      <c r="A1805" s="207"/>
    </row>
    <row r="1806" spans="1:1">
      <c r="A1806" s="207"/>
    </row>
    <row r="1807" spans="1:1">
      <c r="A1807" s="207"/>
    </row>
    <row r="1808" spans="1:1">
      <c r="A1808" s="207"/>
    </row>
    <row r="1809" spans="1:1">
      <c r="A1809" s="207"/>
    </row>
    <row r="1810" spans="1:1">
      <c r="A1810" s="207"/>
    </row>
    <row r="1811" spans="1:1">
      <c r="A1811" s="207"/>
    </row>
    <row r="1812" spans="1:1">
      <c r="A1812" s="207"/>
    </row>
    <row r="1813" spans="1:1">
      <c r="A1813" s="207"/>
    </row>
    <row r="1814" spans="1:1">
      <c r="A1814" s="207"/>
    </row>
    <row r="1815" spans="1:1">
      <c r="A1815" s="207"/>
    </row>
    <row r="1816" spans="1:1">
      <c r="A1816" s="207"/>
    </row>
    <row r="1817" spans="1:1">
      <c r="A1817" s="207"/>
    </row>
    <row r="1818" spans="1:1">
      <c r="A1818" s="207"/>
    </row>
    <row r="1819" spans="1:1">
      <c r="A1819" s="207"/>
    </row>
    <row r="1820" spans="1:1">
      <c r="A1820" s="207"/>
    </row>
    <row r="1821" spans="1:1">
      <c r="A1821" s="207"/>
    </row>
    <row r="1822" spans="1:1">
      <c r="A1822" s="207"/>
    </row>
    <row r="1823" spans="1:1">
      <c r="A1823" s="207"/>
    </row>
    <row r="1824" spans="1:1">
      <c r="A1824" s="207"/>
    </row>
    <row r="1825" spans="1:1">
      <c r="A1825" s="207"/>
    </row>
    <row r="1826" spans="1:1">
      <c r="A1826" s="207"/>
    </row>
    <row r="1827" spans="1:1">
      <c r="A1827" s="207"/>
    </row>
    <row r="1828" spans="1:1">
      <c r="A1828" s="207"/>
    </row>
    <row r="1829" spans="1:1">
      <c r="A1829" s="207"/>
    </row>
    <row r="1830" spans="1:1">
      <c r="A1830" s="207"/>
    </row>
    <row r="1831" spans="1:1">
      <c r="A1831" s="207"/>
    </row>
    <row r="1832" spans="1:1">
      <c r="A1832" s="207"/>
    </row>
    <row r="1833" spans="1:1">
      <c r="A1833" s="207"/>
    </row>
    <row r="1834" spans="1:1">
      <c r="A1834" s="207"/>
    </row>
    <row r="1835" spans="1:1">
      <c r="A1835" s="207"/>
    </row>
    <row r="1836" spans="1:1">
      <c r="A1836" s="207"/>
    </row>
    <row r="1837" spans="1:1">
      <c r="A1837" s="207"/>
    </row>
    <row r="1838" spans="1:1">
      <c r="A1838" s="207"/>
    </row>
    <row r="1839" spans="1:1">
      <c r="A1839" s="207"/>
    </row>
    <row r="1840" spans="1:1">
      <c r="A1840" s="207"/>
    </row>
    <row r="1841" spans="1:1">
      <c r="A1841" s="207"/>
    </row>
    <row r="1842" spans="1:1">
      <c r="A1842" s="207"/>
    </row>
    <row r="1843" spans="1:1">
      <c r="A1843" s="207"/>
    </row>
    <row r="1844" spans="1:1">
      <c r="A1844" s="207"/>
    </row>
    <row r="1845" spans="1:1">
      <c r="A1845" s="207"/>
    </row>
    <row r="1846" spans="1:1">
      <c r="A1846" s="207"/>
    </row>
    <row r="1847" spans="1:1">
      <c r="A1847" s="207"/>
    </row>
    <row r="1848" spans="1:1">
      <c r="A1848" s="207"/>
    </row>
    <row r="1849" spans="1:1">
      <c r="A1849" s="207"/>
    </row>
    <row r="1850" spans="1:1">
      <c r="A1850" s="207"/>
    </row>
    <row r="1851" spans="1:1">
      <c r="A1851" s="207"/>
    </row>
    <row r="1852" spans="1:1">
      <c r="A1852" s="207"/>
    </row>
    <row r="1853" spans="1:1">
      <c r="A1853" s="207"/>
    </row>
    <row r="1854" spans="1:1">
      <c r="A1854" s="207"/>
    </row>
    <row r="1855" spans="1:1">
      <c r="A1855" s="207"/>
    </row>
    <row r="1856" spans="1:1">
      <c r="A1856" s="207"/>
    </row>
    <row r="1857" spans="1:1">
      <c r="A1857" s="207"/>
    </row>
    <row r="1858" spans="1:1">
      <c r="A1858" s="207"/>
    </row>
    <row r="1859" spans="1:1">
      <c r="A1859" s="207"/>
    </row>
    <row r="1860" spans="1:1">
      <c r="A1860" s="207"/>
    </row>
    <row r="1861" spans="1:1">
      <c r="A1861" s="207"/>
    </row>
    <row r="1862" spans="1:1">
      <c r="A1862" s="207"/>
    </row>
    <row r="1863" spans="1:1">
      <c r="A1863" s="207"/>
    </row>
    <row r="1864" spans="1:1">
      <c r="A1864" s="207"/>
    </row>
    <row r="1865" spans="1:1">
      <c r="A1865" s="207"/>
    </row>
    <row r="1866" spans="1:1">
      <c r="A1866" s="207"/>
    </row>
    <row r="1867" spans="1:1">
      <c r="A1867" s="207"/>
    </row>
    <row r="1868" spans="1:1">
      <c r="A1868" s="207"/>
    </row>
    <row r="1869" spans="1:1">
      <c r="A1869" s="207"/>
    </row>
    <row r="1870" spans="1:1">
      <c r="A1870" s="207"/>
    </row>
    <row r="1871" spans="1:1">
      <c r="A1871" s="207"/>
    </row>
    <row r="1872" spans="1:1">
      <c r="A1872" s="207"/>
    </row>
    <row r="1873" spans="1:1">
      <c r="A1873" s="207"/>
    </row>
    <row r="1874" spans="1:1">
      <c r="A1874" s="207"/>
    </row>
    <row r="1875" spans="1:1">
      <c r="A1875" s="207"/>
    </row>
    <row r="1876" spans="1:1">
      <c r="A1876" s="207"/>
    </row>
    <row r="1877" spans="1:1">
      <c r="A1877" s="207"/>
    </row>
    <row r="1878" spans="1:1">
      <c r="A1878" s="207"/>
    </row>
    <row r="1879" spans="1:1">
      <c r="A1879" s="207"/>
    </row>
    <row r="1880" spans="1:1">
      <c r="A1880" s="207"/>
    </row>
    <row r="1881" spans="1:1">
      <c r="A1881" s="207"/>
    </row>
    <row r="1882" spans="1:1">
      <c r="A1882" s="207"/>
    </row>
    <row r="1883" spans="1:1">
      <c r="A1883" s="207"/>
    </row>
    <row r="1884" spans="1:1">
      <c r="A1884" s="207"/>
    </row>
    <row r="1885" spans="1:1">
      <c r="A1885" s="207"/>
    </row>
    <row r="1886" spans="1:1">
      <c r="A1886" s="207"/>
    </row>
    <row r="1887" spans="1:1">
      <c r="A1887" s="207"/>
    </row>
    <row r="1888" spans="1:1">
      <c r="A1888" s="207"/>
    </row>
    <row r="1889" spans="1:1">
      <c r="A1889" s="207"/>
    </row>
    <row r="1890" spans="1:1">
      <c r="A1890" s="207"/>
    </row>
    <row r="1891" spans="1:1">
      <c r="A1891" s="207"/>
    </row>
    <row r="1892" spans="1:1">
      <c r="A1892" s="207"/>
    </row>
    <row r="1893" spans="1:1">
      <c r="A1893" s="207"/>
    </row>
    <row r="1894" spans="1:1">
      <c r="A1894" s="207"/>
    </row>
    <row r="1895" spans="1:1">
      <c r="A1895" s="207"/>
    </row>
    <row r="1896" spans="1:1">
      <c r="A1896" s="207"/>
    </row>
    <row r="1897" spans="1:1">
      <c r="A1897" s="207"/>
    </row>
    <row r="1898" spans="1:1">
      <c r="A1898" s="207"/>
    </row>
    <row r="1899" spans="1:1">
      <c r="A1899" s="207"/>
    </row>
    <row r="1900" spans="1:1">
      <c r="A1900" s="207"/>
    </row>
    <row r="1901" spans="1:1">
      <c r="A1901" s="207"/>
    </row>
    <row r="1902" spans="1:1">
      <c r="A1902" s="207"/>
    </row>
    <row r="1903" spans="1:1">
      <c r="A1903" s="207"/>
    </row>
    <row r="1904" spans="1:1">
      <c r="A1904" s="207"/>
    </row>
    <row r="1905" spans="1:1">
      <c r="A1905" s="207"/>
    </row>
    <row r="1906" spans="1:1">
      <c r="A1906" s="207"/>
    </row>
    <row r="1907" spans="1:1">
      <c r="A1907" s="207"/>
    </row>
    <row r="1908" spans="1:1">
      <c r="A1908" s="207"/>
    </row>
    <row r="1909" spans="1:1">
      <c r="A1909" s="207"/>
    </row>
    <row r="1910" spans="1:1">
      <c r="A1910" s="207"/>
    </row>
    <row r="1911" spans="1:1">
      <c r="A1911" s="207"/>
    </row>
    <row r="1912" spans="1:1">
      <c r="A1912" s="207"/>
    </row>
    <row r="1913" spans="1:1">
      <c r="A1913" s="207"/>
    </row>
    <row r="1914" spans="1:1">
      <c r="A1914" s="207"/>
    </row>
    <row r="1915" spans="1:1">
      <c r="A1915" s="207"/>
    </row>
    <row r="1916" spans="1:1">
      <c r="A1916" s="207"/>
    </row>
    <row r="1917" spans="1:1">
      <c r="A1917" s="207"/>
    </row>
    <row r="1918" spans="1:1">
      <c r="A1918" s="207"/>
    </row>
    <row r="1919" spans="1:1">
      <c r="A1919" s="207"/>
    </row>
    <row r="1920" spans="1:1">
      <c r="A1920" s="207"/>
    </row>
    <row r="1921" spans="1:1">
      <c r="A1921" s="207"/>
    </row>
    <row r="1922" spans="1:1">
      <c r="A1922" s="207"/>
    </row>
    <row r="1923" spans="1:1">
      <c r="A1923" s="207"/>
    </row>
    <row r="1924" spans="1:1">
      <c r="A1924" s="207"/>
    </row>
    <row r="1925" spans="1:1">
      <c r="A1925" s="207"/>
    </row>
    <row r="1926" spans="1:1">
      <c r="A1926" s="207"/>
    </row>
    <row r="1927" spans="1:1">
      <c r="A1927" s="207"/>
    </row>
    <row r="1928" spans="1:1">
      <c r="A1928" s="207"/>
    </row>
    <row r="1929" spans="1:1">
      <c r="A1929" s="207"/>
    </row>
    <row r="1930" spans="1:1">
      <c r="A1930" s="207"/>
    </row>
    <row r="1931" spans="1:1">
      <c r="A1931" s="207"/>
    </row>
    <row r="1932" spans="1:1">
      <c r="A1932" s="207"/>
    </row>
    <row r="1933" spans="1:1">
      <c r="A1933" s="207"/>
    </row>
    <row r="1934" spans="1:1">
      <c r="A1934" s="207"/>
    </row>
    <row r="1935" spans="1:1">
      <c r="A1935" s="207"/>
    </row>
    <row r="1936" spans="1:1">
      <c r="A1936" s="207"/>
    </row>
    <row r="1937" spans="1:1">
      <c r="A1937" s="207"/>
    </row>
    <row r="1938" spans="1:1">
      <c r="A1938" s="207"/>
    </row>
    <row r="1939" spans="1:1">
      <c r="A1939" s="207"/>
    </row>
    <row r="1940" spans="1:1">
      <c r="A1940" s="207"/>
    </row>
    <row r="1941" spans="1:1">
      <c r="A1941" s="207"/>
    </row>
    <row r="1942" spans="1:1">
      <c r="A1942" s="207"/>
    </row>
    <row r="1943" spans="1:1">
      <c r="A1943" s="207"/>
    </row>
    <row r="1944" spans="1:1">
      <c r="A1944" s="207"/>
    </row>
    <row r="1945" spans="1:1">
      <c r="A1945" s="207"/>
    </row>
    <row r="1946" spans="1:1">
      <c r="A1946" s="207"/>
    </row>
    <row r="1947" spans="1:1">
      <c r="A1947" s="207"/>
    </row>
    <row r="1948" spans="1:1">
      <c r="A1948" s="207"/>
    </row>
    <row r="1949" spans="1:1">
      <c r="A1949" s="207"/>
    </row>
    <row r="1950" spans="1:1">
      <c r="A1950" s="207"/>
    </row>
    <row r="1951" spans="1:1">
      <c r="A1951" s="207"/>
    </row>
    <row r="1952" spans="1:1">
      <c r="A1952" s="207"/>
    </row>
    <row r="1953" spans="1:1">
      <c r="A1953" s="207"/>
    </row>
    <row r="1954" spans="1:1">
      <c r="A1954" s="207"/>
    </row>
    <row r="1955" spans="1:1">
      <c r="A1955" s="207"/>
    </row>
    <row r="1956" spans="1:1">
      <c r="A1956" s="207"/>
    </row>
    <row r="1957" spans="1:1">
      <c r="A1957" s="207"/>
    </row>
    <row r="1958" spans="1:1">
      <c r="A1958" s="207"/>
    </row>
    <row r="1959" spans="1:1">
      <c r="A1959" s="207"/>
    </row>
    <row r="1960" spans="1:1">
      <c r="A1960" s="207"/>
    </row>
    <row r="1961" spans="1:1">
      <c r="A1961" s="207"/>
    </row>
    <row r="1962" spans="1:1">
      <c r="A1962" s="207"/>
    </row>
    <row r="1963" spans="1:1">
      <c r="A1963" s="207"/>
    </row>
    <row r="1964" spans="1:1">
      <c r="A1964" s="207"/>
    </row>
    <row r="1965" spans="1:1">
      <c r="A1965" s="207"/>
    </row>
    <row r="1966" spans="1:1">
      <c r="A1966" s="207"/>
    </row>
    <row r="1967" spans="1:1">
      <c r="A1967" s="207"/>
    </row>
    <row r="1968" spans="1:1">
      <c r="A1968" s="207"/>
    </row>
    <row r="1969" spans="1:1">
      <c r="A1969" s="207"/>
    </row>
    <row r="1970" spans="1:1">
      <c r="A1970" s="207"/>
    </row>
    <row r="1971" spans="1:1">
      <c r="A1971" s="207"/>
    </row>
    <row r="1972" spans="1:1">
      <c r="A1972" s="207"/>
    </row>
    <row r="1973" spans="1:1">
      <c r="A1973" s="207"/>
    </row>
    <row r="1974" spans="1:1">
      <c r="A1974" s="207"/>
    </row>
    <row r="1975" spans="1:1">
      <c r="A1975" s="207"/>
    </row>
    <row r="1976" spans="1:1">
      <c r="A1976" s="207"/>
    </row>
    <row r="1977" spans="1:1">
      <c r="A1977" s="207"/>
    </row>
    <row r="1978" spans="1:1">
      <c r="A1978" s="207"/>
    </row>
    <row r="1979" spans="1:1">
      <c r="A1979" s="207"/>
    </row>
    <row r="1980" spans="1:1">
      <c r="A1980" s="207"/>
    </row>
    <row r="1981" spans="1:1">
      <c r="A1981" s="207"/>
    </row>
    <row r="1982" spans="1:1">
      <c r="A1982" s="207"/>
    </row>
    <row r="1983" spans="1:1">
      <c r="A1983" s="207"/>
    </row>
    <row r="1984" spans="1:1">
      <c r="A1984" s="207"/>
    </row>
    <row r="1985" spans="1:1">
      <c r="A1985" s="207"/>
    </row>
    <row r="1986" spans="1:1">
      <c r="A1986" s="207"/>
    </row>
    <row r="1987" spans="1:1">
      <c r="A1987" s="207"/>
    </row>
    <row r="1988" spans="1:1">
      <c r="A1988" s="207"/>
    </row>
    <row r="1989" spans="1:1">
      <c r="A1989" s="207"/>
    </row>
    <row r="1990" spans="1:1">
      <c r="A1990" s="207"/>
    </row>
    <row r="1991" spans="1:1">
      <c r="A1991" s="207"/>
    </row>
    <row r="1992" spans="1:1">
      <c r="A1992" s="207"/>
    </row>
    <row r="1993" spans="1:1">
      <c r="A1993" s="207"/>
    </row>
    <row r="1994" spans="1:1">
      <c r="A1994" s="207"/>
    </row>
    <row r="1995" spans="1:1">
      <c r="A1995" s="207"/>
    </row>
    <row r="1996" spans="1:1">
      <c r="A1996" s="207"/>
    </row>
    <row r="1997" spans="1:1">
      <c r="A1997" s="207"/>
    </row>
    <row r="1998" spans="1:1">
      <c r="A1998" s="207"/>
    </row>
    <row r="1999" spans="1:1">
      <c r="A1999" s="207"/>
    </row>
    <row r="2000" spans="1:1">
      <c r="A2000" s="207"/>
    </row>
    <row r="2001" spans="1:1">
      <c r="A2001" s="207"/>
    </row>
    <row r="2002" spans="1:1">
      <c r="A2002" s="207"/>
    </row>
    <row r="2003" spans="1:1">
      <c r="A2003" s="207"/>
    </row>
    <row r="2004" spans="1:1">
      <c r="A2004" s="207"/>
    </row>
    <row r="2005" spans="1:1">
      <c r="A2005" s="207"/>
    </row>
    <row r="2006" spans="1:1">
      <c r="A2006" s="207"/>
    </row>
    <row r="2007" spans="1:1">
      <c r="A2007" s="207"/>
    </row>
    <row r="2008" spans="1:1">
      <c r="A2008" s="207"/>
    </row>
    <row r="2009" spans="1:1">
      <c r="A2009" s="207"/>
    </row>
    <row r="2010" spans="1:1">
      <c r="A2010" s="207"/>
    </row>
    <row r="2011" spans="1:1">
      <c r="A2011" s="207"/>
    </row>
    <row r="2012" spans="1:1">
      <c r="A2012" s="207"/>
    </row>
    <row r="2013" spans="1:1">
      <c r="A2013" s="207"/>
    </row>
    <row r="2014" spans="1:1">
      <c r="A2014" s="207"/>
    </row>
    <row r="2015" spans="1:1">
      <c r="A2015" s="207"/>
    </row>
    <row r="2016" spans="1:1">
      <c r="A2016" s="207"/>
    </row>
    <row r="2017" spans="1:1">
      <c r="A2017" s="207"/>
    </row>
    <row r="2018" spans="1:1">
      <c r="A2018" s="207"/>
    </row>
    <row r="2019" spans="1:1">
      <c r="A2019" s="207"/>
    </row>
    <row r="2020" spans="1:1">
      <c r="A2020" s="207"/>
    </row>
    <row r="2021" spans="1:1">
      <c r="A2021" s="207"/>
    </row>
    <row r="2022" spans="1:1">
      <c r="A2022" s="207"/>
    </row>
    <row r="2023" spans="1:1">
      <c r="A2023" s="207"/>
    </row>
    <row r="2024" spans="1:1">
      <c r="A2024" s="207"/>
    </row>
    <row r="2025" spans="1:1">
      <c r="A2025" s="207"/>
    </row>
    <row r="2026" spans="1:1">
      <c r="A2026" s="207"/>
    </row>
    <row r="2027" spans="1:1">
      <c r="A2027" s="207"/>
    </row>
    <row r="2028" spans="1:1">
      <c r="A2028" s="207"/>
    </row>
    <row r="2029" spans="1:1">
      <c r="A2029" s="207"/>
    </row>
    <row r="2030" spans="1:1">
      <c r="A2030" s="207"/>
    </row>
    <row r="2031" spans="1:1">
      <c r="A2031" s="207"/>
    </row>
    <row r="2032" spans="1:1">
      <c r="A2032" s="207"/>
    </row>
    <row r="2033" spans="1:1">
      <c r="A2033" s="207"/>
    </row>
    <row r="2034" spans="1:1">
      <c r="A2034" s="207"/>
    </row>
    <row r="2035" spans="1:1">
      <c r="A2035" s="207"/>
    </row>
    <row r="2036" spans="1:1">
      <c r="A2036" s="207"/>
    </row>
    <row r="2037" spans="1:1">
      <c r="A2037" s="207"/>
    </row>
    <row r="2038" spans="1:1">
      <c r="A2038" s="207"/>
    </row>
    <row r="2039" spans="1:1">
      <c r="A2039" s="207"/>
    </row>
    <row r="2040" spans="1:1">
      <c r="A2040" s="207"/>
    </row>
    <row r="2041" spans="1:1">
      <c r="A2041" s="207"/>
    </row>
    <row r="2042" spans="1:1">
      <c r="A2042" s="207"/>
    </row>
    <row r="2043" spans="1:1">
      <c r="A2043" s="207"/>
    </row>
    <row r="2044" spans="1:1">
      <c r="A2044" s="207"/>
    </row>
    <row r="2045" spans="1:1">
      <c r="A2045" s="207"/>
    </row>
    <row r="2046" spans="1:1">
      <c r="A2046" s="207"/>
    </row>
    <row r="2047" spans="1:1">
      <c r="A2047" s="207"/>
    </row>
    <row r="2048" spans="1:1">
      <c r="A2048" s="207"/>
    </row>
    <row r="2049" spans="1:1">
      <c r="A2049" s="207"/>
    </row>
    <row r="2050" spans="1:1">
      <c r="A2050" s="207"/>
    </row>
    <row r="2051" spans="1:1">
      <c r="A2051" s="207"/>
    </row>
    <row r="2052" spans="1:1">
      <c r="A2052" s="207"/>
    </row>
    <row r="2053" spans="1:1">
      <c r="A2053" s="207"/>
    </row>
    <row r="2054" spans="1:1">
      <c r="A2054" s="207"/>
    </row>
    <row r="2055" spans="1:1">
      <c r="A2055" s="207"/>
    </row>
    <row r="2056" spans="1:1">
      <c r="A2056" s="207"/>
    </row>
    <row r="2057" spans="1:1">
      <c r="A2057" s="207"/>
    </row>
    <row r="2058" spans="1:1">
      <c r="A2058" s="207"/>
    </row>
    <row r="2059" spans="1:1">
      <c r="A2059" s="207"/>
    </row>
    <row r="2060" spans="1:1">
      <c r="A2060" s="207"/>
    </row>
    <row r="2061" spans="1:1">
      <c r="A2061" s="207"/>
    </row>
    <row r="2062" spans="1:1">
      <c r="A2062" s="207"/>
    </row>
    <row r="2063" spans="1:1">
      <c r="A2063" s="207"/>
    </row>
    <row r="2064" spans="1:1">
      <c r="A2064" s="207"/>
    </row>
    <row r="2065" spans="1:1">
      <c r="A2065" s="207"/>
    </row>
    <row r="2066" spans="1:1">
      <c r="A2066" s="207"/>
    </row>
    <row r="2067" spans="1:1">
      <c r="A2067" s="207"/>
    </row>
    <row r="2068" spans="1:1">
      <c r="A2068" s="207"/>
    </row>
    <row r="2069" spans="1:1">
      <c r="A2069" s="207"/>
    </row>
    <row r="2070" spans="1:1">
      <c r="A2070" s="207"/>
    </row>
    <row r="2071" spans="1:1">
      <c r="A2071" s="207"/>
    </row>
    <row r="2072" spans="1:1">
      <c r="A2072" s="207"/>
    </row>
    <row r="2073" spans="1:1">
      <c r="A2073" s="207"/>
    </row>
    <row r="2074" spans="1:1">
      <c r="A2074" s="207"/>
    </row>
    <row r="2075" spans="1:1">
      <c r="A2075" s="207"/>
    </row>
    <row r="2076" spans="1:1">
      <c r="A2076" s="207"/>
    </row>
    <row r="2077" spans="1:1">
      <c r="A2077" s="207"/>
    </row>
    <row r="2078" spans="1:1">
      <c r="A2078" s="207"/>
    </row>
    <row r="2079" spans="1:1">
      <c r="A2079" s="207"/>
    </row>
    <row r="2080" spans="1:1">
      <c r="A2080" s="207"/>
    </row>
    <row r="2081" spans="1:1">
      <c r="A2081" s="207"/>
    </row>
    <row r="2082" spans="1:1">
      <c r="A2082" s="207"/>
    </row>
    <row r="2083" spans="1:1">
      <c r="A2083" s="207"/>
    </row>
    <row r="2084" spans="1:1">
      <c r="A2084" s="207"/>
    </row>
    <row r="2085" spans="1:1">
      <c r="A2085" s="207"/>
    </row>
    <row r="2086" spans="1:1">
      <c r="A2086" s="207"/>
    </row>
    <row r="2087" spans="1:1">
      <c r="A2087" s="207"/>
    </row>
    <row r="2088" spans="1:1">
      <c r="A2088" s="207"/>
    </row>
    <row r="2089" spans="1:1">
      <c r="A2089" s="207"/>
    </row>
    <row r="2090" spans="1:1">
      <c r="A2090" s="207"/>
    </row>
    <row r="2091" spans="1:1">
      <c r="A2091" s="207"/>
    </row>
    <row r="2092" spans="1:1">
      <c r="A2092" s="207"/>
    </row>
    <row r="2093" spans="1:1">
      <c r="A2093" s="207"/>
    </row>
    <row r="2094" spans="1:1">
      <c r="A2094" s="207"/>
    </row>
    <row r="2095" spans="1:1">
      <c r="A2095" s="207"/>
    </row>
    <row r="2096" spans="1:1">
      <c r="A2096" s="207"/>
    </row>
    <row r="2097" spans="1:1">
      <c r="A2097" s="207"/>
    </row>
    <row r="2098" spans="1:1">
      <c r="A2098" s="207"/>
    </row>
    <row r="2099" spans="1:1">
      <c r="A2099" s="207"/>
    </row>
    <row r="2100" spans="1:1">
      <c r="A2100" s="207"/>
    </row>
    <row r="2101" spans="1:1">
      <c r="A2101" s="207"/>
    </row>
    <row r="2102" spans="1:1">
      <c r="A2102" s="207"/>
    </row>
    <row r="2103" spans="1:1">
      <c r="A2103" s="207"/>
    </row>
    <row r="2104" spans="1:1">
      <c r="A2104" s="207"/>
    </row>
    <row r="2105" spans="1:1">
      <c r="A2105" s="207"/>
    </row>
    <row r="2106" spans="1:1">
      <c r="A2106" s="207"/>
    </row>
    <row r="2107" spans="1:1">
      <c r="A2107" s="207"/>
    </row>
    <row r="2108" spans="1:1">
      <c r="A2108" s="207"/>
    </row>
    <row r="2109" spans="1:1">
      <c r="A2109" s="207"/>
    </row>
    <row r="2110" spans="1:1">
      <c r="A2110" s="207"/>
    </row>
    <row r="2111" spans="1:1">
      <c r="A2111" s="207"/>
    </row>
    <row r="2112" spans="1:1">
      <c r="A2112" s="207"/>
    </row>
    <row r="2113" spans="1:1">
      <c r="A2113" s="207"/>
    </row>
    <row r="2114" spans="1:1">
      <c r="A2114" s="207"/>
    </row>
    <row r="2115" spans="1:1">
      <c r="A2115" s="207"/>
    </row>
    <row r="2116" spans="1:1">
      <c r="A2116" s="207"/>
    </row>
    <row r="2117" spans="1:1">
      <c r="A2117" s="207"/>
    </row>
    <row r="2118" spans="1:1">
      <c r="A2118" s="207"/>
    </row>
    <row r="2119" spans="1:1">
      <c r="A2119" s="207"/>
    </row>
    <row r="2120" spans="1:1">
      <c r="A2120" s="207"/>
    </row>
    <row r="2121" spans="1:1">
      <c r="A2121" s="207"/>
    </row>
    <row r="2122" spans="1:1">
      <c r="A2122" s="207"/>
    </row>
    <row r="2123" spans="1:1">
      <c r="A2123" s="207"/>
    </row>
    <row r="2124" spans="1:1">
      <c r="A2124" s="207"/>
    </row>
    <row r="2125" spans="1:1">
      <c r="A2125" s="207"/>
    </row>
    <row r="2126" spans="1:1">
      <c r="A2126" s="207"/>
    </row>
    <row r="2127" spans="1:1">
      <c r="A2127" s="207"/>
    </row>
    <row r="2128" spans="1:1">
      <c r="A2128" s="207"/>
    </row>
    <row r="2129" spans="1:1">
      <c r="A2129" s="207"/>
    </row>
    <row r="2130" spans="1:1">
      <c r="A2130" s="207"/>
    </row>
    <row r="2131" spans="1:1">
      <c r="A2131" s="207"/>
    </row>
    <row r="2132" spans="1:1">
      <c r="A2132" s="207"/>
    </row>
    <row r="2133" spans="1:1">
      <c r="A2133" s="207"/>
    </row>
    <row r="2134" spans="1:1">
      <c r="A2134" s="207"/>
    </row>
    <row r="2135" spans="1:1">
      <c r="A2135" s="207"/>
    </row>
    <row r="2136" spans="1:1">
      <c r="A2136" s="207"/>
    </row>
    <row r="2137" spans="1:1">
      <c r="A2137" s="207"/>
    </row>
    <row r="2138" spans="1:1">
      <c r="A2138" s="207"/>
    </row>
    <row r="2139" spans="1:1">
      <c r="A2139" s="207"/>
    </row>
    <row r="2140" spans="1:1">
      <c r="A2140" s="207"/>
    </row>
    <row r="2141" spans="1:1">
      <c r="A2141" s="207"/>
    </row>
    <row r="2142" spans="1:1">
      <c r="A2142" s="207"/>
    </row>
    <row r="2143" spans="1:1">
      <c r="A2143" s="207"/>
    </row>
    <row r="2144" spans="1:1">
      <c r="A2144" s="207"/>
    </row>
    <row r="2145" spans="1:1">
      <c r="A2145" s="207"/>
    </row>
    <row r="2146" spans="1:1">
      <c r="A2146" s="207"/>
    </row>
    <row r="2147" spans="1:1">
      <c r="A2147" s="207"/>
    </row>
    <row r="2148" spans="1:1">
      <c r="A2148" s="207"/>
    </row>
    <row r="2149" spans="1:1">
      <c r="A2149" s="207"/>
    </row>
    <row r="2150" spans="1:1">
      <c r="A2150" s="207"/>
    </row>
    <row r="2151" spans="1:1">
      <c r="A2151" s="207"/>
    </row>
    <row r="2152" spans="1:1">
      <c r="A2152" s="207"/>
    </row>
    <row r="2153" spans="1:1">
      <c r="A2153" s="207"/>
    </row>
    <row r="2154" spans="1:1">
      <c r="A2154" s="207"/>
    </row>
    <row r="2155" spans="1:1">
      <c r="A2155" s="207"/>
    </row>
    <row r="2156" spans="1:1">
      <c r="A2156" s="207"/>
    </row>
    <row r="2157" spans="1:1">
      <c r="A2157" s="207"/>
    </row>
    <row r="2158" spans="1:1">
      <c r="A2158" s="207"/>
    </row>
    <row r="2159" spans="1:1">
      <c r="A2159" s="207"/>
    </row>
    <row r="2160" spans="1:1">
      <c r="A2160" s="207"/>
    </row>
    <row r="2161" spans="1:1">
      <c r="A2161" s="207"/>
    </row>
    <row r="2162" spans="1:1">
      <c r="A2162" s="207"/>
    </row>
    <row r="2163" spans="1:1">
      <c r="A2163" s="207"/>
    </row>
    <row r="2164" spans="1:1">
      <c r="A2164" s="207"/>
    </row>
    <row r="2165" spans="1:1">
      <c r="A2165" s="207"/>
    </row>
    <row r="2166" spans="1:1">
      <c r="A2166" s="207"/>
    </row>
    <row r="2167" spans="1:1">
      <c r="A2167" s="207"/>
    </row>
    <row r="2168" spans="1:1">
      <c r="A2168" s="207"/>
    </row>
    <row r="2169" spans="1:1">
      <c r="A2169" s="207"/>
    </row>
    <row r="2170" spans="1:1">
      <c r="A2170" s="207"/>
    </row>
    <row r="2171" spans="1:1">
      <c r="A2171" s="207"/>
    </row>
    <row r="2172" spans="1:1">
      <c r="A2172" s="207"/>
    </row>
    <row r="2173" spans="1:1">
      <c r="A2173" s="207"/>
    </row>
    <row r="2174" spans="1:1">
      <c r="A2174" s="207"/>
    </row>
    <row r="2175" spans="1:1">
      <c r="A2175" s="207"/>
    </row>
    <row r="2176" spans="1:1">
      <c r="A2176" s="207"/>
    </row>
    <row r="2177" spans="1:1">
      <c r="A2177" s="207"/>
    </row>
    <row r="2178" spans="1:1">
      <c r="A2178" s="207"/>
    </row>
    <row r="2179" spans="1:1">
      <c r="A2179" s="207"/>
    </row>
    <row r="2180" spans="1:1">
      <c r="A2180" s="207"/>
    </row>
    <row r="2181" spans="1:1">
      <c r="A2181" s="207"/>
    </row>
    <row r="2182" spans="1:1">
      <c r="A2182" s="207"/>
    </row>
    <row r="2183" spans="1:1">
      <c r="A2183" s="207"/>
    </row>
    <row r="2184" spans="1:1">
      <c r="A2184" s="207"/>
    </row>
    <row r="2185" spans="1:1">
      <c r="A2185" s="207"/>
    </row>
    <row r="2186" spans="1:1">
      <c r="A2186" s="207"/>
    </row>
    <row r="2187" spans="1:1">
      <c r="A2187" s="207"/>
    </row>
    <row r="2188" spans="1:1">
      <c r="A2188" s="207"/>
    </row>
    <row r="2189" spans="1:1">
      <c r="A2189" s="207"/>
    </row>
    <row r="2190" spans="1:1">
      <c r="A2190" s="207"/>
    </row>
    <row r="2191" spans="1:1">
      <c r="A2191" s="207"/>
    </row>
    <row r="2192" spans="1:1">
      <c r="A2192" s="207"/>
    </row>
    <row r="2193" spans="1:1">
      <c r="A2193" s="207"/>
    </row>
    <row r="2194" spans="1:1">
      <c r="A2194" s="207"/>
    </row>
    <row r="2195" spans="1:1">
      <c r="A2195" s="207"/>
    </row>
    <row r="2196" spans="1:1">
      <c r="A2196" s="207"/>
    </row>
    <row r="2197" spans="1:1">
      <c r="A2197" s="207"/>
    </row>
    <row r="2198" spans="1:1">
      <c r="A2198" s="207"/>
    </row>
    <row r="2199" spans="1:1">
      <c r="A2199" s="207"/>
    </row>
    <row r="2200" spans="1:1">
      <c r="A2200" s="207"/>
    </row>
    <row r="2201" spans="1:1">
      <c r="A2201" s="207"/>
    </row>
    <row r="2202" spans="1:1">
      <c r="A2202" s="207"/>
    </row>
    <row r="2203" spans="1:1">
      <c r="A2203" s="207"/>
    </row>
    <row r="2204" spans="1:1">
      <c r="A2204" s="207"/>
    </row>
    <row r="2205" spans="1:1">
      <c r="A2205" s="207"/>
    </row>
    <row r="2206" spans="1:1">
      <c r="A2206" s="207"/>
    </row>
    <row r="2207" spans="1:1">
      <c r="A2207" s="207"/>
    </row>
    <row r="2208" spans="1:1">
      <c r="A2208" s="207"/>
    </row>
    <row r="2209" spans="1:1">
      <c r="A2209" s="207"/>
    </row>
    <row r="2210" spans="1:1">
      <c r="A2210" s="207"/>
    </row>
    <row r="2211" spans="1:1">
      <c r="A2211" s="207"/>
    </row>
    <row r="2212" spans="1:1">
      <c r="A2212" s="207"/>
    </row>
    <row r="2213" spans="1:1">
      <c r="A2213" s="207"/>
    </row>
    <row r="2214" spans="1:1">
      <c r="A2214" s="207"/>
    </row>
    <row r="2215" spans="1:1">
      <c r="A2215" s="207"/>
    </row>
    <row r="2216" spans="1:1">
      <c r="A2216" s="207"/>
    </row>
    <row r="2217" spans="1:1">
      <c r="A2217" s="207"/>
    </row>
    <row r="2218" spans="1:1">
      <c r="A2218" s="207"/>
    </row>
    <row r="2219" spans="1:1">
      <c r="A2219" s="207"/>
    </row>
    <row r="2220" spans="1:1">
      <c r="A2220" s="207"/>
    </row>
    <row r="2221" spans="1:1">
      <c r="A2221" s="207"/>
    </row>
    <row r="2222" spans="1:1">
      <c r="A2222" s="207"/>
    </row>
    <row r="2223" spans="1:1">
      <c r="A2223" s="207"/>
    </row>
    <row r="2224" spans="1:1">
      <c r="A2224" s="207"/>
    </row>
    <row r="2225" spans="1:1">
      <c r="A2225" s="207"/>
    </row>
    <row r="2226" spans="1:1">
      <c r="A2226" s="207"/>
    </row>
    <row r="2227" spans="1:1">
      <c r="A2227" s="207"/>
    </row>
    <row r="2228" spans="1:1">
      <c r="A2228" s="207"/>
    </row>
    <row r="2229" spans="1:1">
      <c r="A2229" s="207"/>
    </row>
    <row r="2230" spans="1:1">
      <c r="A2230" s="207"/>
    </row>
    <row r="2231" spans="1:1">
      <c r="A2231" s="207"/>
    </row>
    <row r="2232" spans="1:1">
      <c r="A2232" s="207"/>
    </row>
    <row r="2233" spans="1:1">
      <c r="A2233" s="207"/>
    </row>
    <row r="2234" spans="1:1">
      <c r="A2234" s="207"/>
    </row>
    <row r="2235" spans="1:1">
      <c r="A2235" s="207"/>
    </row>
    <row r="2236" spans="1:1">
      <c r="A2236" s="207"/>
    </row>
    <row r="2237" spans="1:1">
      <c r="A2237" s="207"/>
    </row>
    <row r="2238" spans="1:1">
      <c r="A2238" s="207"/>
    </row>
    <row r="2239" spans="1:1">
      <c r="A2239" s="207"/>
    </row>
    <row r="2240" spans="1:1">
      <c r="A2240" s="207"/>
    </row>
    <row r="2241" spans="1:1">
      <c r="A2241" s="207"/>
    </row>
    <row r="2242" spans="1:1">
      <c r="A2242" s="207"/>
    </row>
    <row r="2243" spans="1:1">
      <c r="A2243" s="207"/>
    </row>
    <row r="2244" spans="1:1">
      <c r="A2244" s="207"/>
    </row>
    <row r="2245" spans="1:1">
      <c r="A2245" s="207"/>
    </row>
    <row r="2246" spans="1:1">
      <c r="A2246" s="207"/>
    </row>
    <row r="2247" spans="1:1">
      <c r="A2247" s="207"/>
    </row>
    <row r="2248" spans="1:1">
      <c r="A2248" s="207"/>
    </row>
    <row r="2249" spans="1:1">
      <c r="A2249" s="207"/>
    </row>
    <row r="2250" spans="1:1">
      <c r="A2250" s="207"/>
    </row>
    <row r="2251" spans="1:1">
      <c r="A2251" s="207"/>
    </row>
    <row r="2252" spans="1:1">
      <c r="A2252" s="207"/>
    </row>
    <row r="2253" spans="1:1">
      <c r="A2253" s="207"/>
    </row>
    <row r="2254" spans="1:1">
      <c r="A2254" s="207"/>
    </row>
    <row r="2255" spans="1:1">
      <c r="A2255" s="207"/>
    </row>
    <row r="2256" spans="1:1">
      <c r="A2256" s="207"/>
    </row>
    <row r="2257" spans="1:1">
      <c r="A2257" s="207"/>
    </row>
    <row r="2258" spans="1:1">
      <c r="A2258" s="207"/>
    </row>
    <row r="2259" spans="1:1">
      <c r="A2259" s="207"/>
    </row>
    <row r="2260" spans="1:1">
      <c r="A2260" s="207"/>
    </row>
    <row r="2261" spans="1:1">
      <c r="A2261" s="207"/>
    </row>
    <row r="2262" spans="1:1">
      <c r="A2262" s="207"/>
    </row>
    <row r="2263" spans="1:1">
      <c r="A2263" s="207"/>
    </row>
    <row r="2264" spans="1:1">
      <c r="A2264" s="207"/>
    </row>
    <row r="2265" spans="1:1">
      <c r="A2265" s="207"/>
    </row>
    <row r="2266" spans="1:1">
      <c r="A2266" s="207"/>
    </row>
    <row r="2267" spans="1:1">
      <c r="A2267" s="207"/>
    </row>
    <row r="2268" spans="1:1">
      <c r="A2268" s="207"/>
    </row>
    <row r="2269" spans="1:1">
      <c r="A2269" s="207"/>
    </row>
    <row r="2270" spans="1:1">
      <c r="A2270" s="207"/>
    </row>
    <row r="2271" spans="1:1">
      <c r="A2271" s="207"/>
    </row>
    <row r="2272" spans="1:1">
      <c r="A2272" s="207"/>
    </row>
    <row r="2273" spans="1:1">
      <c r="A2273" s="207"/>
    </row>
    <row r="2274" spans="1:1">
      <c r="A2274" s="207"/>
    </row>
    <row r="2275" spans="1:1">
      <c r="A2275" s="207"/>
    </row>
    <row r="2276" spans="1:1">
      <c r="A2276" s="207"/>
    </row>
    <row r="2277" spans="1:1">
      <c r="A2277" s="207"/>
    </row>
    <row r="2278" spans="1:1">
      <c r="A2278" s="207"/>
    </row>
    <row r="2279" spans="1:1">
      <c r="A2279" s="207"/>
    </row>
    <row r="2280" spans="1:1">
      <c r="A2280" s="207"/>
    </row>
    <row r="2281" spans="1:1">
      <c r="A2281" s="207"/>
    </row>
    <row r="2282" spans="1:1">
      <c r="A2282" s="207"/>
    </row>
    <row r="2283" spans="1:1">
      <c r="A2283" s="207"/>
    </row>
    <row r="2284" spans="1:1">
      <c r="A2284" s="207"/>
    </row>
    <row r="2285" spans="1:1">
      <c r="A2285" s="207"/>
    </row>
    <row r="2286" spans="1:1">
      <c r="A2286" s="207"/>
    </row>
    <row r="2287" spans="1:1">
      <c r="A2287" s="207"/>
    </row>
    <row r="2288" spans="1:1">
      <c r="A2288" s="207"/>
    </row>
    <row r="2289" spans="1:1">
      <c r="A2289" s="207"/>
    </row>
    <row r="2290" spans="1:1">
      <c r="A2290" s="207"/>
    </row>
    <row r="2291" spans="1:1">
      <c r="A2291" s="207"/>
    </row>
    <row r="2292" spans="1:1">
      <c r="A2292" s="207"/>
    </row>
    <row r="2293" spans="1:1">
      <c r="A2293" s="207"/>
    </row>
    <row r="2294" spans="1:1">
      <c r="A2294" s="207"/>
    </row>
    <row r="2295" spans="1:1">
      <c r="A2295" s="207"/>
    </row>
    <row r="2296" spans="1:1">
      <c r="A2296" s="207"/>
    </row>
    <row r="2297" spans="1:1">
      <c r="A2297" s="207"/>
    </row>
    <row r="2298" spans="1:1">
      <c r="A2298" s="207"/>
    </row>
    <row r="2299" spans="1:1">
      <c r="A2299" s="207"/>
    </row>
    <row r="2300" spans="1:1">
      <c r="A2300" s="207"/>
    </row>
    <row r="2301" spans="1:1">
      <c r="A2301" s="207"/>
    </row>
    <row r="2302" spans="1:1">
      <c r="A2302" s="207"/>
    </row>
    <row r="2303" spans="1:1">
      <c r="A2303" s="207"/>
    </row>
    <row r="2304" spans="1:1">
      <c r="A2304" s="207"/>
    </row>
    <row r="2305" spans="1:1">
      <c r="A2305" s="207"/>
    </row>
    <row r="2306" spans="1:1">
      <c r="A2306" s="207"/>
    </row>
    <row r="2307" spans="1:1">
      <c r="A2307" s="207"/>
    </row>
    <row r="2308" spans="1:1">
      <c r="A2308" s="207"/>
    </row>
    <row r="2309" spans="1:1">
      <c r="A2309" s="207"/>
    </row>
    <row r="2310" spans="1:1">
      <c r="A2310" s="207"/>
    </row>
    <row r="2311" spans="1:1">
      <c r="A2311" s="207"/>
    </row>
    <row r="2312" spans="1:1">
      <c r="A2312" s="207"/>
    </row>
    <row r="2313" spans="1:1">
      <c r="A2313" s="207"/>
    </row>
    <row r="2314" spans="1:1">
      <c r="A2314" s="207"/>
    </row>
    <row r="2315" spans="1:1">
      <c r="A2315" s="207"/>
    </row>
    <row r="2316" spans="1:1">
      <c r="A2316" s="207"/>
    </row>
    <row r="2317" spans="1:1">
      <c r="A2317" s="207"/>
    </row>
    <row r="2318" spans="1:1">
      <c r="A2318" s="207"/>
    </row>
    <row r="2319" spans="1:1">
      <c r="A2319" s="207"/>
    </row>
    <row r="2320" spans="1:1">
      <c r="A2320" s="207"/>
    </row>
    <row r="2321" spans="1:1">
      <c r="A2321" s="207"/>
    </row>
    <row r="2322" spans="1:1">
      <c r="A2322" s="207"/>
    </row>
    <row r="2323" spans="1:1">
      <c r="A2323" s="207"/>
    </row>
    <row r="2324" spans="1:1">
      <c r="A2324" s="207"/>
    </row>
    <row r="2325" spans="1:1">
      <c r="A2325" s="207"/>
    </row>
    <row r="2326" spans="1:1">
      <c r="A2326" s="207"/>
    </row>
    <row r="2327" spans="1:1">
      <c r="A2327" s="207"/>
    </row>
    <row r="2328" spans="1:1">
      <c r="A2328" s="207"/>
    </row>
    <row r="2329" spans="1:1">
      <c r="A2329" s="207"/>
    </row>
    <row r="2330" spans="1:1">
      <c r="A2330" s="207"/>
    </row>
    <row r="2331" spans="1:1">
      <c r="A2331" s="207"/>
    </row>
    <row r="2332" spans="1:1">
      <c r="A2332" s="207"/>
    </row>
    <row r="2333" spans="1:1">
      <c r="A2333" s="207"/>
    </row>
    <row r="2334" spans="1:1">
      <c r="A2334" s="207"/>
    </row>
    <row r="2335" spans="1:1">
      <c r="A2335" s="207"/>
    </row>
    <row r="2336" spans="1:1">
      <c r="A2336" s="207"/>
    </row>
    <row r="2337" spans="1:1">
      <c r="A2337" s="207"/>
    </row>
    <row r="2338" spans="1:1">
      <c r="A2338" s="207"/>
    </row>
    <row r="2339" spans="1:1">
      <c r="A2339" s="207"/>
    </row>
    <row r="2340" spans="1:1">
      <c r="A2340" s="207"/>
    </row>
    <row r="2341" spans="1:1">
      <c r="A2341" s="207"/>
    </row>
    <row r="2342" spans="1:1">
      <c r="A2342" s="207"/>
    </row>
    <row r="2343" spans="1:1">
      <c r="A2343" s="207"/>
    </row>
    <row r="2344" spans="1:1">
      <c r="A2344" s="207"/>
    </row>
    <row r="2345" spans="1:1">
      <c r="A2345" s="207"/>
    </row>
    <row r="2346" spans="1:1">
      <c r="A2346" s="207"/>
    </row>
    <row r="2347" spans="1:1">
      <c r="A2347" s="207"/>
    </row>
    <row r="2348" spans="1:1">
      <c r="A2348" s="207"/>
    </row>
    <row r="2349" spans="1:1">
      <c r="A2349" s="207"/>
    </row>
    <row r="2350" spans="1:1">
      <c r="A2350" s="207"/>
    </row>
    <row r="2351" spans="1:1">
      <c r="A2351" s="207"/>
    </row>
    <row r="2352" spans="1:1">
      <c r="A2352" s="207"/>
    </row>
    <row r="2353" spans="1:1">
      <c r="A2353" s="207"/>
    </row>
    <row r="2354" spans="1:1">
      <c r="A2354" s="207"/>
    </row>
    <row r="2355" spans="1:1">
      <c r="A2355" s="207"/>
    </row>
    <row r="2356" spans="1:1">
      <c r="A2356" s="207"/>
    </row>
    <row r="2357" spans="1:1">
      <c r="A2357" s="207"/>
    </row>
    <row r="2358" spans="1:1">
      <c r="A2358" s="207"/>
    </row>
    <row r="2359" spans="1:1">
      <c r="A2359" s="207"/>
    </row>
    <row r="2360" spans="1:1">
      <c r="A2360" s="207"/>
    </row>
    <row r="2361" spans="1:1">
      <c r="A2361" s="207"/>
    </row>
    <row r="2362" spans="1:1">
      <c r="A2362" s="207"/>
    </row>
    <row r="2363" spans="1:1">
      <c r="A2363" s="207"/>
    </row>
    <row r="2364" spans="1:1">
      <c r="A2364" s="207"/>
    </row>
    <row r="2365" spans="1:1">
      <c r="A2365" s="207"/>
    </row>
    <row r="2366" spans="1:1">
      <c r="A2366" s="207"/>
    </row>
    <row r="2367" spans="1:1">
      <c r="A2367" s="207"/>
    </row>
    <row r="2368" spans="1:1">
      <c r="A2368" s="207"/>
    </row>
    <row r="2369" spans="1:1">
      <c r="A2369" s="207"/>
    </row>
    <row r="2370" spans="1:1">
      <c r="A2370" s="207"/>
    </row>
    <row r="2371" spans="1:1">
      <c r="A2371" s="207"/>
    </row>
    <row r="2372" spans="1:1">
      <c r="A2372" s="207"/>
    </row>
    <row r="2373" spans="1:1">
      <c r="A2373" s="207"/>
    </row>
    <row r="2374" spans="1:1">
      <c r="A2374" s="207"/>
    </row>
    <row r="2375" spans="1:1">
      <c r="A2375" s="207"/>
    </row>
    <row r="2376" spans="1:1">
      <c r="A2376" s="207"/>
    </row>
    <row r="2377" spans="1:1">
      <c r="A2377" s="207"/>
    </row>
    <row r="2378" spans="1:1">
      <c r="A2378" s="207"/>
    </row>
    <row r="2379" spans="1:1">
      <c r="A2379" s="207"/>
    </row>
    <row r="2380" spans="1:1">
      <c r="A2380" s="207"/>
    </row>
    <row r="2381" spans="1:1">
      <c r="A2381" s="207"/>
    </row>
    <row r="2382" spans="1:1">
      <c r="A2382" s="207"/>
    </row>
    <row r="2383" spans="1:1">
      <c r="A2383" s="207"/>
    </row>
    <row r="2384" spans="1:1">
      <c r="A2384" s="207"/>
    </row>
    <row r="2385" spans="1:1">
      <c r="A2385" s="207"/>
    </row>
    <row r="2386" spans="1:1">
      <c r="A2386" s="207"/>
    </row>
    <row r="2387" spans="1:1">
      <c r="A2387" s="207"/>
    </row>
    <row r="2388" spans="1:1">
      <c r="A2388" s="207"/>
    </row>
    <row r="2389" spans="1:1">
      <c r="A2389" s="207"/>
    </row>
    <row r="2390" spans="1:1">
      <c r="A2390" s="207"/>
    </row>
    <row r="2391" spans="1:1">
      <c r="A2391" s="207"/>
    </row>
    <row r="2392" spans="1:1">
      <c r="A2392" s="207"/>
    </row>
    <row r="2393" spans="1:1">
      <c r="A2393" s="207"/>
    </row>
    <row r="2394" spans="1:1">
      <c r="A2394" s="207"/>
    </row>
    <row r="2395" spans="1:1">
      <c r="A2395" s="207"/>
    </row>
    <row r="2396" spans="1:1">
      <c r="A2396" s="207"/>
    </row>
    <row r="2397" spans="1:1">
      <c r="A2397" s="207"/>
    </row>
    <row r="2398" spans="1:1">
      <c r="A2398" s="207"/>
    </row>
    <row r="2399" spans="1:1">
      <c r="A2399" s="207"/>
    </row>
    <row r="2400" spans="1:1">
      <c r="A2400" s="207"/>
    </row>
    <row r="2401" spans="1:1">
      <c r="A2401" s="207"/>
    </row>
    <row r="2402" spans="1:1">
      <c r="A2402" s="207"/>
    </row>
    <row r="2403" spans="1:1">
      <c r="A2403" s="207"/>
    </row>
    <row r="2404" spans="1:1">
      <c r="A2404" s="207"/>
    </row>
    <row r="2405" spans="1:1">
      <c r="A2405" s="207"/>
    </row>
    <row r="2406" spans="1:1">
      <c r="A2406" s="207"/>
    </row>
    <row r="2407" spans="1:1">
      <c r="A2407" s="207"/>
    </row>
    <row r="2408" spans="1:1">
      <c r="A2408" s="207"/>
    </row>
    <row r="2409" spans="1:1">
      <c r="A2409" s="207"/>
    </row>
    <row r="2410" spans="1:1">
      <c r="A2410" s="207"/>
    </row>
    <row r="2411" spans="1:1">
      <c r="A2411" s="207"/>
    </row>
    <row r="2412" spans="1:1">
      <c r="A2412" s="207"/>
    </row>
    <row r="2413" spans="1:1">
      <c r="A2413" s="207"/>
    </row>
    <row r="2414" spans="1:1">
      <c r="A2414" s="207"/>
    </row>
    <row r="2415" spans="1:1">
      <c r="A2415" s="207"/>
    </row>
    <row r="2416" spans="1:1">
      <c r="A2416" s="207"/>
    </row>
    <row r="2417" spans="1:1">
      <c r="A2417" s="207"/>
    </row>
    <row r="2418" spans="1:1">
      <c r="A2418" s="207"/>
    </row>
    <row r="2419" spans="1:1">
      <c r="A2419" s="207"/>
    </row>
    <row r="2420" spans="1:1">
      <c r="A2420" s="207"/>
    </row>
    <row r="2421" spans="1:1">
      <c r="A2421" s="207"/>
    </row>
    <row r="2422" spans="1:1">
      <c r="A2422" s="207"/>
    </row>
    <row r="2423" spans="1:1">
      <c r="A2423" s="207"/>
    </row>
    <row r="2424" spans="1:1">
      <c r="A2424" s="207"/>
    </row>
    <row r="2425" spans="1:1">
      <c r="A2425" s="207"/>
    </row>
    <row r="2426" spans="1:1">
      <c r="A2426" s="207"/>
    </row>
    <row r="2427" spans="1:1">
      <c r="A2427" s="207"/>
    </row>
    <row r="2428" spans="1:1">
      <c r="A2428" s="207"/>
    </row>
    <row r="2429" spans="1:1">
      <c r="A2429" s="207"/>
    </row>
    <row r="2430" spans="1:1">
      <c r="A2430" s="207"/>
    </row>
    <row r="2431" spans="1:1">
      <c r="A2431" s="207"/>
    </row>
    <row r="2432" spans="1:1">
      <c r="A2432" s="207"/>
    </row>
    <row r="2433" spans="1:1">
      <c r="A2433" s="207"/>
    </row>
    <row r="2434" spans="1:1">
      <c r="A2434" s="207"/>
    </row>
    <row r="2435" spans="1:1">
      <c r="A2435" s="207"/>
    </row>
    <row r="2436" spans="1:1">
      <c r="A2436" s="207"/>
    </row>
    <row r="2437" spans="1:1">
      <c r="A2437" s="207"/>
    </row>
    <row r="2438" spans="1:1">
      <c r="A2438" s="207"/>
    </row>
    <row r="2439" spans="1:1">
      <c r="A2439" s="207"/>
    </row>
    <row r="2440" spans="1:1">
      <c r="A2440" s="207"/>
    </row>
    <row r="2441" spans="1:1">
      <c r="A2441" s="207"/>
    </row>
    <row r="2442" spans="1:1">
      <c r="A2442" s="207"/>
    </row>
    <row r="2443" spans="1:1">
      <c r="A2443" s="207"/>
    </row>
    <row r="2444" spans="1:1">
      <c r="A2444" s="207"/>
    </row>
    <row r="2445" spans="1:1">
      <c r="A2445" s="207"/>
    </row>
    <row r="2446" spans="1:1">
      <c r="A2446" s="207"/>
    </row>
    <row r="2447" spans="1:1">
      <c r="A2447" s="207"/>
    </row>
    <row r="2448" spans="1:1">
      <c r="A2448" s="207"/>
    </row>
    <row r="2449" spans="1:1">
      <c r="A2449" s="207"/>
    </row>
    <row r="2450" spans="1:1">
      <c r="A2450" s="207"/>
    </row>
    <row r="2451" spans="1:1">
      <c r="A2451" s="207"/>
    </row>
    <row r="2452" spans="1:1">
      <c r="A2452" s="207"/>
    </row>
    <row r="2453" spans="1:1">
      <c r="A2453" s="207"/>
    </row>
    <row r="2454" spans="1:1">
      <c r="A2454" s="207"/>
    </row>
    <row r="2455" spans="1:1">
      <c r="A2455" s="207"/>
    </row>
    <row r="2456" spans="1:1">
      <c r="A2456" s="207"/>
    </row>
    <row r="2457" spans="1:1">
      <c r="A2457" s="207"/>
    </row>
    <row r="2458" spans="1:1">
      <c r="A2458" s="207"/>
    </row>
    <row r="2459" spans="1:1">
      <c r="A2459" s="207"/>
    </row>
    <row r="2460" spans="1:1">
      <c r="A2460" s="207"/>
    </row>
    <row r="2461" spans="1:1">
      <c r="A2461" s="207"/>
    </row>
    <row r="2462" spans="1:1">
      <c r="A2462" s="207"/>
    </row>
    <row r="2463" spans="1:1">
      <c r="A2463" s="207"/>
    </row>
    <row r="2464" spans="1:1">
      <c r="A2464" s="207"/>
    </row>
    <row r="2465" spans="1:1">
      <c r="A2465" s="207"/>
    </row>
    <row r="2466" spans="1:1">
      <c r="A2466" s="207"/>
    </row>
    <row r="2467" spans="1:1">
      <c r="A2467" s="207"/>
    </row>
    <row r="2468" spans="1:1">
      <c r="A2468" s="207"/>
    </row>
    <row r="2469" spans="1:1">
      <c r="A2469" s="207"/>
    </row>
    <row r="2470" spans="1:1">
      <c r="A2470" s="207"/>
    </row>
    <row r="2471" spans="1:1">
      <c r="A2471" s="207"/>
    </row>
    <row r="2472" spans="1:1">
      <c r="A2472" s="207"/>
    </row>
    <row r="2473" spans="1:1">
      <c r="A2473" s="207"/>
    </row>
    <row r="2474" spans="1:1">
      <c r="A2474" s="207"/>
    </row>
    <row r="2475" spans="1:1">
      <c r="A2475" s="207"/>
    </row>
    <row r="2476" spans="1:1">
      <c r="A2476" s="207"/>
    </row>
    <row r="2477" spans="1:1">
      <c r="A2477" s="207"/>
    </row>
    <row r="2478" spans="1:1">
      <c r="A2478" s="207"/>
    </row>
    <row r="2479" spans="1:1">
      <c r="A2479" s="207"/>
    </row>
    <row r="2480" spans="1:1">
      <c r="A2480" s="207"/>
    </row>
    <row r="2481" spans="1:1">
      <c r="A2481" s="207"/>
    </row>
    <row r="2482" spans="1:1">
      <c r="A2482" s="207"/>
    </row>
    <row r="2483" spans="1:1">
      <c r="A2483" s="207"/>
    </row>
    <row r="2484" spans="1:1">
      <c r="A2484" s="207"/>
    </row>
    <row r="2485" spans="1:1">
      <c r="A2485" s="207"/>
    </row>
    <row r="2486" spans="1:1">
      <c r="A2486" s="207"/>
    </row>
    <row r="2487" spans="1:1">
      <c r="A2487" s="207"/>
    </row>
    <row r="2488" spans="1:1">
      <c r="A2488" s="207"/>
    </row>
    <row r="2489" spans="1:1">
      <c r="A2489" s="207"/>
    </row>
    <row r="2490" spans="1:1">
      <c r="A2490" s="207"/>
    </row>
    <row r="2491" spans="1:1">
      <c r="A2491" s="207"/>
    </row>
    <row r="2492" spans="1:1">
      <c r="A2492" s="207"/>
    </row>
    <row r="2493" spans="1:1">
      <c r="A2493" s="207"/>
    </row>
    <row r="2494" spans="1:1">
      <c r="A2494" s="207"/>
    </row>
    <row r="2495" spans="1:1">
      <c r="A2495" s="207"/>
    </row>
    <row r="2496" spans="1:1">
      <c r="A2496" s="207"/>
    </row>
    <row r="2497" spans="1:1">
      <c r="A2497" s="207"/>
    </row>
    <row r="2498" spans="1:1">
      <c r="A2498" s="207"/>
    </row>
    <row r="2499" spans="1:1">
      <c r="A2499" s="207"/>
    </row>
    <row r="2500" spans="1:1">
      <c r="A2500" s="207"/>
    </row>
    <row r="2501" spans="1:1">
      <c r="A2501" s="207"/>
    </row>
    <row r="2502" spans="1:1">
      <c r="A2502" s="207"/>
    </row>
    <row r="2503" spans="1:1">
      <c r="A2503" s="207"/>
    </row>
    <row r="2504" spans="1:1">
      <c r="A2504" s="207"/>
    </row>
    <row r="2505" spans="1:1">
      <c r="A2505" s="207"/>
    </row>
    <row r="2506" spans="1:1">
      <c r="A2506" s="207"/>
    </row>
    <row r="2507" spans="1:1">
      <c r="A2507" s="207"/>
    </row>
    <row r="2508" spans="1:1">
      <c r="A2508" s="207"/>
    </row>
    <row r="2509" spans="1:1">
      <c r="A2509" s="207"/>
    </row>
    <row r="2510" spans="1:1">
      <c r="A2510" s="207"/>
    </row>
    <row r="2511" spans="1:1">
      <c r="A2511" s="207"/>
    </row>
    <row r="2512" spans="1:1">
      <c r="A2512" s="207"/>
    </row>
    <row r="2513" spans="1:1">
      <c r="A2513" s="207"/>
    </row>
    <row r="2514" spans="1:1">
      <c r="A2514" s="207"/>
    </row>
    <row r="2515" spans="1:1">
      <c r="A2515" s="207"/>
    </row>
    <row r="2516" spans="1:1">
      <c r="A2516" s="207"/>
    </row>
    <row r="2517" spans="1:1">
      <c r="A2517" s="207"/>
    </row>
    <row r="2518" spans="1:1">
      <c r="A2518" s="207"/>
    </row>
    <row r="2519" spans="1:1">
      <c r="A2519" s="207"/>
    </row>
    <row r="2520" spans="1:1">
      <c r="A2520" s="207"/>
    </row>
    <row r="2521" spans="1:1">
      <c r="A2521" s="207"/>
    </row>
    <row r="2522" spans="1:1">
      <c r="A2522" s="207"/>
    </row>
    <row r="2523" spans="1:1">
      <c r="A2523" s="207"/>
    </row>
    <row r="2524" spans="1:1">
      <c r="A2524" s="207"/>
    </row>
    <row r="2525" spans="1:1">
      <c r="A2525" s="207"/>
    </row>
    <row r="2526" spans="1:1">
      <c r="A2526" s="207"/>
    </row>
    <row r="2527" spans="1:1">
      <c r="A2527" s="207"/>
    </row>
    <row r="2528" spans="1:1">
      <c r="A2528" s="207"/>
    </row>
    <row r="2529" spans="1:1">
      <c r="A2529" s="207"/>
    </row>
    <row r="2530" spans="1:1">
      <c r="A2530" s="207"/>
    </row>
    <row r="2531" spans="1:1">
      <c r="A2531" s="207"/>
    </row>
    <row r="2532" spans="1:1">
      <c r="A2532" s="207"/>
    </row>
    <row r="2533" spans="1:1">
      <c r="A2533" s="207"/>
    </row>
    <row r="2534" spans="1:1">
      <c r="A2534" s="207"/>
    </row>
    <row r="2535" spans="1:1">
      <c r="A2535" s="207"/>
    </row>
    <row r="2536" spans="1:1">
      <c r="A2536" s="207"/>
    </row>
    <row r="2537" spans="1:1">
      <c r="A2537" s="207"/>
    </row>
    <row r="2538" spans="1:1">
      <c r="A2538" s="207"/>
    </row>
    <row r="2539" spans="1:1">
      <c r="A2539" s="207"/>
    </row>
    <row r="2540" spans="1:1">
      <c r="A2540" s="207"/>
    </row>
    <row r="2541" spans="1:1">
      <c r="A2541" s="207"/>
    </row>
    <row r="2542" spans="1:1">
      <c r="A2542" s="207"/>
    </row>
    <row r="2543" spans="1:1">
      <c r="A2543" s="207"/>
    </row>
    <row r="2544" spans="1:1">
      <c r="A2544" s="207"/>
    </row>
    <row r="2545" spans="1:1">
      <c r="A2545" s="207"/>
    </row>
    <row r="2546" spans="1:1">
      <c r="A2546" s="207"/>
    </row>
    <row r="2547" spans="1:1">
      <c r="A2547" s="207"/>
    </row>
    <row r="2548" spans="1:1">
      <c r="A2548" s="207"/>
    </row>
    <row r="2549" spans="1:1">
      <c r="A2549" s="207"/>
    </row>
    <row r="2550" spans="1:1">
      <c r="A2550" s="207"/>
    </row>
    <row r="2551" spans="1:1">
      <c r="A2551" s="207"/>
    </row>
    <row r="2552" spans="1:1">
      <c r="A2552" s="207"/>
    </row>
    <row r="2553" spans="1:1">
      <c r="A2553" s="207"/>
    </row>
    <row r="2554" spans="1:1">
      <c r="A2554" s="207"/>
    </row>
    <row r="2555" spans="1:1">
      <c r="A2555" s="207"/>
    </row>
    <row r="2556" spans="1:1">
      <c r="A2556" s="207"/>
    </row>
    <row r="2557" spans="1:1">
      <c r="A2557" s="207"/>
    </row>
    <row r="2558" spans="1:1">
      <c r="A2558" s="207"/>
    </row>
    <row r="2559" spans="1:1">
      <c r="A2559" s="207"/>
    </row>
    <row r="2560" spans="1:1">
      <c r="A2560" s="207"/>
    </row>
    <row r="2561" spans="1:1">
      <c r="A2561" s="207"/>
    </row>
    <row r="2562" spans="1:1">
      <c r="A2562" s="207"/>
    </row>
    <row r="2563" spans="1:1">
      <c r="A2563" s="207"/>
    </row>
    <row r="2564" spans="1:1">
      <c r="A2564" s="207"/>
    </row>
    <row r="2565" spans="1:1">
      <c r="A2565" s="207"/>
    </row>
    <row r="2566" spans="1:1">
      <c r="A2566" s="207"/>
    </row>
    <row r="2567" spans="1:1">
      <c r="A2567" s="207"/>
    </row>
    <row r="2568" spans="1:1">
      <c r="A2568" s="207"/>
    </row>
    <row r="2569" spans="1:1">
      <c r="A2569" s="207"/>
    </row>
    <row r="2570" spans="1:1">
      <c r="A2570" s="207"/>
    </row>
    <row r="2571" spans="1:1">
      <c r="A2571" s="207"/>
    </row>
    <row r="2572" spans="1:1">
      <c r="A2572" s="207"/>
    </row>
    <row r="2573" spans="1:1">
      <c r="A2573" s="207"/>
    </row>
    <row r="2574" spans="1:1">
      <c r="A2574" s="207"/>
    </row>
    <row r="2575" spans="1:1">
      <c r="A2575" s="207"/>
    </row>
    <row r="2576" spans="1:1">
      <c r="A2576" s="207"/>
    </row>
    <row r="2577" spans="1:1">
      <c r="A2577" s="207"/>
    </row>
    <row r="2578" spans="1:1">
      <c r="A2578" s="207"/>
    </row>
    <row r="2579" spans="1:1">
      <c r="A2579" s="207"/>
    </row>
    <row r="2580" spans="1:1">
      <c r="A2580" s="207"/>
    </row>
    <row r="2581" spans="1:1">
      <c r="A2581" s="207"/>
    </row>
    <row r="2582" spans="1:1">
      <c r="A2582" s="207"/>
    </row>
    <row r="2583" spans="1:1">
      <c r="A2583" s="207"/>
    </row>
    <row r="2584" spans="1:1">
      <c r="A2584" s="207"/>
    </row>
    <row r="2585" spans="1:1">
      <c r="A2585" s="207"/>
    </row>
    <row r="2586" spans="1:1">
      <c r="A2586" s="207"/>
    </row>
    <row r="2587" spans="1:1">
      <c r="A2587" s="207"/>
    </row>
    <row r="2588" spans="1:1">
      <c r="A2588" s="207"/>
    </row>
    <row r="2589" spans="1:1">
      <c r="A2589" s="207"/>
    </row>
    <row r="2590" spans="1:1">
      <c r="A2590" s="207"/>
    </row>
    <row r="2591" spans="1:1">
      <c r="A2591" s="207"/>
    </row>
    <row r="2592" spans="1:1">
      <c r="A2592" s="207"/>
    </row>
    <row r="2593" spans="1:1">
      <c r="A2593" s="207"/>
    </row>
    <row r="2594" spans="1:1">
      <c r="A2594" s="207"/>
    </row>
    <row r="2595" spans="1:1">
      <c r="A2595" s="207"/>
    </row>
    <row r="2596" spans="1:1">
      <c r="A2596" s="207"/>
    </row>
    <row r="2597" spans="1:1">
      <c r="A2597" s="207"/>
    </row>
    <row r="2598" spans="1:1">
      <c r="A2598" s="207"/>
    </row>
    <row r="2599" spans="1:1">
      <c r="A2599" s="207"/>
    </row>
    <row r="2600" spans="1:1">
      <c r="A2600" s="207"/>
    </row>
    <row r="2601" spans="1:1">
      <c r="A2601" s="207"/>
    </row>
    <row r="2602" spans="1:1">
      <c r="A2602" s="207"/>
    </row>
    <row r="2603" spans="1:1">
      <c r="A2603" s="207"/>
    </row>
    <row r="2604" spans="1:1">
      <c r="A2604" s="207"/>
    </row>
    <row r="2605" spans="1:1">
      <c r="A2605" s="207"/>
    </row>
    <row r="2606" spans="1:1">
      <c r="A2606" s="207"/>
    </row>
    <row r="2607" spans="1:1">
      <c r="A2607" s="207"/>
    </row>
    <row r="2608" spans="1:1">
      <c r="A2608" s="207"/>
    </row>
    <row r="2609" spans="1:1">
      <c r="A2609" s="207"/>
    </row>
    <row r="2610" spans="1:1">
      <c r="A2610" s="207"/>
    </row>
    <row r="2611" spans="1:1">
      <c r="A2611" s="207"/>
    </row>
    <row r="2612" spans="1:1">
      <c r="A2612" s="207"/>
    </row>
    <row r="2613" spans="1:1">
      <c r="A2613" s="207"/>
    </row>
    <row r="2614" spans="1:1">
      <c r="A2614" s="207"/>
    </row>
    <row r="2615" spans="1:1">
      <c r="A2615" s="207"/>
    </row>
    <row r="2616" spans="1:1">
      <c r="A2616" s="207"/>
    </row>
    <row r="2617" spans="1:1">
      <c r="A2617" s="207"/>
    </row>
    <row r="2618" spans="1:1">
      <c r="A2618" s="207"/>
    </row>
    <row r="2619" spans="1:1">
      <c r="A2619" s="207"/>
    </row>
    <row r="2620" spans="1:1">
      <c r="A2620" s="207"/>
    </row>
    <row r="2621" spans="1:1">
      <c r="A2621" s="207"/>
    </row>
    <row r="2622" spans="1:1">
      <c r="A2622" s="207"/>
    </row>
    <row r="2623" spans="1:1">
      <c r="A2623" s="207"/>
    </row>
    <row r="2624" spans="1:1">
      <c r="A2624" s="207"/>
    </row>
    <row r="2625" spans="1:1">
      <c r="A2625" s="207"/>
    </row>
    <row r="2626" spans="1:1">
      <c r="A2626" s="207"/>
    </row>
    <row r="2627" spans="1:1">
      <c r="A2627" s="207"/>
    </row>
    <row r="2628" spans="1:1">
      <c r="A2628" s="207"/>
    </row>
    <row r="2629" spans="1:1">
      <c r="A2629" s="207"/>
    </row>
    <row r="2630" spans="1:1">
      <c r="A2630" s="207"/>
    </row>
    <row r="2631" spans="1:1">
      <c r="A2631" s="207"/>
    </row>
    <row r="2632" spans="1:1">
      <c r="A2632" s="207"/>
    </row>
    <row r="2633" spans="1:1">
      <c r="A2633" s="207"/>
    </row>
    <row r="2634" spans="1:1">
      <c r="A2634" s="207"/>
    </row>
    <row r="2635" spans="1:1">
      <c r="A2635" s="207"/>
    </row>
    <row r="2636" spans="1:1">
      <c r="A2636" s="207"/>
    </row>
    <row r="2637" spans="1:1">
      <c r="A2637" s="207"/>
    </row>
    <row r="2638" spans="1:1">
      <c r="A2638" s="207"/>
    </row>
    <row r="2639" spans="1:1">
      <c r="A2639" s="207"/>
    </row>
    <row r="2640" spans="1:1">
      <c r="A2640" s="207"/>
    </row>
    <row r="2641" spans="1:1">
      <c r="A2641" s="207"/>
    </row>
    <row r="2642" spans="1:1">
      <c r="A2642" s="207"/>
    </row>
    <row r="2643" spans="1:1">
      <c r="A2643" s="207"/>
    </row>
    <row r="2644" spans="1:1">
      <c r="A2644" s="207"/>
    </row>
    <row r="2645" spans="1:1">
      <c r="A2645" s="207"/>
    </row>
    <row r="2646" spans="1:1">
      <c r="A2646" s="207"/>
    </row>
    <row r="2647" spans="1:1">
      <c r="A2647" s="207"/>
    </row>
    <row r="2648" spans="1:1">
      <c r="A2648" s="207"/>
    </row>
    <row r="2649" spans="1:1">
      <c r="A2649" s="207"/>
    </row>
    <row r="2650" spans="1:1">
      <c r="A2650" s="207"/>
    </row>
    <row r="2651" spans="1:1">
      <c r="A2651" s="207"/>
    </row>
    <row r="2652" spans="1:1">
      <c r="A2652" s="207"/>
    </row>
    <row r="2653" spans="1:1">
      <c r="A2653" s="207"/>
    </row>
    <row r="2654" spans="1:1">
      <c r="A2654" s="207"/>
    </row>
    <row r="2655" spans="1:1">
      <c r="A2655" s="207"/>
    </row>
    <row r="2656" spans="1:1">
      <c r="A2656" s="207"/>
    </row>
    <row r="2657" spans="1:1">
      <c r="A2657" s="207"/>
    </row>
    <row r="2658" spans="1:1">
      <c r="A2658" s="207"/>
    </row>
    <row r="2659" spans="1:1">
      <c r="A2659" s="207"/>
    </row>
    <row r="2660" spans="1:1">
      <c r="A2660" s="207"/>
    </row>
    <row r="2661" spans="1:1">
      <c r="A2661" s="207"/>
    </row>
    <row r="2662" spans="1:1">
      <c r="A2662" s="207"/>
    </row>
    <row r="2663" spans="1:1">
      <c r="A2663" s="207"/>
    </row>
    <row r="2664" spans="1:1">
      <c r="A2664" s="207"/>
    </row>
    <row r="2665" spans="1:1">
      <c r="A2665" s="207"/>
    </row>
    <row r="2666" spans="1:1">
      <c r="A2666" s="207"/>
    </row>
    <row r="2667" spans="1:1">
      <c r="A2667" s="207"/>
    </row>
    <row r="2668" spans="1:1">
      <c r="A2668" s="207"/>
    </row>
    <row r="2669" spans="1:1">
      <c r="A2669" s="207"/>
    </row>
    <row r="2670" spans="1:1">
      <c r="A2670" s="207"/>
    </row>
    <row r="2671" spans="1:1">
      <c r="A2671" s="207"/>
    </row>
    <row r="2672" spans="1:1">
      <c r="A2672" s="207"/>
    </row>
    <row r="2673" spans="1:1">
      <c r="A2673" s="207"/>
    </row>
    <row r="2674" spans="1:1">
      <c r="A2674" s="207"/>
    </row>
    <row r="2675" spans="1:1">
      <c r="A2675" s="207"/>
    </row>
    <row r="2676" spans="1:1">
      <c r="A2676" s="207"/>
    </row>
    <row r="2677" spans="1:1">
      <c r="A2677" s="207"/>
    </row>
    <row r="2678" spans="1:1">
      <c r="A2678" s="207"/>
    </row>
    <row r="2679" spans="1:1">
      <c r="A2679" s="207"/>
    </row>
    <row r="2680" spans="1:1">
      <c r="A2680" s="207"/>
    </row>
    <row r="2681" spans="1:1">
      <c r="A2681" s="207"/>
    </row>
    <row r="2682" spans="1:1">
      <c r="A2682" s="207"/>
    </row>
    <row r="2683" spans="1:1">
      <c r="A2683" s="207"/>
    </row>
    <row r="2684" spans="1:1">
      <c r="A2684" s="207"/>
    </row>
    <row r="2685" spans="1:1">
      <c r="A2685" s="207"/>
    </row>
    <row r="2686" spans="1:1">
      <c r="A2686" s="207"/>
    </row>
    <row r="2687" spans="1:1">
      <c r="A2687" s="207"/>
    </row>
    <row r="2688" spans="1:1">
      <c r="A2688" s="207"/>
    </row>
    <row r="2689" spans="1:1">
      <c r="A2689" s="207"/>
    </row>
    <row r="2690" spans="1:1">
      <c r="A2690" s="207"/>
    </row>
    <row r="2691" spans="1:1">
      <c r="A2691" s="207"/>
    </row>
    <row r="2692" spans="1:1">
      <c r="A2692" s="207"/>
    </row>
    <row r="2693" spans="1:1">
      <c r="A2693" s="207"/>
    </row>
    <row r="2694" spans="1:1">
      <c r="A2694" s="207"/>
    </row>
    <row r="2695" spans="1:1">
      <c r="A2695" s="207"/>
    </row>
    <row r="2696" spans="1:1">
      <c r="A2696" s="207"/>
    </row>
    <row r="2697" spans="1:1">
      <c r="A2697" s="207"/>
    </row>
    <row r="2698" spans="1:1">
      <c r="A2698" s="207"/>
    </row>
    <row r="2699" spans="1:1">
      <c r="A2699" s="207"/>
    </row>
    <row r="2700" spans="1:1">
      <c r="A2700" s="207"/>
    </row>
    <row r="2701" spans="1:1">
      <c r="A2701" s="207"/>
    </row>
    <row r="2702" spans="1:1">
      <c r="A2702" s="207"/>
    </row>
    <row r="2703" spans="1:1">
      <c r="A2703" s="207"/>
    </row>
    <row r="2704" spans="1:1">
      <c r="A2704" s="207"/>
    </row>
    <row r="2705" spans="1:1">
      <c r="A2705" s="207"/>
    </row>
    <row r="2706" spans="1:1">
      <c r="A2706" s="207"/>
    </row>
    <row r="2707" spans="1:1">
      <c r="A2707" s="207"/>
    </row>
    <row r="2708" spans="1:1">
      <c r="A2708" s="207"/>
    </row>
    <row r="2709" spans="1:1">
      <c r="A2709" s="207"/>
    </row>
    <row r="2710" spans="1:1">
      <c r="A2710" s="207"/>
    </row>
    <row r="2711" spans="1:1">
      <c r="A2711" s="207"/>
    </row>
    <row r="2712" spans="1:1">
      <c r="A2712" s="207"/>
    </row>
    <row r="2713" spans="1:1">
      <c r="A2713" s="207"/>
    </row>
    <row r="2714" spans="1:1">
      <c r="A2714" s="207"/>
    </row>
    <row r="2715" spans="1:1">
      <c r="A2715" s="207"/>
    </row>
    <row r="2716" spans="1:1">
      <c r="A2716" s="207"/>
    </row>
    <row r="2717" spans="1:1">
      <c r="A2717" s="207"/>
    </row>
    <row r="2718" spans="1:1">
      <c r="A2718" s="207"/>
    </row>
    <row r="2719" spans="1:1">
      <c r="A2719" s="207"/>
    </row>
    <row r="2720" spans="1:1">
      <c r="A2720" s="207"/>
    </row>
    <row r="2721" spans="1:1">
      <c r="A2721" s="207"/>
    </row>
    <row r="2722" spans="1:1">
      <c r="A2722" s="207"/>
    </row>
    <row r="2723" spans="1:1">
      <c r="A2723" s="207"/>
    </row>
    <row r="2724" spans="1:1">
      <c r="A2724" s="207"/>
    </row>
    <row r="2725" spans="1:1">
      <c r="A2725" s="207"/>
    </row>
    <row r="2726" spans="1:1">
      <c r="A2726" s="207"/>
    </row>
    <row r="2727" spans="1:1">
      <c r="A2727" s="207"/>
    </row>
    <row r="2728" spans="1:1">
      <c r="A2728" s="207"/>
    </row>
    <row r="2729" spans="1:1">
      <c r="A2729" s="207"/>
    </row>
    <row r="2730" spans="1:1">
      <c r="A2730" s="207"/>
    </row>
    <row r="2731" spans="1:1">
      <c r="A2731" s="207"/>
    </row>
    <row r="2732" spans="1:1">
      <c r="A2732" s="207"/>
    </row>
    <row r="2733" spans="1:1">
      <c r="A2733" s="207"/>
    </row>
    <row r="2734" spans="1:1">
      <c r="A2734" s="207"/>
    </row>
    <row r="2735" spans="1:1">
      <c r="A2735" s="207"/>
    </row>
    <row r="2736" spans="1:1">
      <c r="A2736" s="207"/>
    </row>
    <row r="2737" spans="1:1">
      <c r="A2737" s="207"/>
    </row>
    <row r="2738" spans="1:1">
      <c r="A2738" s="207"/>
    </row>
    <row r="2739" spans="1:1">
      <c r="A2739" s="207"/>
    </row>
    <row r="2740" spans="1:1">
      <c r="A2740" s="207"/>
    </row>
    <row r="2741" spans="1:1">
      <c r="A2741" s="207"/>
    </row>
    <row r="2742" spans="1:1">
      <c r="A2742" s="207"/>
    </row>
    <row r="2743" spans="1:1">
      <c r="A2743" s="207"/>
    </row>
    <row r="2744" spans="1:1">
      <c r="A2744" s="207"/>
    </row>
    <row r="2745" spans="1:1">
      <c r="A2745" s="207"/>
    </row>
    <row r="2746" spans="1:1">
      <c r="A2746" s="207"/>
    </row>
    <row r="2747" spans="1:1">
      <c r="A2747" s="207"/>
    </row>
    <row r="2748" spans="1:1">
      <c r="A2748" s="207"/>
    </row>
    <row r="2749" spans="1:1">
      <c r="A2749" s="207"/>
    </row>
    <row r="2750" spans="1:1">
      <c r="A2750" s="207"/>
    </row>
    <row r="2751" spans="1:1">
      <c r="A2751" s="207"/>
    </row>
    <row r="2752" spans="1:1">
      <c r="A2752" s="207"/>
    </row>
    <row r="2753" spans="1:1">
      <c r="A2753" s="207"/>
    </row>
    <row r="2754" spans="1:1">
      <c r="A2754" s="207"/>
    </row>
    <row r="2755" spans="1:1">
      <c r="A2755" s="207"/>
    </row>
    <row r="2756" spans="1:1">
      <c r="A2756" s="207"/>
    </row>
    <row r="2757" spans="1:1">
      <c r="A2757" s="207"/>
    </row>
    <row r="2758" spans="1:1">
      <c r="A2758" s="207"/>
    </row>
    <row r="2759" spans="1:1">
      <c r="A2759" s="207"/>
    </row>
    <row r="2760" spans="1:1">
      <c r="A2760" s="207"/>
    </row>
    <row r="2761" spans="1:1">
      <c r="A2761" s="207"/>
    </row>
    <row r="2762" spans="1:1">
      <c r="A2762" s="207"/>
    </row>
    <row r="2763" spans="1:1">
      <c r="A2763" s="207"/>
    </row>
    <row r="2764" spans="1:1">
      <c r="A2764" s="207"/>
    </row>
    <row r="2765" spans="1:1">
      <c r="A2765" s="207"/>
    </row>
    <row r="2766" spans="1:1">
      <c r="A2766" s="207"/>
    </row>
    <row r="2767" spans="1:1">
      <c r="A2767" s="207"/>
    </row>
    <row r="2768" spans="1:1">
      <c r="A2768" s="207"/>
    </row>
    <row r="2769" spans="1:1">
      <c r="A2769" s="207"/>
    </row>
    <row r="2770" spans="1:1">
      <c r="A2770" s="207"/>
    </row>
    <row r="2771" spans="1:1">
      <c r="A2771" s="207"/>
    </row>
    <row r="2772" spans="1:1">
      <c r="A2772" s="207"/>
    </row>
    <row r="2773" spans="1:1">
      <c r="A2773" s="207"/>
    </row>
    <row r="2774" spans="1:1">
      <c r="A2774" s="207"/>
    </row>
    <row r="2775" spans="1:1">
      <c r="A2775" s="207"/>
    </row>
    <row r="2776" spans="1:1">
      <c r="A2776" s="207"/>
    </row>
    <row r="2777" spans="1:1">
      <c r="A2777" s="207"/>
    </row>
    <row r="2778" spans="1:1">
      <c r="A2778" s="207"/>
    </row>
    <row r="2779" spans="1:1">
      <c r="A2779" s="207"/>
    </row>
    <row r="2780" spans="1:1">
      <c r="A2780" s="207"/>
    </row>
    <row r="2781" spans="1:1">
      <c r="A2781" s="207"/>
    </row>
    <row r="2782" spans="1:1">
      <c r="A2782" s="207"/>
    </row>
    <row r="2783" spans="1:1">
      <c r="A2783" s="207"/>
    </row>
    <row r="2784" spans="1:1">
      <c r="A2784" s="207"/>
    </row>
    <row r="2785" spans="1:1">
      <c r="A2785" s="207"/>
    </row>
    <row r="2786" spans="1:1">
      <c r="A2786" s="207"/>
    </row>
    <row r="2787" spans="1:1">
      <c r="A2787" s="207"/>
    </row>
    <row r="2788" spans="1:1">
      <c r="A2788" s="207"/>
    </row>
    <row r="2789" spans="1:1">
      <c r="A2789" s="207"/>
    </row>
    <row r="2790" spans="1:1">
      <c r="A2790" s="207"/>
    </row>
    <row r="2791" spans="1:1">
      <c r="A2791" s="207"/>
    </row>
    <row r="2792" spans="1:1">
      <c r="A2792" s="207"/>
    </row>
    <row r="2793" spans="1:1">
      <c r="A2793" s="207"/>
    </row>
    <row r="2794" spans="1:1">
      <c r="A2794" s="207"/>
    </row>
    <row r="2795" spans="1:1">
      <c r="A2795" s="207"/>
    </row>
    <row r="2796" spans="1:1">
      <c r="A2796" s="207"/>
    </row>
    <row r="2797" spans="1:1">
      <c r="A2797" s="207"/>
    </row>
    <row r="2798" spans="1:1">
      <c r="A2798" s="207"/>
    </row>
    <row r="2799" spans="1:1">
      <c r="A2799" s="207"/>
    </row>
    <row r="2800" spans="1:1">
      <c r="A2800" s="207"/>
    </row>
    <row r="2801" spans="1:1">
      <c r="A2801" s="207"/>
    </row>
    <row r="2802" spans="1:1">
      <c r="A2802" s="207"/>
    </row>
    <row r="2803" spans="1:1">
      <c r="A2803" s="207"/>
    </row>
    <row r="2804" spans="1:1">
      <c r="A2804" s="207"/>
    </row>
    <row r="2805" spans="1:1">
      <c r="A2805" s="207"/>
    </row>
    <row r="2806" spans="1:1">
      <c r="A2806" s="207"/>
    </row>
    <row r="2807" spans="1:1">
      <c r="A2807" s="207"/>
    </row>
    <row r="2808" spans="1:1">
      <c r="A2808" s="207"/>
    </row>
    <row r="2809" spans="1:1">
      <c r="A2809" s="207"/>
    </row>
    <row r="2810" spans="1:1">
      <c r="A2810" s="207"/>
    </row>
    <row r="2811" spans="1:1">
      <c r="A2811" s="207"/>
    </row>
    <row r="2812" spans="1:1">
      <c r="A2812" s="207"/>
    </row>
    <row r="2813" spans="1:1">
      <c r="A2813" s="207"/>
    </row>
    <row r="2814" spans="1:1">
      <c r="A2814" s="207"/>
    </row>
    <row r="2815" spans="1:1">
      <c r="A2815" s="207"/>
    </row>
    <row r="2816" spans="1:1">
      <c r="A2816" s="207"/>
    </row>
    <row r="2817" spans="1:1">
      <c r="A2817" s="207"/>
    </row>
    <row r="2818" spans="1:1">
      <c r="A2818" s="207"/>
    </row>
    <row r="2819" spans="1:1">
      <c r="A2819" s="207"/>
    </row>
    <row r="2820" spans="1:1">
      <c r="A2820" s="207"/>
    </row>
    <row r="2821" spans="1:1">
      <c r="A2821" s="207"/>
    </row>
    <row r="2822" spans="1:1">
      <c r="A2822" s="207"/>
    </row>
    <row r="2823" spans="1:1">
      <c r="A2823" s="207"/>
    </row>
    <row r="2824" spans="1:1">
      <c r="A2824" s="207"/>
    </row>
    <row r="2825" spans="1:1">
      <c r="A2825" s="207"/>
    </row>
    <row r="2826" spans="1:1">
      <c r="A2826" s="207"/>
    </row>
    <row r="2827" spans="1:1">
      <c r="A2827" s="207"/>
    </row>
    <row r="2828" spans="1:1">
      <c r="A2828" s="207"/>
    </row>
    <row r="2829" spans="1:1">
      <c r="A2829" s="207"/>
    </row>
    <row r="2830" spans="1:1">
      <c r="A2830" s="207"/>
    </row>
    <row r="2831" spans="1:1">
      <c r="A2831" s="207"/>
    </row>
    <row r="2832" spans="1:1">
      <c r="A2832" s="207"/>
    </row>
    <row r="2833" spans="1:1">
      <c r="A2833" s="207"/>
    </row>
    <row r="2834" spans="1:1">
      <c r="A2834" s="207"/>
    </row>
    <row r="2835" spans="1:1">
      <c r="A2835" s="207"/>
    </row>
    <row r="2836" spans="1:1">
      <c r="A2836" s="207"/>
    </row>
    <row r="2837" spans="1:1">
      <c r="A2837" s="207"/>
    </row>
    <row r="2838" spans="1:1">
      <c r="A2838" s="207"/>
    </row>
    <row r="2839" spans="1:1">
      <c r="A2839" s="207"/>
    </row>
    <row r="2840" spans="1:1">
      <c r="A2840" s="207"/>
    </row>
    <row r="2841" spans="1:1">
      <c r="A2841" s="207"/>
    </row>
    <row r="2842" spans="1:1">
      <c r="A2842" s="207"/>
    </row>
    <row r="2843" spans="1:1">
      <c r="A2843" s="207"/>
    </row>
    <row r="2844" spans="1:1">
      <c r="A2844" s="207"/>
    </row>
    <row r="2845" spans="1:1">
      <c r="A2845" s="207"/>
    </row>
    <row r="2846" spans="1:1">
      <c r="A2846" s="207"/>
    </row>
    <row r="2847" spans="1:1">
      <c r="A2847" s="207"/>
    </row>
    <row r="2848" spans="1:1">
      <c r="A2848" s="207"/>
    </row>
    <row r="2849" spans="1:1">
      <c r="A2849" s="207"/>
    </row>
    <row r="2850" spans="1:1">
      <c r="A2850" s="207"/>
    </row>
    <row r="2851" spans="1:1">
      <c r="A2851" s="207"/>
    </row>
    <row r="2852" spans="1:1">
      <c r="A2852" s="207"/>
    </row>
    <row r="2853" spans="1:1">
      <c r="A2853" s="207"/>
    </row>
    <row r="2854" spans="1:1">
      <c r="A2854" s="207"/>
    </row>
    <row r="2855" spans="1:1">
      <c r="A2855" s="207"/>
    </row>
    <row r="2856" spans="1:1">
      <c r="A2856" s="207"/>
    </row>
    <row r="2857" spans="1:1">
      <c r="A2857" s="207"/>
    </row>
    <row r="2858" spans="1:1">
      <c r="A2858" s="207"/>
    </row>
    <row r="2859" spans="1:1">
      <c r="A2859" s="207"/>
    </row>
    <row r="2860" spans="1:1">
      <c r="A2860" s="207"/>
    </row>
    <row r="2861" spans="1:1">
      <c r="A2861" s="207"/>
    </row>
    <row r="2862" spans="1:1">
      <c r="A2862" s="207"/>
    </row>
    <row r="2863" spans="1:1">
      <c r="A2863" s="207"/>
    </row>
    <row r="2864" spans="1:1">
      <c r="A2864" s="207"/>
    </row>
    <row r="2865" spans="1:1">
      <c r="A2865" s="207"/>
    </row>
    <row r="2866" spans="1:1">
      <c r="A2866" s="207"/>
    </row>
    <row r="2867" spans="1:1">
      <c r="A2867" s="207"/>
    </row>
    <row r="2868" spans="1:1">
      <c r="A2868" s="207"/>
    </row>
    <row r="2869" spans="1:1">
      <c r="A2869" s="207"/>
    </row>
    <row r="2870" spans="1:1">
      <c r="A2870" s="207"/>
    </row>
    <row r="2871" spans="1:1">
      <c r="A2871" s="207"/>
    </row>
    <row r="2872" spans="1:1">
      <c r="A2872" s="207"/>
    </row>
    <row r="2873" spans="1:1">
      <c r="A2873" s="207"/>
    </row>
    <row r="2874" spans="1:1">
      <c r="A2874" s="207"/>
    </row>
    <row r="2875" spans="1:1">
      <c r="A2875" s="207"/>
    </row>
    <row r="2876" spans="1:1">
      <c r="A2876" s="207"/>
    </row>
    <row r="2877" spans="1:1">
      <c r="A2877" s="207"/>
    </row>
    <row r="2878" spans="1:1">
      <c r="A2878" s="207"/>
    </row>
    <row r="2879" spans="1:1">
      <c r="A2879" s="207"/>
    </row>
    <row r="2880" spans="1:1">
      <c r="A2880" s="207"/>
    </row>
    <row r="2881" spans="1:1">
      <c r="A2881" s="207"/>
    </row>
    <row r="2882" spans="1:1">
      <c r="A2882" s="207"/>
    </row>
    <row r="2883" spans="1:1">
      <c r="A2883" s="207"/>
    </row>
    <row r="2884" spans="1:1">
      <c r="A2884" s="207"/>
    </row>
    <row r="2885" spans="1:1">
      <c r="A2885" s="207"/>
    </row>
    <row r="2886" spans="1:1">
      <c r="A2886" s="207"/>
    </row>
    <row r="2887" spans="1:1">
      <c r="A2887" s="207"/>
    </row>
    <row r="2888" spans="1:1">
      <c r="A2888" s="207"/>
    </row>
    <row r="2889" spans="1:1">
      <c r="A2889" s="207"/>
    </row>
    <row r="2890" spans="1:1">
      <c r="A2890" s="207"/>
    </row>
    <row r="2891" spans="1:1">
      <c r="A2891" s="207"/>
    </row>
    <row r="2892" spans="1:1">
      <c r="A2892" s="207"/>
    </row>
    <row r="2893" spans="1:1">
      <c r="A2893" s="207"/>
    </row>
    <row r="2894" spans="1:1">
      <c r="A2894" s="207"/>
    </row>
    <row r="2895" spans="1:1">
      <c r="A2895" s="207"/>
    </row>
    <row r="2896" spans="1:1">
      <c r="A2896" s="207"/>
    </row>
    <row r="2897" spans="1:1">
      <c r="A2897" s="207"/>
    </row>
    <row r="2898" spans="1:1">
      <c r="A2898" s="207"/>
    </row>
    <row r="2899" spans="1:1">
      <c r="A2899" s="207"/>
    </row>
    <row r="2900" spans="1:1">
      <c r="A2900" s="207"/>
    </row>
    <row r="2901" spans="1:1">
      <c r="A2901" s="207"/>
    </row>
    <row r="2902" spans="1:1">
      <c r="A2902" s="207"/>
    </row>
    <row r="2903" spans="1:1">
      <c r="A2903" s="207"/>
    </row>
    <row r="2904" spans="1:1">
      <c r="A2904" s="207"/>
    </row>
    <row r="2905" spans="1:1">
      <c r="A2905" s="207"/>
    </row>
    <row r="2906" spans="1:1">
      <c r="A2906" s="207"/>
    </row>
    <row r="2907" spans="1:1">
      <c r="A2907" s="207"/>
    </row>
    <row r="2908" spans="1:1">
      <c r="A2908" s="207"/>
    </row>
    <row r="2909" spans="1:1">
      <c r="A2909" s="207"/>
    </row>
    <row r="2910" spans="1:1">
      <c r="A2910" s="207"/>
    </row>
    <row r="2911" spans="1:1">
      <c r="A2911" s="207"/>
    </row>
    <row r="2912" spans="1:1">
      <c r="A2912" s="207"/>
    </row>
    <row r="2913" spans="1:1">
      <c r="A2913" s="207"/>
    </row>
    <row r="2914" spans="1:1">
      <c r="A2914" s="207"/>
    </row>
    <row r="2915" spans="1:1">
      <c r="A2915" s="207"/>
    </row>
    <row r="2916" spans="1:1">
      <c r="A2916" s="207"/>
    </row>
    <row r="2917" spans="1:1">
      <c r="A2917" s="207"/>
    </row>
    <row r="2918" spans="1:1">
      <c r="A2918" s="207"/>
    </row>
    <row r="2919" spans="1:1">
      <c r="A2919" s="207"/>
    </row>
    <row r="2920" spans="1:1">
      <c r="A2920" s="207"/>
    </row>
    <row r="2921" spans="1:1">
      <c r="A2921" s="207"/>
    </row>
    <row r="2922" spans="1:1">
      <c r="A2922" s="207"/>
    </row>
    <row r="2923" spans="1:1">
      <c r="A2923" s="207"/>
    </row>
    <row r="2924" spans="1:1">
      <c r="A2924" s="207"/>
    </row>
    <row r="2925" spans="1:1">
      <c r="A2925" s="207"/>
    </row>
    <row r="2926" spans="1:1">
      <c r="A2926" s="207"/>
    </row>
    <row r="2927" spans="1:1">
      <c r="A2927" s="207"/>
    </row>
    <row r="2928" spans="1:1">
      <c r="A2928" s="207"/>
    </row>
    <row r="2929" spans="1:1">
      <c r="A2929" s="207"/>
    </row>
    <row r="2930" spans="1:1">
      <c r="A2930" s="207"/>
    </row>
    <row r="2931" spans="1:1">
      <c r="A2931" s="207"/>
    </row>
    <row r="2932" spans="1:1">
      <c r="A2932" s="207"/>
    </row>
    <row r="2933" spans="1:1">
      <c r="A2933" s="207"/>
    </row>
    <row r="2934" spans="1:1">
      <c r="A2934" s="207"/>
    </row>
    <row r="2935" spans="1:1">
      <c r="A2935" s="207"/>
    </row>
    <row r="2936" spans="1:1">
      <c r="A2936" s="207"/>
    </row>
    <row r="2937" spans="1:1">
      <c r="A2937" s="207"/>
    </row>
    <row r="2938" spans="1:1">
      <c r="A2938" s="207"/>
    </row>
    <row r="2939" spans="1:1">
      <c r="A2939" s="207"/>
    </row>
    <row r="2940" spans="1:1">
      <c r="A2940" s="207"/>
    </row>
    <row r="2941" spans="1:1">
      <c r="A2941" s="207"/>
    </row>
    <row r="2942" spans="1:1">
      <c r="A2942" s="207"/>
    </row>
    <row r="2943" spans="1:1">
      <c r="A2943" s="207"/>
    </row>
    <row r="2944" spans="1:1">
      <c r="A2944" s="207"/>
    </row>
    <row r="2945" spans="1:1">
      <c r="A2945" s="207"/>
    </row>
    <row r="2946" spans="1:1">
      <c r="A2946" s="207"/>
    </row>
    <row r="2947" spans="1:1">
      <c r="A2947" s="207"/>
    </row>
    <row r="2948" spans="1:1">
      <c r="A2948" s="207"/>
    </row>
    <row r="2949" spans="1:1">
      <c r="A2949" s="207"/>
    </row>
    <row r="2950" spans="1:1">
      <c r="A2950" s="207"/>
    </row>
    <row r="2951" spans="1:1">
      <c r="A2951" s="207"/>
    </row>
    <row r="2952" spans="1:1">
      <c r="A2952" s="207"/>
    </row>
    <row r="2953" spans="1:1">
      <c r="A2953" s="207"/>
    </row>
    <row r="2954" spans="1:1">
      <c r="A2954" s="207"/>
    </row>
    <row r="2955" spans="1:1">
      <c r="A2955" s="207"/>
    </row>
    <row r="2956" spans="1:1">
      <c r="A2956" s="207"/>
    </row>
    <row r="2957" spans="1:1">
      <c r="A2957" s="207"/>
    </row>
    <row r="2958" spans="1:1">
      <c r="A2958" s="207"/>
    </row>
    <row r="2959" spans="1:1">
      <c r="A2959" s="207"/>
    </row>
    <row r="2960" spans="1:1">
      <c r="A2960" s="207"/>
    </row>
    <row r="2961" spans="1:1">
      <c r="A2961" s="207"/>
    </row>
    <row r="2962" spans="1:1">
      <c r="A2962" s="207"/>
    </row>
    <row r="2963" spans="1:1">
      <c r="A2963" s="207"/>
    </row>
    <row r="2964" spans="1:1">
      <c r="A2964" s="207"/>
    </row>
    <row r="2965" spans="1:1">
      <c r="A2965" s="207"/>
    </row>
    <row r="2966" spans="1:1">
      <c r="A2966" s="207"/>
    </row>
    <row r="2967" spans="1:1">
      <c r="A2967" s="207"/>
    </row>
    <row r="2968" spans="1:1">
      <c r="A2968" s="207"/>
    </row>
    <row r="2969" spans="1:1">
      <c r="A2969" s="207"/>
    </row>
    <row r="2970" spans="1:1">
      <c r="A2970" s="207"/>
    </row>
    <row r="2971" spans="1:1">
      <c r="A2971" s="207"/>
    </row>
    <row r="2972" spans="1:1">
      <c r="A2972" s="207"/>
    </row>
    <row r="2973" spans="1:1">
      <c r="A2973" s="207"/>
    </row>
    <row r="2974" spans="1:1">
      <c r="A2974" s="207"/>
    </row>
    <row r="2975" spans="1:1">
      <c r="A2975" s="207"/>
    </row>
    <row r="2976" spans="1:1">
      <c r="A2976" s="207"/>
    </row>
    <row r="2977" spans="1:1">
      <c r="A2977" s="207"/>
    </row>
    <row r="2978" spans="1:1">
      <c r="A2978" s="207"/>
    </row>
    <row r="2979" spans="1:1">
      <c r="A2979" s="207"/>
    </row>
    <row r="2980" spans="1:1">
      <c r="A2980" s="207"/>
    </row>
    <row r="2981" spans="1:1">
      <c r="A2981" s="207"/>
    </row>
    <row r="2982" spans="1:1">
      <c r="A2982" s="207"/>
    </row>
    <row r="2983" spans="1:1">
      <c r="A2983" s="207"/>
    </row>
    <row r="2984" spans="1:1">
      <c r="A2984" s="207"/>
    </row>
    <row r="2985" spans="1:1">
      <c r="A2985" s="207"/>
    </row>
    <row r="2986" spans="1:1">
      <c r="A2986" s="207"/>
    </row>
    <row r="2987" spans="1:1">
      <c r="A2987" s="207"/>
    </row>
    <row r="2988" spans="1:1">
      <c r="A2988" s="207"/>
    </row>
    <row r="2989" spans="1:1">
      <c r="A2989" s="207"/>
    </row>
    <row r="2990" spans="1:1">
      <c r="A2990" s="207"/>
    </row>
    <row r="2991" spans="1:1">
      <c r="A2991" s="207"/>
    </row>
    <row r="2992" spans="1:1">
      <c r="A2992" s="207"/>
    </row>
    <row r="2993" spans="1:1">
      <c r="A2993" s="207"/>
    </row>
    <row r="2994" spans="1:1">
      <c r="A2994" s="207"/>
    </row>
    <row r="2995" spans="1:1">
      <c r="A2995" s="207"/>
    </row>
    <row r="2996" spans="1:1">
      <c r="A2996" s="207"/>
    </row>
    <row r="2997" spans="1:1">
      <c r="A2997" s="207"/>
    </row>
    <row r="2998" spans="1:1">
      <c r="A2998" s="207"/>
    </row>
    <row r="2999" spans="1:1">
      <c r="A2999" s="207"/>
    </row>
    <row r="3000" spans="1:1">
      <c r="A3000" s="207"/>
    </row>
    <row r="3001" spans="1:1">
      <c r="A3001" s="207"/>
    </row>
    <row r="3002" spans="1:1">
      <c r="A3002" s="207"/>
    </row>
    <row r="3003" spans="1:1">
      <c r="A3003" s="207"/>
    </row>
    <row r="3004" spans="1:1">
      <c r="A3004" s="207"/>
    </row>
    <row r="3005" spans="1:1">
      <c r="A3005" s="207"/>
    </row>
    <row r="3006" spans="1:1">
      <c r="A3006" s="207"/>
    </row>
    <row r="3007" spans="1:1">
      <c r="A3007" s="207"/>
    </row>
    <row r="3008" spans="1:1">
      <c r="A3008" s="207"/>
    </row>
    <row r="3009" spans="1:1">
      <c r="A3009" s="207"/>
    </row>
    <row r="3010" spans="1:1">
      <c r="A3010" s="207"/>
    </row>
    <row r="3011" spans="1:1">
      <c r="A3011" s="207"/>
    </row>
    <row r="3012" spans="1:1">
      <c r="A3012" s="207"/>
    </row>
    <row r="3013" spans="1:1">
      <c r="A3013" s="207"/>
    </row>
    <row r="3014" spans="1:1">
      <c r="A3014" s="207"/>
    </row>
    <row r="3015" spans="1:1">
      <c r="A3015" s="207"/>
    </row>
    <row r="3016" spans="1:1">
      <c r="A3016" s="207"/>
    </row>
    <row r="3017" spans="1:1">
      <c r="A3017" s="207"/>
    </row>
    <row r="3018" spans="1:1">
      <c r="A3018" s="207"/>
    </row>
    <row r="3019" spans="1:1">
      <c r="A3019" s="207"/>
    </row>
    <row r="3020" spans="1:1">
      <c r="A3020" s="207"/>
    </row>
    <row r="3021" spans="1:1">
      <c r="A3021" s="207"/>
    </row>
    <row r="3022" spans="1:1">
      <c r="A3022" s="207"/>
    </row>
    <row r="3023" spans="1:1">
      <c r="A3023" s="207"/>
    </row>
    <row r="3024" spans="1:1">
      <c r="A3024" s="207"/>
    </row>
    <row r="3025" spans="1:1">
      <c r="A3025" s="207"/>
    </row>
    <row r="3026" spans="1:1">
      <c r="A3026" s="207"/>
    </row>
    <row r="3027" spans="1:1">
      <c r="A3027" s="207"/>
    </row>
    <row r="3028" spans="1:1">
      <c r="A3028" s="207"/>
    </row>
    <row r="3029" spans="1:1">
      <c r="A3029" s="207"/>
    </row>
    <row r="3030" spans="1:1">
      <c r="A3030" s="207"/>
    </row>
    <row r="3031" spans="1:1">
      <c r="A3031" s="207"/>
    </row>
    <row r="3032" spans="1:1">
      <c r="A3032" s="207"/>
    </row>
    <row r="3033" spans="1:1">
      <c r="A3033" s="207"/>
    </row>
    <row r="3034" spans="1:1">
      <c r="A3034" s="207"/>
    </row>
    <row r="3035" spans="1:1">
      <c r="A3035" s="207"/>
    </row>
    <row r="3036" spans="1:1">
      <c r="A3036" s="207"/>
    </row>
    <row r="3037" spans="1:1">
      <c r="A3037" s="207"/>
    </row>
    <row r="3038" spans="1:1">
      <c r="A3038" s="207"/>
    </row>
    <row r="3039" spans="1:1">
      <c r="A3039" s="207"/>
    </row>
    <row r="3040" spans="1:1">
      <c r="A3040" s="207"/>
    </row>
    <row r="3041" spans="1:1">
      <c r="A3041" s="207"/>
    </row>
    <row r="3042" spans="1:1">
      <c r="A3042" s="207"/>
    </row>
    <row r="3043" spans="1:1">
      <c r="A3043" s="207"/>
    </row>
    <row r="3044" spans="1:1">
      <c r="A3044" s="207"/>
    </row>
    <row r="3045" spans="1:1">
      <c r="A3045" s="207"/>
    </row>
    <row r="3046" spans="1:1">
      <c r="A3046" s="207"/>
    </row>
    <row r="3047" spans="1:1">
      <c r="A3047" s="207"/>
    </row>
    <row r="3048" spans="1:1">
      <c r="A3048" s="207"/>
    </row>
    <row r="3049" spans="1:1">
      <c r="A3049" s="207"/>
    </row>
    <row r="3050" spans="1:1">
      <c r="A3050" s="207"/>
    </row>
    <row r="3051" spans="1:1">
      <c r="A3051" s="207"/>
    </row>
    <row r="3052" spans="1:1">
      <c r="A3052" s="207"/>
    </row>
    <row r="3053" spans="1:1">
      <c r="A3053" s="207"/>
    </row>
    <row r="3054" spans="1:1">
      <c r="A3054" s="207"/>
    </row>
    <row r="3055" spans="1:1">
      <c r="A3055" s="207"/>
    </row>
    <row r="3056" spans="1:1">
      <c r="A3056" s="207"/>
    </row>
    <row r="3057" spans="1:1">
      <c r="A3057" s="207"/>
    </row>
    <row r="3058" spans="1:1">
      <c r="A3058" s="207"/>
    </row>
    <row r="3059" spans="1:1">
      <c r="A3059" s="207"/>
    </row>
    <row r="3060" spans="1:1">
      <c r="A3060" s="207"/>
    </row>
    <row r="3061" spans="1:1">
      <c r="A3061" s="207"/>
    </row>
    <row r="3062" spans="1:1">
      <c r="A3062" s="207"/>
    </row>
    <row r="3063" spans="1:1">
      <c r="A3063" s="207"/>
    </row>
    <row r="3064" spans="1:1">
      <c r="A3064" s="207"/>
    </row>
    <row r="3065" spans="1:1">
      <c r="A3065" s="207"/>
    </row>
    <row r="3066" spans="1:1">
      <c r="A3066" s="207"/>
    </row>
    <row r="3067" spans="1:1">
      <c r="A3067" s="207"/>
    </row>
    <row r="3068" spans="1:1">
      <c r="A3068" s="207"/>
    </row>
  </sheetData>
  <mergeCells count="2">
    <mergeCell ref="L34:P34"/>
    <mergeCell ref="B6:M6"/>
  </mergeCells>
  <pageMargins left="0.75" right="0.75" top="1" bottom="1" header="0.5" footer="0.5"/>
  <pageSetup orientation="portrait" horizont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9"/>
  <sheetViews>
    <sheetView workbookViewId="0">
      <selection activeCell="A3" sqref="A3"/>
    </sheetView>
  </sheetViews>
  <sheetFormatPr defaultRowHeight="12.75"/>
  <cols>
    <col min="1" max="1" width="23.42578125" customWidth="1"/>
    <col min="2" max="4" width="12.7109375" customWidth="1"/>
    <col min="5" max="5" width="13.85546875" customWidth="1"/>
    <col min="6" max="11" width="12.7109375" customWidth="1"/>
    <col min="12" max="23" width="12.7109375" hidden="1" customWidth="1"/>
  </cols>
  <sheetData>
    <row r="1" spans="1:23" ht="15.75">
      <c r="A1" s="298" t="s">
        <v>1331</v>
      </c>
      <c r="B1" s="401" t="s">
        <v>1410</v>
      </c>
    </row>
    <row r="2" spans="1:23">
      <c r="A2" t="s">
        <v>1427</v>
      </c>
      <c r="B2" s="289">
        <f>Calculations!$B$4</f>
        <v>2001</v>
      </c>
      <c r="C2" s="290">
        <f>B2+1</f>
        <v>2002</v>
      </c>
      <c r="D2" s="290">
        <f>C2+1</f>
        <v>2003</v>
      </c>
      <c r="E2" s="290">
        <f>D2+1</f>
        <v>2004</v>
      </c>
      <c r="F2" s="290">
        <f>E2+1</f>
        <v>2005</v>
      </c>
      <c r="G2" s="290">
        <f t="shared" ref="G2:N2" si="0">F2+1</f>
        <v>2006</v>
      </c>
      <c r="H2" s="290">
        <f t="shared" si="0"/>
        <v>2007</v>
      </c>
      <c r="I2" s="290">
        <f t="shared" si="0"/>
        <v>2008</v>
      </c>
      <c r="J2" s="290">
        <f t="shared" si="0"/>
        <v>2009</v>
      </c>
      <c r="K2" s="290">
        <f t="shared" si="0"/>
        <v>2010</v>
      </c>
      <c r="L2" s="290">
        <f t="shared" si="0"/>
        <v>2011</v>
      </c>
      <c r="M2" s="290">
        <f t="shared" si="0"/>
        <v>2012</v>
      </c>
      <c r="N2" s="290">
        <f t="shared" si="0"/>
        <v>2013</v>
      </c>
      <c r="O2" s="290">
        <f t="shared" ref="O2:W2" si="1">N2+1</f>
        <v>2014</v>
      </c>
      <c r="P2" s="290">
        <f t="shared" si="1"/>
        <v>2015</v>
      </c>
      <c r="Q2" s="290">
        <f t="shared" si="1"/>
        <v>2016</v>
      </c>
      <c r="R2" s="290">
        <f t="shared" si="1"/>
        <v>2017</v>
      </c>
      <c r="S2" s="290">
        <f t="shared" si="1"/>
        <v>2018</v>
      </c>
      <c r="T2" s="290">
        <f t="shared" si="1"/>
        <v>2019</v>
      </c>
      <c r="U2" s="290">
        <f t="shared" si="1"/>
        <v>2020</v>
      </c>
      <c r="V2" s="290">
        <f t="shared" si="1"/>
        <v>2021</v>
      </c>
      <c r="W2" s="291">
        <f t="shared" si="1"/>
        <v>2022</v>
      </c>
    </row>
    <row r="3" spans="1:23">
      <c r="A3" s="288" t="s">
        <v>1321</v>
      </c>
    </row>
    <row r="4" spans="1:23">
      <c r="A4" s="261" t="s">
        <v>1329</v>
      </c>
      <c r="B4" s="293">
        <f ca="1">((SUMIF(Calculations!$B$4:$B$256,B2,Calculations!$BI$4:$BI$256))/((SUMIF(Calculations!$B$4:$B$256,B2,Calculations!$BA$4:$BA$256))/Inputs!$F$26)/1000)*(SUMIF(Calculations!B$4:$B$256,B2,Calculations!$B$4:$B$256)/B2)/12</f>
        <v>3.9182291732857042</v>
      </c>
      <c r="C4" s="293">
        <f ca="1">((SUMIF(Calculations!$B$4:$B$256,C2,Calculations!$BI$4:$BI$256))/((SUMIF(Calculations!$B$4:$B$256,C2,Calculations!$BA$4:$BA$256))/Inputs!$F$26)/1000)*(SUMIF(Calculations!$B$4:C$256,C2,Calculations!$B$4:$B$256)/C2)/12</f>
        <v>3.8134737087803425</v>
      </c>
      <c r="D4" s="293">
        <f ca="1">((SUMIF(Calculations!$B$4:$B$256,D2,Calculations!$BI$4:$BI$256))/((SUMIF(Calculations!$B$4:$B$256,D2,Calculations!$BA$4:$BA$256))/Inputs!$F$26)/1000)*(SUMIF(Calculations!$B$4:D$256,D2,Calculations!$B$4:$B$256)/D2)/12</f>
        <v>3.6929230741947863</v>
      </c>
      <c r="E4" s="293">
        <f ca="1">((SUMIF(Calculations!$B$4:$B$256,E2,Calculations!$BI$4:$BI$256))/((SUMIF(Calculations!$B$4:$B$256,E2,Calculations!$BA$4:$BA$256))/Inputs!$F$26)/1000)*(SUMIF(Calculations!$B$4:E$256,E2,Calculations!$B$4:$B$256)/E2)/12</f>
        <v>3.633540484139512</v>
      </c>
      <c r="F4" s="293">
        <f ca="1">((SUMIF(Calculations!$B$4:$B$256,F2,Calculations!$BI$4:$BI$256))/((SUMIF(Calculations!$B$4:$B$256,F2,Calculations!$BA$4:$BA$256))/Inputs!$F$26)/1000)*(SUMIF(Calculations!$B$4:F$256,F2,Calculations!$B$4:$B$256)/F2)/12</f>
        <v>3.5882171604169488</v>
      </c>
      <c r="G4" s="293">
        <f ca="1">((SUMIF(Calculations!$B$4:$B$256,G2,Calculations!$BI$4:$BI$256))/((SUMIF(Calculations!$B$4:$B$256,G2,Calculations!$BA$4:$BA$256))/Inputs!$F$26)/1000)*(SUMIF(Calculations!$B$4:G$256,G2,Calculations!$B$4:$B$256)/G2)/12</f>
        <v>3.5463290664842386</v>
      </c>
      <c r="H4" s="293">
        <f ca="1">((SUMIF(Calculations!$B$4:$B$256,H2,Calculations!$BI$4:$BI$256))/((SUMIF(Calculations!$B$4:$B$256,H2,Calculations!$BA$4:$BA$256))/Inputs!$F$26)/1000)*(SUMIF(Calculations!$B$4:H$256,H2,Calculations!$B$4:$B$256)/H2)/12</f>
        <v>3.5292083694864949</v>
      </c>
      <c r="I4" s="293">
        <f ca="1">((SUMIF(Calculations!$B$4:$B$256,I2,Calculations!$BI$4:$BI$256))/((SUMIF(Calculations!$B$4:$B$256,I2,Calculations!$BA$4:$BA$256))/Inputs!$F$26)/1000)*(SUMIF(Calculations!$B$4:I$256,I2,Calculations!$B$4:$B$256)/I2)/12</f>
        <v>3.4969186159095718</v>
      </c>
      <c r="J4" s="293">
        <f ca="1">((SUMIF(Calculations!$B$4:$B$256,J2,Calculations!$BI$4:$BI$256))/((SUMIF(Calculations!$B$4:$B$256,J2,Calculations!$BA$4:$BA$256))/Inputs!$F$26)/1000)*(SUMIF(Calculations!$B$4:J$256,J2,Calculations!$B$4:$B$256)/J2)/12</f>
        <v>3.5538160500643894</v>
      </c>
      <c r="K4" s="293">
        <f ca="1">((SUMIF(Calculations!$B$4:$B$256,K2,Calculations!$BI$4:$BI$256))/((SUMIF(Calculations!$B$4:$B$256,K2,Calculations!$BA$4:$BA$256))/Inputs!$F$26)/1000)*(SUMIF(Calculations!$B$4:K$256,K2,Calculations!$B$4:$B$256)/K2)/12</f>
        <v>3.5809291091316768</v>
      </c>
      <c r="L4" s="293" t="e">
        <f ca="1">((SUMIF(Calculations!$B$4:$B$256,L2,Calculations!$BI$4:$BI$256))/((SUMIF(Calculations!$B$4:$B$256,L2,Calculations!$BA$4:$BA$256))/Inputs!$F$26)/1000)*(SUMIF(Calculations!$B$4:L$256,L2,Calculations!$B$4:$B$256)/L2)/12</f>
        <v>#DIV/0!</v>
      </c>
      <c r="M4" s="293" t="e">
        <f ca="1">((SUMIF(Calculations!$B$4:$B$256,M2,Calculations!$BI$4:$BI$256))/((SUMIF(Calculations!$B$4:$B$256,M2,Calculations!$BA$4:$BA$256))/Inputs!$F$26)/1000)*(SUMIF(Calculations!$B$4:M$256,M2,Calculations!$B$4:$B$256)/M2)/12</f>
        <v>#DIV/0!</v>
      </c>
      <c r="N4" s="293" t="e">
        <f ca="1">((SUMIF(Calculations!$B$4:$B$256,N2,Calculations!$BI$4:$BI$256))/((SUMIF(Calculations!$B$4:$B$256,N2,Calculations!$BA$4:$BA$256))/Inputs!$F$26)/1000)*(SUMIF(Calculations!$B$4:N$256,N2,Calculations!$B$4:$B$256)/N2)/12</f>
        <v>#DIV/0!</v>
      </c>
      <c r="O4" s="293" t="e">
        <f ca="1">((SUMIF(Calculations!$B$4:$B$256,O2,Calculations!$BI$4:$BI$256))/((SUMIF(Calculations!$B$4:$B$256,O2,Calculations!$BA$4:$BA$256))/Inputs!$F$26)/1000)*(SUMIF(Calculations!$B$4:O$256,O2,Calculations!$B$4:$B$256)/O2)/12</f>
        <v>#DIV/0!</v>
      </c>
      <c r="P4" s="293" t="e">
        <f ca="1">((SUMIF(Calculations!$B$4:$B$256,P2,Calculations!$BI$4:$BI$256))/((SUMIF(Calculations!$B$4:$B$256,P2,Calculations!$BA$4:$BA$256))/Inputs!$F$26)/1000)*(SUMIF(Calculations!$B$4:P$256,P2,Calculations!$B$4:$B$256)/P2)/12</f>
        <v>#DIV/0!</v>
      </c>
      <c r="Q4" s="293" t="e">
        <f ca="1">((SUMIF(Calculations!$B$4:$B$256,Q2,Calculations!$BI$4:$BI$256))/((SUMIF(Calculations!$B$4:$B$256,Q2,Calculations!$BA$4:$BA$256))/Inputs!$F$26)/1000)*(SUMIF(Calculations!$B$4:Q$256,Q2,Calculations!$B$4:$B$256)/Q2)/12</f>
        <v>#DIV/0!</v>
      </c>
      <c r="R4" s="293" t="e">
        <f ca="1">((SUMIF(Calculations!$B$4:$B$256,R2,Calculations!$BI$4:$BI$256))/((SUMIF(Calculations!$B$4:$B$256,R2,Calculations!$BA$4:$BA$256))/Inputs!$F$26)/1000)*(SUMIF(Calculations!$B$4:R$256,R2,Calculations!$B$4:$B$256)/R2)/12</f>
        <v>#DIV/0!</v>
      </c>
      <c r="S4" s="293" t="e">
        <f ca="1">((SUMIF(Calculations!$B$4:$B$256,S2,Calculations!$BI$4:$BI$256))/((SUMIF(Calculations!$B$4:$B$256,S2,Calculations!$BA$4:$BA$256))/Inputs!$F$26)/1000)*(SUMIF(Calculations!$B$4:S$256,S2,Calculations!$B$4:$B$256)/S2)/12</f>
        <v>#DIV/0!</v>
      </c>
      <c r="T4" s="293" t="e">
        <f ca="1">((SUMIF(Calculations!$B$4:$B$256,T2,Calculations!$BI$4:$BI$256))/((SUMIF(Calculations!$B$4:$B$256,T2,Calculations!$BA$4:$BA$256))/Inputs!$F$26)/1000)*(SUMIF(Calculations!$B$4:T$256,T2,Calculations!$B$4:$B$256)/T2)/12</f>
        <v>#DIV/0!</v>
      </c>
      <c r="U4" s="293" t="e">
        <f ca="1">((SUMIF(Calculations!$B$4:$B$256,U2,Calculations!$BI$4:$BI$256))/((SUMIF(Calculations!$B$4:$B$256,U2,Calculations!$BA$4:$BA$256))/Inputs!$F$26)/1000)*(SUMIF(Calculations!$B$4:U$256,U2,Calculations!$B$4:$B$256)/U2)/12</f>
        <v>#DIV/0!</v>
      </c>
      <c r="V4" s="293" t="e">
        <f ca="1">((SUMIF(Calculations!$B$4:$B$256,V2,Calculations!$BI$4:$BI$256))/((SUMIF(Calculations!$B$4:$B$256,V2,Calculations!$BA$4:$BA$256))/Inputs!$F$26)/1000)*(SUMIF(Calculations!$B$4:V$256,V2,Calculations!$B$4:$B$256)/V2)/12</f>
        <v>#DIV/0!</v>
      </c>
      <c r="W4" s="293" t="e">
        <f ca="1">((SUMIF(Calculations!$B$4:$B$256,W2,Calculations!$BI$4:$BI$256))/((SUMIF(Calculations!$B$4:$B$256,W2,Calculations!$BA$4:$BA$256))/Inputs!$F$26)/1000)*(SUMIF(Calculations!$B$4:W$256,W2,Calculations!$B$4:$B$256)/W2)/12</f>
        <v>#DIV/0!</v>
      </c>
    </row>
    <row r="5" spans="1:23">
      <c r="A5" s="261" t="s">
        <v>1330</v>
      </c>
      <c r="B5" s="297">
        <f ca="1">SUMIF(Calculations!$B$4:$B$256,B2,Calculations!$BJ$4:$BJ$256)</f>
        <v>13212103.122117236</v>
      </c>
      <c r="C5" s="297">
        <f ca="1">SUMIF(Calculations!$B$4:$B$256,C2,Calculations!$BJ$4:$BJ$256)</f>
        <v>13862172.187283844</v>
      </c>
      <c r="D5" s="297">
        <f ca="1">SUMIF(Calculations!$B$4:$B$256,D2,Calculations!$BJ$4:$BJ$256)</f>
        <v>14049894.954761177</v>
      </c>
      <c r="E5" s="297">
        <f ca="1">SUMIF(Calculations!$B$4:$B$256,E2,Calculations!$BJ$4:$BJ$256)</f>
        <v>14162963.90066842</v>
      </c>
      <c r="F5" s="297">
        <f ca="1">SUMIF(Calculations!$B$4:$B$256,F2,Calculations!$BJ$4:$BJ$256)</f>
        <v>14181452.942806041</v>
      </c>
      <c r="G5" s="297">
        <f ca="1">SUMIF(Calculations!$B$4:$B$256,G2,Calculations!$BJ$4:$BJ$256)</f>
        <v>14129147.409540096</v>
      </c>
      <c r="H5" s="297">
        <f ca="1">SUMIF(Calculations!$B$4:$B$256,H2,Calculations!$BJ$4:$BJ$256)</f>
        <v>14014667.208233425</v>
      </c>
      <c r="I5" s="297">
        <f ca="1">SUMIF(Calculations!$B$4:$B$256,I2,Calculations!$BJ$4:$BJ$256)</f>
        <v>13847084.140292676</v>
      </c>
      <c r="J5" s="297">
        <f ca="1">SUMIF(Calculations!$B$4:$B$256,J2,Calculations!$BJ$4:$BJ$256)</f>
        <v>13611418.485050922</v>
      </c>
      <c r="K5" s="297">
        <f ca="1">SUMIF(Calculations!$B$4:$B$256,K2,Calculations!$BJ$4:$BJ$256)</f>
        <v>13610086.687446712</v>
      </c>
      <c r="L5" s="297">
        <f>SUMIF(Calculations!$B$4:$B$256,L2,Calculations!$BJ$4:$BJ$256)</f>
        <v>0</v>
      </c>
      <c r="M5" s="297">
        <f>SUMIF(Calculations!$B$4:$B$256,M2,Calculations!$BJ$4:$BJ$256)</f>
        <v>0</v>
      </c>
      <c r="N5" s="297">
        <f>SUMIF(Calculations!$B$4:$B$256,N2,Calculations!$BJ$4:$BJ$256)</f>
        <v>0</v>
      </c>
      <c r="O5" s="297">
        <f>SUMIF(Calculations!$B$4:$B$256,O2,Calculations!$BJ$4:$BJ$256)</f>
        <v>0</v>
      </c>
      <c r="P5" s="297">
        <f>SUMIF(Calculations!$B$4:$B$256,P2,Calculations!$BJ$4:$BJ$256)</f>
        <v>0</v>
      </c>
      <c r="Q5" s="297">
        <f>SUMIF(Calculations!$B$4:$B$256,Q2,Calculations!$BJ$4:$BJ$256)</f>
        <v>0</v>
      </c>
      <c r="R5" s="297">
        <f>SUMIF(Calculations!$B$4:$B$256,R2,Calculations!$BJ$4:$BJ$256)</f>
        <v>0</v>
      </c>
      <c r="S5" s="297">
        <f>SUMIF(Calculations!$B$4:$B$256,S2,Calculations!$BJ$4:$BJ$256)</f>
        <v>0</v>
      </c>
      <c r="T5" s="297">
        <f>SUMIF(Calculations!$B$4:$B$256,T2,Calculations!$BJ$4:$BJ$256)</f>
        <v>0</v>
      </c>
      <c r="U5" s="297">
        <f>SUMIF(Calculations!$B$4:$B$256,U2,Calculations!$BJ$4:$BJ$256)</f>
        <v>0</v>
      </c>
      <c r="V5" s="297">
        <f>SUMIF(Calculations!$B$4:$B$256,V2,Calculations!$BJ$4:$BJ$256)</f>
        <v>0</v>
      </c>
      <c r="W5" s="297">
        <f>SUMIF(Calculations!$B$4:$B$256,W2,Calculations!$BJ$4:$BJ$256)</f>
        <v>0</v>
      </c>
    </row>
    <row r="6" spans="1:23">
      <c r="B6" s="294"/>
    </row>
    <row r="8" spans="1:23">
      <c r="A8" s="288" t="s">
        <v>1318</v>
      </c>
    </row>
    <row r="9" spans="1:23">
      <c r="A9" s="261" t="s">
        <v>1319</v>
      </c>
      <c r="B9" s="297">
        <f ca="1">SUMIF(Calculations!$B$4:$B$256,B2,Calculations!$BK$4:$BK$256)</f>
        <v>12353720.613609307</v>
      </c>
      <c r="C9" s="297">
        <f ca="1">SUMIF(Calculations!$B$4:$B$256,C2,Calculations!$BK$4:$BK$256)</f>
        <v>12964156.823864616</v>
      </c>
      <c r="D9" s="297">
        <f ca="1">SUMIF(Calculations!$B$4:$B$256,D2,Calculations!$BK$4:$BK$256)</f>
        <v>13156588.188872518</v>
      </c>
      <c r="E9" s="297">
        <f ca="1">SUMIF(Calculations!$B$4:$B$256,E2,Calculations!$BK$4:$BK$256)</f>
        <v>13278682.406590046</v>
      </c>
      <c r="F9" s="297">
        <f ca="1">SUMIF(Calculations!$B$4:$B$256,F2,Calculations!$BK$4:$BK$256)</f>
        <v>13311553.40566414</v>
      </c>
      <c r="G9" s="297">
        <f ca="1">SUMIF(Calculations!$B$4:$B$256,G2,Calculations!$BK$4:$BK$256)</f>
        <v>13279231.655320356</v>
      </c>
      <c r="H9" s="297">
        <f ca="1">SUMIF(Calculations!$B$4:$B$256,H2,Calculations!$BK$4:$BK$256)</f>
        <v>13186553.723561624</v>
      </c>
      <c r="I9" s="297">
        <f ca="1">SUMIF(Calculations!$B$4:$B$256,I2,Calculations!$BK$4:$BK$256)</f>
        <v>13043649.998987416</v>
      </c>
      <c r="J9" s="297">
        <f ca="1">SUMIF(Calculations!$B$4:$B$256,J2,Calculations!$BK$4:$BK$256)</f>
        <v>12835792.262273412</v>
      </c>
      <c r="K9" s="297">
        <f ca="1">SUMIF(Calculations!$B$4:$B$256,K2,Calculations!$BK$4:$BK$256)</f>
        <v>12847007.759761207</v>
      </c>
      <c r="L9" s="297">
        <f>SUMIF(Calculations!$B$4:$B$256,L2,Calculations!$BK$4:$BK$256)</f>
        <v>0</v>
      </c>
      <c r="M9" s="297">
        <f>SUMIF(Calculations!$B$4:$B$256,M2,Calculations!$BK$4:$BK$256)</f>
        <v>0</v>
      </c>
      <c r="N9" s="297">
        <f>SUMIF(Calculations!$B$4:$B$256,N2,Calculations!$BK$4:$BK$256)</f>
        <v>0</v>
      </c>
      <c r="O9" s="297">
        <f>SUMIF(Calculations!$B$4:$B$256,O2,Calculations!$BK$4:$BK$256)</f>
        <v>0</v>
      </c>
      <c r="P9" s="297">
        <f>SUMIF(Calculations!$B$4:$B$256,P2,Calculations!$BK$4:$BK$256)</f>
        <v>0</v>
      </c>
      <c r="Q9" s="297">
        <f>SUMIF(Calculations!$B$4:$B$256,Q2,Calculations!$BK$4:$BK$256)</f>
        <v>0</v>
      </c>
      <c r="R9" s="297">
        <f>SUMIF(Calculations!$B$4:$B$256,R2,Calculations!$BK$4:$BK$256)</f>
        <v>0</v>
      </c>
      <c r="S9" s="297">
        <f>SUMIF(Calculations!$B$4:$B$256,S2,Calculations!$BK$4:$BK$256)</f>
        <v>0</v>
      </c>
      <c r="T9" s="297">
        <f>SUMIF(Calculations!$B$4:$B$256,T2,Calculations!$BK$4:$BK$256)</f>
        <v>0</v>
      </c>
      <c r="U9" s="297">
        <f>SUMIF(Calculations!$B$4:$B$256,U2,Calculations!$BK$4:$BK$256)</f>
        <v>0</v>
      </c>
      <c r="V9" s="297">
        <f>SUMIF(Calculations!$B$4:$B$256,V2,Calculations!$BK$4:$BK$256)</f>
        <v>0</v>
      </c>
      <c r="W9" s="297">
        <f>SUMIF(Calculations!$B$4:$B$256,W2,Calculations!$BK$4:$BK$256)</f>
        <v>0</v>
      </c>
    </row>
    <row r="10" spans="1:23">
      <c r="A10" t="s">
        <v>1320</v>
      </c>
      <c r="B10" s="297">
        <f ca="1">SUMIF(Calculations!$B$4:$B$256,B2,Calculations!$BL$4:$BL$256)</f>
        <v>858382.50850792718</v>
      </c>
      <c r="C10" s="297">
        <f ca="1">SUMIF(Calculations!$B$4:$B$256,C2,Calculations!$BL$4:$BL$256)</f>
        <v>898015.36341922521</v>
      </c>
      <c r="D10" s="297">
        <f ca="1">SUMIF(Calculations!$B$4:$B$256,D2,Calculations!$BL$4:$BL$256)</f>
        <v>893306.76588866313</v>
      </c>
      <c r="E10" s="297">
        <f ca="1">SUMIF(Calculations!$B$4:$B$256,E2,Calculations!$BL$4:$BL$256)</f>
        <v>884281.4940783754</v>
      </c>
      <c r="F10" s="297">
        <f ca="1">SUMIF(Calculations!$B$4:$B$256,F2,Calculations!$BL$4:$BL$256)</f>
        <v>869899.53714189678</v>
      </c>
      <c r="G10" s="297">
        <f ca="1">SUMIF(Calculations!$B$4:$B$256,G2,Calculations!$BL$4:$BL$256)</f>
        <v>849915.75421974109</v>
      </c>
      <c r="H10" s="297">
        <f ca="1">SUMIF(Calculations!$B$4:$B$256,H2,Calculations!$BL$4:$BL$256)</f>
        <v>828113.48467180284</v>
      </c>
      <c r="I10" s="297">
        <f ca="1">SUMIF(Calculations!$B$4:$B$256,I2,Calculations!$BL$4:$BL$256)</f>
        <v>803434.14130526432</v>
      </c>
      <c r="J10" s="297">
        <f ca="1">SUMIF(Calculations!$B$4:$B$256,J2,Calculations!$BL$4:$BL$256)</f>
        <v>775626.22277750738</v>
      </c>
      <c r="K10" s="297">
        <f ca="1">SUMIF(Calculations!$B$4:$B$256,K2,Calculations!$BL$4:$BL$256)</f>
        <v>763078.92768550629</v>
      </c>
      <c r="L10" s="297">
        <f>SUMIF(Calculations!$B$4:$B$256,L2,Calculations!$BL$4:$BL$256)</f>
        <v>0</v>
      </c>
      <c r="M10" s="297">
        <f>SUMIF(Calculations!$B$4:$B$256,M2,Calculations!$BL$4:$BL$256)</f>
        <v>0</v>
      </c>
      <c r="N10" s="297">
        <f>SUMIF(Calculations!$B$4:$B$256,N2,Calculations!$BL$4:$BL$256)</f>
        <v>0</v>
      </c>
      <c r="O10" s="297">
        <f>SUMIF(Calculations!$B$4:$B$256,O2,Calculations!$BL$4:$BL$256)</f>
        <v>0</v>
      </c>
      <c r="P10" s="297">
        <f>SUMIF(Calculations!$B$4:$B$256,P2,Calculations!$BL$4:$BL$256)</f>
        <v>0</v>
      </c>
      <c r="Q10" s="297">
        <f>SUMIF(Calculations!$B$4:$B$256,Q2,Calculations!$BL$4:$BL$256)</f>
        <v>0</v>
      </c>
      <c r="R10" s="297">
        <f>SUMIF(Calculations!$B$4:$B$256,R2,Calculations!$BL$4:$BL$256)</f>
        <v>0</v>
      </c>
      <c r="S10" s="297">
        <f>SUMIF(Calculations!$B$4:$B$256,S2,Calculations!$BL$4:$BL$256)</f>
        <v>0</v>
      </c>
      <c r="T10" s="297">
        <f>SUMIF(Calculations!$B$4:$B$256,T2,Calculations!$BL$4:$BL$256)</f>
        <v>0</v>
      </c>
      <c r="U10" s="297">
        <f>SUMIF(Calculations!$B$4:$B$256,U2,Calculations!$BL$4:$BL$256)</f>
        <v>0</v>
      </c>
      <c r="V10" s="297">
        <f>SUMIF(Calculations!$B$4:$B$256,V2,Calculations!$BL$4:$BL$256)</f>
        <v>0</v>
      </c>
      <c r="W10" s="297">
        <f>SUMIF(Calculations!$B$4:$B$256,W2,Calculations!$BL$4:$BL$256)</f>
        <v>0</v>
      </c>
    </row>
    <row r="11" spans="1:23">
      <c r="A11" s="261" t="s">
        <v>1395</v>
      </c>
      <c r="B11" s="297">
        <f ca="1">SUMIF(Calculations!$B$4:$B$256,B2,Calculations!$BM$4:$BM$256)</f>
        <v>0</v>
      </c>
      <c r="C11" s="297">
        <f ca="1">SUMIF(Calculations!$B$4:$B$256,C2,Calculations!$BM$4:$BM$256)</f>
        <v>0</v>
      </c>
      <c r="D11" s="297">
        <f ca="1">SUMIF(Calculations!$B$4:$B$256,D2,Calculations!$BM$4:$BM$256)</f>
        <v>0</v>
      </c>
      <c r="E11" s="297">
        <f ca="1">SUMIF(Calculations!$B$4:$B$256,E2,Calculations!$BM$4:$BM$256)</f>
        <v>0</v>
      </c>
      <c r="F11" s="297">
        <f ca="1">SUMIF(Calculations!$B$4:$B$256,F2,Calculations!$BM$4:$BM$256)</f>
        <v>0</v>
      </c>
      <c r="G11" s="297">
        <f ca="1">SUMIF(Calculations!$B$4:$B$256,G2,Calculations!$BM$4:$BM$256)</f>
        <v>0</v>
      </c>
      <c r="H11" s="297">
        <f ca="1">SUMIF(Calculations!$B$4:$B$256,H2,Calculations!$BM$4:$BM$256)</f>
        <v>0</v>
      </c>
      <c r="I11" s="297">
        <f ca="1">SUMIF(Calculations!$B$4:$B$256,I2,Calculations!$BM$4:$BM$256)</f>
        <v>0</v>
      </c>
      <c r="J11" s="297">
        <f ca="1">SUMIF(Calculations!$B$4:$B$256,J2,Calculations!$BM$4:$BM$256)</f>
        <v>0</v>
      </c>
      <c r="K11" s="297">
        <f ca="1">SUMIF(Calculations!$B$4:$B$256,K2,Calculations!$BM$4:$BM$256)</f>
        <v>0</v>
      </c>
      <c r="L11" s="297">
        <f>SUMIF(Calculations!$B$4:$B$256,L2,Calculations!$BM$4:$BM$256)</f>
        <v>0</v>
      </c>
      <c r="M11" s="297">
        <f>SUMIF(Calculations!$B$4:$B$256,M2,Calculations!$BM$4:$BM$256)</f>
        <v>0</v>
      </c>
      <c r="N11" s="297">
        <f>SUMIF(Calculations!$B$4:$B$256,N2,Calculations!$BM$4:$BM$256)</f>
        <v>0</v>
      </c>
      <c r="O11" s="297">
        <f>SUMIF(Calculations!$B$4:$B$256,O2,Calculations!$BM$4:$BM$256)</f>
        <v>0</v>
      </c>
      <c r="P11" s="297">
        <f>SUMIF(Calculations!$B$4:$B$256,P2,Calculations!$BM$4:$BM$256)</f>
        <v>0</v>
      </c>
      <c r="Q11" s="297">
        <f>SUMIF(Calculations!$B$4:$B$256,Q2,Calculations!$BM$4:$BM$256)</f>
        <v>0</v>
      </c>
      <c r="R11" s="297">
        <f>SUMIF(Calculations!$B$4:$B$256,R2,Calculations!$BM$4:$BM$256)</f>
        <v>0</v>
      </c>
      <c r="S11" s="297">
        <f>SUMIF(Calculations!$B$4:$B$256,S2,Calculations!$BM$4:$BM$256)</f>
        <v>0</v>
      </c>
      <c r="T11" s="297">
        <f>SUMIF(Calculations!$B$4:$B$256,T2,Calculations!$BM$4:$BM$256)</f>
        <v>0</v>
      </c>
      <c r="U11" s="297">
        <f>SUMIF(Calculations!$B$4:$B$256,U2,Calculations!$BM$4:$BM$256)</f>
        <v>0</v>
      </c>
      <c r="V11" s="297">
        <f>SUMIF(Calculations!$B$4:$B$256,V2,Calculations!$BM$4:$BM$256)</f>
        <v>0</v>
      </c>
      <c r="W11" s="297">
        <f>SUMIF(Calculations!$B$4:$B$256,W2,Calculations!$BM$4:$BM$256)</f>
        <v>0</v>
      </c>
    </row>
    <row r="13" spans="1:23">
      <c r="A13" t="s">
        <v>1328</v>
      </c>
      <c r="B13" s="297">
        <f ca="1">B5-B9-B10-B11</f>
        <v>2.5611370801925659E-9</v>
      </c>
      <c r="C13" s="297">
        <f t="shared" ref="C13:W13" ca="1" si="2">C5-C9-C10-C11</f>
        <v>2.0954757928848267E-9</v>
      </c>
      <c r="D13" s="297">
        <f t="shared" ca="1" si="2"/>
        <v>-3.8417056202888489E-9</v>
      </c>
      <c r="E13" s="297">
        <f t="shared" ca="1" si="2"/>
        <v>-1.862645149230957E-9</v>
      </c>
      <c r="F13" s="297">
        <f t="shared" ca="1" si="2"/>
        <v>3.7252902984619141E-9</v>
      </c>
      <c r="G13" s="297">
        <f t="shared" ca="1" si="2"/>
        <v>-4.6566128730773926E-10</v>
      </c>
      <c r="H13" s="297">
        <f t="shared" ca="1" si="2"/>
        <v>-1.5133991837501526E-9</v>
      </c>
      <c r="I13" s="297">
        <f t="shared" ca="1" si="2"/>
        <v>-3.9581209421157837E-9</v>
      </c>
      <c r="J13" s="297">
        <f t="shared" ca="1" si="2"/>
        <v>2.6775524020195007E-9</v>
      </c>
      <c r="K13" s="297">
        <f t="shared" ca="1" si="2"/>
        <v>-1.5133991837501526E-9</v>
      </c>
      <c r="L13" s="297">
        <f t="shared" si="2"/>
        <v>0</v>
      </c>
      <c r="M13" s="297">
        <f t="shared" si="2"/>
        <v>0</v>
      </c>
      <c r="N13" s="297">
        <f t="shared" si="2"/>
        <v>0</v>
      </c>
      <c r="O13" s="297">
        <f t="shared" si="2"/>
        <v>0</v>
      </c>
      <c r="P13" s="297">
        <f t="shared" si="2"/>
        <v>0</v>
      </c>
      <c r="Q13" s="297">
        <f t="shared" si="2"/>
        <v>0</v>
      </c>
      <c r="R13" s="297">
        <f t="shared" si="2"/>
        <v>0</v>
      </c>
      <c r="S13" s="297">
        <f t="shared" si="2"/>
        <v>0</v>
      </c>
      <c r="T13" s="297">
        <f t="shared" si="2"/>
        <v>0</v>
      </c>
      <c r="U13" s="297">
        <f t="shared" si="2"/>
        <v>0</v>
      </c>
      <c r="V13" s="297">
        <f t="shared" si="2"/>
        <v>0</v>
      </c>
      <c r="W13" s="297">
        <f t="shared" si="2"/>
        <v>0</v>
      </c>
    </row>
    <row r="17" spans="1:5">
      <c r="E17" s="294">
        <f ca="1">E4*1000*180*12</f>
        <v>7848447.4457413461</v>
      </c>
    </row>
    <row r="18" spans="1:5">
      <c r="A18" t="s">
        <v>1421</v>
      </c>
    </row>
    <row r="19" spans="1:5">
      <c r="A19" s="409">
        <f ca="1">SUM(Calculations!BI4:BI78)</f>
        <v>50722514.24885463</v>
      </c>
    </row>
    <row r="22" spans="1:5">
      <c r="A22" t="s">
        <v>1422</v>
      </c>
    </row>
    <row r="23" spans="1:5">
      <c r="A23" s="409">
        <v>52197464.422142968</v>
      </c>
    </row>
    <row r="24" spans="1:5">
      <c r="A24" t="s">
        <v>1423</v>
      </c>
    </row>
    <row r="25" spans="1:5">
      <c r="A25" s="409">
        <v>51919203.970030472</v>
      </c>
    </row>
    <row r="26" spans="1:5">
      <c r="A26" t="s">
        <v>1424</v>
      </c>
    </row>
    <row r="27" spans="1:5">
      <c r="A27" s="409">
        <v>35378521.806044951</v>
      </c>
    </row>
    <row r="28" spans="1:5">
      <c r="A28" t="s">
        <v>1425</v>
      </c>
    </row>
    <row r="29" spans="1:5">
      <c r="A29" s="409">
        <v>35003968.160748854</v>
      </c>
    </row>
  </sheetData>
  <pageMargins left="0.2" right="0.23" top="1" bottom="1" header="0.5" footer="0.5"/>
  <pageSetup paperSize="5" orientation="landscape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1"/>
  <sheetViews>
    <sheetView workbookViewId="0">
      <selection activeCell="F23" sqref="F23"/>
    </sheetView>
  </sheetViews>
  <sheetFormatPr defaultRowHeight="12.75"/>
  <sheetData>
    <row r="1" spans="1:13">
      <c r="A1" s="261" t="s">
        <v>1293</v>
      </c>
      <c r="D1" s="309"/>
      <c r="E1" s="261" t="s">
        <v>1346</v>
      </c>
      <c r="F1" s="345"/>
      <c r="G1" s="261" t="s">
        <v>1370</v>
      </c>
    </row>
    <row r="2" spans="1:13">
      <c r="A2" s="343" t="s">
        <v>1294</v>
      </c>
      <c r="B2" s="343"/>
      <c r="C2" s="343"/>
      <c r="D2" s="343"/>
      <c r="E2" s="343"/>
      <c r="F2" s="343"/>
      <c r="G2" s="343"/>
      <c r="H2" s="343"/>
      <c r="I2" s="343"/>
      <c r="J2" s="344" t="s">
        <v>1353</v>
      </c>
      <c r="K2" s="343"/>
      <c r="L2" s="343"/>
      <c r="M2" s="343"/>
    </row>
    <row r="3" spans="1:13">
      <c r="A3" s="308" t="s">
        <v>1296</v>
      </c>
      <c r="B3" s="309"/>
      <c r="C3" s="309"/>
      <c r="D3" s="309"/>
      <c r="E3" s="309"/>
      <c r="F3" s="309"/>
      <c r="G3" s="309"/>
      <c r="H3" s="309"/>
      <c r="I3" s="309" t="s">
        <v>1348</v>
      </c>
      <c r="J3" s="309"/>
    </row>
    <row r="4" spans="1:13">
      <c r="A4" s="308" t="s">
        <v>1305</v>
      </c>
      <c r="B4" s="309"/>
      <c r="C4" s="309"/>
      <c r="D4" s="309"/>
    </row>
    <row r="5" spans="1:13">
      <c r="A5" s="308" t="s">
        <v>1312</v>
      </c>
      <c r="B5" s="309"/>
    </row>
    <row r="6" spans="1:13">
      <c r="A6" s="308" t="s">
        <v>1313</v>
      </c>
      <c r="B6" s="308"/>
      <c r="C6" s="308"/>
      <c r="D6" s="308"/>
    </row>
    <row r="7" spans="1:13">
      <c r="A7" s="308" t="s">
        <v>1314</v>
      </c>
      <c r="B7" s="309"/>
    </row>
    <row r="8" spans="1:13">
      <c r="A8" s="308" t="s">
        <v>1316</v>
      </c>
      <c r="B8" s="309"/>
      <c r="C8" s="309"/>
    </row>
    <row r="9" spans="1:13">
      <c r="A9" s="308" t="s">
        <v>1315</v>
      </c>
      <c r="B9" s="308"/>
      <c r="C9" s="308"/>
      <c r="D9" s="308"/>
      <c r="E9" s="308"/>
      <c r="F9" s="308"/>
    </row>
    <row r="10" spans="1:13">
      <c r="A10" s="308" t="s">
        <v>1317</v>
      </c>
      <c r="B10" s="309"/>
      <c r="C10" s="309"/>
      <c r="D10" s="309"/>
      <c r="E10" s="309"/>
    </row>
    <row r="11" spans="1:13">
      <c r="A11" s="308" t="s">
        <v>1323</v>
      </c>
      <c r="B11" s="308"/>
      <c r="C11" s="308"/>
      <c r="D11" s="308"/>
      <c r="E11" s="308"/>
    </row>
    <row r="12" spans="1:13">
      <c r="A12" s="339" t="s">
        <v>1364</v>
      </c>
      <c r="B12" s="308"/>
      <c r="C12" s="308"/>
      <c r="D12" s="308"/>
      <c r="E12" s="339" t="s">
        <v>1365</v>
      </c>
      <c r="F12" s="308"/>
      <c r="G12" s="308"/>
      <c r="H12" s="308"/>
      <c r="I12" s="308"/>
      <c r="J12" s="308"/>
    </row>
    <row r="13" spans="1:13">
      <c r="A13" s="308" t="s">
        <v>1349</v>
      </c>
      <c r="B13" s="308"/>
      <c r="C13" s="308"/>
      <c r="D13" s="308"/>
      <c r="E13" s="308"/>
    </row>
    <row r="14" spans="1:13">
      <c r="A14" s="308" t="s">
        <v>1347</v>
      </c>
      <c r="B14" s="308"/>
      <c r="C14" s="308"/>
      <c r="D14" s="308"/>
    </row>
    <row r="15" spans="1:13">
      <c r="A15" s="339" t="s">
        <v>1383</v>
      </c>
      <c r="B15" s="308"/>
      <c r="C15" s="308"/>
      <c r="D15" s="308"/>
      <c r="E15" s="308"/>
      <c r="F15" s="308"/>
      <c r="G15" s="308" t="s">
        <v>1384</v>
      </c>
      <c r="H15" s="308"/>
    </row>
    <row r="16" spans="1:13">
      <c r="A16" s="308" t="s">
        <v>1354</v>
      </c>
      <c r="B16" s="309"/>
      <c r="C16" s="309"/>
      <c r="D16" s="309"/>
      <c r="E16" s="309"/>
      <c r="F16" s="309"/>
      <c r="G16" s="309"/>
    </row>
    <row r="17" spans="1:8">
      <c r="A17" s="339" t="s">
        <v>1361</v>
      </c>
      <c r="B17" s="309"/>
    </row>
    <row r="18" spans="1:8">
      <c r="A18" s="308" t="s">
        <v>1377</v>
      </c>
      <c r="B18" s="308"/>
    </row>
    <row r="19" spans="1:8">
      <c r="A19" s="339" t="s">
        <v>1295</v>
      </c>
      <c r="B19" s="309"/>
      <c r="C19" s="309"/>
    </row>
    <row r="20" spans="1:8">
      <c r="A20" s="261" t="s">
        <v>1360</v>
      </c>
      <c r="G20" s="222" t="s">
        <v>1400</v>
      </c>
    </row>
    <row r="21" spans="1:8">
      <c r="A21" t="s">
        <v>1362</v>
      </c>
    </row>
    <row r="22" spans="1:8">
      <c r="A22" t="s">
        <v>1368</v>
      </c>
    </row>
    <row r="23" spans="1:8">
      <c r="A23" t="s">
        <v>1369</v>
      </c>
      <c r="D23" s="240"/>
    </row>
    <row r="24" spans="1:8">
      <c r="A24" t="s">
        <v>1376</v>
      </c>
    </row>
    <row r="25" spans="1:8">
      <c r="A25" s="261" t="s">
        <v>1344</v>
      </c>
    </row>
    <row r="26" spans="1:8">
      <c r="A26" s="222" t="s">
        <v>1345</v>
      </c>
      <c r="H26" t="s">
        <v>1350</v>
      </c>
    </row>
    <row r="27" spans="1:8">
      <c r="A27" t="s">
        <v>1385</v>
      </c>
    </row>
    <row r="28" spans="1:8">
      <c r="A28" s="261" t="s">
        <v>1386</v>
      </c>
    </row>
    <row r="29" spans="1:8">
      <c r="A29" t="s">
        <v>1352</v>
      </c>
    </row>
    <row r="30" spans="1:8">
      <c r="A30" t="s">
        <v>1399</v>
      </c>
    </row>
    <row r="31" spans="1:8">
      <c r="A31" t="s">
        <v>1401</v>
      </c>
      <c r="D31" s="261" t="s">
        <v>1417</v>
      </c>
    </row>
  </sheetData>
  <pageMargins left="0.25" right="0.25" top="1" bottom="1" header="0.5" footer="0.5"/>
  <pageSetup scale="87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60</vt:i4>
      </vt:variant>
    </vt:vector>
  </HeadingPairs>
  <TitlesOfParts>
    <vt:vector size="67" baseType="lpstr">
      <vt:lpstr>Inputs</vt:lpstr>
      <vt:lpstr>Power Curves</vt:lpstr>
      <vt:lpstr>Gas Curves</vt:lpstr>
      <vt:lpstr>Calculations</vt:lpstr>
      <vt:lpstr>Pricing Inputs</vt:lpstr>
      <vt:lpstr>Output</vt:lpstr>
      <vt:lpstr>WIP</vt:lpstr>
      <vt:lpstr>BasisIndex</vt:lpstr>
      <vt:lpstr>BasisNumber</vt:lpstr>
      <vt:lpstr>BasisTable</vt:lpstr>
      <vt:lpstr>CorrelationTable</vt:lpstr>
      <vt:lpstr>CurveDate</vt:lpstr>
      <vt:lpstr>CurveRange</vt:lpstr>
      <vt:lpstr>CustomSaPeriod</vt:lpstr>
      <vt:lpstr>DailyScalarsTable</vt:lpstr>
      <vt:lpstr>DateToday</vt:lpstr>
      <vt:lpstr>DBase</vt:lpstr>
      <vt:lpstr>GasCurves</vt:lpstr>
      <vt:lpstr>GasFirstMonth</vt:lpstr>
      <vt:lpstr>'Power Curves'!GasTable</vt:lpstr>
      <vt:lpstr>GasVolTable</vt:lpstr>
      <vt:lpstr>InterestRatesTable</vt:lpstr>
      <vt:lpstr>IntraPowerVol</vt:lpstr>
      <vt:lpstr>IRFirstMonth</vt:lpstr>
      <vt:lpstr>IRTable</vt:lpstr>
      <vt:lpstr>LastDateOfMonthlyVol</vt:lpstr>
      <vt:lpstr>NumberofDaysTable</vt:lpstr>
      <vt:lpstr>OffPeakPeriod</vt:lpstr>
      <vt:lpstr>OmicronCurveDate</vt:lpstr>
      <vt:lpstr>OmicronIndex</vt:lpstr>
      <vt:lpstr>OmicronNumber</vt:lpstr>
      <vt:lpstr>OmicronVol</vt:lpstr>
      <vt:lpstr>OPPowerPrices</vt:lpstr>
      <vt:lpstr>Password</vt:lpstr>
      <vt:lpstr>PeakEnd</vt:lpstr>
      <vt:lpstr>PeakPeriod</vt:lpstr>
      <vt:lpstr>PeakPowerCurves</vt:lpstr>
      <vt:lpstr>PeakStart</vt:lpstr>
      <vt:lpstr>PositionBasis</vt:lpstr>
      <vt:lpstr>PositionRegion</vt:lpstr>
      <vt:lpstr>PowerVolTable</vt:lpstr>
      <vt:lpstr>PriceTable</vt:lpstr>
      <vt:lpstr>PriceTableWeekend</vt:lpstr>
      <vt:lpstr>Calculations!Print_Area</vt:lpstr>
      <vt:lpstr>'Gas Curves'!Print_Area</vt:lpstr>
      <vt:lpstr>Output!Print_Area</vt:lpstr>
      <vt:lpstr>'Gas Curves'!Print_Titles</vt:lpstr>
      <vt:lpstr>RegionIndex</vt:lpstr>
      <vt:lpstr>RegionNumber</vt:lpstr>
      <vt:lpstr>SatSunPeakPwr</vt:lpstr>
      <vt:lpstr>ScalarTable</vt:lpstr>
      <vt:lpstr>ScaledPrice</vt:lpstr>
      <vt:lpstr>Today</vt:lpstr>
      <vt:lpstr>UpperLeftOfCurveTable</vt:lpstr>
      <vt:lpstr>UserName</vt:lpstr>
      <vt:lpstr>'Power Curves'!VolSmileBook</vt:lpstr>
      <vt:lpstr>'Power Curves'!VolSmileModel</vt:lpstr>
      <vt:lpstr>VolTableDailyOffPeak</vt:lpstr>
      <vt:lpstr>VolTableDailyPeak</vt:lpstr>
      <vt:lpstr>VolTableDailyPeakSat</vt:lpstr>
      <vt:lpstr>VolTableDailyPeakSun</vt:lpstr>
      <vt:lpstr>VolTableMonthlyOffPeak</vt:lpstr>
      <vt:lpstr>VolTableMonthlyPeak</vt:lpstr>
      <vt:lpstr>VolTableMonthlyPeakSat</vt:lpstr>
      <vt:lpstr>VolTableMonthlyPeakSun</vt:lpstr>
      <vt:lpstr>VolTableYearlyOffPeak</vt:lpstr>
      <vt:lpstr>VolTableYearlyPeak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jsimpso</dc:creator>
  <cp:lastModifiedBy>Jan Havlíček</cp:lastModifiedBy>
  <cp:lastPrinted>2000-03-02T23:07:05Z</cp:lastPrinted>
  <dcterms:created xsi:type="dcterms:W3CDTF">1999-11-15T20:08:29Z</dcterms:created>
  <dcterms:modified xsi:type="dcterms:W3CDTF">2023-09-13T22:07:03Z</dcterms:modified>
</cp:coreProperties>
</file>